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 codeName="ThisWorkbook" defaultThemeVersion="166925"/>
  <xr:revisionPtr revIDLastSave="0" documentId="13_ncr:1_{97F1E648-7E1C-405D-9FF6-755B5DD9BED2}" xr6:coauthVersionLast="45" xr6:coauthVersionMax="45" xr10:uidLastSave="{00000000-0000-0000-0000-000000000000}"/>
  <workbookProtection workbookAlgorithmName="SHA-512" workbookHashValue="dFBYK7Jul2lD1eF13VkPGpQVRXivP7siIV3SvsvIoF7NSf0gleuRn15NqJ20Y2e2ObPQ0XTVH9XFIFl8yxZzkg==" workbookSaltValue="PFh/AmnWtqxA5Qet2rJ/MQ==" workbookSpinCount="100000" lockStructure="1"/>
  <bookViews>
    <workbookView xWindow="-108" yWindow="-108" windowWidth="23256" windowHeight="12720" xr2:uid="{ADAE2735-1D48-4889-88FC-4B50FA7D1A99}"/>
  </bookViews>
  <sheets>
    <sheet name="基本情報" sheetId="7" r:id="rId1"/>
    <sheet name="男子エントリー" sheetId="5" r:id="rId2"/>
    <sheet name="女子エントリー" sheetId="6" r:id="rId3"/>
    <sheet name="リレーエントリー" sheetId="8" r:id="rId4"/>
    <sheet name="混成競技エントリー" sheetId="9" r:id="rId5"/>
    <sheet name="トレーナー誓約書" sheetId="17" r:id="rId6"/>
    <sheet name="(資料) IOCコード一覧" sheetId="18" r:id="rId7"/>
    <sheet name="Athle32(男子)" sheetId="1" state="hidden" r:id="rId8"/>
    <sheet name="Athle32(女子)" sheetId="10" state="hidden" r:id="rId9"/>
    <sheet name="Athle32(リレー・混成)" sheetId="12" state="hidden" r:id="rId10"/>
    <sheet name="NANS21v(男子)" sheetId="4" state="hidden" r:id="rId11"/>
    <sheet name="NANS21v(女子)" sheetId="11" state="hidden" r:id="rId12"/>
    <sheet name="NANS21v(リレー・混成)" sheetId="13" state="hidden" r:id="rId13"/>
    <sheet name="男子登録" sheetId="2" state="hidden" r:id="rId14"/>
    <sheet name="女子登録" sheetId="3" state="hidden" r:id="rId15"/>
    <sheet name="競技会設定" sheetId="16" state="hidden" r:id="rId16"/>
  </sheets>
  <definedNames>
    <definedName name="_xlnm._FilterDatabase" localSheetId="15">競技会設定!$J$2:$O$47</definedName>
    <definedName name="four">競技会設定!$BA$2:$BA$7</definedName>
    <definedName name="one">競技会設定!$AX$2:$AX$8</definedName>
    <definedName name="_xlnm.Print_Area" localSheetId="5">トレーナー誓約書!$A$1:$N$40</definedName>
    <definedName name="_xlnm.Print_Area" localSheetId="3">リレーエントリー!$A$1:$N$33</definedName>
    <definedName name="_xlnm.Print_Area" localSheetId="0">基本情報!$A$1:$O$33</definedName>
    <definedName name="_xlnm.Print_Area" localSheetId="4">混成競技エントリー!$A$1:$AE$35</definedName>
    <definedName name="three">競技会設定!$AZ$2:$AZ$6</definedName>
    <definedName name="two">競技会設定!$AY$2:$AY$5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I2" i="6"/>
  <c r="AK2" i="6"/>
  <c r="AM2" i="6"/>
  <c r="AO2" i="6"/>
  <c r="A3" i="3" l="1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2" i="3"/>
  <c r="K444" i="3"/>
  <c r="L444" i="3" s="1"/>
  <c r="K443" i="3"/>
  <c r="L443" i="3" s="1"/>
  <c r="K442" i="3"/>
  <c r="L442" i="3" s="1"/>
  <c r="K441" i="3"/>
  <c r="L441" i="3" s="1"/>
  <c r="K440" i="3"/>
  <c r="L440" i="3" s="1"/>
  <c r="K439" i="3"/>
  <c r="L439" i="3" s="1"/>
  <c r="K438" i="3"/>
  <c r="L438" i="3" s="1"/>
  <c r="K437" i="3"/>
  <c r="L437" i="3" s="1"/>
  <c r="K436" i="3"/>
  <c r="L436" i="3" s="1"/>
  <c r="K435" i="3"/>
  <c r="L435" i="3" s="1"/>
  <c r="K434" i="3"/>
  <c r="L434" i="3" s="1"/>
  <c r="K433" i="3"/>
  <c r="L433" i="3" s="1"/>
  <c r="K432" i="3"/>
  <c r="L432" i="3" s="1"/>
  <c r="K431" i="3"/>
  <c r="L431" i="3" s="1"/>
  <c r="K430" i="3"/>
  <c r="L430" i="3" s="1"/>
  <c r="K429" i="3"/>
  <c r="L429" i="3" s="1"/>
  <c r="K428" i="3"/>
  <c r="L428" i="3" s="1"/>
  <c r="K427" i="3"/>
  <c r="L427" i="3" s="1"/>
  <c r="K426" i="3"/>
  <c r="L426" i="3" s="1"/>
  <c r="K425" i="3"/>
  <c r="L425" i="3" s="1"/>
  <c r="K424" i="3"/>
  <c r="L424" i="3" s="1"/>
  <c r="K423" i="3"/>
  <c r="L423" i="3" s="1"/>
  <c r="K422" i="3"/>
  <c r="L422" i="3" s="1"/>
  <c r="K421" i="3"/>
  <c r="L421" i="3" s="1"/>
  <c r="K420" i="3"/>
  <c r="L420" i="3" s="1"/>
  <c r="K419" i="3"/>
  <c r="L419" i="3" s="1"/>
  <c r="K418" i="3"/>
  <c r="L418" i="3" s="1"/>
  <c r="K417" i="3"/>
  <c r="L417" i="3" s="1"/>
  <c r="K416" i="3"/>
  <c r="L416" i="3" s="1"/>
  <c r="K415" i="3"/>
  <c r="L415" i="3" s="1"/>
  <c r="K414" i="3"/>
  <c r="L414" i="3" s="1"/>
  <c r="K413" i="3"/>
  <c r="L413" i="3" s="1"/>
  <c r="K412" i="3"/>
  <c r="L412" i="3" s="1"/>
  <c r="K411" i="3"/>
  <c r="L411" i="3" s="1"/>
  <c r="K410" i="3"/>
  <c r="L410" i="3" s="1"/>
  <c r="K409" i="3"/>
  <c r="L409" i="3" s="1"/>
  <c r="K408" i="3"/>
  <c r="L408" i="3" s="1"/>
  <c r="K407" i="3"/>
  <c r="L407" i="3" s="1"/>
  <c r="K406" i="3"/>
  <c r="L406" i="3" s="1"/>
  <c r="K405" i="3"/>
  <c r="L405" i="3" s="1"/>
  <c r="K404" i="3"/>
  <c r="L404" i="3" s="1"/>
  <c r="K403" i="3"/>
  <c r="L403" i="3" s="1"/>
  <c r="K402" i="3"/>
  <c r="L402" i="3" s="1"/>
  <c r="K401" i="3"/>
  <c r="L401" i="3" s="1"/>
  <c r="K400" i="3"/>
  <c r="L400" i="3" s="1"/>
  <c r="K399" i="3"/>
  <c r="L399" i="3" s="1"/>
  <c r="K398" i="3"/>
  <c r="L398" i="3" s="1"/>
  <c r="K397" i="3"/>
  <c r="L397" i="3" s="1"/>
  <c r="K396" i="3"/>
  <c r="L396" i="3" s="1"/>
  <c r="K395" i="3"/>
  <c r="L395" i="3" s="1"/>
  <c r="K394" i="3"/>
  <c r="L394" i="3" s="1"/>
  <c r="K393" i="3"/>
  <c r="L393" i="3" s="1"/>
  <c r="K392" i="3"/>
  <c r="L392" i="3" s="1"/>
  <c r="K391" i="3"/>
  <c r="L391" i="3" s="1"/>
  <c r="K390" i="3"/>
  <c r="L390" i="3" s="1"/>
  <c r="K389" i="3"/>
  <c r="L389" i="3" s="1"/>
  <c r="K388" i="3"/>
  <c r="L388" i="3" s="1"/>
  <c r="K387" i="3"/>
  <c r="L387" i="3" s="1"/>
  <c r="K386" i="3"/>
  <c r="L386" i="3" s="1"/>
  <c r="K385" i="3"/>
  <c r="L385" i="3" s="1"/>
  <c r="K384" i="3"/>
  <c r="L384" i="3" s="1"/>
  <c r="K383" i="3"/>
  <c r="L383" i="3" s="1"/>
  <c r="K382" i="3"/>
  <c r="L382" i="3" s="1"/>
  <c r="K381" i="3"/>
  <c r="L381" i="3" s="1"/>
  <c r="K380" i="3"/>
  <c r="L380" i="3" s="1"/>
  <c r="K379" i="3"/>
  <c r="L379" i="3" s="1"/>
  <c r="K378" i="3"/>
  <c r="L378" i="3" s="1"/>
  <c r="K377" i="3"/>
  <c r="L377" i="3" s="1"/>
  <c r="K376" i="3"/>
  <c r="L376" i="3" s="1"/>
  <c r="K375" i="3"/>
  <c r="L375" i="3" s="1"/>
  <c r="K374" i="3"/>
  <c r="L374" i="3" s="1"/>
  <c r="K373" i="3"/>
  <c r="L373" i="3" s="1"/>
  <c r="K372" i="3"/>
  <c r="L372" i="3" s="1"/>
  <c r="K371" i="3"/>
  <c r="L371" i="3" s="1"/>
  <c r="K370" i="3"/>
  <c r="L370" i="3" s="1"/>
  <c r="K369" i="3"/>
  <c r="L369" i="3" s="1"/>
  <c r="K368" i="3"/>
  <c r="L368" i="3" s="1"/>
  <c r="K367" i="3"/>
  <c r="L367" i="3" s="1"/>
  <c r="K366" i="3"/>
  <c r="L366" i="3" s="1"/>
  <c r="K365" i="3"/>
  <c r="L365" i="3" s="1"/>
  <c r="K364" i="3"/>
  <c r="L364" i="3" s="1"/>
  <c r="K363" i="3"/>
  <c r="L363" i="3" s="1"/>
  <c r="K362" i="3"/>
  <c r="L362" i="3" s="1"/>
  <c r="K361" i="3"/>
  <c r="L361" i="3" s="1"/>
  <c r="K360" i="3"/>
  <c r="L360" i="3" s="1"/>
  <c r="K359" i="3"/>
  <c r="L359" i="3" s="1"/>
  <c r="K358" i="3"/>
  <c r="L358" i="3" s="1"/>
  <c r="K357" i="3"/>
  <c r="L357" i="3" s="1"/>
  <c r="K356" i="3"/>
  <c r="L356" i="3" s="1"/>
  <c r="K355" i="3"/>
  <c r="L355" i="3" s="1"/>
  <c r="K354" i="3"/>
  <c r="L354" i="3" s="1"/>
  <c r="K353" i="3"/>
  <c r="L353" i="3" s="1"/>
  <c r="K352" i="3"/>
  <c r="L352" i="3" s="1"/>
  <c r="K351" i="3"/>
  <c r="L351" i="3" s="1"/>
  <c r="K350" i="3"/>
  <c r="L350" i="3" s="1"/>
  <c r="K349" i="3"/>
  <c r="L349" i="3" s="1"/>
  <c r="K348" i="3"/>
  <c r="L348" i="3" s="1"/>
  <c r="K347" i="3"/>
  <c r="L347" i="3" s="1"/>
  <c r="K346" i="3"/>
  <c r="L346" i="3" s="1"/>
  <c r="K345" i="3"/>
  <c r="L345" i="3" s="1"/>
  <c r="K344" i="3"/>
  <c r="L344" i="3" s="1"/>
  <c r="K343" i="3"/>
  <c r="L343" i="3" s="1"/>
  <c r="K342" i="3"/>
  <c r="L342" i="3" s="1"/>
  <c r="K341" i="3"/>
  <c r="L341" i="3" s="1"/>
  <c r="K340" i="3"/>
  <c r="L340" i="3" s="1"/>
  <c r="K339" i="3"/>
  <c r="L339" i="3" s="1"/>
  <c r="K338" i="3"/>
  <c r="L338" i="3" s="1"/>
  <c r="K337" i="3"/>
  <c r="L337" i="3" s="1"/>
  <c r="K336" i="3"/>
  <c r="L336" i="3" s="1"/>
  <c r="K335" i="3"/>
  <c r="L335" i="3" s="1"/>
  <c r="K334" i="3"/>
  <c r="L334" i="3" s="1"/>
  <c r="K333" i="3"/>
  <c r="L333" i="3" s="1"/>
  <c r="K332" i="3"/>
  <c r="L332" i="3" s="1"/>
  <c r="K331" i="3"/>
  <c r="L331" i="3" s="1"/>
  <c r="K330" i="3"/>
  <c r="L330" i="3" s="1"/>
  <c r="K329" i="3"/>
  <c r="L329" i="3" s="1"/>
  <c r="K328" i="3"/>
  <c r="L328" i="3" s="1"/>
  <c r="K327" i="3"/>
  <c r="L327" i="3" s="1"/>
  <c r="K326" i="3"/>
  <c r="L326" i="3" s="1"/>
  <c r="K325" i="3"/>
  <c r="L325" i="3" s="1"/>
  <c r="K324" i="3"/>
  <c r="L324" i="3" s="1"/>
  <c r="K323" i="3"/>
  <c r="L323" i="3" s="1"/>
  <c r="K322" i="3"/>
  <c r="L322" i="3" s="1"/>
  <c r="K321" i="3"/>
  <c r="L321" i="3" s="1"/>
  <c r="K320" i="3"/>
  <c r="L320" i="3" s="1"/>
  <c r="K319" i="3"/>
  <c r="L319" i="3" s="1"/>
  <c r="K318" i="3"/>
  <c r="L318" i="3" s="1"/>
  <c r="K317" i="3"/>
  <c r="L317" i="3" s="1"/>
  <c r="K316" i="3"/>
  <c r="L316" i="3" s="1"/>
  <c r="K315" i="3"/>
  <c r="L315" i="3" s="1"/>
  <c r="K314" i="3"/>
  <c r="L314" i="3" s="1"/>
  <c r="K313" i="3"/>
  <c r="L313" i="3" s="1"/>
  <c r="K312" i="3"/>
  <c r="L312" i="3" s="1"/>
  <c r="K311" i="3"/>
  <c r="L311" i="3" s="1"/>
  <c r="K310" i="3"/>
  <c r="L310" i="3" s="1"/>
  <c r="K309" i="3"/>
  <c r="L309" i="3" s="1"/>
  <c r="K308" i="3"/>
  <c r="L308" i="3" s="1"/>
  <c r="K307" i="3"/>
  <c r="L307" i="3" s="1"/>
  <c r="K306" i="3"/>
  <c r="L306" i="3" s="1"/>
  <c r="K305" i="3"/>
  <c r="L305" i="3" s="1"/>
  <c r="K304" i="3"/>
  <c r="L304" i="3" s="1"/>
  <c r="K303" i="3"/>
  <c r="L303" i="3" s="1"/>
  <c r="K302" i="3"/>
  <c r="L302" i="3" s="1"/>
  <c r="K301" i="3"/>
  <c r="L301" i="3" s="1"/>
  <c r="K300" i="3"/>
  <c r="L300" i="3" s="1"/>
  <c r="K299" i="3"/>
  <c r="L299" i="3" s="1"/>
  <c r="K298" i="3"/>
  <c r="L298" i="3" s="1"/>
  <c r="K297" i="3"/>
  <c r="L297" i="3" s="1"/>
  <c r="K296" i="3"/>
  <c r="L296" i="3" s="1"/>
  <c r="K295" i="3"/>
  <c r="L295" i="3" s="1"/>
  <c r="K294" i="3"/>
  <c r="L294" i="3" s="1"/>
  <c r="K293" i="3"/>
  <c r="L293" i="3" s="1"/>
  <c r="K292" i="3"/>
  <c r="L292" i="3" s="1"/>
  <c r="K291" i="3"/>
  <c r="L291" i="3" s="1"/>
  <c r="K290" i="3"/>
  <c r="L290" i="3" s="1"/>
  <c r="K289" i="3"/>
  <c r="L289" i="3" s="1"/>
  <c r="K288" i="3"/>
  <c r="L288" i="3" s="1"/>
  <c r="K287" i="3"/>
  <c r="L287" i="3" s="1"/>
  <c r="K286" i="3"/>
  <c r="L286" i="3" s="1"/>
  <c r="K285" i="3"/>
  <c r="L285" i="3" s="1"/>
  <c r="K284" i="3"/>
  <c r="L284" i="3" s="1"/>
  <c r="K283" i="3"/>
  <c r="L283" i="3" s="1"/>
  <c r="K282" i="3"/>
  <c r="L282" i="3" s="1"/>
  <c r="K281" i="3"/>
  <c r="L281" i="3" s="1"/>
  <c r="K280" i="3"/>
  <c r="L280" i="3" s="1"/>
  <c r="K279" i="3"/>
  <c r="L279" i="3" s="1"/>
  <c r="K278" i="3"/>
  <c r="L278" i="3" s="1"/>
  <c r="K277" i="3"/>
  <c r="L277" i="3" s="1"/>
  <c r="K276" i="3"/>
  <c r="L276" i="3" s="1"/>
  <c r="K275" i="3"/>
  <c r="L275" i="3" s="1"/>
  <c r="L274" i="3"/>
  <c r="K274" i="3"/>
  <c r="K273" i="3"/>
  <c r="L273" i="3" s="1"/>
  <c r="L272" i="3"/>
  <c r="K272" i="3"/>
  <c r="K271" i="3"/>
  <c r="L271" i="3" s="1"/>
  <c r="L270" i="3"/>
  <c r="K270" i="3"/>
  <c r="K269" i="3"/>
  <c r="L269" i="3" s="1"/>
  <c r="L268" i="3"/>
  <c r="K268" i="3"/>
  <c r="K267" i="3"/>
  <c r="L267" i="3" s="1"/>
  <c r="L266" i="3"/>
  <c r="K266" i="3"/>
  <c r="K265" i="3"/>
  <c r="L265" i="3" s="1"/>
  <c r="L264" i="3"/>
  <c r="K264" i="3"/>
  <c r="K263" i="3"/>
  <c r="L263" i="3" s="1"/>
  <c r="L262" i="3"/>
  <c r="K262" i="3"/>
  <c r="K261" i="3"/>
  <c r="L261" i="3" s="1"/>
  <c r="L260" i="3"/>
  <c r="K260" i="3"/>
  <c r="K259" i="3"/>
  <c r="L259" i="3" s="1"/>
  <c r="K258" i="3"/>
  <c r="L258" i="3" s="1"/>
  <c r="K257" i="3"/>
  <c r="L257" i="3" s="1"/>
  <c r="L256" i="3"/>
  <c r="K256" i="3"/>
  <c r="K255" i="3"/>
  <c r="L255" i="3" s="1"/>
  <c r="K254" i="3"/>
  <c r="L254" i="3" s="1"/>
  <c r="K253" i="3"/>
  <c r="L253" i="3" s="1"/>
  <c r="L252" i="3"/>
  <c r="K252" i="3"/>
  <c r="K251" i="3"/>
  <c r="L251" i="3" s="1"/>
  <c r="K250" i="3"/>
  <c r="L250" i="3" s="1"/>
  <c r="K249" i="3"/>
  <c r="L249" i="3" s="1"/>
  <c r="L248" i="3"/>
  <c r="K248" i="3"/>
  <c r="K247" i="3"/>
  <c r="L247" i="3" s="1"/>
  <c r="K246" i="3"/>
  <c r="L246" i="3" s="1"/>
  <c r="K245" i="3"/>
  <c r="L245" i="3" s="1"/>
  <c r="L244" i="3"/>
  <c r="K244" i="3"/>
  <c r="K243" i="3"/>
  <c r="L243" i="3" s="1"/>
  <c r="K242" i="3"/>
  <c r="L242" i="3" s="1"/>
  <c r="K241" i="3"/>
  <c r="L241" i="3" s="1"/>
  <c r="L240" i="3"/>
  <c r="K240" i="3"/>
  <c r="K239" i="3"/>
  <c r="L239" i="3" s="1"/>
  <c r="K238" i="3"/>
  <c r="L238" i="3" s="1"/>
  <c r="K237" i="3"/>
  <c r="L237" i="3" s="1"/>
  <c r="L236" i="3"/>
  <c r="K236" i="3"/>
  <c r="K235" i="3"/>
  <c r="L235" i="3" s="1"/>
  <c r="K234" i="3"/>
  <c r="L234" i="3" s="1"/>
  <c r="K233" i="3"/>
  <c r="L233" i="3" s="1"/>
  <c r="L232" i="3"/>
  <c r="K232" i="3"/>
  <c r="K231" i="3"/>
  <c r="L231" i="3" s="1"/>
  <c r="K230" i="3"/>
  <c r="L230" i="3" s="1"/>
  <c r="K229" i="3"/>
  <c r="L229" i="3" s="1"/>
  <c r="L228" i="3"/>
  <c r="K228" i="3"/>
  <c r="K227" i="3"/>
  <c r="L227" i="3" s="1"/>
  <c r="K226" i="3"/>
  <c r="L226" i="3" s="1"/>
  <c r="K225" i="3"/>
  <c r="L225" i="3" s="1"/>
  <c r="L224" i="3"/>
  <c r="K224" i="3"/>
  <c r="K223" i="3"/>
  <c r="L223" i="3" s="1"/>
  <c r="K222" i="3"/>
  <c r="L222" i="3" s="1"/>
  <c r="K221" i="3"/>
  <c r="L221" i="3" s="1"/>
  <c r="L220" i="3"/>
  <c r="K220" i="3"/>
  <c r="K219" i="3"/>
  <c r="L219" i="3" s="1"/>
  <c r="K218" i="3"/>
  <c r="L218" i="3" s="1"/>
  <c r="K217" i="3"/>
  <c r="L217" i="3" s="1"/>
  <c r="L216" i="3"/>
  <c r="K216" i="3"/>
  <c r="K215" i="3"/>
  <c r="L215" i="3" s="1"/>
  <c r="K214" i="3"/>
  <c r="L214" i="3" s="1"/>
  <c r="K213" i="3"/>
  <c r="L213" i="3" s="1"/>
  <c r="L212" i="3"/>
  <c r="K212" i="3"/>
  <c r="K211" i="3"/>
  <c r="L211" i="3" s="1"/>
  <c r="K210" i="3"/>
  <c r="L210" i="3" s="1"/>
  <c r="K209" i="3"/>
  <c r="L209" i="3" s="1"/>
  <c r="L208" i="3"/>
  <c r="K208" i="3"/>
  <c r="K207" i="3"/>
  <c r="L207" i="3" s="1"/>
  <c r="K206" i="3"/>
  <c r="L206" i="3" s="1"/>
  <c r="K205" i="3"/>
  <c r="L205" i="3" s="1"/>
  <c r="L204" i="3"/>
  <c r="K204" i="3"/>
  <c r="K203" i="3"/>
  <c r="L203" i="3" s="1"/>
  <c r="K202" i="3"/>
  <c r="L202" i="3" s="1"/>
  <c r="K201" i="3"/>
  <c r="L201" i="3" s="1"/>
  <c r="L200" i="3"/>
  <c r="K200" i="3"/>
  <c r="K199" i="3"/>
  <c r="L199" i="3" s="1"/>
  <c r="K198" i="3"/>
  <c r="L198" i="3" s="1"/>
  <c r="K197" i="3"/>
  <c r="L197" i="3" s="1"/>
  <c r="L196" i="3"/>
  <c r="K196" i="3"/>
  <c r="K195" i="3"/>
  <c r="L195" i="3" s="1"/>
  <c r="K194" i="3"/>
  <c r="L194" i="3" s="1"/>
  <c r="K193" i="3"/>
  <c r="L193" i="3" s="1"/>
  <c r="L192" i="3"/>
  <c r="K192" i="3"/>
  <c r="K191" i="3"/>
  <c r="L191" i="3" s="1"/>
  <c r="K190" i="3"/>
  <c r="L190" i="3" s="1"/>
  <c r="K189" i="3"/>
  <c r="L189" i="3" s="1"/>
  <c r="L188" i="3"/>
  <c r="K188" i="3"/>
  <c r="K187" i="3"/>
  <c r="L187" i="3" s="1"/>
  <c r="K186" i="3"/>
  <c r="L186" i="3" s="1"/>
  <c r="K185" i="3"/>
  <c r="L185" i="3" s="1"/>
  <c r="L184" i="3"/>
  <c r="K184" i="3"/>
  <c r="K183" i="3"/>
  <c r="L183" i="3" s="1"/>
  <c r="K182" i="3"/>
  <c r="L182" i="3" s="1"/>
  <c r="K181" i="3"/>
  <c r="L181" i="3" s="1"/>
  <c r="L180" i="3"/>
  <c r="K180" i="3"/>
  <c r="K179" i="3"/>
  <c r="L179" i="3" s="1"/>
  <c r="K178" i="3"/>
  <c r="L178" i="3" s="1"/>
  <c r="K177" i="3"/>
  <c r="L177" i="3" s="1"/>
  <c r="L176" i="3"/>
  <c r="K176" i="3"/>
  <c r="K175" i="3"/>
  <c r="L175" i="3" s="1"/>
  <c r="K174" i="3"/>
  <c r="L174" i="3" s="1"/>
  <c r="K173" i="3"/>
  <c r="L173" i="3" s="1"/>
  <c r="L172" i="3"/>
  <c r="K172" i="3"/>
  <c r="K171" i="3"/>
  <c r="L171" i="3" s="1"/>
  <c r="K170" i="3"/>
  <c r="L170" i="3" s="1"/>
  <c r="K169" i="3"/>
  <c r="L169" i="3" s="1"/>
  <c r="L168" i="3"/>
  <c r="K168" i="3"/>
  <c r="K167" i="3"/>
  <c r="L167" i="3" s="1"/>
  <c r="K166" i="3"/>
  <c r="L166" i="3" s="1"/>
  <c r="K165" i="3"/>
  <c r="L165" i="3" s="1"/>
  <c r="L164" i="3"/>
  <c r="K164" i="3"/>
  <c r="K163" i="3"/>
  <c r="L163" i="3" s="1"/>
  <c r="K162" i="3"/>
  <c r="L162" i="3" s="1"/>
  <c r="K161" i="3"/>
  <c r="L161" i="3" s="1"/>
  <c r="L160" i="3"/>
  <c r="K160" i="3"/>
  <c r="K159" i="3"/>
  <c r="L159" i="3" s="1"/>
  <c r="K158" i="3"/>
  <c r="L158" i="3" s="1"/>
  <c r="K157" i="3"/>
  <c r="L157" i="3" s="1"/>
  <c r="L156" i="3"/>
  <c r="K156" i="3"/>
  <c r="K155" i="3"/>
  <c r="L155" i="3" s="1"/>
  <c r="K154" i="3"/>
  <c r="L154" i="3" s="1"/>
  <c r="K153" i="3"/>
  <c r="L153" i="3" s="1"/>
  <c r="L152" i="3"/>
  <c r="K152" i="3"/>
  <c r="K151" i="3"/>
  <c r="L151" i="3" s="1"/>
  <c r="K150" i="3"/>
  <c r="L150" i="3" s="1"/>
  <c r="K149" i="3"/>
  <c r="L149" i="3" s="1"/>
  <c r="L148" i="3"/>
  <c r="K148" i="3"/>
  <c r="K147" i="3"/>
  <c r="L147" i="3" s="1"/>
  <c r="K146" i="3"/>
  <c r="L146" i="3" s="1"/>
  <c r="K145" i="3"/>
  <c r="L145" i="3" s="1"/>
  <c r="L144" i="3"/>
  <c r="K144" i="3"/>
  <c r="K143" i="3"/>
  <c r="L143" i="3" s="1"/>
  <c r="K142" i="3"/>
  <c r="L142" i="3" s="1"/>
  <c r="K141" i="3"/>
  <c r="L141" i="3" s="1"/>
  <c r="L140" i="3"/>
  <c r="K140" i="3"/>
  <c r="K139" i="3"/>
  <c r="L139" i="3" s="1"/>
  <c r="K138" i="3"/>
  <c r="L138" i="3" s="1"/>
  <c r="K137" i="3"/>
  <c r="L137" i="3" s="1"/>
  <c r="L136" i="3"/>
  <c r="K136" i="3"/>
  <c r="K135" i="3"/>
  <c r="L135" i="3" s="1"/>
  <c r="K134" i="3"/>
  <c r="L134" i="3" s="1"/>
  <c r="K133" i="3"/>
  <c r="L133" i="3" s="1"/>
  <c r="L132" i="3"/>
  <c r="K132" i="3"/>
  <c r="K131" i="3"/>
  <c r="L131" i="3" s="1"/>
  <c r="K130" i="3"/>
  <c r="L130" i="3" s="1"/>
  <c r="K129" i="3"/>
  <c r="L129" i="3" s="1"/>
  <c r="L128" i="3"/>
  <c r="K128" i="3"/>
  <c r="K127" i="3"/>
  <c r="L127" i="3" s="1"/>
  <c r="K126" i="3"/>
  <c r="L126" i="3" s="1"/>
  <c r="K125" i="3"/>
  <c r="L125" i="3" s="1"/>
  <c r="L124" i="3"/>
  <c r="K124" i="3"/>
  <c r="K123" i="3"/>
  <c r="L123" i="3" s="1"/>
  <c r="K122" i="3"/>
  <c r="L122" i="3" s="1"/>
  <c r="K121" i="3"/>
  <c r="L121" i="3" s="1"/>
  <c r="L120" i="3"/>
  <c r="K120" i="3"/>
  <c r="K119" i="3"/>
  <c r="L119" i="3" s="1"/>
  <c r="K118" i="3"/>
  <c r="L118" i="3" s="1"/>
  <c r="K117" i="3"/>
  <c r="L117" i="3" s="1"/>
  <c r="L116" i="3"/>
  <c r="K116" i="3"/>
  <c r="K115" i="3"/>
  <c r="L115" i="3" s="1"/>
  <c r="K114" i="3"/>
  <c r="L114" i="3" s="1"/>
  <c r="K113" i="3"/>
  <c r="L113" i="3" s="1"/>
  <c r="L112" i="3"/>
  <c r="K112" i="3"/>
  <c r="K111" i="3"/>
  <c r="L111" i="3" s="1"/>
  <c r="K110" i="3"/>
  <c r="L110" i="3" s="1"/>
  <c r="K109" i="3"/>
  <c r="L109" i="3" s="1"/>
  <c r="L108" i="3"/>
  <c r="K108" i="3"/>
  <c r="K107" i="3"/>
  <c r="L107" i="3" s="1"/>
  <c r="K106" i="3"/>
  <c r="L106" i="3" s="1"/>
  <c r="K105" i="3"/>
  <c r="L105" i="3" s="1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L7" i="3"/>
  <c r="K7" i="3"/>
  <c r="L6" i="3"/>
  <c r="K6" i="3"/>
  <c r="L5" i="3"/>
  <c r="K5" i="3"/>
  <c r="L4" i="3"/>
  <c r="K4" i="3"/>
  <c r="L3" i="3"/>
  <c r="K3" i="3"/>
  <c r="L2" i="3"/>
  <c r="K2" i="3"/>
  <c r="O444" i="3"/>
  <c r="N444" i="3"/>
  <c r="O443" i="3"/>
  <c r="N443" i="3"/>
  <c r="O442" i="3"/>
  <c r="N442" i="3"/>
  <c r="O441" i="3"/>
  <c r="N441" i="3"/>
  <c r="O440" i="3"/>
  <c r="N440" i="3"/>
  <c r="O439" i="3"/>
  <c r="N439" i="3"/>
  <c r="O438" i="3"/>
  <c r="N438" i="3"/>
  <c r="O437" i="3"/>
  <c r="N437" i="3"/>
  <c r="O436" i="3"/>
  <c r="N436" i="3"/>
  <c r="O435" i="3"/>
  <c r="N435" i="3"/>
  <c r="O434" i="3"/>
  <c r="N434" i="3"/>
  <c r="O433" i="3"/>
  <c r="N433" i="3"/>
  <c r="O432" i="3"/>
  <c r="N432" i="3"/>
  <c r="O431" i="3"/>
  <c r="N431" i="3"/>
  <c r="O430" i="3"/>
  <c r="N430" i="3"/>
  <c r="O429" i="3"/>
  <c r="N429" i="3"/>
  <c r="O428" i="3"/>
  <c r="N428" i="3"/>
  <c r="O427" i="3"/>
  <c r="N427" i="3"/>
  <c r="O426" i="3"/>
  <c r="N426" i="3"/>
  <c r="O425" i="3"/>
  <c r="N425" i="3"/>
  <c r="O424" i="3"/>
  <c r="N424" i="3"/>
  <c r="O423" i="3"/>
  <c r="N423" i="3"/>
  <c r="O422" i="3"/>
  <c r="N422" i="3"/>
  <c r="O421" i="3"/>
  <c r="N421" i="3"/>
  <c r="O420" i="3"/>
  <c r="N420" i="3"/>
  <c r="O419" i="3"/>
  <c r="N419" i="3"/>
  <c r="O418" i="3"/>
  <c r="N418" i="3"/>
  <c r="O417" i="3"/>
  <c r="N417" i="3"/>
  <c r="O416" i="3"/>
  <c r="N416" i="3"/>
  <c r="O415" i="3"/>
  <c r="N415" i="3"/>
  <c r="O414" i="3"/>
  <c r="N414" i="3"/>
  <c r="O413" i="3"/>
  <c r="N413" i="3"/>
  <c r="O412" i="3"/>
  <c r="N412" i="3"/>
  <c r="O411" i="3"/>
  <c r="N411" i="3"/>
  <c r="O410" i="3"/>
  <c r="N410" i="3"/>
  <c r="O409" i="3"/>
  <c r="N409" i="3"/>
  <c r="O408" i="3"/>
  <c r="N408" i="3"/>
  <c r="O407" i="3"/>
  <c r="N407" i="3"/>
  <c r="O406" i="3"/>
  <c r="N406" i="3"/>
  <c r="O405" i="3"/>
  <c r="N405" i="3"/>
  <c r="O404" i="3"/>
  <c r="N404" i="3"/>
  <c r="O403" i="3"/>
  <c r="N403" i="3"/>
  <c r="O402" i="3"/>
  <c r="N402" i="3"/>
  <c r="O401" i="3"/>
  <c r="N401" i="3"/>
  <c r="O400" i="3"/>
  <c r="N400" i="3"/>
  <c r="O399" i="3"/>
  <c r="N399" i="3"/>
  <c r="O398" i="3"/>
  <c r="N398" i="3"/>
  <c r="O397" i="3"/>
  <c r="N397" i="3"/>
  <c r="O396" i="3"/>
  <c r="N396" i="3"/>
  <c r="O395" i="3"/>
  <c r="N395" i="3"/>
  <c r="O394" i="3"/>
  <c r="N394" i="3"/>
  <c r="O393" i="3"/>
  <c r="N393" i="3"/>
  <c r="O392" i="3"/>
  <c r="N392" i="3"/>
  <c r="O391" i="3"/>
  <c r="N391" i="3"/>
  <c r="O390" i="3"/>
  <c r="N390" i="3"/>
  <c r="O389" i="3"/>
  <c r="N389" i="3"/>
  <c r="O388" i="3"/>
  <c r="N388" i="3"/>
  <c r="O387" i="3"/>
  <c r="N387" i="3"/>
  <c r="O386" i="3"/>
  <c r="N386" i="3"/>
  <c r="O385" i="3"/>
  <c r="N385" i="3"/>
  <c r="O384" i="3"/>
  <c r="N384" i="3"/>
  <c r="O383" i="3"/>
  <c r="N383" i="3"/>
  <c r="O382" i="3"/>
  <c r="N382" i="3"/>
  <c r="O381" i="3"/>
  <c r="N381" i="3"/>
  <c r="O380" i="3"/>
  <c r="N380" i="3"/>
  <c r="O379" i="3"/>
  <c r="N379" i="3"/>
  <c r="O378" i="3"/>
  <c r="N378" i="3"/>
  <c r="O377" i="3"/>
  <c r="N377" i="3"/>
  <c r="O376" i="3"/>
  <c r="N376" i="3"/>
  <c r="O375" i="3"/>
  <c r="N375" i="3"/>
  <c r="O374" i="3"/>
  <c r="N374" i="3"/>
  <c r="O373" i="3"/>
  <c r="N373" i="3"/>
  <c r="O372" i="3"/>
  <c r="N372" i="3"/>
  <c r="O371" i="3"/>
  <c r="N371" i="3"/>
  <c r="O370" i="3"/>
  <c r="N370" i="3"/>
  <c r="O369" i="3"/>
  <c r="N369" i="3"/>
  <c r="O368" i="3"/>
  <c r="N368" i="3"/>
  <c r="O367" i="3"/>
  <c r="N367" i="3"/>
  <c r="O366" i="3"/>
  <c r="N366" i="3"/>
  <c r="O365" i="3"/>
  <c r="N365" i="3"/>
  <c r="O364" i="3"/>
  <c r="N364" i="3"/>
  <c r="O363" i="3"/>
  <c r="N363" i="3"/>
  <c r="O362" i="3"/>
  <c r="N362" i="3"/>
  <c r="O361" i="3"/>
  <c r="N361" i="3"/>
  <c r="O360" i="3"/>
  <c r="N360" i="3"/>
  <c r="O359" i="3"/>
  <c r="N359" i="3"/>
  <c r="O358" i="3"/>
  <c r="N358" i="3"/>
  <c r="O357" i="3"/>
  <c r="N357" i="3"/>
  <c r="O356" i="3"/>
  <c r="N356" i="3"/>
  <c r="O355" i="3"/>
  <c r="N355" i="3"/>
  <c r="O354" i="3"/>
  <c r="N354" i="3"/>
  <c r="O353" i="3"/>
  <c r="N353" i="3"/>
  <c r="O352" i="3"/>
  <c r="N352" i="3"/>
  <c r="O351" i="3"/>
  <c r="N351" i="3"/>
  <c r="O350" i="3"/>
  <c r="N350" i="3"/>
  <c r="O349" i="3"/>
  <c r="N349" i="3"/>
  <c r="O348" i="3"/>
  <c r="N348" i="3"/>
  <c r="O347" i="3"/>
  <c r="N347" i="3"/>
  <c r="O346" i="3"/>
  <c r="N346" i="3"/>
  <c r="O345" i="3"/>
  <c r="N345" i="3"/>
  <c r="O344" i="3"/>
  <c r="N344" i="3"/>
  <c r="O343" i="3"/>
  <c r="N343" i="3"/>
  <c r="O342" i="3"/>
  <c r="N342" i="3"/>
  <c r="O341" i="3"/>
  <c r="N341" i="3"/>
  <c r="O340" i="3"/>
  <c r="N340" i="3"/>
  <c r="O339" i="3"/>
  <c r="N339" i="3"/>
  <c r="O338" i="3"/>
  <c r="N338" i="3"/>
  <c r="O337" i="3"/>
  <c r="N337" i="3"/>
  <c r="O336" i="3"/>
  <c r="N336" i="3"/>
  <c r="O335" i="3"/>
  <c r="N335" i="3"/>
  <c r="O334" i="3"/>
  <c r="N334" i="3"/>
  <c r="O333" i="3"/>
  <c r="N333" i="3"/>
  <c r="O332" i="3"/>
  <c r="N332" i="3"/>
  <c r="O331" i="3"/>
  <c r="N331" i="3"/>
  <c r="O330" i="3"/>
  <c r="N330" i="3"/>
  <c r="O329" i="3"/>
  <c r="N329" i="3"/>
  <c r="O328" i="3"/>
  <c r="N328" i="3"/>
  <c r="O327" i="3"/>
  <c r="N327" i="3"/>
  <c r="O326" i="3"/>
  <c r="N326" i="3"/>
  <c r="O325" i="3"/>
  <c r="N325" i="3"/>
  <c r="O324" i="3"/>
  <c r="N324" i="3"/>
  <c r="O323" i="3"/>
  <c r="N323" i="3"/>
  <c r="O322" i="3"/>
  <c r="N322" i="3"/>
  <c r="O321" i="3"/>
  <c r="N321" i="3"/>
  <c r="O320" i="3"/>
  <c r="N320" i="3"/>
  <c r="O319" i="3"/>
  <c r="N319" i="3"/>
  <c r="O318" i="3"/>
  <c r="N318" i="3"/>
  <c r="O317" i="3"/>
  <c r="N317" i="3"/>
  <c r="O316" i="3"/>
  <c r="N316" i="3"/>
  <c r="O315" i="3"/>
  <c r="N315" i="3"/>
  <c r="O314" i="3"/>
  <c r="N314" i="3"/>
  <c r="O313" i="3"/>
  <c r="N313" i="3"/>
  <c r="O312" i="3"/>
  <c r="N312" i="3"/>
  <c r="O311" i="3"/>
  <c r="N311" i="3"/>
  <c r="O310" i="3"/>
  <c r="N310" i="3"/>
  <c r="O309" i="3"/>
  <c r="N309" i="3"/>
  <c r="O308" i="3"/>
  <c r="N308" i="3"/>
  <c r="O307" i="3"/>
  <c r="N307" i="3"/>
  <c r="O306" i="3"/>
  <c r="N306" i="3"/>
  <c r="O305" i="3"/>
  <c r="N305" i="3"/>
  <c r="O304" i="3"/>
  <c r="N304" i="3"/>
  <c r="O303" i="3"/>
  <c r="N303" i="3"/>
  <c r="O302" i="3"/>
  <c r="N302" i="3"/>
  <c r="O301" i="3"/>
  <c r="N301" i="3"/>
  <c r="O300" i="3"/>
  <c r="N300" i="3"/>
  <c r="O299" i="3"/>
  <c r="N299" i="3"/>
  <c r="O298" i="3"/>
  <c r="N298" i="3"/>
  <c r="O297" i="3"/>
  <c r="N297" i="3"/>
  <c r="O296" i="3"/>
  <c r="N296" i="3"/>
  <c r="O295" i="3"/>
  <c r="N295" i="3"/>
  <c r="O294" i="3"/>
  <c r="N294" i="3"/>
  <c r="O293" i="3"/>
  <c r="N293" i="3"/>
  <c r="O292" i="3"/>
  <c r="N292" i="3"/>
  <c r="O291" i="3"/>
  <c r="N291" i="3"/>
  <c r="O290" i="3"/>
  <c r="N290" i="3"/>
  <c r="O289" i="3"/>
  <c r="N289" i="3"/>
  <c r="O288" i="3"/>
  <c r="N288" i="3"/>
  <c r="O287" i="3"/>
  <c r="N287" i="3"/>
  <c r="O286" i="3"/>
  <c r="N286" i="3"/>
  <c r="O285" i="3"/>
  <c r="N285" i="3"/>
  <c r="O284" i="3"/>
  <c r="N284" i="3"/>
  <c r="O283" i="3"/>
  <c r="N283" i="3"/>
  <c r="O282" i="3"/>
  <c r="N282" i="3"/>
  <c r="O281" i="3"/>
  <c r="N281" i="3"/>
  <c r="O280" i="3"/>
  <c r="N280" i="3"/>
  <c r="O279" i="3"/>
  <c r="N279" i="3"/>
  <c r="O278" i="3"/>
  <c r="N278" i="3"/>
  <c r="O277" i="3"/>
  <c r="N277" i="3"/>
  <c r="O276" i="3"/>
  <c r="N276" i="3"/>
  <c r="O275" i="3"/>
  <c r="N275" i="3"/>
  <c r="O274" i="3"/>
  <c r="N274" i="3"/>
  <c r="O273" i="3"/>
  <c r="N273" i="3"/>
  <c r="O272" i="3"/>
  <c r="N272" i="3"/>
  <c r="O271" i="3"/>
  <c r="N271" i="3"/>
  <c r="O270" i="3"/>
  <c r="N270" i="3"/>
  <c r="O269" i="3"/>
  <c r="N269" i="3"/>
  <c r="O268" i="3"/>
  <c r="N268" i="3"/>
  <c r="O267" i="3"/>
  <c r="N267" i="3"/>
  <c r="O266" i="3"/>
  <c r="N266" i="3"/>
  <c r="O265" i="3"/>
  <c r="N265" i="3"/>
  <c r="O264" i="3"/>
  <c r="N264" i="3"/>
  <c r="O263" i="3"/>
  <c r="N263" i="3"/>
  <c r="O262" i="3"/>
  <c r="N262" i="3"/>
  <c r="O261" i="3"/>
  <c r="N261" i="3"/>
  <c r="O260" i="3"/>
  <c r="N260" i="3"/>
  <c r="O259" i="3"/>
  <c r="N259" i="3"/>
  <c r="O258" i="3"/>
  <c r="N258" i="3"/>
  <c r="O257" i="3"/>
  <c r="N257" i="3"/>
  <c r="O256" i="3"/>
  <c r="N256" i="3"/>
  <c r="O255" i="3"/>
  <c r="N255" i="3"/>
  <c r="O254" i="3"/>
  <c r="N254" i="3"/>
  <c r="O253" i="3"/>
  <c r="N253" i="3"/>
  <c r="O252" i="3"/>
  <c r="N252" i="3"/>
  <c r="O251" i="3"/>
  <c r="N251" i="3"/>
  <c r="O250" i="3"/>
  <c r="N250" i="3"/>
  <c r="O249" i="3"/>
  <c r="N249" i="3"/>
  <c r="O248" i="3"/>
  <c r="N248" i="3"/>
  <c r="O247" i="3"/>
  <c r="N247" i="3"/>
  <c r="O246" i="3"/>
  <c r="N246" i="3"/>
  <c r="O245" i="3"/>
  <c r="N245" i="3"/>
  <c r="O244" i="3"/>
  <c r="N244" i="3"/>
  <c r="O243" i="3"/>
  <c r="N243" i="3"/>
  <c r="O242" i="3"/>
  <c r="N242" i="3"/>
  <c r="O241" i="3"/>
  <c r="N241" i="3"/>
  <c r="O240" i="3"/>
  <c r="N240" i="3"/>
  <c r="O239" i="3"/>
  <c r="N239" i="3"/>
  <c r="O238" i="3"/>
  <c r="N238" i="3"/>
  <c r="O237" i="3"/>
  <c r="N237" i="3"/>
  <c r="O236" i="3"/>
  <c r="N236" i="3"/>
  <c r="O235" i="3"/>
  <c r="N235" i="3"/>
  <c r="O234" i="3"/>
  <c r="N234" i="3"/>
  <c r="O233" i="3"/>
  <c r="N233" i="3"/>
  <c r="O232" i="3"/>
  <c r="N232" i="3"/>
  <c r="O231" i="3"/>
  <c r="N231" i="3"/>
  <c r="O230" i="3"/>
  <c r="N230" i="3"/>
  <c r="O229" i="3"/>
  <c r="N229" i="3"/>
  <c r="O228" i="3"/>
  <c r="N228" i="3"/>
  <c r="O227" i="3"/>
  <c r="N227" i="3"/>
  <c r="O226" i="3"/>
  <c r="N226" i="3"/>
  <c r="O225" i="3"/>
  <c r="N225" i="3"/>
  <c r="O224" i="3"/>
  <c r="N224" i="3"/>
  <c r="O223" i="3"/>
  <c r="N223" i="3"/>
  <c r="O222" i="3"/>
  <c r="N222" i="3"/>
  <c r="O221" i="3"/>
  <c r="N221" i="3"/>
  <c r="O220" i="3"/>
  <c r="N220" i="3"/>
  <c r="O219" i="3"/>
  <c r="N219" i="3"/>
  <c r="O218" i="3"/>
  <c r="N218" i="3"/>
  <c r="O217" i="3"/>
  <c r="N217" i="3"/>
  <c r="O216" i="3"/>
  <c r="N216" i="3"/>
  <c r="O215" i="3"/>
  <c r="N215" i="3"/>
  <c r="O214" i="3"/>
  <c r="N214" i="3"/>
  <c r="O213" i="3"/>
  <c r="N213" i="3"/>
  <c r="O212" i="3"/>
  <c r="N212" i="3"/>
  <c r="O211" i="3"/>
  <c r="N211" i="3"/>
  <c r="O210" i="3"/>
  <c r="N210" i="3"/>
  <c r="O209" i="3"/>
  <c r="N209" i="3"/>
  <c r="O208" i="3"/>
  <c r="N208" i="3"/>
  <c r="O207" i="3"/>
  <c r="N207" i="3"/>
  <c r="O206" i="3"/>
  <c r="N206" i="3"/>
  <c r="O205" i="3"/>
  <c r="N205" i="3"/>
  <c r="O204" i="3"/>
  <c r="N204" i="3"/>
  <c r="O203" i="3"/>
  <c r="N203" i="3"/>
  <c r="O202" i="3"/>
  <c r="N202" i="3"/>
  <c r="O201" i="3"/>
  <c r="N201" i="3"/>
  <c r="O200" i="3"/>
  <c r="N200" i="3"/>
  <c r="O199" i="3"/>
  <c r="N199" i="3"/>
  <c r="O198" i="3"/>
  <c r="N198" i="3"/>
  <c r="O197" i="3"/>
  <c r="N197" i="3"/>
  <c r="O196" i="3"/>
  <c r="N196" i="3"/>
  <c r="O195" i="3"/>
  <c r="N195" i="3"/>
  <c r="O194" i="3"/>
  <c r="N194" i="3"/>
  <c r="O193" i="3"/>
  <c r="N193" i="3"/>
  <c r="O192" i="3"/>
  <c r="N192" i="3"/>
  <c r="O191" i="3"/>
  <c r="N191" i="3"/>
  <c r="O190" i="3"/>
  <c r="N190" i="3"/>
  <c r="O189" i="3"/>
  <c r="N189" i="3"/>
  <c r="O188" i="3"/>
  <c r="N188" i="3"/>
  <c r="O187" i="3"/>
  <c r="N187" i="3"/>
  <c r="O186" i="3"/>
  <c r="N186" i="3"/>
  <c r="O185" i="3"/>
  <c r="N185" i="3"/>
  <c r="O184" i="3"/>
  <c r="N184" i="3"/>
  <c r="O183" i="3"/>
  <c r="N183" i="3"/>
  <c r="O182" i="3"/>
  <c r="N182" i="3"/>
  <c r="O181" i="3"/>
  <c r="N181" i="3"/>
  <c r="O180" i="3"/>
  <c r="N180" i="3"/>
  <c r="O179" i="3"/>
  <c r="N179" i="3"/>
  <c r="O178" i="3"/>
  <c r="N178" i="3"/>
  <c r="O177" i="3"/>
  <c r="N177" i="3"/>
  <c r="O176" i="3"/>
  <c r="N176" i="3"/>
  <c r="O175" i="3"/>
  <c r="N175" i="3"/>
  <c r="O174" i="3"/>
  <c r="N174" i="3"/>
  <c r="O173" i="3"/>
  <c r="N173" i="3"/>
  <c r="O172" i="3"/>
  <c r="N172" i="3"/>
  <c r="O171" i="3"/>
  <c r="N171" i="3"/>
  <c r="O170" i="3"/>
  <c r="N170" i="3"/>
  <c r="O169" i="3"/>
  <c r="N169" i="3"/>
  <c r="O168" i="3"/>
  <c r="N168" i="3"/>
  <c r="O167" i="3"/>
  <c r="N167" i="3"/>
  <c r="O166" i="3"/>
  <c r="N166" i="3"/>
  <c r="O165" i="3"/>
  <c r="N165" i="3"/>
  <c r="O164" i="3"/>
  <c r="N164" i="3"/>
  <c r="O163" i="3"/>
  <c r="N163" i="3"/>
  <c r="O162" i="3"/>
  <c r="N162" i="3"/>
  <c r="O161" i="3"/>
  <c r="N161" i="3"/>
  <c r="O160" i="3"/>
  <c r="N160" i="3"/>
  <c r="O159" i="3"/>
  <c r="N159" i="3"/>
  <c r="O158" i="3"/>
  <c r="N158" i="3"/>
  <c r="O157" i="3"/>
  <c r="N157" i="3"/>
  <c r="O156" i="3"/>
  <c r="N156" i="3"/>
  <c r="O155" i="3"/>
  <c r="N155" i="3"/>
  <c r="O154" i="3"/>
  <c r="N154" i="3"/>
  <c r="O153" i="3"/>
  <c r="N153" i="3"/>
  <c r="O152" i="3"/>
  <c r="N152" i="3"/>
  <c r="O151" i="3"/>
  <c r="N151" i="3"/>
  <c r="O150" i="3"/>
  <c r="N150" i="3"/>
  <c r="O149" i="3"/>
  <c r="N149" i="3"/>
  <c r="O148" i="3"/>
  <c r="N148" i="3"/>
  <c r="O147" i="3"/>
  <c r="N147" i="3"/>
  <c r="O146" i="3"/>
  <c r="N146" i="3"/>
  <c r="O145" i="3"/>
  <c r="N145" i="3"/>
  <c r="O144" i="3"/>
  <c r="N144" i="3"/>
  <c r="O143" i="3"/>
  <c r="N143" i="3"/>
  <c r="O142" i="3"/>
  <c r="N142" i="3"/>
  <c r="O141" i="3"/>
  <c r="N141" i="3"/>
  <c r="O140" i="3"/>
  <c r="N140" i="3"/>
  <c r="O139" i="3"/>
  <c r="N139" i="3"/>
  <c r="O138" i="3"/>
  <c r="N138" i="3"/>
  <c r="O137" i="3"/>
  <c r="N137" i="3"/>
  <c r="O136" i="3"/>
  <c r="N136" i="3"/>
  <c r="O135" i="3"/>
  <c r="N135" i="3"/>
  <c r="O134" i="3"/>
  <c r="N134" i="3"/>
  <c r="O133" i="3"/>
  <c r="N133" i="3"/>
  <c r="O132" i="3"/>
  <c r="N132" i="3"/>
  <c r="O131" i="3"/>
  <c r="N131" i="3"/>
  <c r="O130" i="3"/>
  <c r="N130" i="3"/>
  <c r="O129" i="3"/>
  <c r="N129" i="3"/>
  <c r="O128" i="3"/>
  <c r="N128" i="3"/>
  <c r="O127" i="3"/>
  <c r="N127" i="3"/>
  <c r="O126" i="3"/>
  <c r="N126" i="3"/>
  <c r="O125" i="3"/>
  <c r="N125" i="3"/>
  <c r="O124" i="3"/>
  <c r="N124" i="3"/>
  <c r="O123" i="3"/>
  <c r="N123" i="3"/>
  <c r="O122" i="3"/>
  <c r="N122" i="3"/>
  <c r="O121" i="3"/>
  <c r="N121" i="3"/>
  <c r="O120" i="3"/>
  <c r="N120" i="3"/>
  <c r="O119" i="3"/>
  <c r="N119" i="3"/>
  <c r="O118" i="3"/>
  <c r="N118" i="3"/>
  <c r="O117" i="3"/>
  <c r="N117" i="3"/>
  <c r="O116" i="3"/>
  <c r="N116" i="3"/>
  <c r="O115" i="3"/>
  <c r="N115" i="3"/>
  <c r="O114" i="3"/>
  <c r="N114" i="3"/>
  <c r="O113" i="3"/>
  <c r="N113" i="3"/>
  <c r="O112" i="3"/>
  <c r="N112" i="3"/>
  <c r="O111" i="3"/>
  <c r="N111" i="3"/>
  <c r="O110" i="3"/>
  <c r="N110" i="3"/>
  <c r="O109" i="3"/>
  <c r="N109" i="3"/>
  <c r="O108" i="3"/>
  <c r="N108" i="3"/>
  <c r="O107" i="3"/>
  <c r="N107" i="3"/>
  <c r="O106" i="3"/>
  <c r="N106" i="3"/>
  <c r="O105" i="3"/>
  <c r="N105" i="3"/>
  <c r="O104" i="3"/>
  <c r="N104" i="3"/>
  <c r="O103" i="3"/>
  <c r="N103" i="3"/>
  <c r="O102" i="3"/>
  <c r="N102" i="3"/>
  <c r="O101" i="3"/>
  <c r="N101" i="3"/>
  <c r="O100" i="3"/>
  <c r="N100" i="3"/>
  <c r="O99" i="3"/>
  <c r="N99" i="3"/>
  <c r="O98" i="3"/>
  <c r="N98" i="3"/>
  <c r="O97" i="3"/>
  <c r="N97" i="3"/>
  <c r="O96" i="3"/>
  <c r="N96" i="3"/>
  <c r="O95" i="3"/>
  <c r="N95" i="3"/>
  <c r="O94" i="3"/>
  <c r="N94" i="3"/>
  <c r="O93" i="3"/>
  <c r="N93" i="3"/>
  <c r="O92" i="3"/>
  <c r="N92" i="3"/>
  <c r="O91" i="3"/>
  <c r="N91" i="3"/>
  <c r="O90" i="3"/>
  <c r="N90" i="3"/>
  <c r="O89" i="3"/>
  <c r="N89" i="3"/>
  <c r="O88" i="3"/>
  <c r="N88" i="3"/>
  <c r="O87" i="3"/>
  <c r="N87" i="3"/>
  <c r="O86" i="3"/>
  <c r="N86" i="3"/>
  <c r="O85" i="3"/>
  <c r="N85" i="3"/>
  <c r="O84" i="3"/>
  <c r="N84" i="3"/>
  <c r="O83" i="3"/>
  <c r="N83" i="3"/>
  <c r="O82" i="3"/>
  <c r="N82" i="3"/>
  <c r="O81" i="3"/>
  <c r="N81" i="3"/>
  <c r="O80" i="3"/>
  <c r="N80" i="3"/>
  <c r="O79" i="3"/>
  <c r="N79" i="3"/>
  <c r="O78" i="3"/>
  <c r="N78" i="3"/>
  <c r="O77" i="3"/>
  <c r="N77" i="3"/>
  <c r="O76" i="3"/>
  <c r="N76" i="3"/>
  <c r="O75" i="3"/>
  <c r="N75" i="3"/>
  <c r="O74" i="3"/>
  <c r="N74" i="3"/>
  <c r="O73" i="3"/>
  <c r="N73" i="3"/>
  <c r="O72" i="3"/>
  <c r="N72" i="3"/>
  <c r="O71" i="3"/>
  <c r="N71" i="3"/>
  <c r="O70" i="3"/>
  <c r="N70" i="3"/>
  <c r="O69" i="3"/>
  <c r="N69" i="3"/>
  <c r="O68" i="3"/>
  <c r="N68" i="3"/>
  <c r="O67" i="3"/>
  <c r="N67" i="3"/>
  <c r="O66" i="3"/>
  <c r="N66" i="3"/>
  <c r="O65" i="3"/>
  <c r="N65" i="3"/>
  <c r="O64" i="3"/>
  <c r="N64" i="3"/>
  <c r="O63" i="3"/>
  <c r="N63" i="3"/>
  <c r="O62" i="3"/>
  <c r="N62" i="3"/>
  <c r="O61" i="3"/>
  <c r="N61" i="3"/>
  <c r="O60" i="3"/>
  <c r="N60" i="3"/>
  <c r="O59" i="3"/>
  <c r="N59" i="3"/>
  <c r="O58" i="3"/>
  <c r="N58" i="3"/>
  <c r="O57" i="3"/>
  <c r="N57" i="3"/>
  <c r="O56" i="3"/>
  <c r="N56" i="3"/>
  <c r="O55" i="3"/>
  <c r="N55" i="3"/>
  <c r="O54" i="3"/>
  <c r="N54" i="3"/>
  <c r="O53" i="3"/>
  <c r="N53" i="3"/>
  <c r="O52" i="3"/>
  <c r="N52" i="3"/>
  <c r="O51" i="3"/>
  <c r="N51" i="3"/>
  <c r="O50" i="3"/>
  <c r="N50" i="3"/>
  <c r="O49" i="3"/>
  <c r="N49" i="3"/>
  <c r="O48" i="3"/>
  <c r="N48" i="3"/>
  <c r="O47" i="3"/>
  <c r="N47" i="3"/>
  <c r="O46" i="3"/>
  <c r="N46" i="3"/>
  <c r="O45" i="3"/>
  <c r="N45" i="3"/>
  <c r="O44" i="3"/>
  <c r="N44" i="3"/>
  <c r="O43" i="3"/>
  <c r="N43" i="3"/>
  <c r="O42" i="3"/>
  <c r="N42" i="3"/>
  <c r="O41" i="3"/>
  <c r="N41" i="3"/>
  <c r="O40" i="3"/>
  <c r="N40" i="3"/>
  <c r="O39" i="3"/>
  <c r="N39" i="3"/>
  <c r="O38" i="3"/>
  <c r="N38" i="3"/>
  <c r="O37" i="3"/>
  <c r="N37" i="3"/>
  <c r="O36" i="3"/>
  <c r="N36" i="3"/>
  <c r="O35" i="3"/>
  <c r="N35" i="3"/>
  <c r="O34" i="3"/>
  <c r="N34" i="3"/>
  <c r="O33" i="3"/>
  <c r="N33" i="3"/>
  <c r="O32" i="3"/>
  <c r="N32" i="3"/>
  <c r="O31" i="3"/>
  <c r="N31" i="3"/>
  <c r="O30" i="3"/>
  <c r="N30" i="3"/>
  <c r="O29" i="3"/>
  <c r="N29" i="3"/>
  <c r="O28" i="3"/>
  <c r="N28" i="3"/>
  <c r="O27" i="3"/>
  <c r="N27" i="3"/>
  <c r="O26" i="3"/>
  <c r="N26" i="3"/>
  <c r="O25" i="3"/>
  <c r="N25" i="3"/>
  <c r="O24" i="3"/>
  <c r="N24" i="3"/>
  <c r="O23" i="3"/>
  <c r="N23" i="3"/>
  <c r="O22" i="3"/>
  <c r="N22" i="3"/>
  <c r="O21" i="3"/>
  <c r="N21" i="3"/>
  <c r="O20" i="3"/>
  <c r="N20" i="3"/>
  <c r="O19" i="3"/>
  <c r="N19" i="3"/>
  <c r="O18" i="3"/>
  <c r="N18" i="3"/>
  <c r="O17" i="3"/>
  <c r="N17" i="3"/>
  <c r="O16" i="3"/>
  <c r="N16" i="3"/>
  <c r="O15" i="3"/>
  <c r="N15" i="3"/>
  <c r="O14" i="3"/>
  <c r="N14" i="3"/>
  <c r="O13" i="3"/>
  <c r="N13" i="3"/>
  <c r="O12" i="3"/>
  <c r="N12" i="3"/>
  <c r="O11" i="3"/>
  <c r="N11" i="3"/>
  <c r="O10" i="3"/>
  <c r="N10" i="3"/>
  <c r="O9" i="3"/>
  <c r="N9" i="3"/>
  <c r="O8" i="3"/>
  <c r="N8" i="3"/>
  <c r="O7" i="3"/>
  <c r="N7" i="3"/>
  <c r="O6" i="3"/>
  <c r="N6" i="3"/>
  <c r="O5" i="3"/>
  <c r="N5" i="3"/>
  <c r="O4" i="3"/>
  <c r="N4" i="3"/>
  <c r="O3" i="3"/>
  <c r="N3" i="3"/>
  <c r="O2" i="3"/>
  <c r="N2" i="3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K3" i="2"/>
  <c r="L3" i="2" s="1"/>
  <c r="K4" i="2"/>
  <c r="L4" i="2" s="1"/>
  <c r="K5" i="2"/>
  <c r="L5" i="2" s="1"/>
  <c r="K6" i="2"/>
  <c r="L6" i="2" s="1"/>
  <c r="K7" i="2"/>
  <c r="L7" i="2" s="1"/>
  <c r="K8" i="2"/>
  <c r="L8" i="2"/>
  <c r="K9" i="2"/>
  <c r="L9" i="2" s="1"/>
  <c r="K10" i="2"/>
  <c r="L10" i="2"/>
  <c r="K11" i="2"/>
  <c r="L11" i="2" s="1"/>
  <c r="K12" i="2"/>
  <c r="L12" i="2" s="1"/>
  <c r="K13" i="2"/>
  <c r="L13" i="2" s="1"/>
  <c r="K14" i="2"/>
  <c r="L14" i="2" s="1"/>
  <c r="K15" i="2"/>
  <c r="L15" i="2" s="1"/>
  <c r="K16" i="2"/>
  <c r="L16" i="2" s="1"/>
  <c r="K17" i="2"/>
  <c r="L17" i="2" s="1"/>
  <c r="K18" i="2"/>
  <c r="L18" i="2"/>
  <c r="K19" i="2"/>
  <c r="L19" i="2" s="1"/>
  <c r="K20" i="2"/>
  <c r="L20" i="2" s="1"/>
  <c r="K21" i="2"/>
  <c r="L21" i="2" s="1"/>
  <c r="K22" i="2"/>
  <c r="L22" i="2" s="1"/>
  <c r="K23" i="2"/>
  <c r="L23" i="2" s="1"/>
  <c r="K24" i="2"/>
  <c r="L24" i="2" s="1"/>
  <c r="K25" i="2"/>
  <c r="L25" i="2" s="1"/>
  <c r="K26" i="2"/>
  <c r="L26" i="2" s="1"/>
  <c r="K27" i="2"/>
  <c r="L27" i="2" s="1"/>
  <c r="K28" i="2"/>
  <c r="L28" i="2" s="1"/>
  <c r="K29" i="2"/>
  <c r="L29" i="2" s="1"/>
  <c r="K30" i="2"/>
  <c r="L30" i="2" s="1"/>
  <c r="K31" i="2"/>
  <c r="L31" i="2" s="1"/>
  <c r="K32" i="2"/>
  <c r="L32" i="2" s="1"/>
  <c r="K33" i="2"/>
  <c r="L33" i="2" s="1"/>
  <c r="K34" i="2"/>
  <c r="L34" i="2"/>
  <c r="K35" i="2"/>
  <c r="L35" i="2" s="1"/>
  <c r="K36" i="2"/>
  <c r="L36" i="2" s="1"/>
  <c r="K37" i="2"/>
  <c r="L37" i="2" s="1"/>
  <c r="K38" i="2"/>
  <c r="L38" i="2" s="1"/>
  <c r="K39" i="2"/>
  <c r="L39" i="2" s="1"/>
  <c r="K40" i="2"/>
  <c r="L40" i="2" s="1"/>
  <c r="K41" i="2"/>
  <c r="L41" i="2" s="1"/>
  <c r="K42" i="2"/>
  <c r="L42" i="2"/>
  <c r="K43" i="2"/>
  <c r="L43" i="2" s="1"/>
  <c r="K44" i="2"/>
  <c r="L44" i="2" s="1"/>
  <c r="K45" i="2"/>
  <c r="L45" i="2" s="1"/>
  <c r="K46" i="2"/>
  <c r="L46" i="2" s="1"/>
  <c r="K47" i="2"/>
  <c r="L47" i="2" s="1"/>
  <c r="K48" i="2"/>
  <c r="L48" i="2" s="1"/>
  <c r="K49" i="2"/>
  <c r="L49" i="2" s="1"/>
  <c r="K50" i="2"/>
  <c r="L50" i="2"/>
  <c r="K51" i="2"/>
  <c r="L51" i="2" s="1"/>
  <c r="K52" i="2"/>
  <c r="L52" i="2" s="1"/>
  <c r="K53" i="2"/>
  <c r="L53" i="2" s="1"/>
  <c r="K54" i="2"/>
  <c r="L54" i="2" s="1"/>
  <c r="K55" i="2"/>
  <c r="L55" i="2" s="1"/>
  <c r="K56" i="2"/>
  <c r="L56" i="2" s="1"/>
  <c r="K57" i="2"/>
  <c r="L57" i="2" s="1"/>
  <c r="K58" i="2"/>
  <c r="L58" i="2" s="1"/>
  <c r="K59" i="2"/>
  <c r="L59" i="2" s="1"/>
  <c r="K60" i="2"/>
  <c r="L60" i="2" s="1"/>
  <c r="K61" i="2"/>
  <c r="L61" i="2" s="1"/>
  <c r="K62" i="2"/>
  <c r="L62" i="2" s="1"/>
  <c r="K63" i="2"/>
  <c r="L63" i="2" s="1"/>
  <c r="K64" i="2"/>
  <c r="L64" i="2" s="1"/>
  <c r="K65" i="2"/>
  <c r="L65" i="2" s="1"/>
  <c r="K66" i="2"/>
  <c r="L66" i="2"/>
  <c r="K67" i="2"/>
  <c r="L67" i="2" s="1"/>
  <c r="K68" i="2"/>
  <c r="L68" i="2" s="1"/>
  <c r="K69" i="2"/>
  <c r="L69" i="2" s="1"/>
  <c r="K70" i="2"/>
  <c r="L70" i="2" s="1"/>
  <c r="K71" i="2"/>
  <c r="L71" i="2" s="1"/>
  <c r="K72" i="2"/>
  <c r="L72" i="2" s="1"/>
  <c r="K73" i="2"/>
  <c r="L73" i="2" s="1"/>
  <c r="K74" i="2"/>
  <c r="L74" i="2"/>
  <c r="K75" i="2"/>
  <c r="L75" i="2" s="1"/>
  <c r="K76" i="2"/>
  <c r="L76" i="2" s="1"/>
  <c r="K77" i="2"/>
  <c r="L77" i="2" s="1"/>
  <c r="K78" i="2"/>
  <c r="L78" i="2" s="1"/>
  <c r="K79" i="2"/>
  <c r="L79" i="2" s="1"/>
  <c r="K80" i="2"/>
  <c r="L80" i="2" s="1"/>
  <c r="K81" i="2"/>
  <c r="L81" i="2" s="1"/>
  <c r="K82" i="2"/>
  <c r="L82" i="2"/>
  <c r="K83" i="2"/>
  <c r="L83" i="2" s="1"/>
  <c r="K84" i="2"/>
  <c r="L84" i="2" s="1"/>
  <c r="K85" i="2"/>
  <c r="L85" i="2" s="1"/>
  <c r="K86" i="2"/>
  <c r="L86" i="2" s="1"/>
  <c r="K87" i="2"/>
  <c r="L87" i="2" s="1"/>
  <c r="K88" i="2"/>
  <c r="L88" i="2" s="1"/>
  <c r="K89" i="2"/>
  <c r="L89" i="2" s="1"/>
  <c r="K90" i="2"/>
  <c r="L90" i="2" s="1"/>
  <c r="K91" i="2"/>
  <c r="L91" i="2" s="1"/>
  <c r="K92" i="2"/>
  <c r="L92" i="2"/>
  <c r="K93" i="2"/>
  <c r="L93" i="2" s="1"/>
  <c r="K94" i="2"/>
  <c r="L94" i="2" s="1"/>
  <c r="K95" i="2"/>
  <c r="L95" i="2" s="1"/>
  <c r="K96" i="2"/>
  <c r="L96" i="2" s="1"/>
  <c r="K97" i="2"/>
  <c r="L97" i="2" s="1"/>
  <c r="K98" i="2"/>
  <c r="L98" i="2"/>
  <c r="K99" i="2"/>
  <c r="L99" i="2" s="1"/>
  <c r="K100" i="2"/>
  <c r="L100" i="2"/>
  <c r="K101" i="2"/>
  <c r="L101" i="2" s="1"/>
  <c r="K102" i="2"/>
  <c r="L102" i="2" s="1"/>
  <c r="K103" i="2"/>
  <c r="L103" i="2" s="1"/>
  <c r="K104" i="2"/>
  <c r="L104" i="2" s="1"/>
  <c r="K105" i="2"/>
  <c r="L105" i="2" s="1"/>
  <c r="K106" i="2"/>
  <c r="L106" i="2" s="1"/>
  <c r="K107" i="2"/>
  <c r="L107" i="2" s="1"/>
  <c r="K108" i="2"/>
  <c r="L108" i="2"/>
  <c r="K109" i="2"/>
  <c r="L109" i="2" s="1"/>
  <c r="K110" i="2"/>
  <c r="L110" i="2" s="1"/>
  <c r="K111" i="2"/>
  <c r="L111" i="2" s="1"/>
  <c r="K112" i="2"/>
  <c r="L112" i="2" s="1"/>
  <c r="K113" i="2"/>
  <c r="L113" i="2" s="1"/>
  <c r="K114" i="2"/>
  <c r="L114" i="2"/>
  <c r="K115" i="2"/>
  <c r="L115" i="2" s="1"/>
  <c r="K116" i="2"/>
  <c r="L116" i="2"/>
  <c r="K117" i="2"/>
  <c r="L117" i="2" s="1"/>
  <c r="K118" i="2"/>
  <c r="L118" i="2" s="1"/>
  <c r="K119" i="2"/>
  <c r="L119" i="2" s="1"/>
  <c r="K120" i="2"/>
  <c r="L120" i="2" s="1"/>
  <c r="K121" i="2"/>
  <c r="L121" i="2" s="1"/>
  <c r="K122" i="2"/>
  <c r="L122" i="2" s="1"/>
  <c r="K123" i="2"/>
  <c r="L123" i="2" s="1"/>
  <c r="K124" i="2"/>
  <c r="L124" i="2"/>
  <c r="K125" i="2"/>
  <c r="L125" i="2" s="1"/>
  <c r="K126" i="2"/>
  <c r="L126" i="2" s="1"/>
  <c r="K127" i="2"/>
  <c r="L127" i="2" s="1"/>
  <c r="K128" i="2"/>
  <c r="L128" i="2" s="1"/>
  <c r="K129" i="2"/>
  <c r="L129" i="2" s="1"/>
  <c r="K130" i="2"/>
  <c r="L130" i="2"/>
  <c r="K131" i="2"/>
  <c r="L131" i="2" s="1"/>
  <c r="K132" i="2"/>
  <c r="L132" i="2"/>
  <c r="K133" i="2"/>
  <c r="L133" i="2" s="1"/>
  <c r="K134" i="2"/>
  <c r="L134" i="2" s="1"/>
  <c r="K135" i="2"/>
  <c r="L135" i="2" s="1"/>
  <c r="K136" i="2"/>
  <c r="L136" i="2" s="1"/>
  <c r="K137" i="2"/>
  <c r="L137" i="2" s="1"/>
  <c r="K138" i="2"/>
  <c r="L138" i="2" s="1"/>
  <c r="K139" i="2"/>
  <c r="L139" i="2" s="1"/>
  <c r="K140" i="2"/>
  <c r="L140" i="2"/>
  <c r="K141" i="2"/>
  <c r="L141" i="2" s="1"/>
  <c r="K142" i="2"/>
  <c r="L142" i="2" s="1"/>
  <c r="K143" i="2"/>
  <c r="L143" i="2" s="1"/>
  <c r="K144" i="2"/>
  <c r="L144" i="2" s="1"/>
  <c r="K145" i="2"/>
  <c r="L145" i="2" s="1"/>
  <c r="K146" i="2"/>
  <c r="L146" i="2"/>
  <c r="K147" i="2"/>
  <c r="L147" i="2" s="1"/>
  <c r="K148" i="2"/>
  <c r="L148" i="2"/>
  <c r="K149" i="2"/>
  <c r="L149" i="2" s="1"/>
  <c r="K150" i="2"/>
  <c r="L150" i="2" s="1"/>
  <c r="K151" i="2"/>
  <c r="L151" i="2" s="1"/>
  <c r="K152" i="2"/>
  <c r="L152" i="2" s="1"/>
  <c r="K153" i="2"/>
  <c r="L153" i="2" s="1"/>
  <c r="K154" i="2"/>
  <c r="L154" i="2" s="1"/>
  <c r="K155" i="2"/>
  <c r="L155" i="2" s="1"/>
  <c r="K156" i="2"/>
  <c r="L156" i="2"/>
  <c r="K157" i="2"/>
  <c r="L157" i="2" s="1"/>
  <c r="K158" i="2"/>
  <c r="L158" i="2" s="1"/>
  <c r="K159" i="2"/>
  <c r="L159" i="2" s="1"/>
  <c r="K160" i="2"/>
  <c r="L160" i="2" s="1"/>
  <c r="K161" i="2"/>
  <c r="L161" i="2" s="1"/>
  <c r="K162" i="2"/>
  <c r="L162" i="2"/>
  <c r="K163" i="2"/>
  <c r="L163" i="2" s="1"/>
  <c r="K164" i="2"/>
  <c r="L164" i="2"/>
  <c r="K165" i="2"/>
  <c r="L165" i="2" s="1"/>
  <c r="K166" i="2"/>
  <c r="L166" i="2" s="1"/>
  <c r="K167" i="2"/>
  <c r="L167" i="2" s="1"/>
  <c r="K168" i="2"/>
  <c r="L168" i="2" s="1"/>
  <c r="K169" i="2"/>
  <c r="L169" i="2" s="1"/>
  <c r="K170" i="2"/>
  <c r="L170" i="2" s="1"/>
  <c r="K171" i="2"/>
  <c r="L171" i="2" s="1"/>
  <c r="K172" i="2"/>
  <c r="L172" i="2"/>
  <c r="K173" i="2"/>
  <c r="L173" i="2" s="1"/>
  <c r="K174" i="2"/>
  <c r="L174" i="2"/>
  <c r="K175" i="2"/>
  <c r="L175" i="2" s="1"/>
  <c r="K176" i="2"/>
  <c r="L176" i="2"/>
  <c r="K177" i="2"/>
  <c r="L177" i="2" s="1"/>
  <c r="K178" i="2"/>
  <c r="L178" i="2" s="1"/>
  <c r="K179" i="2"/>
  <c r="L179" i="2" s="1"/>
  <c r="K180" i="2"/>
  <c r="L180" i="2"/>
  <c r="K181" i="2"/>
  <c r="L181" i="2" s="1"/>
  <c r="K182" i="2"/>
  <c r="L182" i="2"/>
  <c r="K183" i="2"/>
  <c r="L183" i="2" s="1"/>
  <c r="K184" i="2"/>
  <c r="L184" i="2"/>
  <c r="K185" i="2"/>
  <c r="L185" i="2" s="1"/>
  <c r="K186" i="2"/>
  <c r="L186" i="2" s="1"/>
  <c r="K187" i="2"/>
  <c r="L187" i="2" s="1"/>
  <c r="K188" i="2"/>
  <c r="L188" i="2"/>
  <c r="K189" i="2"/>
  <c r="L189" i="2" s="1"/>
  <c r="K190" i="2"/>
  <c r="L190" i="2"/>
  <c r="K191" i="2"/>
  <c r="L191" i="2" s="1"/>
  <c r="K192" i="2"/>
  <c r="L192" i="2"/>
  <c r="K193" i="2"/>
  <c r="L193" i="2" s="1"/>
  <c r="K194" i="2"/>
  <c r="L194" i="2" s="1"/>
  <c r="K195" i="2"/>
  <c r="L195" i="2" s="1"/>
  <c r="K196" i="2"/>
  <c r="L196" i="2"/>
  <c r="K197" i="2"/>
  <c r="L197" i="2" s="1"/>
  <c r="K198" i="2"/>
  <c r="L198" i="2"/>
  <c r="K199" i="2"/>
  <c r="L199" i="2" s="1"/>
  <c r="K200" i="2"/>
  <c r="L200" i="2"/>
  <c r="K201" i="2"/>
  <c r="L201" i="2" s="1"/>
  <c r="K202" i="2"/>
  <c r="L202" i="2" s="1"/>
  <c r="K203" i="2"/>
  <c r="L203" i="2" s="1"/>
  <c r="K204" i="2"/>
  <c r="L204" i="2"/>
  <c r="K205" i="2"/>
  <c r="L205" i="2" s="1"/>
  <c r="K206" i="2"/>
  <c r="L206" i="2"/>
  <c r="K207" i="2"/>
  <c r="L207" i="2" s="1"/>
  <c r="K208" i="2"/>
  <c r="L208" i="2"/>
  <c r="K209" i="2"/>
  <c r="L209" i="2" s="1"/>
  <c r="K210" i="2"/>
  <c r="L210" i="2" s="1"/>
  <c r="K211" i="2"/>
  <c r="L211" i="2" s="1"/>
  <c r="K212" i="2"/>
  <c r="L212" i="2"/>
  <c r="K213" i="2"/>
  <c r="L213" i="2" s="1"/>
  <c r="K214" i="2"/>
  <c r="L214" i="2"/>
  <c r="K215" i="2"/>
  <c r="L215" i="2" s="1"/>
  <c r="K216" i="2"/>
  <c r="L216" i="2" s="1"/>
  <c r="K217" i="2"/>
  <c r="L217" i="2" s="1"/>
  <c r="K218" i="2"/>
  <c r="L218" i="2"/>
  <c r="K219" i="2"/>
  <c r="L219" i="2" s="1"/>
  <c r="K220" i="2"/>
  <c r="L220" i="2"/>
  <c r="K221" i="2"/>
  <c r="L221" i="2" s="1"/>
  <c r="K222" i="2"/>
  <c r="L222" i="2"/>
  <c r="K223" i="2"/>
  <c r="L223" i="2" s="1"/>
  <c r="K224" i="2"/>
  <c r="L224" i="2" s="1"/>
  <c r="K225" i="2"/>
  <c r="L225" i="2" s="1"/>
  <c r="K226" i="2"/>
  <c r="L226" i="2"/>
  <c r="K227" i="2"/>
  <c r="L227" i="2" s="1"/>
  <c r="K228" i="2"/>
  <c r="L228" i="2"/>
  <c r="K229" i="2"/>
  <c r="L229" i="2" s="1"/>
  <c r="K230" i="2"/>
  <c r="L230" i="2" s="1"/>
  <c r="K231" i="2"/>
  <c r="L231" i="2" s="1"/>
  <c r="K232" i="2"/>
  <c r="L232" i="2" s="1"/>
  <c r="K233" i="2"/>
  <c r="L233" i="2" s="1"/>
  <c r="K234" i="2"/>
  <c r="L234" i="2"/>
  <c r="K235" i="2"/>
  <c r="L235" i="2" s="1"/>
  <c r="K236" i="2"/>
  <c r="L236" i="2" s="1"/>
  <c r="K237" i="2"/>
  <c r="L237" i="2" s="1"/>
  <c r="K238" i="2"/>
  <c r="L238" i="2"/>
  <c r="K239" i="2"/>
  <c r="L239" i="2" s="1"/>
  <c r="K240" i="2"/>
  <c r="L240" i="2" s="1"/>
  <c r="K241" i="2"/>
  <c r="L241" i="2" s="1"/>
  <c r="K242" i="2"/>
  <c r="L242" i="2" s="1"/>
  <c r="K243" i="2"/>
  <c r="L243" i="2" s="1"/>
  <c r="K244" i="2"/>
  <c r="L244" i="2"/>
  <c r="K245" i="2"/>
  <c r="L245" i="2" s="1"/>
  <c r="K246" i="2"/>
  <c r="L246" i="2"/>
  <c r="K247" i="2"/>
  <c r="L247" i="2" s="1"/>
  <c r="K248" i="2"/>
  <c r="L248" i="2" s="1"/>
  <c r="K249" i="2"/>
  <c r="L249" i="2" s="1"/>
  <c r="K250" i="2"/>
  <c r="L250" i="2"/>
  <c r="K251" i="2"/>
  <c r="L251" i="2" s="1"/>
  <c r="K252" i="2"/>
  <c r="L252" i="2"/>
  <c r="K253" i="2"/>
  <c r="L253" i="2" s="1"/>
  <c r="K254" i="2"/>
  <c r="L254" i="2"/>
  <c r="K255" i="2"/>
  <c r="L255" i="2" s="1"/>
  <c r="K256" i="2"/>
  <c r="L256" i="2" s="1"/>
  <c r="K257" i="2"/>
  <c r="L257" i="2" s="1"/>
  <c r="K258" i="2"/>
  <c r="L258" i="2"/>
  <c r="K259" i="2"/>
  <c r="L259" i="2" s="1"/>
  <c r="K260" i="2"/>
  <c r="L260" i="2"/>
  <c r="K261" i="2"/>
  <c r="L261" i="2" s="1"/>
  <c r="K262" i="2"/>
  <c r="L262" i="2" s="1"/>
  <c r="K263" i="2"/>
  <c r="L263" i="2" s="1"/>
  <c r="K264" i="2"/>
  <c r="L264" i="2" s="1"/>
  <c r="K265" i="2"/>
  <c r="L265" i="2" s="1"/>
  <c r="K266" i="2"/>
  <c r="L266" i="2"/>
  <c r="K267" i="2"/>
  <c r="L267" i="2" s="1"/>
  <c r="K268" i="2"/>
  <c r="L268" i="2" s="1"/>
  <c r="K269" i="2"/>
  <c r="L269" i="2" s="1"/>
  <c r="K270" i="2"/>
  <c r="L270" i="2"/>
  <c r="K271" i="2"/>
  <c r="L271" i="2" s="1"/>
  <c r="K272" i="2"/>
  <c r="L272" i="2" s="1"/>
  <c r="K273" i="2"/>
  <c r="L273" i="2" s="1"/>
  <c r="K274" i="2"/>
  <c r="L274" i="2" s="1"/>
  <c r="K275" i="2"/>
  <c r="L275" i="2" s="1"/>
  <c r="K276" i="2"/>
  <c r="L276" i="2"/>
  <c r="K277" i="2"/>
  <c r="L277" i="2" s="1"/>
  <c r="K278" i="2"/>
  <c r="L278" i="2"/>
  <c r="K279" i="2"/>
  <c r="L279" i="2" s="1"/>
  <c r="K280" i="2"/>
  <c r="L280" i="2" s="1"/>
  <c r="K281" i="2"/>
  <c r="L281" i="2" s="1"/>
  <c r="K282" i="2"/>
  <c r="L282" i="2"/>
  <c r="K283" i="2"/>
  <c r="L283" i="2" s="1"/>
  <c r="K284" i="2"/>
  <c r="L284" i="2"/>
  <c r="K285" i="2"/>
  <c r="L285" i="2" s="1"/>
  <c r="K286" i="2"/>
  <c r="L286" i="2"/>
  <c r="K287" i="2"/>
  <c r="L287" i="2" s="1"/>
  <c r="K288" i="2"/>
  <c r="L288" i="2" s="1"/>
  <c r="K289" i="2"/>
  <c r="L289" i="2" s="1"/>
  <c r="K290" i="2"/>
  <c r="L290" i="2"/>
  <c r="K291" i="2"/>
  <c r="L291" i="2" s="1"/>
  <c r="K292" i="2"/>
  <c r="L292" i="2"/>
  <c r="K293" i="2"/>
  <c r="L293" i="2" s="1"/>
  <c r="K294" i="2"/>
  <c r="L294" i="2" s="1"/>
  <c r="K295" i="2"/>
  <c r="L295" i="2" s="1"/>
  <c r="K296" i="2"/>
  <c r="L296" i="2" s="1"/>
  <c r="K297" i="2"/>
  <c r="L297" i="2" s="1"/>
  <c r="K298" i="2"/>
  <c r="L298" i="2"/>
  <c r="K299" i="2"/>
  <c r="L299" i="2" s="1"/>
  <c r="K300" i="2"/>
  <c r="L300" i="2" s="1"/>
  <c r="K301" i="2"/>
  <c r="L301" i="2" s="1"/>
  <c r="K302" i="2"/>
  <c r="L302" i="2"/>
  <c r="K303" i="2"/>
  <c r="L303" i="2"/>
  <c r="K304" i="2"/>
  <c r="L304" i="2"/>
  <c r="K305" i="2"/>
  <c r="L305" i="2"/>
  <c r="K306" i="2"/>
  <c r="L306" i="2"/>
  <c r="K307" i="2"/>
  <c r="L307" i="2"/>
  <c r="K308" i="2"/>
  <c r="L308" i="2"/>
  <c r="K309" i="2"/>
  <c r="L309" i="2"/>
  <c r="K310" i="2"/>
  <c r="L310" i="2"/>
  <c r="K311" i="2"/>
  <c r="L311" i="2"/>
  <c r="K312" i="2"/>
  <c r="L312" i="2"/>
  <c r="K313" i="2"/>
  <c r="L313" i="2"/>
  <c r="K314" i="2"/>
  <c r="L314" i="2"/>
  <c r="K315" i="2"/>
  <c r="L315" i="2"/>
  <c r="K316" i="2"/>
  <c r="L316" i="2"/>
  <c r="K317" i="2"/>
  <c r="L317" i="2"/>
  <c r="K318" i="2"/>
  <c r="L318" i="2"/>
  <c r="K319" i="2"/>
  <c r="L319" i="2"/>
  <c r="K320" i="2"/>
  <c r="L320" i="2"/>
  <c r="K321" i="2"/>
  <c r="L321" i="2"/>
  <c r="K322" i="2"/>
  <c r="L322" i="2"/>
  <c r="K323" i="2"/>
  <c r="L323" i="2"/>
  <c r="K324" i="2"/>
  <c r="L324" i="2"/>
  <c r="K325" i="2"/>
  <c r="L325" i="2"/>
  <c r="K326" i="2"/>
  <c r="L326" i="2"/>
  <c r="K327" i="2"/>
  <c r="L327" i="2"/>
  <c r="K328" i="2"/>
  <c r="L328" i="2"/>
  <c r="K329" i="2"/>
  <c r="L329" i="2"/>
  <c r="K330" i="2"/>
  <c r="L330" i="2"/>
  <c r="K331" i="2"/>
  <c r="L331" i="2"/>
  <c r="K332" i="2"/>
  <c r="L332" i="2"/>
  <c r="K333" i="2"/>
  <c r="L333" i="2"/>
  <c r="K334" i="2"/>
  <c r="L334" i="2"/>
  <c r="K335" i="2"/>
  <c r="L335" i="2"/>
  <c r="K336" i="2"/>
  <c r="L336" i="2"/>
  <c r="K337" i="2"/>
  <c r="L337" i="2"/>
  <c r="K338" i="2"/>
  <c r="L338" i="2"/>
  <c r="K339" i="2"/>
  <c r="L339" i="2"/>
  <c r="K340" i="2"/>
  <c r="L340" i="2"/>
  <c r="K341" i="2"/>
  <c r="L341" i="2"/>
  <c r="K342" i="2"/>
  <c r="L342" i="2"/>
  <c r="K343" i="2"/>
  <c r="L343" i="2"/>
  <c r="K344" i="2"/>
  <c r="L344" i="2"/>
  <c r="K345" i="2"/>
  <c r="L345" i="2"/>
  <c r="K346" i="2"/>
  <c r="L346" i="2"/>
  <c r="K347" i="2"/>
  <c r="L347" i="2"/>
  <c r="K348" i="2"/>
  <c r="L348" i="2"/>
  <c r="K349" i="2"/>
  <c r="L349" i="2"/>
  <c r="K350" i="2"/>
  <c r="L350" i="2"/>
  <c r="K351" i="2"/>
  <c r="L351" i="2"/>
  <c r="K352" i="2"/>
  <c r="L352" i="2"/>
  <c r="K353" i="2"/>
  <c r="L353" i="2"/>
  <c r="K354" i="2"/>
  <c r="L354" i="2"/>
  <c r="K355" i="2"/>
  <c r="L355" i="2"/>
  <c r="K356" i="2"/>
  <c r="L356" i="2"/>
  <c r="K357" i="2"/>
  <c r="L357" i="2"/>
  <c r="K358" i="2"/>
  <c r="L358" i="2"/>
  <c r="K359" i="2"/>
  <c r="L359" i="2"/>
  <c r="K360" i="2"/>
  <c r="L360" i="2"/>
  <c r="K361" i="2"/>
  <c r="L361" i="2"/>
  <c r="K362" i="2"/>
  <c r="L362" i="2"/>
  <c r="K363" i="2"/>
  <c r="L363" i="2"/>
  <c r="K364" i="2"/>
  <c r="L364" i="2"/>
  <c r="K365" i="2"/>
  <c r="L365" i="2"/>
  <c r="K366" i="2"/>
  <c r="L366" i="2"/>
  <c r="K367" i="2"/>
  <c r="L367" i="2"/>
  <c r="K368" i="2"/>
  <c r="L368" i="2"/>
  <c r="K369" i="2"/>
  <c r="L369" i="2"/>
  <c r="K370" i="2"/>
  <c r="L370" i="2"/>
  <c r="K371" i="2"/>
  <c r="L371" i="2"/>
  <c r="K372" i="2"/>
  <c r="L372" i="2"/>
  <c r="K373" i="2"/>
  <c r="L373" i="2" s="1"/>
  <c r="K374" i="2"/>
  <c r="L374" i="2"/>
  <c r="K375" i="2"/>
  <c r="L375" i="2" s="1"/>
  <c r="K376" i="2"/>
  <c r="L376" i="2" s="1"/>
  <c r="K377" i="2"/>
  <c r="L377" i="2" s="1"/>
  <c r="K378" i="2"/>
  <c r="L378" i="2" s="1"/>
  <c r="K379" i="2"/>
  <c r="L379" i="2" s="1"/>
  <c r="K380" i="2"/>
  <c r="L380" i="2"/>
  <c r="K381" i="2"/>
  <c r="L381" i="2" s="1"/>
  <c r="K382" i="2"/>
  <c r="L382" i="2"/>
  <c r="K383" i="2"/>
  <c r="L383" i="2" s="1"/>
  <c r="K384" i="2"/>
  <c r="L384" i="2" s="1"/>
  <c r="K385" i="2"/>
  <c r="L385" i="2" s="1"/>
  <c r="K386" i="2"/>
  <c r="L386" i="2" s="1"/>
  <c r="K387" i="2"/>
  <c r="L387" i="2" s="1"/>
  <c r="K388" i="2"/>
  <c r="L388" i="2"/>
  <c r="K389" i="2"/>
  <c r="L389" i="2" s="1"/>
  <c r="K390" i="2"/>
  <c r="L390" i="2"/>
  <c r="K391" i="2"/>
  <c r="L391" i="2" s="1"/>
  <c r="K392" i="2"/>
  <c r="L392" i="2" s="1"/>
  <c r="K393" i="2"/>
  <c r="L393" i="2" s="1"/>
  <c r="K394" i="2"/>
  <c r="L394" i="2" s="1"/>
  <c r="K395" i="2"/>
  <c r="L395" i="2" s="1"/>
  <c r="K396" i="2"/>
  <c r="L396" i="2"/>
  <c r="K397" i="2"/>
  <c r="L397" i="2" s="1"/>
  <c r="K398" i="2"/>
  <c r="L398" i="2"/>
  <c r="K399" i="2"/>
  <c r="L399" i="2" s="1"/>
  <c r="K400" i="2"/>
  <c r="L400" i="2" s="1"/>
  <c r="K401" i="2"/>
  <c r="L401" i="2" s="1"/>
  <c r="K402" i="2"/>
  <c r="L402" i="2" s="1"/>
  <c r="K403" i="2"/>
  <c r="L403" i="2" s="1"/>
  <c r="K404" i="2"/>
  <c r="L404" i="2"/>
  <c r="K405" i="2"/>
  <c r="L405" i="2" s="1"/>
  <c r="K406" i="2"/>
  <c r="L406" i="2"/>
  <c r="K407" i="2"/>
  <c r="L407" i="2" s="1"/>
  <c r="K408" i="2"/>
  <c r="L408" i="2" s="1"/>
  <c r="K409" i="2"/>
  <c r="L409" i="2" s="1"/>
  <c r="K410" i="2"/>
  <c r="L410" i="2" s="1"/>
  <c r="K411" i="2"/>
  <c r="L411" i="2" s="1"/>
  <c r="K412" i="2"/>
  <c r="L412" i="2"/>
  <c r="K413" i="2"/>
  <c r="L413" i="2" s="1"/>
  <c r="K414" i="2"/>
  <c r="L414" i="2"/>
  <c r="K415" i="2"/>
  <c r="L415" i="2" s="1"/>
  <c r="K416" i="2"/>
  <c r="L416" i="2" s="1"/>
  <c r="K417" i="2"/>
  <c r="L417" i="2" s="1"/>
  <c r="K418" i="2"/>
  <c r="L418" i="2" s="1"/>
  <c r="K419" i="2"/>
  <c r="L419" i="2" s="1"/>
  <c r="K420" i="2"/>
  <c r="L420" i="2"/>
  <c r="K421" i="2"/>
  <c r="L421" i="2" s="1"/>
  <c r="K422" i="2"/>
  <c r="L422" i="2"/>
  <c r="K423" i="2"/>
  <c r="L423" i="2" s="1"/>
  <c r="K424" i="2"/>
  <c r="L424" i="2" s="1"/>
  <c r="K425" i="2"/>
  <c r="L425" i="2" s="1"/>
  <c r="K426" i="2"/>
  <c r="L426" i="2" s="1"/>
  <c r="K427" i="2"/>
  <c r="L427" i="2" s="1"/>
  <c r="K428" i="2"/>
  <c r="L428" i="2"/>
  <c r="K429" i="2"/>
  <c r="L429" i="2" s="1"/>
  <c r="K430" i="2"/>
  <c r="L430" i="2" s="1"/>
  <c r="K431" i="2"/>
  <c r="L431" i="2" s="1"/>
  <c r="K432" i="2"/>
  <c r="L432" i="2" s="1"/>
  <c r="K433" i="2"/>
  <c r="L433" i="2" s="1"/>
  <c r="K434" i="2"/>
  <c r="L434" i="2" s="1"/>
  <c r="K435" i="2"/>
  <c r="L435" i="2" s="1"/>
  <c r="K436" i="2"/>
  <c r="L436" i="2"/>
  <c r="K437" i="2"/>
  <c r="L437" i="2" s="1"/>
  <c r="K438" i="2"/>
  <c r="L438" i="2" s="1"/>
  <c r="K439" i="2"/>
  <c r="L439" i="2" s="1"/>
  <c r="K440" i="2"/>
  <c r="L440" i="2" s="1"/>
  <c r="K441" i="2"/>
  <c r="L441" i="2" s="1"/>
  <c r="K442" i="2"/>
  <c r="L442" i="2" s="1"/>
  <c r="K443" i="2"/>
  <c r="L443" i="2" s="1"/>
  <c r="K444" i="2"/>
  <c r="L444" i="2" s="1"/>
  <c r="K445" i="2"/>
  <c r="L445" i="2" s="1"/>
  <c r="K446" i="2"/>
  <c r="L446" i="2" s="1"/>
  <c r="K447" i="2"/>
  <c r="L447" i="2" s="1"/>
  <c r="K448" i="2"/>
  <c r="L448" i="2" s="1"/>
  <c r="K449" i="2"/>
  <c r="L449" i="2" s="1"/>
  <c r="K450" i="2"/>
  <c r="L450" i="2" s="1"/>
  <c r="K451" i="2"/>
  <c r="L451" i="2" s="1"/>
  <c r="K452" i="2"/>
  <c r="L452" i="2" s="1"/>
  <c r="K453" i="2"/>
  <c r="L453" i="2" s="1"/>
  <c r="K454" i="2"/>
  <c r="L454" i="2" s="1"/>
  <c r="K455" i="2"/>
  <c r="L455" i="2" s="1"/>
  <c r="K456" i="2"/>
  <c r="L456" i="2" s="1"/>
  <c r="K457" i="2"/>
  <c r="L457" i="2" s="1"/>
  <c r="K458" i="2"/>
  <c r="L458" i="2" s="1"/>
  <c r="K459" i="2"/>
  <c r="L459" i="2" s="1"/>
  <c r="K460" i="2"/>
  <c r="L460" i="2"/>
  <c r="K461" i="2"/>
  <c r="L461" i="2" s="1"/>
  <c r="K462" i="2"/>
  <c r="L462" i="2" s="1"/>
  <c r="K463" i="2"/>
  <c r="L463" i="2" s="1"/>
  <c r="K464" i="2"/>
  <c r="L464" i="2" s="1"/>
  <c r="K465" i="2"/>
  <c r="L465" i="2" s="1"/>
  <c r="K466" i="2"/>
  <c r="L466" i="2" s="1"/>
  <c r="K467" i="2"/>
  <c r="L467" i="2" s="1"/>
  <c r="K468" i="2"/>
  <c r="L468" i="2"/>
  <c r="K469" i="2"/>
  <c r="L469" i="2" s="1"/>
  <c r="K470" i="2"/>
  <c r="L470" i="2" s="1"/>
  <c r="K471" i="2"/>
  <c r="L471" i="2" s="1"/>
  <c r="K472" i="2"/>
  <c r="L472" i="2" s="1"/>
  <c r="K473" i="2"/>
  <c r="L473" i="2" s="1"/>
  <c r="K474" i="2"/>
  <c r="L474" i="2" s="1"/>
  <c r="K475" i="2"/>
  <c r="L475" i="2" s="1"/>
  <c r="K476" i="2"/>
  <c r="L476" i="2" s="1"/>
  <c r="K477" i="2"/>
  <c r="L477" i="2" s="1"/>
  <c r="K478" i="2"/>
  <c r="L478" i="2" s="1"/>
  <c r="K479" i="2"/>
  <c r="L479" i="2" s="1"/>
  <c r="K480" i="2"/>
  <c r="L480" i="2" s="1"/>
  <c r="K481" i="2"/>
  <c r="L481" i="2" s="1"/>
  <c r="K482" i="2"/>
  <c r="L482" i="2" s="1"/>
  <c r="K483" i="2"/>
  <c r="L483" i="2" s="1"/>
  <c r="K484" i="2"/>
  <c r="L484" i="2" s="1"/>
  <c r="K485" i="2"/>
  <c r="L485" i="2" s="1"/>
  <c r="K486" i="2"/>
  <c r="L486" i="2" s="1"/>
  <c r="K487" i="2"/>
  <c r="L487" i="2" s="1"/>
  <c r="K488" i="2"/>
  <c r="L488" i="2" s="1"/>
  <c r="K489" i="2"/>
  <c r="L489" i="2" s="1"/>
  <c r="K490" i="2"/>
  <c r="L490" i="2" s="1"/>
  <c r="K491" i="2"/>
  <c r="L491" i="2" s="1"/>
  <c r="K492" i="2"/>
  <c r="L492" i="2"/>
  <c r="K493" i="2"/>
  <c r="L493" i="2" s="1"/>
  <c r="K494" i="2"/>
  <c r="L494" i="2" s="1"/>
  <c r="K495" i="2"/>
  <c r="L495" i="2" s="1"/>
  <c r="K496" i="2"/>
  <c r="L496" i="2" s="1"/>
  <c r="K497" i="2"/>
  <c r="L497" i="2" s="1"/>
  <c r="K498" i="2"/>
  <c r="L498" i="2" s="1"/>
  <c r="K499" i="2"/>
  <c r="L499" i="2" s="1"/>
  <c r="K500" i="2"/>
  <c r="L500" i="2"/>
  <c r="K501" i="2"/>
  <c r="L501" i="2" s="1"/>
  <c r="K502" i="2"/>
  <c r="L502" i="2" s="1"/>
  <c r="K503" i="2"/>
  <c r="L503" i="2" s="1"/>
  <c r="K504" i="2"/>
  <c r="L504" i="2" s="1"/>
  <c r="K505" i="2"/>
  <c r="L505" i="2" s="1"/>
  <c r="K506" i="2"/>
  <c r="L506" i="2" s="1"/>
  <c r="K507" i="2"/>
  <c r="L507" i="2" s="1"/>
  <c r="K508" i="2"/>
  <c r="L508" i="2" s="1"/>
  <c r="K509" i="2"/>
  <c r="L509" i="2" s="1"/>
  <c r="K510" i="2"/>
  <c r="L510" i="2" s="1"/>
  <c r="K511" i="2"/>
  <c r="L511" i="2" s="1"/>
  <c r="K512" i="2"/>
  <c r="L512" i="2" s="1"/>
  <c r="K513" i="2"/>
  <c r="L513" i="2" s="1"/>
  <c r="K514" i="2"/>
  <c r="L514" i="2" s="1"/>
  <c r="K515" i="2"/>
  <c r="L515" i="2" s="1"/>
  <c r="K516" i="2"/>
  <c r="L516" i="2" s="1"/>
  <c r="K517" i="2"/>
  <c r="L517" i="2" s="1"/>
  <c r="K518" i="2"/>
  <c r="L518" i="2" s="1"/>
  <c r="K519" i="2"/>
  <c r="L519" i="2" s="1"/>
  <c r="K520" i="2"/>
  <c r="L520" i="2" s="1"/>
  <c r="K521" i="2"/>
  <c r="L521" i="2" s="1"/>
  <c r="K522" i="2"/>
  <c r="L522" i="2" s="1"/>
  <c r="K523" i="2"/>
  <c r="L523" i="2" s="1"/>
  <c r="K524" i="2"/>
  <c r="L524" i="2"/>
  <c r="K525" i="2"/>
  <c r="L525" i="2" s="1"/>
  <c r="K526" i="2"/>
  <c r="L526" i="2" s="1"/>
  <c r="K527" i="2"/>
  <c r="L527" i="2" s="1"/>
  <c r="K528" i="2"/>
  <c r="L528" i="2" s="1"/>
  <c r="K529" i="2"/>
  <c r="L529" i="2" s="1"/>
  <c r="K530" i="2"/>
  <c r="L530" i="2" s="1"/>
  <c r="K531" i="2"/>
  <c r="L531" i="2" s="1"/>
  <c r="K532" i="2"/>
  <c r="L532" i="2"/>
  <c r="K533" i="2"/>
  <c r="L533" i="2" s="1"/>
  <c r="K534" i="2"/>
  <c r="L534" i="2" s="1"/>
  <c r="K535" i="2"/>
  <c r="L535" i="2" s="1"/>
  <c r="K536" i="2"/>
  <c r="L536" i="2" s="1"/>
  <c r="K537" i="2"/>
  <c r="L537" i="2" s="1"/>
  <c r="K538" i="2"/>
  <c r="L538" i="2" s="1"/>
  <c r="K539" i="2"/>
  <c r="L539" i="2" s="1"/>
  <c r="K540" i="2"/>
  <c r="L540" i="2" s="1"/>
  <c r="K541" i="2"/>
  <c r="L541" i="2" s="1"/>
  <c r="K542" i="2"/>
  <c r="L542" i="2" s="1"/>
  <c r="K543" i="2"/>
  <c r="L543" i="2" s="1"/>
  <c r="K544" i="2"/>
  <c r="L544" i="2" s="1"/>
  <c r="K545" i="2"/>
  <c r="L545" i="2" s="1"/>
  <c r="K546" i="2"/>
  <c r="L546" i="2" s="1"/>
  <c r="K547" i="2"/>
  <c r="L547" i="2" s="1"/>
  <c r="K548" i="2"/>
  <c r="L548" i="2" s="1"/>
  <c r="K549" i="2"/>
  <c r="L549" i="2" s="1"/>
  <c r="K550" i="2"/>
  <c r="L550" i="2" s="1"/>
  <c r="K551" i="2"/>
  <c r="L551" i="2" s="1"/>
  <c r="K552" i="2"/>
  <c r="L552" i="2" s="1"/>
  <c r="K553" i="2"/>
  <c r="L553" i="2" s="1"/>
  <c r="K554" i="2"/>
  <c r="L554" i="2" s="1"/>
  <c r="K555" i="2"/>
  <c r="L555" i="2" s="1"/>
  <c r="K556" i="2"/>
  <c r="L556" i="2"/>
  <c r="K557" i="2"/>
  <c r="L557" i="2" s="1"/>
  <c r="K558" i="2"/>
  <c r="L558" i="2" s="1"/>
  <c r="K559" i="2"/>
  <c r="L559" i="2" s="1"/>
  <c r="K560" i="2"/>
  <c r="L560" i="2" s="1"/>
  <c r="K561" i="2"/>
  <c r="L561" i="2" s="1"/>
  <c r="K562" i="2"/>
  <c r="L562" i="2" s="1"/>
  <c r="K563" i="2"/>
  <c r="L563" i="2" s="1"/>
  <c r="K564" i="2"/>
  <c r="L564" i="2"/>
  <c r="K565" i="2"/>
  <c r="L565" i="2" s="1"/>
  <c r="K566" i="2"/>
  <c r="L566" i="2" s="1"/>
  <c r="K567" i="2"/>
  <c r="L567" i="2" s="1"/>
  <c r="K568" i="2"/>
  <c r="L568" i="2" s="1"/>
  <c r="K569" i="2"/>
  <c r="L569" i="2" s="1"/>
  <c r="K570" i="2"/>
  <c r="L570" i="2" s="1"/>
  <c r="K571" i="2"/>
  <c r="L571" i="2" s="1"/>
  <c r="K572" i="2"/>
  <c r="L572" i="2" s="1"/>
  <c r="K573" i="2"/>
  <c r="L573" i="2" s="1"/>
  <c r="K574" i="2"/>
  <c r="L574" i="2" s="1"/>
  <c r="K575" i="2"/>
  <c r="L575" i="2" s="1"/>
  <c r="K576" i="2"/>
  <c r="L576" i="2" s="1"/>
  <c r="K577" i="2"/>
  <c r="L577" i="2" s="1"/>
  <c r="K578" i="2"/>
  <c r="L578" i="2" s="1"/>
  <c r="K579" i="2"/>
  <c r="L579" i="2" s="1"/>
  <c r="K580" i="2"/>
  <c r="L580" i="2"/>
  <c r="K581" i="2"/>
  <c r="L581" i="2" s="1"/>
  <c r="K582" i="2"/>
  <c r="L582" i="2" s="1"/>
  <c r="K583" i="2"/>
  <c r="L583" i="2" s="1"/>
  <c r="K584" i="2"/>
  <c r="L584" i="2" s="1"/>
  <c r="K585" i="2"/>
  <c r="L585" i="2" s="1"/>
  <c r="K586" i="2"/>
  <c r="L586" i="2" s="1"/>
  <c r="K587" i="2"/>
  <c r="L587" i="2" s="1"/>
  <c r="K588" i="2"/>
  <c r="L588" i="2"/>
  <c r="K589" i="2"/>
  <c r="L589" i="2" s="1"/>
  <c r="K590" i="2"/>
  <c r="L590" i="2" s="1"/>
  <c r="K591" i="2"/>
  <c r="L591" i="2" s="1"/>
  <c r="K592" i="2"/>
  <c r="L592" i="2" s="1"/>
  <c r="K593" i="2"/>
  <c r="L593" i="2" s="1"/>
  <c r="K594" i="2"/>
  <c r="L594" i="2" s="1"/>
  <c r="K595" i="2"/>
  <c r="L595" i="2" s="1"/>
  <c r="K596" i="2"/>
  <c r="L596" i="2"/>
  <c r="K597" i="2"/>
  <c r="L597" i="2" s="1"/>
  <c r="K598" i="2"/>
  <c r="L598" i="2" s="1"/>
  <c r="K599" i="2"/>
  <c r="L599" i="2" s="1"/>
  <c r="K600" i="2"/>
  <c r="L600" i="2" s="1"/>
  <c r="K601" i="2"/>
  <c r="L601" i="2" s="1"/>
  <c r="K602" i="2"/>
  <c r="L602" i="2" s="1"/>
  <c r="K603" i="2"/>
  <c r="L603" i="2" s="1"/>
  <c r="K604" i="2"/>
  <c r="L604" i="2" s="1"/>
  <c r="K605" i="2"/>
  <c r="L605" i="2" s="1"/>
  <c r="K606" i="2"/>
  <c r="L606" i="2" s="1"/>
  <c r="K607" i="2"/>
  <c r="L607" i="2" s="1"/>
  <c r="K608" i="2"/>
  <c r="L608" i="2" s="1"/>
  <c r="K609" i="2"/>
  <c r="L609" i="2" s="1"/>
  <c r="K610" i="2"/>
  <c r="L610" i="2" s="1"/>
  <c r="K611" i="2"/>
  <c r="L611" i="2" s="1"/>
  <c r="K612" i="2"/>
  <c r="L612" i="2"/>
  <c r="K613" i="2"/>
  <c r="L613" i="2" s="1"/>
  <c r="K614" i="2"/>
  <c r="L614" i="2" s="1"/>
  <c r="K615" i="2"/>
  <c r="L615" i="2" s="1"/>
  <c r="K616" i="2"/>
  <c r="L616" i="2" s="1"/>
  <c r="K617" i="2"/>
  <c r="L617" i="2" s="1"/>
  <c r="K618" i="2"/>
  <c r="L618" i="2" s="1"/>
  <c r="K619" i="2"/>
  <c r="L619" i="2" s="1"/>
  <c r="K620" i="2"/>
  <c r="L620" i="2"/>
  <c r="K621" i="2"/>
  <c r="L621" i="2" s="1"/>
  <c r="K622" i="2"/>
  <c r="L622" i="2" s="1"/>
  <c r="K623" i="2"/>
  <c r="L623" i="2" s="1"/>
  <c r="K624" i="2"/>
  <c r="L624" i="2" s="1"/>
  <c r="K625" i="2"/>
  <c r="L625" i="2" s="1"/>
  <c r="K626" i="2"/>
  <c r="L626" i="2" s="1"/>
  <c r="K627" i="2"/>
  <c r="L627" i="2" s="1"/>
  <c r="K628" i="2"/>
  <c r="L628" i="2"/>
  <c r="K629" i="2"/>
  <c r="L629" i="2" s="1"/>
  <c r="K630" i="2"/>
  <c r="L630" i="2" s="1"/>
  <c r="K631" i="2"/>
  <c r="L631" i="2" s="1"/>
  <c r="K632" i="2"/>
  <c r="L632" i="2" s="1"/>
  <c r="K633" i="2"/>
  <c r="L633" i="2" s="1"/>
  <c r="K634" i="2"/>
  <c r="L634" i="2" s="1"/>
  <c r="K635" i="2"/>
  <c r="L635" i="2" s="1"/>
  <c r="K636" i="2"/>
  <c r="L636" i="2" s="1"/>
  <c r="K637" i="2"/>
  <c r="L637" i="2" s="1"/>
  <c r="K638" i="2"/>
  <c r="L638" i="2" s="1"/>
  <c r="K639" i="2"/>
  <c r="L639" i="2" s="1"/>
  <c r="K640" i="2"/>
  <c r="L640" i="2" s="1"/>
  <c r="K641" i="2"/>
  <c r="L641" i="2" s="1"/>
  <c r="K642" i="2"/>
  <c r="L642" i="2" s="1"/>
  <c r="K643" i="2"/>
  <c r="L643" i="2" s="1"/>
  <c r="K644" i="2"/>
  <c r="L644" i="2"/>
  <c r="K645" i="2"/>
  <c r="L645" i="2" s="1"/>
  <c r="K646" i="2"/>
  <c r="L646" i="2" s="1"/>
  <c r="K647" i="2"/>
  <c r="L647" i="2" s="1"/>
  <c r="K648" i="2"/>
  <c r="L648" i="2" s="1"/>
  <c r="K649" i="2"/>
  <c r="L649" i="2" s="1"/>
  <c r="K650" i="2"/>
  <c r="L650" i="2" s="1"/>
  <c r="K651" i="2"/>
  <c r="L651" i="2" s="1"/>
  <c r="K652" i="2"/>
  <c r="L652" i="2"/>
  <c r="K653" i="2"/>
  <c r="L653" i="2" s="1"/>
  <c r="K654" i="2"/>
  <c r="L654" i="2" s="1"/>
  <c r="K655" i="2"/>
  <c r="L655" i="2" s="1"/>
  <c r="K656" i="2"/>
  <c r="L656" i="2" s="1"/>
  <c r="K657" i="2"/>
  <c r="L657" i="2" s="1"/>
  <c r="K658" i="2"/>
  <c r="L658" i="2" s="1"/>
  <c r="K659" i="2"/>
  <c r="L659" i="2" s="1"/>
  <c r="K660" i="2"/>
  <c r="L660" i="2"/>
  <c r="K661" i="2"/>
  <c r="L661" i="2" s="1"/>
  <c r="K662" i="2"/>
  <c r="L662" i="2" s="1"/>
  <c r="K663" i="2"/>
  <c r="L663" i="2" s="1"/>
  <c r="K664" i="2"/>
  <c r="L664" i="2" s="1"/>
  <c r="K665" i="2"/>
  <c r="L665" i="2" s="1"/>
  <c r="K666" i="2"/>
  <c r="L666" i="2" s="1"/>
  <c r="K667" i="2"/>
  <c r="L667" i="2" s="1"/>
  <c r="K668" i="2"/>
  <c r="L668" i="2" s="1"/>
  <c r="K669" i="2"/>
  <c r="L669" i="2" s="1"/>
  <c r="K670" i="2"/>
  <c r="L670" i="2" s="1"/>
  <c r="K671" i="2"/>
  <c r="L671" i="2" s="1"/>
  <c r="K672" i="2"/>
  <c r="L672" i="2" s="1"/>
  <c r="K673" i="2"/>
  <c r="L673" i="2" s="1"/>
  <c r="K674" i="2"/>
  <c r="L674" i="2" s="1"/>
  <c r="K675" i="2"/>
  <c r="L675" i="2" s="1"/>
  <c r="K676" i="2"/>
  <c r="L676" i="2"/>
  <c r="K677" i="2"/>
  <c r="L677" i="2" s="1"/>
  <c r="K678" i="2"/>
  <c r="L678" i="2" s="1"/>
  <c r="K679" i="2"/>
  <c r="L679" i="2" s="1"/>
  <c r="K680" i="2"/>
  <c r="L680" i="2" s="1"/>
  <c r="K681" i="2"/>
  <c r="L681" i="2" s="1"/>
  <c r="K682" i="2"/>
  <c r="L682" i="2" s="1"/>
  <c r="K683" i="2"/>
  <c r="L683" i="2" s="1"/>
  <c r="K684" i="2"/>
  <c r="L684" i="2"/>
  <c r="K685" i="2"/>
  <c r="L685" i="2" s="1"/>
  <c r="K686" i="2"/>
  <c r="L686" i="2" s="1"/>
  <c r="K687" i="2"/>
  <c r="L687" i="2" s="1"/>
  <c r="K688" i="2"/>
  <c r="L688" i="2" s="1"/>
  <c r="K689" i="2"/>
  <c r="L689" i="2" s="1"/>
  <c r="K690" i="2"/>
  <c r="L690" i="2" s="1"/>
  <c r="K691" i="2"/>
  <c r="L691" i="2" s="1"/>
  <c r="K692" i="2"/>
  <c r="L692" i="2"/>
  <c r="K693" i="2"/>
  <c r="L693" i="2" s="1"/>
  <c r="K694" i="2"/>
  <c r="L694" i="2" s="1"/>
  <c r="K695" i="2"/>
  <c r="L695" i="2" s="1"/>
  <c r="K696" i="2"/>
  <c r="L696" i="2" s="1"/>
  <c r="K697" i="2"/>
  <c r="L697" i="2" s="1"/>
  <c r="K698" i="2"/>
  <c r="L698" i="2" s="1"/>
  <c r="K699" i="2"/>
  <c r="L699" i="2" s="1"/>
  <c r="K700" i="2"/>
  <c r="L700" i="2" s="1"/>
  <c r="K701" i="2"/>
  <c r="L701" i="2" s="1"/>
  <c r="K702" i="2"/>
  <c r="L702" i="2" s="1"/>
  <c r="K703" i="2"/>
  <c r="L703" i="2" s="1"/>
  <c r="K704" i="2"/>
  <c r="L704" i="2" s="1"/>
  <c r="K705" i="2"/>
  <c r="L705" i="2" s="1"/>
  <c r="K706" i="2"/>
  <c r="L706" i="2" s="1"/>
  <c r="K707" i="2"/>
  <c r="L707" i="2" s="1"/>
  <c r="K708" i="2"/>
  <c r="L708" i="2"/>
  <c r="K709" i="2"/>
  <c r="L709" i="2" s="1"/>
  <c r="K710" i="2"/>
  <c r="L710" i="2" s="1"/>
  <c r="K711" i="2"/>
  <c r="L711" i="2" s="1"/>
  <c r="K712" i="2"/>
  <c r="L712" i="2" s="1"/>
  <c r="K713" i="2"/>
  <c r="L713" i="2"/>
  <c r="K714" i="2"/>
  <c r="L714" i="2" s="1"/>
  <c r="K715" i="2"/>
  <c r="L715" i="2"/>
  <c r="K716" i="2"/>
  <c r="L716" i="2" s="1"/>
  <c r="K717" i="2"/>
  <c r="L717" i="2"/>
  <c r="K718" i="2"/>
  <c r="L718" i="2" s="1"/>
  <c r="K719" i="2"/>
  <c r="L719" i="2" s="1"/>
  <c r="K720" i="2"/>
  <c r="L720" i="2" s="1"/>
  <c r="K721" i="2"/>
  <c r="L721" i="2"/>
  <c r="K722" i="2"/>
  <c r="L722" i="2" s="1"/>
  <c r="K723" i="2"/>
  <c r="L723" i="2"/>
  <c r="K724" i="2"/>
  <c r="L724" i="2" s="1"/>
  <c r="K725" i="2"/>
  <c r="L725" i="2"/>
  <c r="K726" i="2"/>
  <c r="L726" i="2" s="1"/>
  <c r="K727" i="2"/>
  <c r="L727" i="2" s="1"/>
  <c r="K728" i="2"/>
  <c r="L728" i="2" s="1"/>
  <c r="K729" i="2"/>
  <c r="L729" i="2"/>
  <c r="K730" i="2"/>
  <c r="L730" i="2" s="1"/>
  <c r="K731" i="2"/>
  <c r="L731" i="2" s="1"/>
  <c r="K732" i="2"/>
  <c r="L732" i="2" s="1"/>
  <c r="K733" i="2"/>
  <c r="L733" i="2" s="1"/>
  <c r="K734" i="2"/>
  <c r="L734" i="2" s="1"/>
  <c r="K735" i="2"/>
  <c r="L735" i="2" s="1"/>
  <c r="K736" i="2"/>
  <c r="L736" i="2" s="1"/>
  <c r="K737" i="2"/>
  <c r="L737" i="2" s="1"/>
  <c r="K738" i="2"/>
  <c r="L738" i="2" s="1"/>
  <c r="K739" i="2"/>
  <c r="L739" i="2" s="1"/>
  <c r="K740" i="2"/>
  <c r="L740" i="2" s="1"/>
  <c r="K741" i="2"/>
  <c r="L741" i="2"/>
  <c r="K742" i="2"/>
  <c r="L742" i="2" s="1"/>
  <c r="K743" i="2"/>
  <c r="L743" i="2" s="1"/>
  <c r="K744" i="2"/>
  <c r="L744" i="2" s="1"/>
  <c r="K745" i="2"/>
  <c r="L745" i="2" s="1"/>
  <c r="K746" i="2"/>
  <c r="L746" i="2" s="1"/>
  <c r="K747" i="2"/>
  <c r="L747" i="2" s="1"/>
  <c r="K748" i="2"/>
  <c r="L748" i="2" s="1"/>
  <c r="K749" i="2"/>
  <c r="L749" i="2"/>
  <c r="K750" i="2"/>
  <c r="L750" i="2" s="1"/>
  <c r="K751" i="2"/>
  <c r="L751" i="2" s="1"/>
  <c r="K752" i="2"/>
  <c r="L752" i="2" s="1"/>
  <c r="K753" i="2"/>
  <c r="L753" i="2" s="1"/>
  <c r="K754" i="2"/>
  <c r="L754" i="2" s="1"/>
  <c r="K755" i="2"/>
  <c r="L755" i="2" s="1"/>
  <c r="K756" i="2"/>
  <c r="L756" i="2" s="1"/>
  <c r="K757" i="2"/>
  <c r="L757" i="2"/>
  <c r="K758" i="2"/>
  <c r="L758" i="2" s="1"/>
  <c r="K759" i="2"/>
  <c r="L759" i="2" s="1"/>
  <c r="K760" i="2"/>
  <c r="L760" i="2" s="1"/>
  <c r="K761" i="2"/>
  <c r="L761" i="2" s="1"/>
  <c r="K762" i="2"/>
  <c r="L762" i="2" s="1"/>
  <c r="K763" i="2"/>
  <c r="L763" i="2" s="1"/>
  <c r="K764" i="2"/>
  <c r="L764" i="2" s="1"/>
  <c r="K765" i="2"/>
  <c r="L765" i="2" s="1"/>
  <c r="K766" i="2"/>
  <c r="L766" i="2" s="1"/>
  <c r="K767" i="2"/>
  <c r="L767" i="2" s="1"/>
  <c r="K768" i="2"/>
  <c r="L768" i="2" s="1"/>
  <c r="K769" i="2"/>
  <c r="L769" i="2" s="1"/>
  <c r="K770" i="2"/>
  <c r="L770" i="2" s="1"/>
  <c r="K771" i="2"/>
  <c r="L771" i="2" s="1"/>
  <c r="K772" i="2"/>
  <c r="L772" i="2" s="1"/>
  <c r="K773" i="2"/>
  <c r="L773" i="2"/>
  <c r="K774" i="2"/>
  <c r="L774" i="2" s="1"/>
  <c r="K775" i="2"/>
  <c r="L775" i="2" s="1"/>
  <c r="K776" i="2"/>
  <c r="L776" i="2" s="1"/>
  <c r="K777" i="2"/>
  <c r="L777" i="2" s="1"/>
  <c r="K778" i="2"/>
  <c r="L778" i="2" s="1"/>
  <c r="K779" i="2"/>
  <c r="L779" i="2" s="1"/>
  <c r="K780" i="2"/>
  <c r="L780" i="2" s="1"/>
  <c r="K781" i="2"/>
  <c r="L781" i="2"/>
  <c r="K782" i="2"/>
  <c r="L782" i="2" s="1"/>
  <c r="K783" i="2"/>
  <c r="L783" i="2" s="1"/>
  <c r="K784" i="2"/>
  <c r="L784" i="2" s="1"/>
  <c r="K785" i="2"/>
  <c r="L785" i="2" s="1"/>
  <c r="K786" i="2"/>
  <c r="L786" i="2" s="1"/>
  <c r="K787" i="2"/>
  <c r="L787" i="2" s="1"/>
  <c r="K788" i="2"/>
  <c r="L788" i="2" s="1"/>
  <c r="K789" i="2"/>
  <c r="L789" i="2"/>
  <c r="K790" i="2"/>
  <c r="L790" i="2" s="1"/>
  <c r="K791" i="2"/>
  <c r="L791" i="2" s="1"/>
  <c r="K792" i="2"/>
  <c r="L792" i="2" s="1"/>
  <c r="K793" i="2"/>
  <c r="L793" i="2" s="1"/>
  <c r="K794" i="2"/>
  <c r="L794" i="2" s="1"/>
  <c r="K795" i="2"/>
  <c r="L795" i="2" s="1"/>
  <c r="K796" i="2"/>
  <c r="L796" i="2" s="1"/>
  <c r="K797" i="2"/>
  <c r="L797" i="2" s="1"/>
  <c r="K798" i="2"/>
  <c r="L798" i="2" s="1"/>
  <c r="K799" i="2"/>
  <c r="L799" i="2" s="1"/>
  <c r="K800" i="2"/>
  <c r="L800" i="2" s="1"/>
  <c r="K801" i="2"/>
  <c r="L801" i="2" s="1"/>
  <c r="K802" i="2"/>
  <c r="L802" i="2" s="1"/>
  <c r="K803" i="2"/>
  <c r="L803" i="2" s="1"/>
  <c r="K804" i="2"/>
  <c r="L804" i="2" s="1"/>
  <c r="K805" i="2"/>
  <c r="L805" i="2"/>
  <c r="K806" i="2"/>
  <c r="L806" i="2" s="1"/>
  <c r="K807" i="2"/>
  <c r="L807" i="2" s="1"/>
  <c r="K808" i="2"/>
  <c r="L808" i="2" s="1"/>
  <c r="K809" i="2"/>
  <c r="L809" i="2" s="1"/>
  <c r="K810" i="2"/>
  <c r="L810" i="2" s="1"/>
  <c r="K811" i="2"/>
  <c r="L811" i="2" s="1"/>
  <c r="K812" i="2"/>
  <c r="L812" i="2" s="1"/>
  <c r="K813" i="2"/>
  <c r="L813" i="2"/>
  <c r="K814" i="2"/>
  <c r="L814" i="2" s="1"/>
  <c r="K815" i="2"/>
  <c r="L815" i="2" s="1"/>
  <c r="K816" i="2"/>
  <c r="L816" i="2" s="1"/>
  <c r="K817" i="2"/>
  <c r="L817" i="2"/>
  <c r="K818" i="2"/>
  <c r="L818" i="2" s="1"/>
  <c r="K819" i="2"/>
  <c r="L819" i="2" s="1"/>
  <c r="K820" i="2"/>
  <c r="L820" i="2" s="1"/>
  <c r="K821" i="2"/>
  <c r="L821" i="2" s="1"/>
  <c r="K822" i="2"/>
  <c r="L822" i="2" s="1"/>
  <c r="K823" i="2"/>
  <c r="L823" i="2" s="1"/>
  <c r="K824" i="2"/>
  <c r="L824" i="2" s="1"/>
  <c r="K825" i="2"/>
  <c r="L825" i="2"/>
  <c r="K826" i="2"/>
  <c r="L826" i="2" s="1"/>
  <c r="K827" i="2"/>
  <c r="L827" i="2" s="1"/>
  <c r="K828" i="2"/>
  <c r="L828" i="2" s="1"/>
  <c r="K829" i="2"/>
  <c r="L829" i="2"/>
  <c r="K830" i="2"/>
  <c r="L830" i="2" s="1"/>
  <c r="K831" i="2"/>
  <c r="L831" i="2" s="1"/>
  <c r="K832" i="2"/>
  <c r="L832" i="2" s="1"/>
  <c r="K833" i="2"/>
  <c r="L833" i="2"/>
  <c r="K834" i="2"/>
  <c r="L834" i="2" s="1"/>
  <c r="K835" i="2"/>
  <c r="L835" i="2" s="1"/>
  <c r="K836" i="2"/>
  <c r="L836" i="2" s="1"/>
  <c r="K837" i="2"/>
  <c r="L837" i="2" s="1"/>
  <c r="K838" i="2"/>
  <c r="L838" i="2" s="1"/>
  <c r="K839" i="2"/>
  <c r="L839" i="2" s="1"/>
  <c r="K840" i="2"/>
  <c r="L840" i="2" s="1"/>
  <c r="K841" i="2"/>
  <c r="L841" i="2"/>
  <c r="K842" i="2"/>
  <c r="L842" i="2" s="1"/>
  <c r="K843" i="2"/>
  <c r="L843" i="2" s="1"/>
  <c r="K844" i="2"/>
  <c r="L844" i="2" s="1"/>
  <c r="K845" i="2"/>
  <c r="L845" i="2"/>
  <c r="K846" i="2"/>
  <c r="L846" i="2" s="1"/>
  <c r="K847" i="2"/>
  <c r="L847" i="2" s="1"/>
  <c r="K848" i="2"/>
  <c r="L848" i="2" s="1"/>
  <c r="K849" i="2"/>
  <c r="L849" i="2"/>
  <c r="K850" i="2"/>
  <c r="L850" i="2" s="1"/>
  <c r="K851" i="2"/>
  <c r="L851" i="2" s="1"/>
  <c r="K852" i="2"/>
  <c r="L852" i="2" s="1"/>
  <c r="K853" i="2"/>
  <c r="L853" i="2" s="1"/>
  <c r="K854" i="2"/>
  <c r="L854" i="2" s="1"/>
  <c r="K855" i="2"/>
  <c r="L855" i="2" s="1"/>
  <c r="K856" i="2"/>
  <c r="L856" i="2" s="1"/>
  <c r="K857" i="2"/>
  <c r="L857" i="2"/>
  <c r="K858" i="2"/>
  <c r="L858" i="2" s="1"/>
  <c r="K859" i="2"/>
  <c r="L859" i="2" s="1"/>
  <c r="K860" i="2"/>
  <c r="L860" i="2" s="1"/>
  <c r="K861" i="2"/>
  <c r="L861" i="2"/>
  <c r="K862" i="2"/>
  <c r="L862" i="2" s="1"/>
  <c r="K863" i="2"/>
  <c r="L863" i="2" s="1"/>
  <c r="K864" i="2"/>
  <c r="L864" i="2" s="1"/>
  <c r="K865" i="2"/>
  <c r="L865" i="2"/>
  <c r="K866" i="2"/>
  <c r="L866" i="2" s="1"/>
  <c r="K867" i="2"/>
  <c r="L867" i="2" s="1"/>
  <c r="K868" i="2"/>
  <c r="L868" i="2" s="1"/>
  <c r="K869" i="2"/>
  <c r="L869" i="2" s="1"/>
  <c r="K870" i="2"/>
  <c r="L870" i="2" s="1"/>
  <c r="K871" i="2"/>
  <c r="L871" i="2" s="1"/>
  <c r="K872" i="2"/>
  <c r="L872" i="2" s="1"/>
  <c r="K873" i="2"/>
  <c r="L873" i="2"/>
  <c r="K874" i="2"/>
  <c r="L874" i="2" s="1"/>
  <c r="K875" i="2"/>
  <c r="L875" i="2" s="1"/>
  <c r="K876" i="2"/>
  <c r="L876" i="2" s="1"/>
  <c r="K877" i="2"/>
  <c r="L877" i="2"/>
  <c r="K878" i="2"/>
  <c r="L878" i="2" s="1"/>
  <c r="K879" i="2"/>
  <c r="L879" i="2" s="1"/>
  <c r="K880" i="2"/>
  <c r="L880" i="2" s="1"/>
  <c r="K881" i="2"/>
  <c r="L881" i="2"/>
  <c r="K882" i="2"/>
  <c r="L882" i="2" s="1"/>
  <c r="K883" i="2"/>
  <c r="L883" i="2" s="1"/>
  <c r="K884" i="2"/>
  <c r="L884" i="2" s="1"/>
  <c r="K885" i="2"/>
  <c r="L885" i="2" s="1"/>
  <c r="K886" i="2"/>
  <c r="L886" i="2" s="1"/>
  <c r="K887" i="2"/>
  <c r="L887" i="2" s="1"/>
  <c r="K888" i="2"/>
  <c r="L888" i="2" s="1"/>
  <c r="K889" i="2"/>
  <c r="L889" i="2"/>
  <c r="K890" i="2"/>
  <c r="L890" i="2" s="1"/>
  <c r="K891" i="2"/>
  <c r="L891" i="2" s="1"/>
  <c r="K892" i="2"/>
  <c r="L892" i="2" s="1"/>
  <c r="K893" i="2"/>
  <c r="L893" i="2"/>
  <c r="K894" i="2"/>
  <c r="L894" i="2" s="1"/>
  <c r="K895" i="2"/>
  <c r="L895" i="2" s="1"/>
  <c r="K896" i="2"/>
  <c r="L896" i="2" s="1"/>
  <c r="K897" i="2"/>
  <c r="L897" i="2"/>
  <c r="K898" i="2"/>
  <c r="L898" i="2" s="1"/>
  <c r="K899" i="2"/>
  <c r="L899" i="2" s="1"/>
  <c r="K900" i="2"/>
  <c r="L900" i="2" s="1"/>
  <c r="K901" i="2"/>
  <c r="L901" i="2" s="1"/>
  <c r="K902" i="2"/>
  <c r="L902" i="2" s="1"/>
  <c r="K903" i="2"/>
  <c r="L903" i="2" s="1"/>
  <c r="K904" i="2"/>
  <c r="L904" i="2" s="1"/>
  <c r="K905" i="2"/>
  <c r="L905" i="2"/>
  <c r="K906" i="2"/>
  <c r="L906" i="2" s="1"/>
  <c r="K907" i="2"/>
  <c r="L907" i="2" s="1"/>
  <c r="K908" i="2"/>
  <c r="L908" i="2" s="1"/>
  <c r="K909" i="2"/>
  <c r="L909" i="2"/>
  <c r="K910" i="2"/>
  <c r="L910" i="2" s="1"/>
  <c r="K911" i="2"/>
  <c r="L911" i="2" s="1"/>
  <c r="K912" i="2"/>
  <c r="L912" i="2" s="1"/>
  <c r="K913" i="2"/>
  <c r="L913" i="2"/>
  <c r="K914" i="2"/>
  <c r="L914" i="2" s="1"/>
  <c r="K915" i="2"/>
  <c r="L915" i="2" s="1"/>
  <c r="K916" i="2"/>
  <c r="L916" i="2" s="1"/>
  <c r="K917" i="2"/>
  <c r="L917" i="2" s="1"/>
  <c r="K918" i="2"/>
  <c r="L918" i="2" s="1"/>
  <c r="K919" i="2"/>
  <c r="L919" i="2" s="1"/>
  <c r="K920" i="2"/>
  <c r="L920" i="2" s="1"/>
  <c r="K921" i="2"/>
  <c r="L921" i="2"/>
  <c r="K922" i="2"/>
  <c r="L922" i="2" s="1"/>
  <c r="K923" i="2"/>
  <c r="L923" i="2" s="1"/>
  <c r="K924" i="2"/>
  <c r="L924" i="2" s="1"/>
  <c r="K925" i="2"/>
  <c r="L925" i="2"/>
  <c r="K926" i="2"/>
  <c r="L926" i="2" s="1"/>
  <c r="K927" i="2"/>
  <c r="L927" i="2" s="1"/>
  <c r="K928" i="2"/>
  <c r="L928" i="2" s="1"/>
  <c r="K929" i="2"/>
  <c r="L929" i="2"/>
  <c r="K930" i="2"/>
  <c r="L930" i="2" s="1"/>
  <c r="K931" i="2"/>
  <c r="L931" i="2" s="1"/>
  <c r="K932" i="2"/>
  <c r="L932" i="2" s="1"/>
  <c r="K933" i="2"/>
  <c r="L933" i="2" s="1"/>
  <c r="K934" i="2"/>
  <c r="L934" i="2" s="1"/>
  <c r="K935" i="2"/>
  <c r="L935" i="2" s="1"/>
  <c r="K936" i="2"/>
  <c r="L936" i="2" s="1"/>
  <c r="K937" i="2"/>
  <c r="L937" i="2"/>
  <c r="K938" i="2"/>
  <c r="L938" i="2" s="1"/>
  <c r="K939" i="2"/>
  <c r="L939" i="2" s="1"/>
  <c r="K940" i="2"/>
  <c r="L940" i="2" s="1"/>
  <c r="K941" i="2"/>
  <c r="L941" i="2"/>
  <c r="K942" i="2"/>
  <c r="L942" i="2" s="1"/>
  <c r="K943" i="2"/>
  <c r="L943" i="2" s="1"/>
  <c r="K944" i="2"/>
  <c r="L944" i="2" s="1"/>
  <c r="K945" i="2"/>
  <c r="L945" i="2"/>
  <c r="K946" i="2"/>
  <c r="L946" i="2" s="1"/>
  <c r="K947" i="2"/>
  <c r="L947" i="2" s="1"/>
  <c r="K948" i="2"/>
  <c r="L948" i="2" s="1"/>
  <c r="K949" i="2"/>
  <c r="L949" i="2" s="1"/>
  <c r="K950" i="2"/>
  <c r="L950" i="2" s="1"/>
  <c r="K951" i="2"/>
  <c r="L951" i="2" s="1"/>
  <c r="K952" i="2"/>
  <c r="L952" i="2" s="1"/>
  <c r="K953" i="2"/>
  <c r="L953" i="2"/>
  <c r="K954" i="2"/>
  <c r="L954" i="2" s="1"/>
  <c r="K955" i="2"/>
  <c r="L955" i="2" s="1"/>
  <c r="K956" i="2"/>
  <c r="L956" i="2" s="1"/>
  <c r="K957" i="2"/>
  <c r="L957" i="2"/>
  <c r="K958" i="2"/>
  <c r="L958" i="2" s="1"/>
  <c r="K959" i="2"/>
  <c r="L959" i="2" s="1"/>
  <c r="K960" i="2"/>
  <c r="L960" i="2" s="1"/>
  <c r="K961" i="2"/>
  <c r="L961" i="2" s="1"/>
  <c r="K962" i="2"/>
  <c r="L962" i="2" s="1"/>
  <c r="K963" i="2"/>
  <c r="L963" i="2" s="1"/>
  <c r="K964" i="2"/>
  <c r="L964" i="2" s="1"/>
  <c r="K965" i="2"/>
  <c r="L965" i="2" s="1"/>
  <c r="K966" i="2"/>
  <c r="L966" i="2" s="1"/>
  <c r="K967" i="2"/>
  <c r="L967" i="2" s="1"/>
  <c r="K968" i="2"/>
  <c r="L968" i="2" s="1"/>
  <c r="K969" i="2"/>
  <c r="L969" i="2" s="1"/>
  <c r="K970" i="2"/>
  <c r="L970" i="2" s="1"/>
  <c r="K971" i="2"/>
  <c r="L971" i="2" s="1"/>
  <c r="K972" i="2"/>
  <c r="L972" i="2" s="1"/>
  <c r="K973" i="2"/>
  <c r="L973" i="2" s="1"/>
  <c r="K974" i="2"/>
  <c r="L974" i="2" s="1"/>
  <c r="K975" i="2"/>
  <c r="L975" i="2" s="1"/>
  <c r="K976" i="2"/>
  <c r="L976" i="2" s="1"/>
  <c r="K977" i="2"/>
  <c r="L977" i="2" s="1"/>
  <c r="K978" i="2"/>
  <c r="L978" i="2" s="1"/>
  <c r="K979" i="2"/>
  <c r="L979" i="2" s="1"/>
  <c r="K980" i="2"/>
  <c r="L980" i="2" s="1"/>
  <c r="K981" i="2"/>
  <c r="L981" i="2" s="1"/>
  <c r="K982" i="2"/>
  <c r="L982" i="2" s="1"/>
  <c r="K983" i="2"/>
  <c r="L983" i="2" s="1"/>
  <c r="K984" i="2"/>
  <c r="L984" i="2" s="1"/>
  <c r="K985" i="2"/>
  <c r="L985" i="2" s="1"/>
  <c r="K986" i="2"/>
  <c r="L986" i="2" s="1"/>
  <c r="K987" i="2"/>
  <c r="L987" i="2" s="1"/>
  <c r="K988" i="2"/>
  <c r="L988" i="2" s="1"/>
  <c r="K989" i="2"/>
  <c r="L989" i="2" s="1"/>
  <c r="K990" i="2"/>
  <c r="L990" i="2" s="1"/>
  <c r="K991" i="2"/>
  <c r="L991" i="2" s="1"/>
  <c r="K992" i="2"/>
  <c r="L992" i="2" s="1"/>
  <c r="K993" i="2"/>
  <c r="L993" i="2" s="1"/>
  <c r="K994" i="2"/>
  <c r="L994" i="2" s="1"/>
  <c r="K995" i="2"/>
  <c r="L995" i="2" s="1"/>
  <c r="K996" i="2"/>
  <c r="L996" i="2" s="1"/>
  <c r="K997" i="2"/>
  <c r="L997" i="2" s="1"/>
  <c r="K998" i="2"/>
  <c r="L998" i="2" s="1"/>
  <c r="K999" i="2"/>
  <c r="L999" i="2" s="1"/>
  <c r="K1000" i="2"/>
  <c r="L1000" i="2" s="1"/>
  <c r="K1001" i="2"/>
  <c r="L1001" i="2" s="1"/>
  <c r="K1002" i="2"/>
  <c r="L1002" i="2" s="1"/>
  <c r="K1003" i="2"/>
  <c r="L1003" i="2" s="1"/>
  <c r="K1004" i="2"/>
  <c r="L1004" i="2" s="1"/>
  <c r="K1005" i="2"/>
  <c r="L1005" i="2" s="1"/>
  <c r="K1006" i="2"/>
  <c r="L1006" i="2" s="1"/>
  <c r="K1007" i="2"/>
  <c r="L1007" i="2" s="1"/>
  <c r="K1008" i="2"/>
  <c r="L1008" i="2" s="1"/>
  <c r="K1009" i="2"/>
  <c r="L1009" i="2" s="1"/>
  <c r="K1010" i="2"/>
  <c r="L1010" i="2" s="1"/>
  <c r="K1011" i="2"/>
  <c r="L1011" i="2" s="1"/>
  <c r="K1012" i="2"/>
  <c r="L1012" i="2" s="1"/>
  <c r="K1013" i="2"/>
  <c r="L1013" i="2" s="1"/>
  <c r="K1014" i="2"/>
  <c r="L1014" i="2" s="1"/>
  <c r="K1015" i="2"/>
  <c r="L1015" i="2" s="1"/>
  <c r="K1016" i="2"/>
  <c r="L1016" i="2" s="1"/>
  <c r="K1017" i="2"/>
  <c r="L1017" i="2" s="1"/>
  <c r="K1018" i="2"/>
  <c r="L1018" i="2" s="1"/>
  <c r="K1019" i="2"/>
  <c r="L1019" i="2" s="1"/>
  <c r="K1020" i="2"/>
  <c r="L1020" i="2" s="1"/>
  <c r="K1021" i="2"/>
  <c r="L1021" i="2" s="1"/>
  <c r="K1022" i="2"/>
  <c r="L1022" i="2" s="1"/>
  <c r="K1023" i="2"/>
  <c r="L1023" i="2" s="1"/>
  <c r="K1024" i="2"/>
  <c r="L1024" i="2" s="1"/>
  <c r="K1025" i="2"/>
  <c r="L1025" i="2" s="1"/>
  <c r="K1026" i="2"/>
  <c r="L1026" i="2" s="1"/>
  <c r="K1027" i="2"/>
  <c r="L1027" i="2" s="1"/>
  <c r="K1028" i="2"/>
  <c r="L1028" i="2" s="1"/>
  <c r="K1029" i="2"/>
  <c r="L1029" i="2" s="1"/>
  <c r="K1030" i="2"/>
  <c r="L1030" i="2" s="1"/>
  <c r="K1031" i="2"/>
  <c r="L1031" i="2" s="1"/>
  <c r="K1032" i="2"/>
  <c r="L1032" i="2" s="1"/>
  <c r="K1033" i="2"/>
  <c r="L1033" i="2" s="1"/>
  <c r="K1034" i="2"/>
  <c r="L1034" i="2" s="1"/>
  <c r="K1035" i="2"/>
  <c r="L1035" i="2" s="1"/>
  <c r="K1036" i="2"/>
  <c r="L1036" i="2" s="1"/>
  <c r="K1037" i="2"/>
  <c r="L1037" i="2" s="1"/>
  <c r="K1038" i="2"/>
  <c r="L1038" i="2" s="1"/>
  <c r="K1039" i="2"/>
  <c r="L1039" i="2" s="1"/>
  <c r="K1040" i="2"/>
  <c r="L1040" i="2" s="1"/>
  <c r="K1041" i="2"/>
  <c r="L1041" i="2" s="1"/>
  <c r="K1042" i="2"/>
  <c r="L1042" i="2" s="1"/>
  <c r="K1043" i="2"/>
  <c r="L1043" i="2" s="1"/>
  <c r="K1044" i="2"/>
  <c r="L1044" i="2" s="1"/>
  <c r="K1045" i="2"/>
  <c r="L1045" i="2" s="1"/>
  <c r="K1046" i="2"/>
  <c r="L1046" i="2" s="1"/>
  <c r="K1047" i="2"/>
  <c r="L1047" i="2" s="1"/>
  <c r="K1048" i="2"/>
  <c r="L1048" i="2" s="1"/>
  <c r="K1049" i="2"/>
  <c r="L1049" i="2" s="1"/>
  <c r="K1050" i="2"/>
  <c r="L1050" i="2" s="1"/>
  <c r="K1051" i="2"/>
  <c r="L1051" i="2" s="1"/>
  <c r="K1052" i="2"/>
  <c r="L1052" i="2" s="1"/>
  <c r="K1053" i="2"/>
  <c r="L1053" i="2" s="1"/>
  <c r="K1054" i="2"/>
  <c r="L1054" i="2" s="1"/>
  <c r="K1055" i="2"/>
  <c r="L1055" i="2" s="1"/>
  <c r="K1056" i="2"/>
  <c r="L1056" i="2" s="1"/>
  <c r="K1057" i="2"/>
  <c r="L1057" i="2" s="1"/>
  <c r="K1058" i="2"/>
  <c r="L1058" i="2" s="1"/>
  <c r="K1059" i="2"/>
  <c r="L1059" i="2" s="1"/>
  <c r="K1060" i="2"/>
  <c r="L1060" i="2" s="1"/>
  <c r="K1061" i="2"/>
  <c r="L1061" i="2" s="1"/>
  <c r="K1062" i="2"/>
  <c r="L1062" i="2" s="1"/>
  <c r="K1063" i="2"/>
  <c r="L1063" i="2" s="1"/>
  <c r="K1064" i="2"/>
  <c r="L1064" i="2" s="1"/>
  <c r="K1065" i="2"/>
  <c r="L1065" i="2" s="1"/>
  <c r="K1066" i="2"/>
  <c r="L1066" i="2" s="1"/>
  <c r="K1067" i="2"/>
  <c r="L1067" i="2" s="1"/>
  <c r="K1068" i="2"/>
  <c r="L1068" i="2" s="1"/>
  <c r="K1069" i="2"/>
  <c r="L1069" i="2" s="1"/>
  <c r="K1070" i="2"/>
  <c r="L1070" i="2" s="1"/>
  <c r="K1071" i="2"/>
  <c r="L1071" i="2" s="1"/>
  <c r="K1072" i="2"/>
  <c r="L1072" i="2" s="1"/>
  <c r="K1073" i="2"/>
  <c r="L1073" i="2" s="1"/>
  <c r="K1074" i="2"/>
  <c r="L1074" i="2" s="1"/>
  <c r="K1075" i="2"/>
  <c r="L1075" i="2" s="1"/>
  <c r="K1076" i="2"/>
  <c r="L1076" i="2" s="1"/>
  <c r="K1077" i="2"/>
  <c r="L1077" i="2" s="1"/>
  <c r="K1078" i="2"/>
  <c r="L1078" i="2" s="1"/>
  <c r="K1079" i="2"/>
  <c r="L1079" i="2" s="1"/>
  <c r="K1080" i="2"/>
  <c r="L1080" i="2" s="1"/>
  <c r="K1081" i="2"/>
  <c r="L1081" i="2" s="1"/>
  <c r="K1082" i="2"/>
  <c r="L1082" i="2" s="1"/>
  <c r="K1083" i="2"/>
  <c r="L1083" i="2" s="1"/>
  <c r="K1084" i="2"/>
  <c r="L1084" i="2" s="1"/>
  <c r="K1085" i="2"/>
  <c r="L1085" i="2" s="1"/>
  <c r="K1086" i="2"/>
  <c r="L1086" i="2" s="1"/>
  <c r="K1087" i="2"/>
  <c r="L1087" i="2" s="1"/>
  <c r="K1088" i="2"/>
  <c r="L1088" i="2" s="1"/>
  <c r="K1089" i="2"/>
  <c r="L1089" i="2" s="1"/>
  <c r="K1090" i="2"/>
  <c r="L1090" i="2" s="1"/>
  <c r="K1091" i="2"/>
  <c r="L1091" i="2" s="1"/>
  <c r="K1092" i="2"/>
  <c r="L1092" i="2" s="1"/>
  <c r="K1093" i="2"/>
  <c r="L1093" i="2" s="1"/>
  <c r="K1094" i="2"/>
  <c r="L1094" i="2" s="1"/>
  <c r="K1095" i="2"/>
  <c r="L1095" i="2" s="1"/>
  <c r="K1096" i="2"/>
  <c r="L1096" i="2" s="1"/>
  <c r="K1097" i="2"/>
  <c r="L1097" i="2" s="1"/>
  <c r="K1098" i="2"/>
  <c r="L1098" i="2" s="1"/>
  <c r="K1099" i="2"/>
  <c r="L1099" i="2" s="1"/>
  <c r="K1100" i="2"/>
  <c r="L1100" i="2" s="1"/>
  <c r="K1101" i="2"/>
  <c r="L1101" i="2" s="1"/>
  <c r="K1102" i="2"/>
  <c r="L1102" i="2" s="1"/>
  <c r="K1103" i="2"/>
  <c r="L1103" i="2" s="1"/>
  <c r="K1104" i="2"/>
  <c r="L1104" i="2" s="1"/>
  <c r="K1105" i="2"/>
  <c r="L1105" i="2" s="1"/>
  <c r="K1106" i="2"/>
  <c r="L1106" i="2" s="1"/>
  <c r="K1107" i="2"/>
  <c r="L1107" i="2" s="1"/>
  <c r="K1108" i="2"/>
  <c r="L1108" i="2" s="1"/>
  <c r="K1109" i="2"/>
  <c r="L1109" i="2" s="1"/>
  <c r="K1110" i="2"/>
  <c r="L1110" i="2" s="1"/>
  <c r="K1111" i="2"/>
  <c r="L1111" i="2" s="1"/>
  <c r="K1112" i="2"/>
  <c r="L1112" i="2" s="1"/>
  <c r="K1113" i="2"/>
  <c r="L1113" i="2" s="1"/>
  <c r="K1114" i="2"/>
  <c r="L1114" i="2" s="1"/>
  <c r="K1115" i="2"/>
  <c r="L1115" i="2" s="1"/>
  <c r="K1116" i="2"/>
  <c r="L1116" i="2" s="1"/>
  <c r="K1117" i="2"/>
  <c r="L1117" i="2" s="1"/>
  <c r="K1118" i="2"/>
  <c r="L1118" i="2" s="1"/>
  <c r="K1119" i="2"/>
  <c r="L1119" i="2" s="1"/>
  <c r="K1120" i="2"/>
  <c r="L1120" i="2" s="1"/>
  <c r="K1121" i="2"/>
  <c r="L1121" i="2" s="1"/>
  <c r="N3" i="2"/>
  <c r="O3" i="2"/>
  <c r="N4" i="2"/>
  <c r="O4" i="2"/>
  <c r="N5" i="2"/>
  <c r="O5" i="2"/>
  <c r="N6" i="2"/>
  <c r="O6" i="2"/>
  <c r="N7" i="2"/>
  <c r="O7" i="2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N27" i="2"/>
  <c r="O27" i="2"/>
  <c r="N28" i="2"/>
  <c r="O28" i="2"/>
  <c r="N29" i="2"/>
  <c r="O29" i="2"/>
  <c r="N30" i="2"/>
  <c r="O30" i="2"/>
  <c r="N31" i="2"/>
  <c r="O31" i="2"/>
  <c r="N32" i="2"/>
  <c r="O32" i="2"/>
  <c r="N33" i="2"/>
  <c r="O33" i="2"/>
  <c r="N34" i="2"/>
  <c r="O34" i="2"/>
  <c r="N35" i="2"/>
  <c r="O35" i="2"/>
  <c r="N36" i="2"/>
  <c r="O36" i="2"/>
  <c r="N37" i="2"/>
  <c r="O37" i="2"/>
  <c r="N38" i="2"/>
  <c r="O38" i="2"/>
  <c r="N39" i="2"/>
  <c r="O39" i="2"/>
  <c r="N40" i="2"/>
  <c r="O40" i="2"/>
  <c r="N41" i="2"/>
  <c r="O41" i="2"/>
  <c r="N42" i="2"/>
  <c r="O42" i="2"/>
  <c r="N43" i="2"/>
  <c r="O43" i="2"/>
  <c r="N44" i="2"/>
  <c r="O44" i="2"/>
  <c r="N45" i="2"/>
  <c r="O45" i="2"/>
  <c r="N46" i="2"/>
  <c r="O46" i="2"/>
  <c r="N47" i="2"/>
  <c r="O47" i="2"/>
  <c r="N48" i="2"/>
  <c r="O48" i="2"/>
  <c r="N49" i="2"/>
  <c r="O49" i="2"/>
  <c r="N50" i="2"/>
  <c r="O50" i="2"/>
  <c r="N51" i="2"/>
  <c r="O51" i="2"/>
  <c r="N52" i="2"/>
  <c r="O52" i="2"/>
  <c r="N53" i="2"/>
  <c r="O53" i="2"/>
  <c r="N54" i="2"/>
  <c r="O54" i="2"/>
  <c r="N55" i="2"/>
  <c r="O55" i="2"/>
  <c r="N56" i="2"/>
  <c r="O56" i="2"/>
  <c r="N57" i="2"/>
  <c r="O57" i="2"/>
  <c r="N58" i="2"/>
  <c r="O58" i="2"/>
  <c r="N59" i="2"/>
  <c r="O59" i="2"/>
  <c r="N60" i="2"/>
  <c r="O60" i="2"/>
  <c r="N61" i="2"/>
  <c r="O61" i="2"/>
  <c r="N62" i="2"/>
  <c r="O62" i="2"/>
  <c r="N63" i="2"/>
  <c r="O63" i="2"/>
  <c r="N64" i="2"/>
  <c r="O64" i="2"/>
  <c r="N65" i="2"/>
  <c r="O65" i="2"/>
  <c r="N66" i="2"/>
  <c r="O66" i="2"/>
  <c r="N67" i="2"/>
  <c r="O67" i="2"/>
  <c r="N68" i="2"/>
  <c r="O68" i="2"/>
  <c r="N69" i="2"/>
  <c r="O69" i="2"/>
  <c r="N70" i="2"/>
  <c r="O70" i="2"/>
  <c r="N71" i="2"/>
  <c r="O71" i="2"/>
  <c r="N72" i="2"/>
  <c r="O72" i="2"/>
  <c r="N73" i="2"/>
  <c r="O73" i="2"/>
  <c r="N74" i="2"/>
  <c r="O74" i="2"/>
  <c r="N75" i="2"/>
  <c r="O75" i="2"/>
  <c r="N76" i="2"/>
  <c r="O76" i="2"/>
  <c r="N77" i="2"/>
  <c r="O77" i="2"/>
  <c r="N78" i="2"/>
  <c r="O78" i="2"/>
  <c r="N79" i="2"/>
  <c r="O79" i="2"/>
  <c r="N80" i="2"/>
  <c r="O80" i="2"/>
  <c r="N81" i="2"/>
  <c r="O81" i="2"/>
  <c r="N82" i="2"/>
  <c r="O82" i="2"/>
  <c r="N83" i="2"/>
  <c r="O83" i="2"/>
  <c r="N84" i="2"/>
  <c r="O84" i="2"/>
  <c r="N85" i="2"/>
  <c r="O85" i="2"/>
  <c r="N86" i="2"/>
  <c r="O86" i="2"/>
  <c r="N87" i="2"/>
  <c r="O87" i="2"/>
  <c r="N88" i="2"/>
  <c r="O88" i="2"/>
  <c r="N89" i="2"/>
  <c r="O89" i="2"/>
  <c r="N90" i="2"/>
  <c r="O90" i="2"/>
  <c r="N91" i="2"/>
  <c r="O91" i="2"/>
  <c r="N92" i="2"/>
  <c r="O92" i="2"/>
  <c r="N93" i="2"/>
  <c r="O93" i="2"/>
  <c r="N94" i="2"/>
  <c r="O94" i="2"/>
  <c r="N95" i="2"/>
  <c r="O95" i="2"/>
  <c r="N96" i="2"/>
  <c r="O96" i="2"/>
  <c r="N97" i="2"/>
  <c r="O97" i="2"/>
  <c r="N98" i="2"/>
  <c r="O98" i="2"/>
  <c r="N99" i="2"/>
  <c r="O99" i="2"/>
  <c r="N100" i="2"/>
  <c r="O100" i="2"/>
  <c r="N101" i="2"/>
  <c r="O101" i="2"/>
  <c r="N102" i="2"/>
  <c r="O102" i="2"/>
  <c r="N103" i="2"/>
  <c r="O103" i="2"/>
  <c r="N104" i="2"/>
  <c r="O104" i="2"/>
  <c r="N105" i="2"/>
  <c r="O105" i="2"/>
  <c r="N106" i="2"/>
  <c r="O106" i="2"/>
  <c r="N107" i="2"/>
  <c r="O107" i="2"/>
  <c r="N108" i="2"/>
  <c r="O108" i="2"/>
  <c r="N109" i="2"/>
  <c r="O109" i="2"/>
  <c r="N110" i="2"/>
  <c r="O110" i="2"/>
  <c r="N111" i="2"/>
  <c r="O111" i="2"/>
  <c r="N112" i="2"/>
  <c r="O112" i="2"/>
  <c r="N113" i="2"/>
  <c r="O113" i="2"/>
  <c r="N114" i="2"/>
  <c r="O114" i="2"/>
  <c r="N115" i="2"/>
  <c r="O115" i="2"/>
  <c r="N116" i="2"/>
  <c r="O116" i="2"/>
  <c r="N117" i="2"/>
  <c r="O117" i="2"/>
  <c r="N118" i="2"/>
  <c r="O118" i="2"/>
  <c r="N119" i="2"/>
  <c r="O119" i="2"/>
  <c r="N120" i="2"/>
  <c r="O120" i="2"/>
  <c r="N121" i="2"/>
  <c r="O121" i="2"/>
  <c r="N122" i="2"/>
  <c r="O122" i="2"/>
  <c r="N123" i="2"/>
  <c r="O123" i="2"/>
  <c r="N124" i="2"/>
  <c r="O124" i="2"/>
  <c r="N125" i="2"/>
  <c r="O125" i="2"/>
  <c r="N126" i="2"/>
  <c r="O126" i="2"/>
  <c r="N127" i="2"/>
  <c r="O127" i="2"/>
  <c r="N128" i="2"/>
  <c r="O128" i="2"/>
  <c r="N129" i="2"/>
  <c r="O129" i="2"/>
  <c r="N130" i="2"/>
  <c r="O130" i="2"/>
  <c r="N131" i="2"/>
  <c r="O131" i="2"/>
  <c r="N132" i="2"/>
  <c r="O132" i="2"/>
  <c r="N133" i="2"/>
  <c r="O133" i="2"/>
  <c r="N134" i="2"/>
  <c r="O134" i="2"/>
  <c r="N135" i="2"/>
  <c r="O135" i="2"/>
  <c r="N136" i="2"/>
  <c r="O136" i="2"/>
  <c r="N137" i="2"/>
  <c r="O137" i="2"/>
  <c r="N138" i="2"/>
  <c r="O138" i="2"/>
  <c r="N139" i="2"/>
  <c r="O139" i="2"/>
  <c r="N140" i="2"/>
  <c r="O140" i="2"/>
  <c r="N141" i="2"/>
  <c r="O141" i="2"/>
  <c r="N142" i="2"/>
  <c r="O142" i="2"/>
  <c r="N143" i="2"/>
  <c r="O143" i="2"/>
  <c r="N144" i="2"/>
  <c r="O144" i="2"/>
  <c r="N145" i="2"/>
  <c r="O145" i="2"/>
  <c r="N146" i="2"/>
  <c r="O146" i="2"/>
  <c r="N147" i="2"/>
  <c r="O147" i="2"/>
  <c r="N148" i="2"/>
  <c r="O148" i="2"/>
  <c r="N149" i="2"/>
  <c r="O149" i="2"/>
  <c r="N150" i="2"/>
  <c r="O150" i="2"/>
  <c r="N151" i="2"/>
  <c r="O151" i="2"/>
  <c r="N152" i="2"/>
  <c r="O152" i="2"/>
  <c r="N153" i="2"/>
  <c r="O153" i="2"/>
  <c r="N154" i="2"/>
  <c r="O154" i="2"/>
  <c r="N155" i="2"/>
  <c r="O155" i="2"/>
  <c r="N156" i="2"/>
  <c r="O156" i="2"/>
  <c r="N157" i="2"/>
  <c r="O157" i="2"/>
  <c r="N158" i="2"/>
  <c r="O158" i="2"/>
  <c r="N159" i="2"/>
  <c r="O159" i="2"/>
  <c r="N160" i="2"/>
  <c r="O160" i="2"/>
  <c r="N161" i="2"/>
  <c r="O161" i="2"/>
  <c r="N162" i="2"/>
  <c r="O162" i="2"/>
  <c r="N163" i="2"/>
  <c r="O163" i="2"/>
  <c r="N164" i="2"/>
  <c r="O164" i="2"/>
  <c r="N165" i="2"/>
  <c r="O165" i="2"/>
  <c r="N166" i="2"/>
  <c r="O166" i="2"/>
  <c r="N167" i="2"/>
  <c r="O167" i="2"/>
  <c r="N168" i="2"/>
  <c r="O168" i="2"/>
  <c r="N169" i="2"/>
  <c r="O169" i="2"/>
  <c r="N170" i="2"/>
  <c r="O170" i="2"/>
  <c r="N171" i="2"/>
  <c r="O171" i="2"/>
  <c r="N172" i="2"/>
  <c r="O172" i="2"/>
  <c r="N173" i="2"/>
  <c r="O173" i="2"/>
  <c r="N174" i="2"/>
  <c r="O174" i="2"/>
  <c r="N175" i="2"/>
  <c r="O175" i="2"/>
  <c r="N176" i="2"/>
  <c r="O176" i="2"/>
  <c r="N177" i="2"/>
  <c r="O177" i="2"/>
  <c r="N178" i="2"/>
  <c r="O178" i="2"/>
  <c r="N179" i="2"/>
  <c r="O179" i="2"/>
  <c r="N180" i="2"/>
  <c r="O180" i="2"/>
  <c r="N181" i="2"/>
  <c r="O181" i="2"/>
  <c r="N182" i="2"/>
  <c r="O182" i="2"/>
  <c r="N183" i="2"/>
  <c r="O183" i="2"/>
  <c r="N184" i="2"/>
  <c r="O184" i="2"/>
  <c r="N185" i="2"/>
  <c r="O185" i="2"/>
  <c r="N186" i="2"/>
  <c r="O186" i="2"/>
  <c r="N187" i="2"/>
  <c r="O187" i="2"/>
  <c r="N188" i="2"/>
  <c r="O188" i="2"/>
  <c r="N189" i="2"/>
  <c r="O189" i="2"/>
  <c r="N190" i="2"/>
  <c r="O190" i="2"/>
  <c r="N191" i="2"/>
  <c r="O191" i="2"/>
  <c r="N192" i="2"/>
  <c r="O192" i="2"/>
  <c r="N193" i="2"/>
  <c r="O193" i="2"/>
  <c r="N194" i="2"/>
  <c r="O194" i="2"/>
  <c r="N195" i="2"/>
  <c r="O195" i="2"/>
  <c r="N196" i="2"/>
  <c r="O196" i="2"/>
  <c r="N197" i="2"/>
  <c r="O197" i="2"/>
  <c r="N198" i="2"/>
  <c r="O198" i="2"/>
  <c r="N199" i="2"/>
  <c r="O199" i="2"/>
  <c r="N200" i="2"/>
  <c r="O200" i="2"/>
  <c r="N201" i="2"/>
  <c r="O201" i="2"/>
  <c r="N202" i="2"/>
  <c r="O202" i="2"/>
  <c r="N203" i="2"/>
  <c r="O203" i="2"/>
  <c r="N204" i="2"/>
  <c r="O204" i="2"/>
  <c r="N205" i="2"/>
  <c r="O205" i="2"/>
  <c r="N206" i="2"/>
  <c r="O206" i="2"/>
  <c r="N207" i="2"/>
  <c r="O207" i="2"/>
  <c r="N208" i="2"/>
  <c r="O208" i="2"/>
  <c r="N209" i="2"/>
  <c r="O209" i="2"/>
  <c r="N210" i="2"/>
  <c r="O210" i="2"/>
  <c r="N211" i="2"/>
  <c r="O211" i="2"/>
  <c r="N212" i="2"/>
  <c r="O212" i="2"/>
  <c r="N213" i="2"/>
  <c r="O213" i="2"/>
  <c r="N214" i="2"/>
  <c r="O214" i="2"/>
  <c r="N215" i="2"/>
  <c r="O215" i="2"/>
  <c r="N216" i="2"/>
  <c r="O216" i="2"/>
  <c r="N217" i="2"/>
  <c r="O217" i="2"/>
  <c r="N218" i="2"/>
  <c r="O218" i="2"/>
  <c r="N219" i="2"/>
  <c r="O219" i="2"/>
  <c r="N220" i="2"/>
  <c r="O220" i="2"/>
  <c r="N221" i="2"/>
  <c r="O221" i="2"/>
  <c r="N222" i="2"/>
  <c r="O222" i="2"/>
  <c r="N223" i="2"/>
  <c r="O223" i="2"/>
  <c r="N224" i="2"/>
  <c r="O224" i="2"/>
  <c r="N225" i="2"/>
  <c r="O225" i="2"/>
  <c r="N226" i="2"/>
  <c r="O226" i="2"/>
  <c r="N227" i="2"/>
  <c r="O227" i="2"/>
  <c r="N228" i="2"/>
  <c r="O228" i="2"/>
  <c r="N229" i="2"/>
  <c r="O229" i="2"/>
  <c r="N230" i="2"/>
  <c r="O230" i="2"/>
  <c r="N231" i="2"/>
  <c r="O231" i="2"/>
  <c r="N232" i="2"/>
  <c r="O232" i="2"/>
  <c r="N233" i="2"/>
  <c r="O233" i="2"/>
  <c r="N234" i="2"/>
  <c r="O234" i="2"/>
  <c r="N235" i="2"/>
  <c r="O235" i="2"/>
  <c r="N236" i="2"/>
  <c r="O236" i="2"/>
  <c r="N237" i="2"/>
  <c r="O237" i="2"/>
  <c r="N238" i="2"/>
  <c r="O238" i="2"/>
  <c r="N239" i="2"/>
  <c r="O239" i="2"/>
  <c r="N240" i="2"/>
  <c r="O240" i="2"/>
  <c r="N241" i="2"/>
  <c r="O241" i="2"/>
  <c r="N242" i="2"/>
  <c r="O242" i="2"/>
  <c r="N243" i="2"/>
  <c r="O243" i="2"/>
  <c r="N244" i="2"/>
  <c r="O244" i="2"/>
  <c r="N245" i="2"/>
  <c r="O245" i="2"/>
  <c r="N246" i="2"/>
  <c r="O246" i="2"/>
  <c r="N247" i="2"/>
  <c r="O247" i="2"/>
  <c r="N248" i="2"/>
  <c r="O248" i="2"/>
  <c r="N249" i="2"/>
  <c r="O249" i="2"/>
  <c r="N250" i="2"/>
  <c r="O250" i="2"/>
  <c r="N251" i="2"/>
  <c r="O251" i="2"/>
  <c r="N252" i="2"/>
  <c r="O252" i="2"/>
  <c r="N253" i="2"/>
  <c r="O253" i="2"/>
  <c r="N254" i="2"/>
  <c r="O254" i="2"/>
  <c r="N255" i="2"/>
  <c r="O255" i="2"/>
  <c r="N256" i="2"/>
  <c r="O256" i="2"/>
  <c r="N257" i="2"/>
  <c r="O257" i="2"/>
  <c r="N258" i="2"/>
  <c r="O258" i="2"/>
  <c r="N259" i="2"/>
  <c r="O259" i="2"/>
  <c r="N260" i="2"/>
  <c r="O260" i="2"/>
  <c r="N261" i="2"/>
  <c r="O261" i="2"/>
  <c r="N262" i="2"/>
  <c r="O262" i="2"/>
  <c r="N263" i="2"/>
  <c r="O263" i="2"/>
  <c r="N264" i="2"/>
  <c r="O264" i="2"/>
  <c r="N265" i="2"/>
  <c r="O265" i="2"/>
  <c r="N266" i="2"/>
  <c r="O266" i="2"/>
  <c r="N267" i="2"/>
  <c r="O267" i="2"/>
  <c r="N268" i="2"/>
  <c r="O268" i="2"/>
  <c r="N269" i="2"/>
  <c r="O269" i="2"/>
  <c r="N270" i="2"/>
  <c r="O270" i="2"/>
  <c r="N271" i="2"/>
  <c r="O271" i="2"/>
  <c r="N272" i="2"/>
  <c r="O272" i="2"/>
  <c r="N273" i="2"/>
  <c r="O273" i="2"/>
  <c r="N274" i="2"/>
  <c r="O274" i="2"/>
  <c r="N275" i="2"/>
  <c r="O275" i="2"/>
  <c r="N276" i="2"/>
  <c r="O276" i="2"/>
  <c r="N277" i="2"/>
  <c r="O277" i="2"/>
  <c r="N278" i="2"/>
  <c r="O278" i="2"/>
  <c r="N279" i="2"/>
  <c r="O279" i="2"/>
  <c r="N280" i="2"/>
  <c r="O280" i="2"/>
  <c r="N281" i="2"/>
  <c r="O281" i="2"/>
  <c r="N282" i="2"/>
  <c r="O282" i="2"/>
  <c r="N283" i="2"/>
  <c r="O283" i="2"/>
  <c r="N284" i="2"/>
  <c r="O284" i="2"/>
  <c r="N285" i="2"/>
  <c r="O285" i="2"/>
  <c r="N286" i="2"/>
  <c r="O286" i="2"/>
  <c r="N287" i="2"/>
  <c r="O287" i="2"/>
  <c r="N288" i="2"/>
  <c r="O288" i="2"/>
  <c r="N289" i="2"/>
  <c r="O289" i="2"/>
  <c r="N290" i="2"/>
  <c r="O290" i="2"/>
  <c r="N291" i="2"/>
  <c r="O291" i="2"/>
  <c r="N292" i="2"/>
  <c r="O292" i="2"/>
  <c r="N293" i="2"/>
  <c r="O293" i="2"/>
  <c r="N294" i="2"/>
  <c r="O294" i="2"/>
  <c r="N295" i="2"/>
  <c r="O295" i="2"/>
  <c r="N296" i="2"/>
  <c r="O296" i="2"/>
  <c r="N297" i="2"/>
  <c r="O297" i="2"/>
  <c r="N298" i="2"/>
  <c r="O298" i="2"/>
  <c r="N299" i="2"/>
  <c r="O299" i="2"/>
  <c r="N300" i="2"/>
  <c r="O300" i="2"/>
  <c r="N301" i="2"/>
  <c r="O301" i="2"/>
  <c r="N302" i="2"/>
  <c r="O302" i="2"/>
  <c r="N303" i="2"/>
  <c r="O303" i="2"/>
  <c r="N304" i="2"/>
  <c r="O304" i="2"/>
  <c r="N305" i="2"/>
  <c r="O305" i="2"/>
  <c r="N306" i="2"/>
  <c r="O306" i="2"/>
  <c r="N307" i="2"/>
  <c r="O307" i="2"/>
  <c r="N308" i="2"/>
  <c r="O308" i="2"/>
  <c r="N309" i="2"/>
  <c r="O309" i="2"/>
  <c r="N310" i="2"/>
  <c r="O310" i="2"/>
  <c r="N311" i="2"/>
  <c r="O311" i="2"/>
  <c r="N312" i="2"/>
  <c r="O312" i="2"/>
  <c r="N313" i="2"/>
  <c r="O313" i="2"/>
  <c r="N314" i="2"/>
  <c r="O314" i="2"/>
  <c r="N315" i="2"/>
  <c r="O315" i="2"/>
  <c r="N316" i="2"/>
  <c r="O316" i="2"/>
  <c r="N317" i="2"/>
  <c r="O317" i="2"/>
  <c r="N318" i="2"/>
  <c r="O318" i="2"/>
  <c r="N319" i="2"/>
  <c r="O319" i="2"/>
  <c r="N320" i="2"/>
  <c r="O320" i="2"/>
  <c r="N321" i="2"/>
  <c r="O321" i="2"/>
  <c r="N322" i="2"/>
  <c r="O322" i="2"/>
  <c r="N323" i="2"/>
  <c r="O323" i="2"/>
  <c r="N324" i="2"/>
  <c r="O324" i="2"/>
  <c r="N325" i="2"/>
  <c r="O325" i="2"/>
  <c r="N326" i="2"/>
  <c r="O326" i="2"/>
  <c r="N327" i="2"/>
  <c r="O327" i="2"/>
  <c r="N328" i="2"/>
  <c r="O328" i="2"/>
  <c r="N329" i="2"/>
  <c r="O329" i="2"/>
  <c r="N330" i="2"/>
  <c r="O330" i="2"/>
  <c r="N331" i="2"/>
  <c r="O331" i="2"/>
  <c r="N332" i="2"/>
  <c r="O332" i="2"/>
  <c r="N333" i="2"/>
  <c r="O333" i="2"/>
  <c r="N334" i="2"/>
  <c r="O334" i="2"/>
  <c r="N335" i="2"/>
  <c r="O335" i="2"/>
  <c r="N336" i="2"/>
  <c r="O336" i="2"/>
  <c r="N337" i="2"/>
  <c r="O337" i="2"/>
  <c r="N338" i="2"/>
  <c r="O338" i="2"/>
  <c r="N339" i="2"/>
  <c r="O339" i="2"/>
  <c r="N340" i="2"/>
  <c r="O340" i="2"/>
  <c r="N341" i="2"/>
  <c r="O341" i="2"/>
  <c r="N342" i="2"/>
  <c r="O342" i="2"/>
  <c r="N343" i="2"/>
  <c r="O343" i="2"/>
  <c r="N344" i="2"/>
  <c r="O344" i="2"/>
  <c r="N345" i="2"/>
  <c r="O345" i="2"/>
  <c r="N346" i="2"/>
  <c r="O346" i="2"/>
  <c r="N347" i="2"/>
  <c r="O347" i="2"/>
  <c r="N348" i="2"/>
  <c r="O348" i="2"/>
  <c r="N349" i="2"/>
  <c r="O349" i="2"/>
  <c r="N350" i="2"/>
  <c r="O350" i="2"/>
  <c r="N351" i="2"/>
  <c r="O351" i="2"/>
  <c r="N352" i="2"/>
  <c r="O352" i="2"/>
  <c r="N353" i="2"/>
  <c r="O353" i="2"/>
  <c r="N354" i="2"/>
  <c r="O354" i="2"/>
  <c r="N355" i="2"/>
  <c r="O355" i="2"/>
  <c r="N356" i="2"/>
  <c r="O356" i="2"/>
  <c r="N357" i="2"/>
  <c r="O357" i="2"/>
  <c r="N358" i="2"/>
  <c r="O358" i="2"/>
  <c r="N359" i="2"/>
  <c r="O359" i="2"/>
  <c r="N360" i="2"/>
  <c r="O360" i="2"/>
  <c r="N361" i="2"/>
  <c r="O361" i="2"/>
  <c r="N362" i="2"/>
  <c r="O362" i="2"/>
  <c r="N363" i="2"/>
  <c r="O363" i="2"/>
  <c r="N364" i="2"/>
  <c r="O364" i="2"/>
  <c r="N365" i="2"/>
  <c r="O365" i="2"/>
  <c r="N366" i="2"/>
  <c r="O366" i="2"/>
  <c r="N367" i="2"/>
  <c r="O367" i="2"/>
  <c r="N368" i="2"/>
  <c r="O368" i="2"/>
  <c r="N369" i="2"/>
  <c r="O369" i="2"/>
  <c r="N370" i="2"/>
  <c r="O370" i="2"/>
  <c r="N371" i="2"/>
  <c r="O371" i="2"/>
  <c r="N372" i="2"/>
  <c r="O372" i="2"/>
  <c r="N373" i="2"/>
  <c r="O373" i="2"/>
  <c r="N374" i="2"/>
  <c r="O374" i="2"/>
  <c r="N375" i="2"/>
  <c r="O375" i="2"/>
  <c r="N376" i="2"/>
  <c r="O376" i="2"/>
  <c r="N377" i="2"/>
  <c r="O377" i="2"/>
  <c r="N378" i="2"/>
  <c r="O378" i="2"/>
  <c r="N379" i="2"/>
  <c r="O379" i="2"/>
  <c r="N380" i="2"/>
  <c r="O380" i="2"/>
  <c r="N381" i="2"/>
  <c r="O381" i="2"/>
  <c r="N382" i="2"/>
  <c r="O382" i="2"/>
  <c r="N383" i="2"/>
  <c r="O383" i="2"/>
  <c r="N384" i="2"/>
  <c r="O384" i="2"/>
  <c r="N385" i="2"/>
  <c r="O385" i="2"/>
  <c r="N386" i="2"/>
  <c r="O386" i="2"/>
  <c r="N387" i="2"/>
  <c r="O387" i="2"/>
  <c r="N388" i="2"/>
  <c r="O388" i="2"/>
  <c r="N389" i="2"/>
  <c r="O389" i="2"/>
  <c r="N390" i="2"/>
  <c r="O390" i="2"/>
  <c r="N391" i="2"/>
  <c r="O391" i="2"/>
  <c r="N392" i="2"/>
  <c r="O392" i="2"/>
  <c r="N393" i="2"/>
  <c r="O393" i="2"/>
  <c r="N394" i="2"/>
  <c r="O394" i="2"/>
  <c r="N395" i="2"/>
  <c r="O395" i="2"/>
  <c r="N396" i="2"/>
  <c r="O396" i="2"/>
  <c r="N397" i="2"/>
  <c r="O397" i="2"/>
  <c r="N398" i="2"/>
  <c r="O398" i="2"/>
  <c r="N399" i="2"/>
  <c r="O399" i="2"/>
  <c r="N400" i="2"/>
  <c r="O400" i="2"/>
  <c r="N401" i="2"/>
  <c r="O401" i="2"/>
  <c r="N402" i="2"/>
  <c r="O402" i="2"/>
  <c r="N403" i="2"/>
  <c r="O403" i="2"/>
  <c r="N404" i="2"/>
  <c r="O404" i="2"/>
  <c r="N405" i="2"/>
  <c r="O405" i="2"/>
  <c r="N406" i="2"/>
  <c r="O406" i="2"/>
  <c r="N407" i="2"/>
  <c r="O407" i="2"/>
  <c r="N408" i="2"/>
  <c r="O408" i="2"/>
  <c r="N409" i="2"/>
  <c r="O409" i="2"/>
  <c r="N410" i="2"/>
  <c r="O410" i="2"/>
  <c r="N411" i="2"/>
  <c r="O411" i="2"/>
  <c r="N412" i="2"/>
  <c r="O412" i="2"/>
  <c r="N413" i="2"/>
  <c r="O413" i="2"/>
  <c r="N414" i="2"/>
  <c r="O414" i="2"/>
  <c r="N415" i="2"/>
  <c r="O415" i="2"/>
  <c r="N416" i="2"/>
  <c r="O416" i="2"/>
  <c r="N417" i="2"/>
  <c r="O417" i="2"/>
  <c r="N418" i="2"/>
  <c r="O418" i="2"/>
  <c r="N419" i="2"/>
  <c r="O419" i="2"/>
  <c r="N420" i="2"/>
  <c r="O420" i="2"/>
  <c r="N421" i="2"/>
  <c r="O421" i="2"/>
  <c r="N422" i="2"/>
  <c r="O422" i="2"/>
  <c r="N423" i="2"/>
  <c r="O423" i="2"/>
  <c r="N424" i="2"/>
  <c r="O424" i="2"/>
  <c r="N425" i="2"/>
  <c r="O425" i="2"/>
  <c r="N426" i="2"/>
  <c r="O426" i="2"/>
  <c r="N427" i="2"/>
  <c r="O427" i="2"/>
  <c r="N428" i="2"/>
  <c r="O428" i="2"/>
  <c r="N429" i="2"/>
  <c r="O429" i="2"/>
  <c r="N430" i="2"/>
  <c r="O430" i="2"/>
  <c r="N431" i="2"/>
  <c r="O431" i="2"/>
  <c r="N432" i="2"/>
  <c r="O432" i="2"/>
  <c r="N433" i="2"/>
  <c r="O433" i="2"/>
  <c r="N434" i="2"/>
  <c r="O434" i="2"/>
  <c r="N435" i="2"/>
  <c r="O435" i="2"/>
  <c r="N436" i="2"/>
  <c r="O436" i="2"/>
  <c r="N437" i="2"/>
  <c r="O437" i="2"/>
  <c r="N438" i="2"/>
  <c r="O438" i="2"/>
  <c r="N439" i="2"/>
  <c r="O439" i="2"/>
  <c r="N440" i="2"/>
  <c r="O440" i="2"/>
  <c r="N441" i="2"/>
  <c r="O441" i="2"/>
  <c r="N442" i="2"/>
  <c r="O442" i="2"/>
  <c r="N443" i="2"/>
  <c r="O443" i="2"/>
  <c r="N444" i="2"/>
  <c r="O444" i="2"/>
  <c r="N445" i="2"/>
  <c r="O445" i="2"/>
  <c r="N446" i="2"/>
  <c r="O446" i="2"/>
  <c r="N447" i="2"/>
  <c r="O447" i="2"/>
  <c r="N448" i="2"/>
  <c r="O448" i="2"/>
  <c r="N449" i="2"/>
  <c r="O449" i="2"/>
  <c r="N450" i="2"/>
  <c r="O450" i="2"/>
  <c r="N451" i="2"/>
  <c r="O451" i="2"/>
  <c r="N452" i="2"/>
  <c r="O452" i="2"/>
  <c r="N453" i="2"/>
  <c r="O453" i="2"/>
  <c r="N454" i="2"/>
  <c r="O454" i="2"/>
  <c r="N455" i="2"/>
  <c r="O455" i="2"/>
  <c r="N456" i="2"/>
  <c r="O456" i="2"/>
  <c r="N457" i="2"/>
  <c r="O457" i="2"/>
  <c r="N458" i="2"/>
  <c r="O458" i="2"/>
  <c r="N459" i="2"/>
  <c r="O459" i="2"/>
  <c r="N460" i="2"/>
  <c r="O460" i="2"/>
  <c r="N461" i="2"/>
  <c r="O461" i="2"/>
  <c r="N462" i="2"/>
  <c r="O462" i="2"/>
  <c r="N463" i="2"/>
  <c r="O463" i="2"/>
  <c r="N464" i="2"/>
  <c r="O464" i="2"/>
  <c r="N465" i="2"/>
  <c r="O465" i="2"/>
  <c r="N466" i="2"/>
  <c r="O466" i="2"/>
  <c r="N467" i="2"/>
  <c r="O467" i="2"/>
  <c r="N468" i="2"/>
  <c r="O468" i="2"/>
  <c r="N469" i="2"/>
  <c r="O469" i="2"/>
  <c r="N470" i="2"/>
  <c r="O470" i="2"/>
  <c r="N471" i="2"/>
  <c r="O471" i="2"/>
  <c r="N472" i="2"/>
  <c r="O472" i="2"/>
  <c r="N473" i="2"/>
  <c r="O473" i="2"/>
  <c r="N474" i="2"/>
  <c r="O474" i="2"/>
  <c r="N475" i="2"/>
  <c r="O475" i="2"/>
  <c r="N476" i="2"/>
  <c r="O476" i="2"/>
  <c r="N477" i="2"/>
  <c r="O477" i="2"/>
  <c r="N478" i="2"/>
  <c r="O478" i="2"/>
  <c r="N479" i="2"/>
  <c r="O479" i="2"/>
  <c r="N480" i="2"/>
  <c r="O480" i="2"/>
  <c r="N481" i="2"/>
  <c r="O481" i="2"/>
  <c r="N482" i="2"/>
  <c r="O482" i="2"/>
  <c r="N483" i="2"/>
  <c r="O483" i="2"/>
  <c r="N484" i="2"/>
  <c r="O484" i="2"/>
  <c r="N485" i="2"/>
  <c r="O485" i="2"/>
  <c r="N486" i="2"/>
  <c r="O486" i="2"/>
  <c r="N487" i="2"/>
  <c r="O487" i="2"/>
  <c r="N488" i="2"/>
  <c r="O488" i="2"/>
  <c r="N489" i="2"/>
  <c r="O489" i="2"/>
  <c r="N490" i="2"/>
  <c r="O490" i="2"/>
  <c r="N491" i="2"/>
  <c r="O491" i="2"/>
  <c r="N492" i="2"/>
  <c r="O492" i="2"/>
  <c r="N493" i="2"/>
  <c r="O493" i="2"/>
  <c r="N494" i="2"/>
  <c r="O494" i="2"/>
  <c r="N495" i="2"/>
  <c r="O495" i="2"/>
  <c r="N496" i="2"/>
  <c r="O496" i="2"/>
  <c r="N497" i="2"/>
  <c r="O497" i="2"/>
  <c r="N498" i="2"/>
  <c r="O498" i="2"/>
  <c r="N499" i="2"/>
  <c r="O499" i="2"/>
  <c r="N500" i="2"/>
  <c r="O500" i="2"/>
  <c r="N501" i="2"/>
  <c r="O501" i="2"/>
  <c r="N502" i="2"/>
  <c r="O502" i="2"/>
  <c r="N503" i="2"/>
  <c r="O503" i="2"/>
  <c r="N504" i="2"/>
  <c r="O504" i="2"/>
  <c r="N505" i="2"/>
  <c r="O505" i="2"/>
  <c r="N506" i="2"/>
  <c r="O506" i="2"/>
  <c r="N507" i="2"/>
  <c r="O507" i="2"/>
  <c r="N508" i="2"/>
  <c r="O508" i="2"/>
  <c r="N509" i="2"/>
  <c r="O509" i="2"/>
  <c r="N510" i="2"/>
  <c r="O510" i="2"/>
  <c r="N511" i="2"/>
  <c r="O511" i="2"/>
  <c r="N512" i="2"/>
  <c r="O512" i="2"/>
  <c r="N513" i="2"/>
  <c r="O513" i="2"/>
  <c r="N514" i="2"/>
  <c r="O514" i="2"/>
  <c r="N515" i="2"/>
  <c r="O515" i="2"/>
  <c r="N516" i="2"/>
  <c r="O516" i="2"/>
  <c r="N517" i="2"/>
  <c r="O517" i="2"/>
  <c r="N518" i="2"/>
  <c r="O518" i="2"/>
  <c r="N519" i="2"/>
  <c r="O519" i="2"/>
  <c r="N520" i="2"/>
  <c r="O520" i="2"/>
  <c r="N521" i="2"/>
  <c r="O521" i="2"/>
  <c r="N522" i="2"/>
  <c r="O522" i="2"/>
  <c r="N523" i="2"/>
  <c r="O523" i="2"/>
  <c r="N524" i="2"/>
  <c r="O524" i="2"/>
  <c r="N525" i="2"/>
  <c r="O525" i="2"/>
  <c r="N526" i="2"/>
  <c r="O526" i="2"/>
  <c r="N527" i="2"/>
  <c r="O527" i="2"/>
  <c r="N528" i="2"/>
  <c r="O528" i="2"/>
  <c r="N529" i="2"/>
  <c r="O529" i="2"/>
  <c r="N530" i="2"/>
  <c r="O530" i="2"/>
  <c r="N531" i="2"/>
  <c r="O531" i="2"/>
  <c r="N532" i="2"/>
  <c r="O532" i="2"/>
  <c r="N533" i="2"/>
  <c r="O533" i="2"/>
  <c r="N534" i="2"/>
  <c r="O534" i="2"/>
  <c r="N535" i="2"/>
  <c r="O535" i="2"/>
  <c r="N536" i="2"/>
  <c r="O536" i="2"/>
  <c r="N537" i="2"/>
  <c r="O537" i="2"/>
  <c r="N538" i="2"/>
  <c r="O538" i="2"/>
  <c r="N539" i="2"/>
  <c r="O539" i="2"/>
  <c r="N540" i="2"/>
  <c r="O540" i="2"/>
  <c r="N541" i="2"/>
  <c r="O541" i="2"/>
  <c r="N542" i="2"/>
  <c r="O542" i="2"/>
  <c r="N543" i="2"/>
  <c r="O543" i="2"/>
  <c r="N544" i="2"/>
  <c r="O544" i="2"/>
  <c r="N545" i="2"/>
  <c r="O545" i="2"/>
  <c r="N546" i="2"/>
  <c r="O546" i="2"/>
  <c r="N547" i="2"/>
  <c r="O547" i="2"/>
  <c r="N548" i="2"/>
  <c r="O548" i="2"/>
  <c r="N549" i="2"/>
  <c r="O549" i="2"/>
  <c r="N550" i="2"/>
  <c r="O550" i="2"/>
  <c r="N551" i="2"/>
  <c r="O551" i="2"/>
  <c r="N552" i="2"/>
  <c r="O552" i="2"/>
  <c r="N553" i="2"/>
  <c r="O553" i="2"/>
  <c r="N554" i="2"/>
  <c r="O554" i="2"/>
  <c r="N555" i="2"/>
  <c r="O555" i="2"/>
  <c r="N556" i="2"/>
  <c r="O556" i="2"/>
  <c r="N557" i="2"/>
  <c r="O557" i="2"/>
  <c r="N558" i="2"/>
  <c r="O558" i="2"/>
  <c r="N559" i="2"/>
  <c r="O559" i="2"/>
  <c r="N560" i="2"/>
  <c r="O560" i="2"/>
  <c r="N561" i="2"/>
  <c r="O561" i="2"/>
  <c r="N562" i="2"/>
  <c r="O562" i="2"/>
  <c r="N563" i="2"/>
  <c r="O563" i="2"/>
  <c r="N564" i="2"/>
  <c r="O564" i="2"/>
  <c r="N565" i="2"/>
  <c r="O565" i="2"/>
  <c r="N566" i="2"/>
  <c r="O566" i="2"/>
  <c r="N567" i="2"/>
  <c r="O567" i="2"/>
  <c r="N568" i="2"/>
  <c r="O568" i="2"/>
  <c r="N569" i="2"/>
  <c r="O569" i="2"/>
  <c r="N570" i="2"/>
  <c r="O570" i="2"/>
  <c r="N571" i="2"/>
  <c r="O571" i="2"/>
  <c r="N572" i="2"/>
  <c r="O572" i="2"/>
  <c r="N573" i="2"/>
  <c r="O573" i="2"/>
  <c r="N574" i="2"/>
  <c r="O574" i="2"/>
  <c r="N575" i="2"/>
  <c r="O575" i="2"/>
  <c r="N576" i="2"/>
  <c r="O576" i="2"/>
  <c r="N577" i="2"/>
  <c r="O577" i="2"/>
  <c r="N578" i="2"/>
  <c r="O578" i="2"/>
  <c r="N579" i="2"/>
  <c r="O579" i="2"/>
  <c r="N580" i="2"/>
  <c r="O580" i="2"/>
  <c r="N581" i="2"/>
  <c r="O581" i="2"/>
  <c r="N582" i="2"/>
  <c r="O582" i="2"/>
  <c r="N583" i="2"/>
  <c r="O583" i="2"/>
  <c r="N584" i="2"/>
  <c r="O584" i="2"/>
  <c r="N585" i="2"/>
  <c r="O585" i="2"/>
  <c r="N586" i="2"/>
  <c r="O586" i="2"/>
  <c r="N587" i="2"/>
  <c r="O587" i="2"/>
  <c r="N588" i="2"/>
  <c r="O588" i="2"/>
  <c r="N589" i="2"/>
  <c r="O589" i="2"/>
  <c r="N590" i="2"/>
  <c r="O590" i="2"/>
  <c r="N591" i="2"/>
  <c r="O591" i="2"/>
  <c r="N592" i="2"/>
  <c r="O592" i="2"/>
  <c r="N593" i="2"/>
  <c r="O593" i="2"/>
  <c r="N594" i="2"/>
  <c r="O594" i="2"/>
  <c r="N595" i="2"/>
  <c r="O595" i="2"/>
  <c r="N596" i="2"/>
  <c r="O596" i="2"/>
  <c r="N597" i="2"/>
  <c r="O597" i="2"/>
  <c r="N598" i="2"/>
  <c r="O598" i="2"/>
  <c r="N599" i="2"/>
  <c r="O599" i="2"/>
  <c r="N600" i="2"/>
  <c r="O600" i="2"/>
  <c r="N601" i="2"/>
  <c r="O601" i="2"/>
  <c r="N602" i="2"/>
  <c r="O602" i="2"/>
  <c r="N603" i="2"/>
  <c r="O603" i="2"/>
  <c r="N604" i="2"/>
  <c r="O604" i="2"/>
  <c r="N605" i="2"/>
  <c r="O605" i="2"/>
  <c r="N606" i="2"/>
  <c r="O606" i="2"/>
  <c r="N607" i="2"/>
  <c r="O607" i="2"/>
  <c r="N608" i="2"/>
  <c r="O608" i="2"/>
  <c r="N609" i="2"/>
  <c r="O609" i="2"/>
  <c r="N610" i="2"/>
  <c r="O610" i="2"/>
  <c r="N611" i="2"/>
  <c r="O611" i="2"/>
  <c r="N612" i="2"/>
  <c r="O612" i="2"/>
  <c r="N613" i="2"/>
  <c r="O613" i="2"/>
  <c r="N614" i="2"/>
  <c r="O614" i="2"/>
  <c r="N615" i="2"/>
  <c r="O615" i="2"/>
  <c r="N616" i="2"/>
  <c r="O616" i="2"/>
  <c r="N617" i="2"/>
  <c r="O617" i="2"/>
  <c r="N618" i="2"/>
  <c r="O618" i="2"/>
  <c r="N619" i="2"/>
  <c r="O619" i="2"/>
  <c r="N620" i="2"/>
  <c r="O620" i="2"/>
  <c r="N621" i="2"/>
  <c r="O621" i="2"/>
  <c r="N622" i="2"/>
  <c r="O622" i="2"/>
  <c r="N623" i="2"/>
  <c r="O623" i="2"/>
  <c r="N624" i="2"/>
  <c r="O624" i="2"/>
  <c r="N625" i="2"/>
  <c r="O625" i="2"/>
  <c r="N626" i="2"/>
  <c r="O626" i="2"/>
  <c r="N627" i="2"/>
  <c r="O627" i="2"/>
  <c r="N628" i="2"/>
  <c r="O628" i="2"/>
  <c r="N629" i="2"/>
  <c r="O629" i="2"/>
  <c r="N630" i="2"/>
  <c r="O630" i="2"/>
  <c r="N631" i="2"/>
  <c r="O631" i="2"/>
  <c r="N632" i="2"/>
  <c r="O632" i="2"/>
  <c r="N633" i="2"/>
  <c r="O633" i="2"/>
  <c r="N634" i="2"/>
  <c r="O634" i="2"/>
  <c r="N635" i="2"/>
  <c r="O635" i="2"/>
  <c r="N636" i="2"/>
  <c r="O636" i="2"/>
  <c r="N637" i="2"/>
  <c r="O637" i="2"/>
  <c r="N638" i="2"/>
  <c r="O638" i="2"/>
  <c r="N639" i="2"/>
  <c r="O639" i="2"/>
  <c r="N640" i="2"/>
  <c r="O640" i="2"/>
  <c r="N641" i="2"/>
  <c r="O641" i="2"/>
  <c r="N642" i="2"/>
  <c r="O642" i="2"/>
  <c r="N643" i="2"/>
  <c r="O643" i="2"/>
  <c r="N644" i="2"/>
  <c r="O644" i="2"/>
  <c r="N645" i="2"/>
  <c r="O645" i="2"/>
  <c r="N646" i="2"/>
  <c r="O646" i="2"/>
  <c r="N647" i="2"/>
  <c r="O647" i="2"/>
  <c r="N648" i="2"/>
  <c r="O648" i="2"/>
  <c r="N649" i="2"/>
  <c r="O649" i="2"/>
  <c r="N650" i="2"/>
  <c r="O650" i="2"/>
  <c r="N651" i="2"/>
  <c r="O651" i="2"/>
  <c r="N652" i="2"/>
  <c r="O652" i="2"/>
  <c r="N653" i="2"/>
  <c r="O653" i="2"/>
  <c r="N654" i="2"/>
  <c r="O654" i="2"/>
  <c r="N655" i="2"/>
  <c r="O655" i="2"/>
  <c r="N656" i="2"/>
  <c r="O656" i="2"/>
  <c r="N657" i="2"/>
  <c r="O657" i="2"/>
  <c r="N658" i="2"/>
  <c r="O658" i="2"/>
  <c r="N659" i="2"/>
  <c r="O659" i="2"/>
  <c r="N660" i="2"/>
  <c r="O660" i="2"/>
  <c r="N661" i="2"/>
  <c r="O661" i="2"/>
  <c r="N662" i="2"/>
  <c r="O662" i="2"/>
  <c r="N663" i="2"/>
  <c r="O663" i="2"/>
  <c r="N664" i="2"/>
  <c r="O664" i="2"/>
  <c r="N665" i="2"/>
  <c r="O665" i="2"/>
  <c r="N666" i="2"/>
  <c r="O666" i="2"/>
  <c r="N667" i="2"/>
  <c r="O667" i="2"/>
  <c r="N668" i="2"/>
  <c r="O668" i="2"/>
  <c r="N669" i="2"/>
  <c r="O669" i="2"/>
  <c r="N670" i="2"/>
  <c r="O670" i="2"/>
  <c r="N671" i="2"/>
  <c r="O671" i="2"/>
  <c r="N672" i="2"/>
  <c r="O672" i="2"/>
  <c r="N673" i="2"/>
  <c r="O673" i="2"/>
  <c r="N674" i="2"/>
  <c r="O674" i="2"/>
  <c r="N675" i="2"/>
  <c r="O675" i="2"/>
  <c r="N676" i="2"/>
  <c r="O676" i="2"/>
  <c r="N677" i="2"/>
  <c r="O677" i="2"/>
  <c r="N678" i="2"/>
  <c r="O678" i="2"/>
  <c r="N679" i="2"/>
  <c r="O679" i="2"/>
  <c r="N680" i="2"/>
  <c r="O680" i="2"/>
  <c r="N681" i="2"/>
  <c r="O681" i="2"/>
  <c r="N682" i="2"/>
  <c r="O682" i="2"/>
  <c r="N683" i="2"/>
  <c r="O683" i="2"/>
  <c r="N684" i="2"/>
  <c r="O684" i="2"/>
  <c r="N685" i="2"/>
  <c r="O685" i="2"/>
  <c r="N686" i="2"/>
  <c r="O686" i="2"/>
  <c r="N687" i="2"/>
  <c r="O687" i="2"/>
  <c r="N688" i="2"/>
  <c r="O688" i="2"/>
  <c r="N689" i="2"/>
  <c r="O689" i="2"/>
  <c r="N690" i="2"/>
  <c r="O690" i="2"/>
  <c r="N691" i="2"/>
  <c r="O691" i="2"/>
  <c r="N692" i="2"/>
  <c r="O692" i="2"/>
  <c r="N693" i="2"/>
  <c r="O693" i="2"/>
  <c r="N694" i="2"/>
  <c r="O694" i="2"/>
  <c r="N695" i="2"/>
  <c r="O695" i="2"/>
  <c r="N696" i="2"/>
  <c r="O696" i="2"/>
  <c r="N697" i="2"/>
  <c r="O697" i="2"/>
  <c r="N698" i="2"/>
  <c r="O698" i="2"/>
  <c r="N699" i="2"/>
  <c r="O699" i="2"/>
  <c r="N700" i="2"/>
  <c r="O700" i="2"/>
  <c r="N701" i="2"/>
  <c r="O701" i="2"/>
  <c r="N702" i="2"/>
  <c r="O702" i="2"/>
  <c r="N703" i="2"/>
  <c r="O703" i="2"/>
  <c r="N704" i="2"/>
  <c r="O704" i="2"/>
  <c r="N705" i="2"/>
  <c r="O705" i="2"/>
  <c r="N706" i="2"/>
  <c r="O706" i="2"/>
  <c r="N707" i="2"/>
  <c r="O707" i="2"/>
  <c r="N708" i="2"/>
  <c r="O708" i="2"/>
  <c r="N709" i="2"/>
  <c r="O709" i="2"/>
  <c r="N710" i="2"/>
  <c r="O710" i="2"/>
  <c r="N711" i="2"/>
  <c r="O711" i="2"/>
  <c r="N712" i="2"/>
  <c r="O712" i="2"/>
  <c r="N713" i="2"/>
  <c r="O713" i="2"/>
  <c r="N714" i="2"/>
  <c r="O714" i="2"/>
  <c r="N715" i="2"/>
  <c r="O715" i="2"/>
  <c r="N716" i="2"/>
  <c r="O716" i="2"/>
  <c r="N717" i="2"/>
  <c r="O717" i="2"/>
  <c r="N718" i="2"/>
  <c r="O718" i="2"/>
  <c r="N719" i="2"/>
  <c r="O719" i="2"/>
  <c r="N720" i="2"/>
  <c r="O720" i="2"/>
  <c r="N721" i="2"/>
  <c r="O721" i="2"/>
  <c r="N722" i="2"/>
  <c r="O722" i="2"/>
  <c r="N723" i="2"/>
  <c r="O723" i="2"/>
  <c r="N724" i="2"/>
  <c r="O724" i="2"/>
  <c r="N725" i="2"/>
  <c r="O725" i="2"/>
  <c r="N726" i="2"/>
  <c r="O726" i="2"/>
  <c r="N727" i="2"/>
  <c r="O727" i="2"/>
  <c r="N728" i="2"/>
  <c r="O728" i="2"/>
  <c r="N729" i="2"/>
  <c r="O729" i="2"/>
  <c r="N730" i="2"/>
  <c r="O730" i="2"/>
  <c r="N731" i="2"/>
  <c r="O731" i="2"/>
  <c r="N732" i="2"/>
  <c r="O732" i="2"/>
  <c r="N733" i="2"/>
  <c r="O733" i="2"/>
  <c r="N734" i="2"/>
  <c r="O734" i="2"/>
  <c r="N735" i="2"/>
  <c r="O735" i="2"/>
  <c r="N736" i="2"/>
  <c r="O736" i="2"/>
  <c r="N737" i="2"/>
  <c r="O737" i="2"/>
  <c r="N738" i="2"/>
  <c r="O738" i="2"/>
  <c r="N739" i="2"/>
  <c r="O739" i="2"/>
  <c r="N740" i="2"/>
  <c r="O740" i="2"/>
  <c r="N741" i="2"/>
  <c r="O741" i="2"/>
  <c r="N742" i="2"/>
  <c r="O742" i="2"/>
  <c r="N743" i="2"/>
  <c r="O743" i="2"/>
  <c r="N744" i="2"/>
  <c r="O744" i="2"/>
  <c r="N745" i="2"/>
  <c r="O745" i="2"/>
  <c r="N746" i="2"/>
  <c r="O746" i="2"/>
  <c r="N747" i="2"/>
  <c r="O747" i="2"/>
  <c r="N748" i="2"/>
  <c r="O748" i="2"/>
  <c r="N749" i="2"/>
  <c r="O749" i="2"/>
  <c r="N750" i="2"/>
  <c r="O750" i="2"/>
  <c r="N751" i="2"/>
  <c r="O751" i="2"/>
  <c r="N752" i="2"/>
  <c r="O752" i="2"/>
  <c r="N753" i="2"/>
  <c r="O753" i="2"/>
  <c r="N754" i="2"/>
  <c r="O754" i="2"/>
  <c r="N755" i="2"/>
  <c r="O755" i="2"/>
  <c r="N756" i="2"/>
  <c r="O756" i="2"/>
  <c r="N757" i="2"/>
  <c r="O757" i="2"/>
  <c r="N758" i="2"/>
  <c r="O758" i="2"/>
  <c r="N759" i="2"/>
  <c r="O759" i="2"/>
  <c r="N760" i="2"/>
  <c r="O760" i="2"/>
  <c r="N761" i="2"/>
  <c r="O761" i="2"/>
  <c r="N762" i="2"/>
  <c r="O762" i="2"/>
  <c r="N763" i="2"/>
  <c r="O763" i="2"/>
  <c r="N764" i="2"/>
  <c r="O764" i="2"/>
  <c r="N765" i="2"/>
  <c r="O765" i="2"/>
  <c r="N766" i="2"/>
  <c r="O766" i="2"/>
  <c r="N767" i="2"/>
  <c r="O767" i="2"/>
  <c r="N768" i="2"/>
  <c r="O768" i="2"/>
  <c r="N769" i="2"/>
  <c r="O769" i="2"/>
  <c r="N770" i="2"/>
  <c r="O770" i="2"/>
  <c r="N771" i="2"/>
  <c r="O771" i="2"/>
  <c r="N772" i="2"/>
  <c r="O772" i="2"/>
  <c r="N773" i="2"/>
  <c r="O773" i="2"/>
  <c r="N774" i="2"/>
  <c r="O774" i="2"/>
  <c r="N775" i="2"/>
  <c r="O775" i="2"/>
  <c r="N776" i="2"/>
  <c r="O776" i="2"/>
  <c r="N777" i="2"/>
  <c r="O777" i="2"/>
  <c r="N778" i="2"/>
  <c r="O778" i="2"/>
  <c r="N779" i="2"/>
  <c r="O779" i="2"/>
  <c r="N780" i="2"/>
  <c r="O780" i="2"/>
  <c r="N781" i="2"/>
  <c r="O781" i="2"/>
  <c r="N782" i="2"/>
  <c r="O782" i="2"/>
  <c r="N783" i="2"/>
  <c r="O783" i="2"/>
  <c r="N784" i="2"/>
  <c r="O784" i="2"/>
  <c r="N785" i="2"/>
  <c r="O785" i="2"/>
  <c r="N786" i="2"/>
  <c r="O786" i="2"/>
  <c r="N787" i="2"/>
  <c r="O787" i="2"/>
  <c r="N788" i="2"/>
  <c r="O788" i="2"/>
  <c r="N789" i="2"/>
  <c r="O789" i="2"/>
  <c r="N790" i="2"/>
  <c r="O790" i="2"/>
  <c r="N791" i="2"/>
  <c r="O791" i="2"/>
  <c r="N792" i="2"/>
  <c r="O792" i="2"/>
  <c r="N793" i="2"/>
  <c r="O793" i="2"/>
  <c r="N794" i="2"/>
  <c r="O794" i="2"/>
  <c r="N795" i="2"/>
  <c r="O795" i="2"/>
  <c r="N796" i="2"/>
  <c r="O796" i="2"/>
  <c r="N797" i="2"/>
  <c r="O797" i="2"/>
  <c r="N798" i="2"/>
  <c r="O798" i="2"/>
  <c r="N799" i="2"/>
  <c r="O799" i="2"/>
  <c r="N800" i="2"/>
  <c r="O800" i="2"/>
  <c r="N801" i="2"/>
  <c r="O801" i="2"/>
  <c r="N802" i="2"/>
  <c r="O802" i="2"/>
  <c r="N803" i="2"/>
  <c r="O803" i="2"/>
  <c r="N804" i="2"/>
  <c r="O804" i="2"/>
  <c r="N805" i="2"/>
  <c r="O805" i="2"/>
  <c r="N806" i="2"/>
  <c r="O806" i="2"/>
  <c r="N807" i="2"/>
  <c r="O807" i="2"/>
  <c r="N808" i="2"/>
  <c r="O808" i="2"/>
  <c r="N809" i="2"/>
  <c r="O809" i="2"/>
  <c r="N810" i="2"/>
  <c r="O810" i="2"/>
  <c r="N811" i="2"/>
  <c r="O811" i="2"/>
  <c r="N812" i="2"/>
  <c r="O812" i="2"/>
  <c r="N813" i="2"/>
  <c r="O813" i="2"/>
  <c r="N814" i="2"/>
  <c r="O814" i="2"/>
  <c r="N815" i="2"/>
  <c r="O815" i="2"/>
  <c r="N816" i="2"/>
  <c r="O816" i="2"/>
  <c r="N817" i="2"/>
  <c r="O817" i="2"/>
  <c r="N818" i="2"/>
  <c r="O818" i="2"/>
  <c r="N819" i="2"/>
  <c r="O819" i="2"/>
  <c r="N820" i="2"/>
  <c r="O820" i="2"/>
  <c r="N821" i="2"/>
  <c r="O821" i="2"/>
  <c r="N822" i="2"/>
  <c r="O822" i="2"/>
  <c r="N823" i="2"/>
  <c r="O823" i="2"/>
  <c r="N824" i="2"/>
  <c r="O824" i="2"/>
  <c r="N825" i="2"/>
  <c r="O825" i="2"/>
  <c r="N826" i="2"/>
  <c r="O826" i="2"/>
  <c r="N827" i="2"/>
  <c r="O827" i="2"/>
  <c r="N828" i="2"/>
  <c r="O828" i="2"/>
  <c r="N829" i="2"/>
  <c r="O829" i="2"/>
  <c r="N830" i="2"/>
  <c r="O830" i="2"/>
  <c r="N831" i="2"/>
  <c r="O831" i="2"/>
  <c r="N832" i="2"/>
  <c r="O832" i="2"/>
  <c r="N833" i="2"/>
  <c r="O833" i="2"/>
  <c r="N834" i="2"/>
  <c r="O834" i="2"/>
  <c r="N835" i="2"/>
  <c r="O835" i="2"/>
  <c r="N836" i="2"/>
  <c r="O836" i="2"/>
  <c r="N837" i="2"/>
  <c r="O837" i="2"/>
  <c r="N838" i="2"/>
  <c r="O838" i="2"/>
  <c r="N839" i="2"/>
  <c r="O839" i="2"/>
  <c r="N840" i="2"/>
  <c r="O840" i="2"/>
  <c r="N841" i="2"/>
  <c r="O841" i="2"/>
  <c r="N842" i="2"/>
  <c r="O842" i="2"/>
  <c r="N843" i="2"/>
  <c r="O843" i="2"/>
  <c r="N844" i="2"/>
  <c r="O844" i="2"/>
  <c r="N845" i="2"/>
  <c r="O845" i="2"/>
  <c r="N846" i="2"/>
  <c r="O846" i="2"/>
  <c r="N847" i="2"/>
  <c r="O847" i="2"/>
  <c r="N848" i="2"/>
  <c r="O848" i="2"/>
  <c r="N849" i="2"/>
  <c r="O849" i="2"/>
  <c r="N850" i="2"/>
  <c r="O850" i="2"/>
  <c r="N851" i="2"/>
  <c r="O851" i="2"/>
  <c r="N852" i="2"/>
  <c r="O852" i="2"/>
  <c r="N853" i="2"/>
  <c r="O853" i="2"/>
  <c r="N854" i="2"/>
  <c r="O854" i="2"/>
  <c r="N855" i="2"/>
  <c r="O855" i="2"/>
  <c r="N856" i="2"/>
  <c r="O856" i="2"/>
  <c r="N857" i="2"/>
  <c r="O857" i="2"/>
  <c r="N858" i="2"/>
  <c r="O858" i="2"/>
  <c r="N859" i="2"/>
  <c r="O859" i="2"/>
  <c r="N860" i="2"/>
  <c r="O860" i="2"/>
  <c r="N861" i="2"/>
  <c r="O861" i="2"/>
  <c r="N862" i="2"/>
  <c r="O862" i="2"/>
  <c r="N863" i="2"/>
  <c r="O863" i="2"/>
  <c r="N864" i="2"/>
  <c r="O864" i="2"/>
  <c r="N865" i="2"/>
  <c r="O865" i="2"/>
  <c r="N866" i="2"/>
  <c r="O866" i="2"/>
  <c r="N867" i="2"/>
  <c r="O867" i="2"/>
  <c r="N868" i="2"/>
  <c r="O868" i="2"/>
  <c r="N869" i="2"/>
  <c r="O869" i="2"/>
  <c r="N870" i="2"/>
  <c r="O870" i="2"/>
  <c r="N871" i="2"/>
  <c r="O871" i="2"/>
  <c r="N872" i="2"/>
  <c r="O872" i="2"/>
  <c r="N873" i="2"/>
  <c r="O873" i="2"/>
  <c r="N874" i="2"/>
  <c r="O874" i="2"/>
  <c r="N875" i="2"/>
  <c r="O875" i="2"/>
  <c r="N876" i="2"/>
  <c r="O876" i="2"/>
  <c r="N877" i="2"/>
  <c r="O877" i="2"/>
  <c r="N878" i="2"/>
  <c r="O878" i="2"/>
  <c r="N879" i="2"/>
  <c r="O879" i="2"/>
  <c r="N880" i="2"/>
  <c r="O880" i="2"/>
  <c r="N881" i="2"/>
  <c r="O881" i="2"/>
  <c r="N882" i="2"/>
  <c r="O882" i="2"/>
  <c r="N883" i="2"/>
  <c r="O883" i="2"/>
  <c r="N884" i="2"/>
  <c r="O884" i="2"/>
  <c r="N885" i="2"/>
  <c r="O885" i="2"/>
  <c r="N886" i="2"/>
  <c r="O886" i="2"/>
  <c r="N887" i="2"/>
  <c r="O887" i="2"/>
  <c r="N888" i="2"/>
  <c r="O888" i="2"/>
  <c r="N889" i="2"/>
  <c r="O889" i="2"/>
  <c r="N890" i="2"/>
  <c r="O890" i="2"/>
  <c r="N891" i="2"/>
  <c r="O891" i="2"/>
  <c r="N892" i="2"/>
  <c r="O892" i="2"/>
  <c r="N893" i="2"/>
  <c r="O893" i="2"/>
  <c r="N894" i="2"/>
  <c r="O894" i="2"/>
  <c r="N895" i="2"/>
  <c r="O895" i="2"/>
  <c r="N896" i="2"/>
  <c r="O896" i="2"/>
  <c r="N897" i="2"/>
  <c r="O897" i="2"/>
  <c r="N898" i="2"/>
  <c r="O898" i="2"/>
  <c r="N899" i="2"/>
  <c r="O899" i="2"/>
  <c r="N900" i="2"/>
  <c r="O900" i="2"/>
  <c r="N901" i="2"/>
  <c r="O901" i="2"/>
  <c r="N902" i="2"/>
  <c r="O902" i="2"/>
  <c r="N903" i="2"/>
  <c r="O903" i="2"/>
  <c r="N904" i="2"/>
  <c r="O904" i="2"/>
  <c r="N905" i="2"/>
  <c r="O905" i="2"/>
  <c r="N906" i="2"/>
  <c r="O906" i="2"/>
  <c r="N907" i="2"/>
  <c r="O907" i="2"/>
  <c r="N908" i="2"/>
  <c r="O908" i="2"/>
  <c r="N909" i="2"/>
  <c r="O909" i="2"/>
  <c r="N910" i="2"/>
  <c r="O910" i="2"/>
  <c r="N911" i="2"/>
  <c r="O911" i="2"/>
  <c r="N912" i="2"/>
  <c r="O912" i="2"/>
  <c r="N913" i="2"/>
  <c r="O913" i="2"/>
  <c r="N914" i="2"/>
  <c r="O914" i="2"/>
  <c r="N915" i="2"/>
  <c r="O915" i="2"/>
  <c r="N916" i="2"/>
  <c r="O916" i="2"/>
  <c r="N917" i="2"/>
  <c r="O917" i="2"/>
  <c r="N918" i="2"/>
  <c r="O918" i="2"/>
  <c r="N919" i="2"/>
  <c r="O919" i="2"/>
  <c r="N920" i="2"/>
  <c r="O920" i="2"/>
  <c r="N921" i="2"/>
  <c r="O921" i="2"/>
  <c r="N922" i="2"/>
  <c r="O922" i="2"/>
  <c r="N923" i="2"/>
  <c r="O923" i="2"/>
  <c r="N924" i="2"/>
  <c r="O924" i="2"/>
  <c r="N925" i="2"/>
  <c r="O925" i="2"/>
  <c r="N926" i="2"/>
  <c r="O926" i="2"/>
  <c r="N927" i="2"/>
  <c r="O927" i="2"/>
  <c r="N928" i="2"/>
  <c r="O928" i="2"/>
  <c r="N929" i="2"/>
  <c r="O929" i="2"/>
  <c r="N930" i="2"/>
  <c r="O930" i="2"/>
  <c r="N931" i="2"/>
  <c r="O931" i="2"/>
  <c r="N932" i="2"/>
  <c r="O932" i="2"/>
  <c r="N933" i="2"/>
  <c r="O933" i="2"/>
  <c r="N934" i="2"/>
  <c r="O934" i="2"/>
  <c r="N935" i="2"/>
  <c r="O935" i="2"/>
  <c r="N936" i="2"/>
  <c r="O936" i="2"/>
  <c r="N937" i="2"/>
  <c r="O937" i="2"/>
  <c r="N938" i="2"/>
  <c r="O938" i="2"/>
  <c r="N939" i="2"/>
  <c r="O939" i="2"/>
  <c r="N940" i="2"/>
  <c r="O940" i="2"/>
  <c r="N941" i="2"/>
  <c r="O941" i="2"/>
  <c r="N942" i="2"/>
  <c r="O942" i="2"/>
  <c r="N943" i="2"/>
  <c r="O943" i="2"/>
  <c r="N944" i="2"/>
  <c r="O944" i="2"/>
  <c r="N945" i="2"/>
  <c r="O945" i="2"/>
  <c r="N946" i="2"/>
  <c r="O946" i="2"/>
  <c r="N947" i="2"/>
  <c r="O947" i="2"/>
  <c r="N948" i="2"/>
  <c r="O948" i="2"/>
  <c r="N949" i="2"/>
  <c r="O949" i="2"/>
  <c r="N950" i="2"/>
  <c r="O950" i="2"/>
  <c r="N951" i="2"/>
  <c r="O951" i="2"/>
  <c r="N952" i="2"/>
  <c r="O952" i="2"/>
  <c r="N953" i="2"/>
  <c r="O953" i="2"/>
  <c r="N954" i="2"/>
  <c r="O954" i="2"/>
  <c r="N955" i="2"/>
  <c r="O955" i="2"/>
  <c r="N956" i="2"/>
  <c r="O956" i="2"/>
  <c r="N957" i="2"/>
  <c r="O957" i="2"/>
  <c r="N958" i="2"/>
  <c r="O958" i="2"/>
  <c r="N959" i="2"/>
  <c r="O959" i="2"/>
  <c r="N960" i="2"/>
  <c r="O960" i="2"/>
  <c r="N961" i="2"/>
  <c r="O961" i="2"/>
  <c r="N962" i="2"/>
  <c r="O962" i="2"/>
  <c r="N963" i="2"/>
  <c r="O963" i="2"/>
  <c r="N964" i="2"/>
  <c r="O964" i="2"/>
  <c r="N965" i="2"/>
  <c r="O965" i="2"/>
  <c r="N966" i="2"/>
  <c r="O966" i="2"/>
  <c r="N967" i="2"/>
  <c r="O967" i="2"/>
  <c r="N968" i="2"/>
  <c r="O968" i="2"/>
  <c r="N969" i="2"/>
  <c r="O969" i="2"/>
  <c r="N970" i="2"/>
  <c r="O970" i="2"/>
  <c r="N971" i="2"/>
  <c r="O971" i="2"/>
  <c r="N972" i="2"/>
  <c r="O972" i="2"/>
  <c r="N973" i="2"/>
  <c r="O973" i="2"/>
  <c r="N974" i="2"/>
  <c r="O974" i="2"/>
  <c r="N975" i="2"/>
  <c r="O975" i="2"/>
  <c r="N976" i="2"/>
  <c r="O976" i="2"/>
  <c r="N977" i="2"/>
  <c r="O977" i="2"/>
  <c r="N978" i="2"/>
  <c r="O978" i="2"/>
  <c r="N979" i="2"/>
  <c r="O979" i="2"/>
  <c r="N980" i="2"/>
  <c r="O980" i="2"/>
  <c r="N981" i="2"/>
  <c r="O981" i="2"/>
  <c r="N982" i="2"/>
  <c r="O982" i="2"/>
  <c r="N983" i="2"/>
  <c r="O983" i="2"/>
  <c r="N984" i="2"/>
  <c r="O984" i="2"/>
  <c r="N985" i="2"/>
  <c r="O985" i="2"/>
  <c r="N986" i="2"/>
  <c r="O986" i="2"/>
  <c r="N987" i="2"/>
  <c r="O987" i="2"/>
  <c r="N988" i="2"/>
  <c r="O988" i="2"/>
  <c r="N989" i="2"/>
  <c r="O989" i="2"/>
  <c r="N990" i="2"/>
  <c r="O990" i="2"/>
  <c r="N991" i="2"/>
  <c r="O991" i="2"/>
  <c r="N992" i="2"/>
  <c r="O992" i="2"/>
  <c r="N993" i="2"/>
  <c r="O993" i="2"/>
  <c r="N994" i="2"/>
  <c r="O994" i="2"/>
  <c r="N995" i="2"/>
  <c r="O995" i="2"/>
  <c r="N996" i="2"/>
  <c r="O996" i="2"/>
  <c r="N997" i="2"/>
  <c r="O997" i="2"/>
  <c r="N998" i="2"/>
  <c r="O998" i="2"/>
  <c r="N999" i="2"/>
  <c r="O999" i="2"/>
  <c r="N1000" i="2"/>
  <c r="O1000" i="2"/>
  <c r="N1001" i="2"/>
  <c r="O1001" i="2"/>
  <c r="N1002" i="2"/>
  <c r="O1002" i="2"/>
  <c r="N1003" i="2"/>
  <c r="O1003" i="2"/>
  <c r="N1004" i="2"/>
  <c r="O1004" i="2"/>
  <c r="N1005" i="2"/>
  <c r="O1005" i="2"/>
  <c r="N1006" i="2"/>
  <c r="O1006" i="2"/>
  <c r="N1007" i="2"/>
  <c r="O1007" i="2"/>
  <c r="N1008" i="2"/>
  <c r="O1008" i="2"/>
  <c r="N1009" i="2"/>
  <c r="O1009" i="2"/>
  <c r="N1010" i="2"/>
  <c r="O1010" i="2"/>
  <c r="N1011" i="2"/>
  <c r="O1011" i="2"/>
  <c r="N1012" i="2"/>
  <c r="O1012" i="2"/>
  <c r="N1013" i="2"/>
  <c r="O1013" i="2"/>
  <c r="N1014" i="2"/>
  <c r="O1014" i="2"/>
  <c r="N1015" i="2"/>
  <c r="O1015" i="2"/>
  <c r="N1016" i="2"/>
  <c r="O1016" i="2"/>
  <c r="N1017" i="2"/>
  <c r="O1017" i="2"/>
  <c r="N1018" i="2"/>
  <c r="O1018" i="2"/>
  <c r="N1019" i="2"/>
  <c r="O1019" i="2"/>
  <c r="N1020" i="2"/>
  <c r="O1020" i="2"/>
  <c r="N1021" i="2"/>
  <c r="O1021" i="2"/>
  <c r="N1022" i="2"/>
  <c r="O1022" i="2"/>
  <c r="N1023" i="2"/>
  <c r="O1023" i="2"/>
  <c r="N1024" i="2"/>
  <c r="O1024" i="2"/>
  <c r="N1025" i="2"/>
  <c r="O1025" i="2"/>
  <c r="N1026" i="2"/>
  <c r="O1026" i="2"/>
  <c r="N1027" i="2"/>
  <c r="O1027" i="2"/>
  <c r="N1028" i="2"/>
  <c r="O1028" i="2"/>
  <c r="N1029" i="2"/>
  <c r="O1029" i="2"/>
  <c r="N1030" i="2"/>
  <c r="O1030" i="2"/>
  <c r="N1031" i="2"/>
  <c r="O1031" i="2"/>
  <c r="N1032" i="2"/>
  <c r="O1032" i="2"/>
  <c r="N1033" i="2"/>
  <c r="O1033" i="2"/>
  <c r="N1034" i="2"/>
  <c r="O1034" i="2"/>
  <c r="N1035" i="2"/>
  <c r="O1035" i="2"/>
  <c r="N1036" i="2"/>
  <c r="O1036" i="2"/>
  <c r="N1037" i="2"/>
  <c r="O1037" i="2"/>
  <c r="N1038" i="2"/>
  <c r="O1038" i="2"/>
  <c r="N1039" i="2"/>
  <c r="O1039" i="2"/>
  <c r="N1040" i="2"/>
  <c r="O1040" i="2"/>
  <c r="N1041" i="2"/>
  <c r="O1041" i="2"/>
  <c r="N1042" i="2"/>
  <c r="O1042" i="2"/>
  <c r="N1043" i="2"/>
  <c r="O1043" i="2"/>
  <c r="N1044" i="2"/>
  <c r="O1044" i="2"/>
  <c r="N1045" i="2"/>
  <c r="O1045" i="2"/>
  <c r="N1046" i="2"/>
  <c r="O1046" i="2"/>
  <c r="N1047" i="2"/>
  <c r="O1047" i="2"/>
  <c r="N1048" i="2"/>
  <c r="O1048" i="2"/>
  <c r="N1049" i="2"/>
  <c r="O1049" i="2"/>
  <c r="N1050" i="2"/>
  <c r="O1050" i="2"/>
  <c r="N1051" i="2"/>
  <c r="O1051" i="2"/>
  <c r="N1052" i="2"/>
  <c r="O1052" i="2"/>
  <c r="N1053" i="2"/>
  <c r="O1053" i="2"/>
  <c r="N1054" i="2"/>
  <c r="O1054" i="2"/>
  <c r="N1055" i="2"/>
  <c r="O1055" i="2"/>
  <c r="N1056" i="2"/>
  <c r="O1056" i="2"/>
  <c r="N1057" i="2"/>
  <c r="O1057" i="2"/>
  <c r="N1058" i="2"/>
  <c r="O1058" i="2"/>
  <c r="N1059" i="2"/>
  <c r="O1059" i="2"/>
  <c r="N1060" i="2"/>
  <c r="O1060" i="2"/>
  <c r="N1061" i="2"/>
  <c r="O1061" i="2"/>
  <c r="N1062" i="2"/>
  <c r="O1062" i="2"/>
  <c r="N1063" i="2"/>
  <c r="O1063" i="2"/>
  <c r="N1064" i="2"/>
  <c r="O1064" i="2"/>
  <c r="N1065" i="2"/>
  <c r="O1065" i="2"/>
  <c r="N1066" i="2"/>
  <c r="O1066" i="2"/>
  <c r="N1067" i="2"/>
  <c r="O1067" i="2"/>
  <c r="N1068" i="2"/>
  <c r="O1068" i="2"/>
  <c r="N1069" i="2"/>
  <c r="O1069" i="2"/>
  <c r="N1070" i="2"/>
  <c r="O1070" i="2"/>
  <c r="N1071" i="2"/>
  <c r="O1071" i="2"/>
  <c r="N1072" i="2"/>
  <c r="O1072" i="2"/>
  <c r="N1073" i="2"/>
  <c r="O1073" i="2"/>
  <c r="N1074" i="2"/>
  <c r="O1074" i="2"/>
  <c r="N1075" i="2"/>
  <c r="O1075" i="2"/>
  <c r="N1076" i="2"/>
  <c r="O1076" i="2"/>
  <c r="N1077" i="2"/>
  <c r="O1077" i="2"/>
  <c r="N1078" i="2"/>
  <c r="O1078" i="2"/>
  <c r="N1079" i="2"/>
  <c r="O1079" i="2"/>
  <c r="N1080" i="2"/>
  <c r="O1080" i="2"/>
  <c r="N1081" i="2"/>
  <c r="O1081" i="2"/>
  <c r="N1082" i="2"/>
  <c r="O1082" i="2"/>
  <c r="N1083" i="2"/>
  <c r="O1083" i="2"/>
  <c r="N1084" i="2"/>
  <c r="O1084" i="2"/>
  <c r="N1085" i="2"/>
  <c r="O1085" i="2"/>
  <c r="N1086" i="2"/>
  <c r="O1086" i="2"/>
  <c r="N1087" i="2"/>
  <c r="O1087" i="2"/>
  <c r="N1088" i="2"/>
  <c r="O1088" i="2"/>
  <c r="N1089" i="2"/>
  <c r="O1089" i="2"/>
  <c r="N1090" i="2"/>
  <c r="O1090" i="2"/>
  <c r="N1091" i="2"/>
  <c r="O1091" i="2"/>
  <c r="N1092" i="2"/>
  <c r="O1092" i="2"/>
  <c r="N1093" i="2"/>
  <c r="O1093" i="2"/>
  <c r="N1094" i="2"/>
  <c r="O1094" i="2"/>
  <c r="N1095" i="2"/>
  <c r="O1095" i="2"/>
  <c r="N1096" i="2"/>
  <c r="O1096" i="2"/>
  <c r="N1097" i="2"/>
  <c r="O1097" i="2"/>
  <c r="N1098" i="2"/>
  <c r="O1098" i="2"/>
  <c r="N1099" i="2"/>
  <c r="O1099" i="2"/>
  <c r="N1100" i="2"/>
  <c r="O1100" i="2"/>
  <c r="N1101" i="2"/>
  <c r="O1101" i="2"/>
  <c r="N1102" i="2"/>
  <c r="O1102" i="2"/>
  <c r="N1103" i="2"/>
  <c r="O1103" i="2"/>
  <c r="N1104" i="2"/>
  <c r="O1104" i="2"/>
  <c r="N1105" i="2"/>
  <c r="O1105" i="2"/>
  <c r="N1106" i="2"/>
  <c r="O1106" i="2"/>
  <c r="N1107" i="2"/>
  <c r="O1107" i="2"/>
  <c r="N1108" i="2"/>
  <c r="O1108" i="2"/>
  <c r="N1109" i="2"/>
  <c r="O1109" i="2"/>
  <c r="N1110" i="2"/>
  <c r="O1110" i="2"/>
  <c r="N1111" i="2"/>
  <c r="O1111" i="2"/>
  <c r="N1112" i="2"/>
  <c r="O1112" i="2"/>
  <c r="N1113" i="2"/>
  <c r="O1113" i="2"/>
  <c r="N1114" i="2"/>
  <c r="O1114" i="2"/>
  <c r="N1115" i="2"/>
  <c r="O1115" i="2"/>
  <c r="N1116" i="2"/>
  <c r="O1116" i="2"/>
  <c r="N1117" i="2"/>
  <c r="O1117" i="2"/>
  <c r="N1118" i="2"/>
  <c r="O1118" i="2"/>
  <c r="N1119" i="2"/>
  <c r="O1119" i="2"/>
  <c r="N1120" i="2"/>
  <c r="O1120" i="2"/>
  <c r="N1121" i="2"/>
  <c r="O1121" i="2"/>
  <c r="O2" i="2"/>
  <c r="N2" i="2"/>
  <c r="K2" i="2"/>
  <c r="L2" i="2" s="1"/>
  <c r="A2" i="2"/>
  <c r="AL22" i="9" l="1" a="1"/>
  <c r="AL22" i="9" s="1"/>
  <c r="AK22" i="9"/>
  <c r="AL26" i="9" a="1"/>
  <c r="AL26" i="9" s="1"/>
  <c r="AL25" i="9" a="1"/>
  <c r="AL25" i="9" s="1"/>
  <c r="AL24" i="9" a="1"/>
  <c r="AL24" i="9" s="1"/>
  <c r="AL23" i="9" a="1"/>
  <c r="AL23" i="9" s="1"/>
  <c r="AK23" i="9"/>
  <c r="O22" i="13"/>
  <c r="O21" i="13"/>
  <c r="O20" i="13"/>
  <c r="O19" i="13"/>
  <c r="O18" i="13"/>
  <c r="O17" i="13"/>
  <c r="AK27" i="9"/>
  <c r="AK26" i="9"/>
  <c r="AK25" i="9"/>
  <c r="AK24" i="9"/>
  <c r="BC31" i="9"/>
  <c r="BD31" i="9" s="1"/>
  <c r="BA31" i="9"/>
  <c r="AY31" i="9"/>
  <c r="AW31" i="9"/>
  <c r="AU31" i="9"/>
  <c r="AS31" i="9"/>
  <c r="AT31" i="9" s="1"/>
  <c r="AL27" i="9" l="1" a="1"/>
  <c r="AL27" i="9" s="1"/>
  <c r="AL11" i="9" a="1"/>
  <c r="AL11" i="9" s="1"/>
  <c r="AL10" i="9" a="1"/>
  <c r="AL10" i="9" s="1"/>
  <c r="AL9" i="9" a="1"/>
  <c r="AL9" i="9" s="1"/>
  <c r="AL8" i="9" a="1"/>
  <c r="AL8" i="9" s="1"/>
  <c r="AL7" i="9" a="1"/>
  <c r="AL7" i="9" s="1"/>
  <c r="AL6" i="9" a="1"/>
  <c r="AL6" i="9" s="1"/>
  <c r="AD406" i="6"/>
  <c r="AD405" i="6"/>
  <c r="AD404" i="6"/>
  <c r="AD403" i="6"/>
  <c r="AC403" i="6"/>
  <c r="AD402" i="6"/>
  <c r="AD401" i="6"/>
  <c r="AD400" i="6"/>
  <c r="AD399" i="6"/>
  <c r="AC399" i="6"/>
  <c r="AD398" i="6"/>
  <c r="AD397" i="6"/>
  <c r="AD396" i="6"/>
  <c r="AD395" i="6"/>
  <c r="AC395" i="6"/>
  <c r="AD394" i="6"/>
  <c r="AD393" i="6"/>
  <c r="AD392" i="6"/>
  <c r="AD391" i="6"/>
  <c r="AC391" i="6"/>
  <c r="AD390" i="6"/>
  <c r="AD389" i="6"/>
  <c r="AD388" i="6"/>
  <c r="AD387" i="6"/>
  <c r="AC387" i="6"/>
  <c r="AD386" i="6"/>
  <c r="AD385" i="6"/>
  <c r="AD384" i="6"/>
  <c r="AD383" i="6"/>
  <c r="AC383" i="6"/>
  <c r="AD382" i="6"/>
  <c r="AD381" i="6"/>
  <c r="AD380" i="6"/>
  <c r="AD379" i="6"/>
  <c r="AC379" i="6"/>
  <c r="AD378" i="6"/>
  <c r="AD377" i="6"/>
  <c r="AD376" i="6"/>
  <c r="AD375" i="6"/>
  <c r="AC375" i="6"/>
  <c r="AD374" i="6"/>
  <c r="AD373" i="6"/>
  <c r="AD372" i="6"/>
  <c r="AD371" i="6"/>
  <c r="AC371" i="6"/>
  <c r="AD370" i="6"/>
  <c r="AD369" i="6"/>
  <c r="AD368" i="6"/>
  <c r="AD367" i="6"/>
  <c r="AC367" i="6"/>
  <c r="AD366" i="6"/>
  <c r="AD365" i="6"/>
  <c r="AD364" i="6"/>
  <c r="AD363" i="6"/>
  <c r="AC363" i="6"/>
  <c r="AD362" i="6"/>
  <c r="AD361" i="6"/>
  <c r="AD360" i="6"/>
  <c r="AD359" i="6"/>
  <c r="AC359" i="6"/>
  <c r="AD358" i="6"/>
  <c r="AD357" i="6"/>
  <c r="AD356" i="6"/>
  <c r="AD355" i="6"/>
  <c r="AC355" i="6"/>
  <c r="AD354" i="6"/>
  <c r="AD353" i="6"/>
  <c r="AD352" i="6"/>
  <c r="AD351" i="6"/>
  <c r="AC351" i="6"/>
  <c r="AD350" i="6"/>
  <c r="AD349" i="6"/>
  <c r="AD348" i="6"/>
  <c r="AD347" i="6"/>
  <c r="AC347" i="6"/>
  <c r="AD346" i="6"/>
  <c r="AD345" i="6"/>
  <c r="AD344" i="6"/>
  <c r="AD343" i="6"/>
  <c r="AC343" i="6"/>
  <c r="AD342" i="6"/>
  <c r="AD341" i="6"/>
  <c r="AD340" i="6"/>
  <c r="AD339" i="6"/>
  <c r="AC339" i="6"/>
  <c r="AD338" i="6"/>
  <c r="AD337" i="6"/>
  <c r="AD336" i="6"/>
  <c r="AD335" i="6"/>
  <c r="AC335" i="6"/>
  <c r="AD334" i="6"/>
  <c r="AD333" i="6"/>
  <c r="AD332" i="6"/>
  <c r="AD331" i="6"/>
  <c r="AC331" i="6"/>
  <c r="AD330" i="6"/>
  <c r="AD329" i="6"/>
  <c r="AD328" i="6"/>
  <c r="AD327" i="6"/>
  <c r="AC327" i="6"/>
  <c r="AD326" i="6"/>
  <c r="AD325" i="6"/>
  <c r="AD324" i="6"/>
  <c r="AD323" i="6"/>
  <c r="AC323" i="6"/>
  <c r="AD322" i="6"/>
  <c r="AD321" i="6"/>
  <c r="AD320" i="6"/>
  <c r="AD319" i="6"/>
  <c r="AC319" i="6"/>
  <c r="AD318" i="6"/>
  <c r="AD317" i="6"/>
  <c r="AD316" i="6"/>
  <c r="AD315" i="6"/>
  <c r="AC315" i="6"/>
  <c r="AD314" i="6"/>
  <c r="AD313" i="6"/>
  <c r="AD312" i="6"/>
  <c r="AD311" i="6"/>
  <c r="AC311" i="6"/>
  <c r="AD310" i="6"/>
  <c r="AD309" i="6"/>
  <c r="AD308" i="6"/>
  <c r="AD307" i="6"/>
  <c r="AC307" i="6"/>
  <c r="AD306" i="6"/>
  <c r="AD305" i="6"/>
  <c r="AD304" i="6"/>
  <c r="AD303" i="6"/>
  <c r="AC303" i="6"/>
  <c r="AD302" i="6"/>
  <c r="AD301" i="6"/>
  <c r="AD300" i="6"/>
  <c r="AD299" i="6"/>
  <c r="AC299" i="6"/>
  <c r="AD298" i="6"/>
  <c r="AD297" i="6"/>
  <c r="AD296" i="6"/>
  <c r="AD295" i="6"/>
  <c r="AC295" i="6"/>
  <c r="AD294" i="6"/>
  <c r="AD293" i="6"/>
  <c r="AD292" i="6"/>
  <c r="AD291" i="6"/>
  <c r="AC291" i="6"/>
  <c r="AD290" i="6"/>
  <c r="AD289" i="6"/>
  <c r="AD288" i="6"/>
  <c r="AD287" i="6"/>
  <c r="AC287" i="6"/>
  <c r="AD286" i="6"/>
  <c r="AD285" i="6"/>
  <c r="AD284" i="6"/>
  <c r="AD283" i="6"/>
  <c r="AC283" i="6"/>
  <c r="AD282" i="6"/>
  <c r="AD281" i="6"/>
  <c r="AD280" i="6"/>
  <c r="AD279" i="6"/>
  <c r="AC279" i="6"/>
  <c r="AD278" i="6"/>
  <c r="AD277" i="6"/>
  <c r="AD276" i="6"/>
  <c r="AD275" i="6"/>
  <c r="AC275" i="6"/>
  <c r="AD274" i="6"/>
  <c r="AD273" i="6"/>
  <c r="AD272" i="6"/>
  <c r="AD271" i="6"/>
  <c r="AC271" i="6"/>
  <c r="AD270" i="6"/>
  <c r="AD269" i="6"/>
  <c r="AD268" i="6"/>
  <c r="AD267" i="6"/>
  <c r="AC267" i="6"/>
  <c r="AD266" i="6"/>
  <c r="AD265" i="6"/>
  <c r="AD264" i="6"/>
  <c r="AD263" i="6"/>
  <c r="AC263" i="6"/>
  <c r="AD262" i="6"/>
  <c r="AD261" i="6"/>
  <c r="AD260" i="6"/>
  <c r="AD259" i="6"/>
  <c r="AC259" i="6"/>
  <c r="AD258" i="6"/>
  <c r="AD257" i="6"/>
  <c r="AD256" i="6"/>
  <c r="AD255" i="6"/>
  <c r="AC255" i="6"/>
  <c r="AD254" i="6"/>
  <c r="AD253" i="6"/>
  <c r="AD252" i="6"/>
  <c r="AD251" i="6"/>
  <c r="AC251" i="6"/>
  <c r="AD250" i="6"/>
  <c r="AD249" i="6"/>
  <c r="AD248" i="6"/>
  <c r="AD247" i="6"/>
  <c r="AC247" i="6"/>
  <c r="AD246" i="6"/>
  <c r="AD245" i="6"/>
  <c r="AD244" i="6"/>
  <c r="AD243" i="6"/>
  <c r="AC243" i="6"/>
  <c r="AD242" i="6"/>
  <c r="AD241" i="6"/>
  <c r="AD240" i="6"/>
  <c r="AD239" i="6"/>
  <c r="AC239" i="6"/>
  <c r="AD238" i="6"/>
  <c r="AD237" i="6"/>
  <c r="AD236" i="6"/>
  <c r="AD235" i="6"/>
  <c r="AC235" i="6"/>
  <c r="AD234" i="6"/>
  <c r="AD233" i="6"/>
  <c r="AD232" i="6"/>
  <c r="AD231" i="6"/>
  <c r="AC231" i="6"/>
  <c r="AD230" i="6"/>
  <c r="AD229" i="6"/>
  <c r="AD228" i="6"/>
  <c r="AD227" i="6"/>
  <c r="AC227" i="6"/>
  <c r="AD226" i="6"/>
  <c r="AD225" i="6"/>
  <c r="AD224" i="6"/>
  <c r="AD223" i="6"/>
  <c r="AC223" i="6"/>
  <c r="AD222" i="6"/>
  <c r="AD221" i="6"/>
  <c r="AD220" i="6"/>
  <c r="AD219" i="6"/>
  <c r="AC219" i="6"/>
  <c r="AD218" i="6"/>
  <c r="AD217" i="6"/>
  <c r="AD216" i="6"/>
  <c r="AD215" i="6"/>
  <c r="AC215" i="6"/>
  <c r="AD214" i="6"/>
  <c r="AD213" i="6"/>
  <c r="AD212" i="6"/>
  <c r="AD211" i="6"/>
  <c r="AC211" i="6"/>
  <c r="AD210" i="6"/>
  <c r="AD209" i="6"/>
  <c r="AD208" i="6"/>
  <c r="AD207" i="6"/>
  <c r="AC207" i="6"/>
  <c r="AD206" i="6"/>
  <c r="AD205" i="6"/>
  <c r="AD204" i="6"/>
  <c r="AD203" i="6"/>
  <c r="AC203" i="6"/>
  <c r="AD202" i="6"/>
  <c r="AD201" i="6"/>
  <c r="AD200" i="6"/>
  <c r="AD199" i="6"/>
  <c r="AC199" i="6"/>
  <c r="AD198" i="6"/>
  <c r="AD197" i="6"/>
  <c r="AD196" i="6"/>
  <c r="AD195" i="6"/>
  <c r="AC195" i="6"/>
  <c r="AD194" i="6"/>
  <c r="AD193" i="6"/>
  <c r="AD192" i="6"/>
  <c r="AD191" i="6"/>
  <c r="AC191" i="6"/>
  <c r="AD190" i="6"/>
  <c r="AD189" i="6"/>
  <c r="AD188" i="6"/>
  <c r="AD187" i="6"/>
  <c r="AC187" i="6"/>
  <c r="AD186" i="6"/>
  <c r="AD185" i="6"/>
  <c r="AD184" i="6"/>
  <c r="AD183" i="6"/>
  <c r="AC183" i="6"/>
  <c r="AD182" i="6"/>
  <c r="AD181" i="6"/>
  <c r="AD180" i="6"/>
  <c r="AD179" i="6"/>
  <c r="AC179" i="6"/>
  <c r="AD178" i="6"/>
  <c r="AD177" i="6"/>
  <c r="AD176" i="6"/>
  <c r="AD175" i="6"/>
  <c r="AC175" i="6"/>
  <c r="AD174" i="6"/>
  <c r="AD173" i="6"/>
  <c r="AD172" i="6"/>
  <c r="AD171" i="6"/>
  <c r="AC171" i="6"/>
  <c r="AD170" i="6"/>
  <c r="AD169" i="6"/>
  <c r="AD168" i="6"/>
  <c r="AD167" i="6"/>
  <c r="AC167" i="6"/>
  <c r="AD166" i="6"/>
  <c r="AD165" i="6"/>
  <c r="AD164" i="6"/>
  <c r="AD163" i="6"/>
  <c r="AC163" i="6"/>
  <c r="AD162" i="6"/>
  <c r="AD161" i="6"/>
  <c r="AD160" i="6"/>
  <c r="AD159" i="6"/>
  <c r="AC159" i="6"/>
  <c r="AD158" i="6"/>
  <c r="AD157" i="6"/>
  <c r="AD156" i="6"/>
  <c r="AD155" i="6"/>
  <c r="AC155" i="6"/>
  <c r="AD154" i="6"/>
  <c r="AD153" i="6"/>
  <c r="AD152" i="6"/>
  <c r="AD151" i="6"/>
  <c r="AC151" i="6"/>
  <c r="AD150" i="6"/>
  <c r="AD149" i="6"/>
  <c r="AD148" i="6"/>
  <c r="AD147" i="6"/>
  <c r="AC147" i="6"/>
  <c r="AD146" i="6"/>
  <c r="AD145" i="6"/>
  <c r="AD144" i="6"/>
  <c r="AD143" i="6"/>
  <c r="AC143" i="6"/>
  <c r="AD142" i="6"/>
  <c r="AD141" i="6"/>
  <c r="AD140" i="6"/>
  <c r="AD139" i="6"/>
  <c r="AC139" i="6"/>
  <c r="AD138" i="6"/>
  <c r="AD137" i="6"/>
  <c r="AD136" i="6"/>
  <c r="AD135" i="6"/>
  <c r="AC135" i="6"/>
  <c r="AD134" i="6"/>
  <c r="AD133" i="6"/>
  <c r="AD132" i="6"/>
  <c r="AD131" i="6"/>
  <c r="AC131" i="6"/>
  <c r="AD130" i="6"/>
  <c r="AD129" i="6"/>
  <c r="AD128" i="6"/>
  <c r="AD127" i="6"/>
  <c r="AC127" i="6"/>
  <c r="AD126" i="6"/>
  <c r="AD125" i="6"/>
  <c r="AD124" i="6"/>
  <c r="AD123" i="6"/>
  <c r="AC123" i="6"/>
  <c r="AD122" i="6"/>
  <c r="AD121" i="6"/>
  <c r="AD120" i="6"/>
  <c r="AD119" i="6"/>
  <c r="AC119" i="6"/>
  <c r="AD118" i="6"/>
  <c r="AD117" i="6"/>
  <c r="AD116" i="6"/>
  <c r="AD115" i="6"/>
  <c r="AC115" i="6"/>
  <c r="AD114" i="6"/>
  <c r="AD113" i="6"/>
  <c r="AD112" i="6"/>
  <c r="AD111" i="6"/>
  <c r="AC111" i="6"/>
  <c r="AD110" i="6"/>
  <c r="AD109" i="6"/>
  <c r="AD108" i="6"/>
  <c r="AD107" i="6"/>
  <c r="AC107" i="6"/>
  <c r="AD106" i="6"/>
  <c r="AD105" i="6"/>
  <c r="AD104" i="6"/>
  <c r="AD103" i="6"/>
  <c r="AC103" i="6"/>
  <c r="AD102" i="6"/>
  <c r="AD101" i="6"/>
  <c r="AD100" i="6"/>
  <c r="AD99" i="6"/>
  <c r="AC99" i="6"/>
  <c r="AD98" i="6"/>
  <c r="AD97" i="6"/>
  <c r="AD96" i="6"/>
  <c r="AD95" i="6"/>
  <c r="AC95" i="6"/>
  <c r="AD94" i="6"/>
  <c r="AD93" i="6"/>
  <c r="AD92" i="6"/>
  <c r="AD91" i="6"/>
  <c r="AC91" i="6"/>
  <c r="AD90" i="6"/>
  <c r="AD89" i="6"/>
  <c r="AD88" i="6"/>
  <c r="AD87" i="6"/>
  <c r="AC87" i="6"/>
  <c r="AD86" i="6"/>
  <c r="AD85" i="6"/>
  <c r="AD84" i="6"/>
  <c r="AD83" i="6"/>
  <c r="AC83" i="6"/>
  <c r="AD82" i="6"/>
  <c r="AD81" i="6"/>
  <c r="AD80" i="6"/>
  <c r="AD79" i="6"/>
  <c r="AC79" i="6"/>
  <c r="AD78" i="6"/>
  <c r="AD77" i="6"/>
  <c r="AD76" i="6"/>
  <c r="AD75" i="6"/>
  <c r="AC75" i="6"/>
  <c r="AD74" i="6"/>
  <c r="AD73" i="6"/>
  <c r="AD72" i="6"/>
  <c r="AD71" i="6"/>
  <c r="AC71" i="6"/>
  <c r="AD70" i="6"/>
  <c r="AD69" i="6"/>
  <c r="AD68" i="6"/>
  <c r="AD67" i="6"/>
  <c r="AC67" i="6"/>
  <c r="AD66" i="6"/>
  <c r="AD65" i="6"/>
  <c r="AD64" i="6"/>
  <c r="AD63" i="6"/>
  <c r="AC63" i="6"/>
  <c r="AD62" i="6"/>
  <c r="AD61" i="6"/>
  <c r="AD60" i="6"/>
  <c r="AD59" i="6"/>
  <c r="AC59" i="6"/>
  <c r="AD58" i="6"/>
  <c r="AD57" i="6"/>
  <c r="AD56" i="6"/>
  <c r="AD55" i="6"/>
  <c r="AC55" i="6"/>
  <c r="AD54" i="6"/>
  <c r="AD53" i="6"/>
  <c r="AD52" i="6"/>
  <c r="AD51" i="6"/>
  <c r="AC51" i="6"/>
  <c r="AD50" i="6"/>
  <c r="AD49" i="6"/>
  <c r="AD48" i="6"/>
  <c r="AD47" i="6"/>
  <c r="AC47" i="6"/>
  <c r="AD46" i="6"/>
  <c r="AD45" i="6"/>
  <c r="AD44" i="6"/>
  <c r="AD43" i="6"/>
  <c r="AC43" i="6"/>
  <c r="AD42" i="6"/>
  <c r="AD41" i="6"/>
  <c r="AD40" i="6"/>
  <c r="AD39" i="6"/>
  <c r="AC39" i="6"/>
  <c r="AD38" i="6"/>
  <c r="AD37" i="6"/>
  <c r="AD36" i="6"/>
  <c r="AD35" i="6"/>
  <c r="AC35" i="6"/>
  <c r="AD34" i="6"/>
  <c r="AD33" i="6"/>
  <c r="AD32" i="6"/>
  <c r="AD31" i="6"/>
  <c r="AC31" i="6"/>
  <c r="AD30" i="6"/>
  <c r="AD29" i="6"/>
  <c r="AD28" i="6"/>
  <c r="AD27" i="6"/>
  <c r="AC27" i="6"/>
  <c r="AD26" i="6"/>
  <c r="AD25" i="6"/>
  <c r="AD24" i="6"/>
  <c r="AD23" i="6"/>
  <c r="AC23" i="6"/>
  <c r="AD22" i="6"/>
  <c r="AD21" i="6"/>
  <c r="AD20" i="6"/>
  <c r="AD19" i="6"/>
  <c r="AC19" i="6"/>
  <c r="AD18" i="6"/>
  <c r="AD17" i="6"/>
  <c r="AD16" i="6"/>
  <c r="AD15" i="6"/>
  <c r="AC15" i="6"/>
  <c r="AD14" i="6"/>
  <c r="AD13" i="6"/>
  <c r="AD12" i="6"/>
  <c r="AD11" i="6"/>
  <c r="AC11" i="6"/>
  <c r="AD10" i="6"/>
  <c r="AD9" i="6"/>
  <c r="AD8" i="6"/>
  <c r="AD7" i="6"/>
  <c r="AC7" i="6"/>
  <c r="AD406" i="5"/>
  <c r="AD405" i="5"/>
  <c r="AD404" i="5"/>
  <c r="AD403" i="5"/>
  <c r="AC403" i="5"/>
  <c r="AD402" i="5"/>
  <c r="AD401" i="5"/>
  <c r="AD400" i="5"/>
  <c r="AD399" i="5"/>
  <c r="AC399" i="5"/>
  <c r="AD398" i="5"/>
  <c r="AD397" i="5"/>
  <c r="AD396" i="5"/>
  <c r="AD395" i="5"/>
  <c r="AC395" i="5"/>
  <c r="AD394" i="5"/>
  <c r="AD393" i="5"/>
  <c r="AD392" i="5"/>
  <c r="AD391" i="5"/>
  <c r="AC391" i="5"/>
  <c r="AD390" i="5"/>
  <c r="AD389" i="5"/>
  <c r="AD388" i="5"/>
  <c r="AD387" i="5"/>
  <c r="AC387" i="5"/>
  <c r="AD386" i="5"/>
  <c r="AD385" i="5"/>
  <c r="AD384" i="5"/>
  <c r="AD383" i="5"/>
  <c r="AC383" i="5"/>
  <c r="AD382" i="5"/>
  <c r="AD381" i="5"/>
  <c r="AD380" i="5"/>
  <c r="AD379" i="5"/>
  <c r="AC379" i="5"/>
  <c r="AD378" i="5"/>
  <c r="AD377" i="5"/>
  <c r="AD376" i="5"/>
  <c r="AD375" i="5"/>
  <c r="AC375" i="5"/>
  <c r="AD374" i="5"/>
  <c r="AD373" i="5"/>
  <c r="AD372" i="5"/>
  <c r="AD371" i="5"/>
  <c r="AC371" i="5"/>
  <c r="AD370" i="5"/>
  <c r="AD369" i="5"/>
  <c r="AD368" i="5"/>
  <c r="AD367" i="5"/>
  <c r="AC367" i="5"/>
  <c r="AD366" i="5"/>
  <c r="AD365" i="5"/>
  <c r="AD364" i="5"/>
  <c r="AD363" i="5"/>
  <c r="AC363" i="5"/>
  <c r="AD362" i="5"/>
  <c r="AD361" i="5"/>
  <c r="AD360" i="5"/>
  <c r="AD359" i="5"/>
  <c r="AC359" i="5"/>
  <c r="AD358" i="5"/>
  <c r="AD357" i="5"/>
  <c r="AD356" i="5"/>
  <c r="AD355" i="5"/>
  <c r="AC355" i="5"/>
  <c r="AD354" i="5"/>
  <c r="AD353" i="5"/>
  <c r="AD352" i="5"/>
  <c r="AD351" i="5"/>
  <c r="AC351" i="5"/>
  <c r="AD350" i="5"/>
  <c r="AD349" i="5"/>
  <c r="AD348" i="5"/>
  <c r="AD347" i="5"/>
  <c r="AC347" i="5"/>
  <c r="AD346" i="5"/>
  <c r="AD345" i="5"/>
  <c r="AD344" i="5"/>
  <c r="AD343" i="5"/>
  <c r="AC343" i="5"/>
  <c r="AD342" i="5"/>
  <c r="AD341" i="5"/>
  <c r="AD340" i="5"/>
  <c r="AD339" i="5"/>
  <c r="AC339" i="5"/>
  <c r="AD338" i="5"/>
  <c r="AD337" i="5"/>
  <c r="AD336" i="5"/>
  <c r="AD335" i="5"/>
  <c r="AC335" i="5"/>
  <c r="AD334" i="5"/>
  <c r="AD333" i="5"/>
  <c r="AD332" i="5"/>
  <c r="AD331" i="5"/>
  <c r="AC331" i="5"/>
  <c r="AD330" i="5"/>
  <c r="AD329" i="5"/>
  <c r="AD328" i="5"/>
  <c r="AD327" i="5"/>
  <c r="AC327" i="5"/>
  <c r="AD326" i="5"/>
  <c r="AD325" i="5"/>
  <c r="AD324" i="5"/>
  <c r="AD323" i="5"/>
  <c r="AC323" i="5"/>
  <c r="AD322" i="5"/>
  <c r="AD321" i="5"/>
  <c r="AD320" i="5"/>
  <c r="AD319" i="5"/>
  <c r="AC319" i="5"/>
  <c r="AD318" i="5"/>
  <c r="AD317" i="5"/>
  <c r="AD316" i="5"/>
  <c r="AD315" i="5"/>
  <c r="AC315" i="5"/>
  <c r="AD314" i="5"/>
  <c r="AD313" i="5"/>
  <c r="AD312" i="5"/>
  <c r="AD311" i="5"/>
  <c r="AC311" i="5"/>
  <c r="AD310" i="5"/>
  <c r="AD309" i="5"/>
  <c r="AD308" i="5"/>
  <c r="AD307" i="5"/>
  <c r="AC307" i="5"/>
  <c r="AD306" i="5"/>
  <c r="AD305" i="5"/>
  <c r="AD304" i="5"/>
  <c r="AD303" i="5"/>
  <c r="AC303" i="5"/>
  <c r="AD302" i="5"/>
  <c r="AD301" i="5"/>
  <c r="AD300" i="5"/>
  <c r="AD299" i="5"/>
  <c r="AC299" i="5"/>
  <c r="AD298" i="5"/>
  <c r="AD297" i="5"/>
  <c r="AD296" i="5"/>
  <c r="AD295" i="5"/>
  <c r="AC295" i="5"/>
  <c r="AD294" i="5"/>
  <c r="AD293" i="5"/>
  <c r="AD292" i="5"/>
  <c r="AD291" i="5"/>
  <c r="AC291" i="5"/>
  <c r="AD290" i="5"/>
  <c r="AD289" i="5"/>
  <c r="AD288" i="5"/>
  <c r="AD287" i="5"/>
  <c r="AC287" i="5"/>
  <c r="AD286" i="5"/>
  <c r="AD285" i="5"/>
  <c r="AD284" i="5"/>
  <c r="AD283" i="5"/>
  <c r="AC283" i="5"/>
  <c r="AD282" i="5"/>
  <c r="AD281" i="5"/>
  <c r="AD280" i="5"/>
  <c r="AD279" i="5"/>
  <c r="AC279" i="5"/>
  <c r="AD278" i="5"/>
  <c r="AD277" i="5"/>
  <c r="AD276" i="5"/>
  <c r="AD275" i="5"/>
  <c r="AC275" i="5"/>
  <c r="AD274" i="5"/>
  <c r="AD273" i="5"/>
  <c r="AD272" i="5"/>
  <c r="AD271" i="5"/>
  <c r="AC271" i="5"/>
  <c r="AD270" i="5"/>
  <c r="AD269" i="5"/>
  <c r="AD268" i="5"/>
  <c r="AD267" i="5"/>
  <c r="AC267" i="5"/>
  <c r="AD266" i="5"/>
  <c r="AD265" i="5"/>
  <c r="AD264" i="5"/>
  <c r="AD263" i="5"/>
  <c r="AC263" i="5"/>
  <c r="AD262" i="5"/>
  <c r="AD261" i="5"/>
  <c r="AD260" i="5"/>
  <c r="AD259" i="5"/>
  <c r="AC259" i="5"/>
  <c r="AD258" i="5"/>
  <c r="AD257" i="5"/>
  <c r="AD256" i="5"/>
  <c r="AD255" i="5"/>
  <c r="AC255" i="5"/>
  <c r="AD254" i="5"/>
  <c r="AD253" i="5"/>
  <c r="AD252" i="5"/>
  <c r="AD251" i="5"/>
  <c r="AC251" i="5"/>
  <c r="AD250" i="5"/>
  <c r="AD249" i="5"/>
  <c r="AD248" i="5"/>
  <c r="AD247" i="5"/>
  <c r="AC247" i="5"/>
  <c r="AD246" i="5"/>
  <c r="AD245" i="5"/>
  <c r="AD244" i="5"/>
  <c r="AD243" i="5"/>
  <c r="AC243" i="5"/>
  <c r="AD242" i="5"/>
  <c r="AD241" i="5"/>
  <c r="AD240" i="5"/>
  <c r="AD239" i="5"/>
  <c r="AC239" i="5"/>
  <c r="AD238" i="5"/>
  <c r="AD237" i="5"/>
  <c r="AD236" i="5"/>
  <c r="AD235" i="5"/>
  <c r="AC235" i="5"/>
  <c r="AD234" i="5"/>
  <c r="AD233" i="5"/>
  <c r="AD232" i="5"/>
  <c r="AD231" i="5"/>
  <c r="AC231" i="5"/>
  <c r="AD230" i="5"/>
  <c r="AD229" i="5"/>
  <c r="AD228" i="5"/>
  <c r="AD227" i="5"/>
  <c r="AC227" i="5"/>
  <c r="AD226" i="5"/>
  <c r="AD225" i="5"/>
  <c r="AD224" i="5"/>
  <c r="AD223" i="5"/>
  <c r="AC223" i="5"/>
  <c r="AD222" i="5"/>
  <c r="AD221" i="5"/>
  <c r="AD220" i="5"/>
  <c r="AD219" i="5"/>
  <c r="AC219" i="5"/>
  <c r="AD218" i="5"/>
  <c r="AD217" i="5"/>
  <c r="AD216" i="5"/>
  <c r="AD215" i="5"/>
  <c r="AC215" i="5"/>
  <c r="AD214" i="5"/>
  <c r="AD213" i="5"/>
  <c r="AD212" i="5"/>
  <c r="AD211" i="5"/>
  <c r="AC211" i="5"/>
  <c r="AD210" i="5"/>
  <c r="AD209" i="5"/>
  <c r="AD208" i="5"/>
  <c r="AD207" i="5"/>
  <c r="AC207" i="5"/>
  <c r="AD206" i="5"/>
  <c r="AD205" i="5"/>
  <c r="AD204" i="5"/>
  <c r="AD203" i="5"/>
  <c r="AC203" i="5"/>
  <c r="AD202" i="5"/>
  <c r="AD201" i="5"/>
  <c r="AD200" i="5"/>
  <c r="AD199" i="5"/>
  <c r="AC199" i="5"/>
  <c r="AD198" i="5"/>
  <c r="AD197" i="5"/>
  <c r="AD196" i="5"/>
  <c r="AD195" i="5"/>
  <c r="AC195" i="5"/>
  <c r="AD194" i="5"/>
  <c r="AD193" i="5"/>
  <c r="AD192" i="5"/>
  <c r="AD191" i="5"/>
  <c r="AC191" i="5"/>
  <c r="AD190" i="5"/>
  <c r="AD189" i="5"/>
  <c r="AD188" i="5"/>
  <c r="AD187" i="5"/>
  <c r="AC187" i="5"/>
  <c r="AD186" i="5"/>
  <c r="AD185" i="5"/>
  <c r="AD184" i="5"/>
  <c r="AD183" i="5"/>
  <c r="AC183" i="5"/>
  <c r="AD182" i="5"/>
  <c r="AD181" i="5"/>
  <c r="AD180" i="5"/>
  <c r="AD179" i="5"/>
  <c r="AC179" i="5"/>
  <c r="AD178" i="5"/>
  <c r="AD177" i="5"/>
  <c r="AD176" i="5"/>
  <c r="AD175" i="5"/>
  <c r="AC175" i="5"/>
  <c r="AD174" i="5"/>
  <c r="AD173" i="5"/>
  <c r="AD172" i="5"/>
  <c r="AD171" i="5"/>
  <c r="AC171" i="5"/>
  <c r="AD170" i="5"/>
  <c r="AD169" i="5"/>
  <c r="AD168" i="5"/>
  <c r="AD167" i="5"/>
  <c r="AC167" i="5"/>
  <c r="AD166" i="5"/>
  <c r="AD165" i="5"/>
  <c r="AD164" i="5"/>
  <c r="AD163" i="5"/>
  <c r="AC163" i="5"/>
  <c r="AD162" i="5"/>
  <c r="AD161" i="5"/>
  <c r="AD160" i="5"/>
  <c r="AD159" i="5"/>
  <c r="AC159" i="5"/>
  <c r="AD158" i="5"/>
  <c r="AD157" i="5"/>
  <c r="AD156" i="5"/>
  <c r="AD155" i="5"/>
  <c r="AC155" i="5"/>
  <c r="AD154" i="5"/>
  <c r="AD153" i="5"/>
  <c r="AD152" i="5"/>
  <c r="AD151" i="5"/>
  <c r="AC151" i="5"/>
  <c r="AD150" i="5"/>
  <c r="AD149" i="5"/>
  <c r="AD148" i="5"/>
  <c r="AD147" i="5"/>
  <c r="AC147" i="5"/>
  <c r="AD146" i="5"/>
  <c r="AD145" i="5"/>
  <c r="AD144" i="5"/>
  <c r="AD143" i="5"/>
  <c r="AC143" i="5"/>
  <c r="AD142" i="5"/>
  <c r="AD141" i="5"/>
  <c r="AD140" i="5"/>
  <c r="AD139" i="5"/>
  <c r="AC139" i="5"/>
  <c r="AD138" i="5"/>
  <c r="AD137" i="5"/>
  <c r="AD136" i="5"/>
  <c r="AD135" i="5"/>
  <c r="AC135" i="5"/>
  <c r="AD134" i="5"/>
  <c r="AD133" i="5"/>
  <c r="AD132" i="5"/>
  <c r="AD131" i="5"/>
  <c r="AC131" i="5"/>
  <c r="AD130" i="5"/>
  <c r="AD129" i="5"/>
  <c r="AD128" i="5"/>
  <c r="AD127" i="5"/>
  <c r="AC127" i="5"/>
  <c r="AD126" i="5"/>
  <c r="AD125" i="5"/>
  <c r="AD124" i="5"/>
  <c r="AD123" i="5"/>
  <c r="AC123" i="5"/>
  <c r="AD122" i="5"/>
  <c r="AD121" i="5"/>
  <c r="AD120" i="5"/>
  <c r="AD119" i="5"/>
  <c r="AC119" i="5"/>
  <c r="AD118" i="5"/>
  <c r="AD117" i="5"/>
  <c r="AD116" i="5"/>
  <c r="AD115" i="5"/>
  <c r="AC115" i="5"/>
  <c r="AD114" i="5"/>
  <c r="AD113" i="5"/>
  <c r="AD112" i="5"/>
  <c r="AD111" i="5"/>
  <c r="AC111" i="5"/>
  <c r="AD110" i="5"/>
  <c r="AD109" i="5"/>
  <c r="AD108" i="5"/>
  <c r="AD107" i="5"/>
  <c r="AC107" i="5"/>
  <c r="AD106" i="5"/>
  <c r="AD105" i="5"/>
  <c r="AD104" i="5"/>
  <c r="AD103" i="5"/>
  <c r="AC103" i="5"/>
  <c r="AD102" i="5"/>
  <c r="AD101" i="5"/>
  <c r="AD100" i="5"/>
  <c r="AD99" i="5"/>
  <c r="AC99" i="5"/>
  <c r="AD98" i="5"/>
  <c r="AD97" i="5"/>
  <c r="AD96" i="5"/>
  <c r="AD95" i="5"/>
  <c r="AC95" i="5"/>
  <c r="AD94" i="5"/>
  <c r="AD93" i="5"/>
  <c r="AD92" i="5"/>
  <c r="AD91" i="5"/>
  <c r="AC91" i="5"/>
  <c r="AD90" i="5"/>
  <c r="AD89" i="5"/>
  <c r="AD88" i="5"/>
  <c r="AD87" i="5"/>
  <c r="AC87" i="5"/>
  <c r="AD86" i="5"/>
  <c r="AD85" i="5"/>
  <c r="AD84" i="5"/>
  <c r="AD83" i="5"/>
  <c r="AC83" i="5"/>
  <c r="AD82" i="5"/>
  <c r="AD81" i="5"/>
  <c r="AD80" i="5"/>
  <c r="AD79" i="5"/>
  <c r="AC79" i="5"/>
  <c r="AD78" i="5"/>
  <c r="AD77" i="5"/>
  <c r="AD76" i="5"/>
  <c r="AD75" i="5"/>
  <c r="AC75" i="5"/>
  <c r="AD74" i="5"/>
  <c r="AD73" i="5"/>
  <c r="AD72" i="5"/>
  <c r="AD71" i="5"/>
  <c r="AC71" i="5"/>
  <c r="AD70" i="5"/>
  <c r="AD69" i="5"/>
  <c r="AD68" i="5"/>
  <c r="AD67" i="5"/>
  <c r="AC67" i="5"/>
  <c r="AD66" i="5"/>
  <c r="AD65" i="5"/>
  <c r="AD64" i="5"/>
  <c r="AD63" i="5"/>
  <c r="AC63" i="5"/>
  <c r="AD62" i="5"/>
  <c r="AD61" i="5"/>
  <c r="AD60" i="5"/>
  <c r="AD59" i="5"/>
  <c r="AC59" i="5"/>
  <c r="AD58" i="5"/>
  <c r="AD57" i="5"/>
  <c r="AD56" i="5"/>
  <c r="AD55" i="5"/>
  <c r="AC55" i="5"/>
  <c r="AD54" i="5"/>
  <c r="AD53" i="5"/>
  <c r="AD52" i="5"/>
  <c r="AD51" i="5"/>
  <c r="AC51" i="5"/>
  <c r="AD50" i="5"/>
  <c r="AD49" i="5"/>
  <c r="AD48" i="5"/>
  <c r="AD47" i="5"/>
  <c r="AC47" i="5"/>
  <c r="AD46" i="5"/>
  <c r="AD45" i="5"/>
  <c r="AD44" i="5"/>
  <c r="AD43" i="5"/>
  <c r="AC43" i="5"/>
  <c r="AD42" i="5"/>
  <c r="AD41" i="5"/>
  <c r="AD40" i="5"/>
  <c r="AD39" i="5"/>
  <c r="AC39" i="5"/>
  <c r="AD38" i="5"/>
  <c r="AD37" i="5"/>
  <c r="AD36" i="5"/>
  <c r="AD35" i="5"/>
  <c r="AC35" i="5"/>
  <c r="AD34" i="5"/>
  <c r="AD33" i="5"/>
  <c r="AD32" i="5"/>
  <c r="AD31" i="5"/>
  <c r="AC31" i="5"/>
  <c r="AD30" i="5"/>
  <c r="AD29" i="5"/>
  <c r="AD28" i="5"/>
  <c r="AD27" i="5"/>
  <c r="AC27" i="5"/>
  <c r="AD26" i="5"/>
  <c r="AD25" i="5"/>
  <c r="AD24" i="5"/>
  <c r="AD23" i="5"/>
  <c r="AC23" i="5"/>
  <c r="AD22" i="5"/>
  <c r="AD21" i="5"/>
  <c r="AD20" i="5"/>
  <c r="AD19" i="5"/>
  <c r="AC19" i="5"/>
  <c r="AD18" i="5"/>
  <c r="AD17" i="5"/>
  <c r="AD16" i="5"/>
  <c r="AD15" i="5"/>
  <c r="AC15" i="5"/>
  <c r="AD14" i="5"/>
  <c r="AD13" i="5"/>
  <c r="AD12" i="5"/>
  <c r="AD11" i="5"/>
  <c r="AC11" i="5"/>
  <c r="AD10" i="5"/>
  <c r="AD9" i="5"/>
  <c r="AD8" i="5"/>
  <c r="AD7" i="5"/>
  <c r="AC7" i="5"/>
  <c r="E8" i="7"/>
  <c r="E7" i="7"/>
  <c r="E6" i="7"/>
  <c r="E4" i="7"/>
  <c r="E3" i="7"/>
  <c r="S13" i="7" l="1"/>
  <c r="P13" i="7"/>
  <c r="P11" i="7"/>
  <c r="P12" i="7"/>
  <c r="S11" i="7"/>
  <c r="S12" i="7"/>
  <c r="S14" i="7"/>
  <c r="AC35" i="16"/>
  <c r="AC12" i="16"/>
  <c r="V12" i="16"/>
  <c r="R12" i="16"/>
  <c r="V21" i="8" l="1"/>
  <c r="W27" i="8"/>
  <c r="X27" i="8" s="1"/>
  <c r="W21" i="8"/>
  <c r="X21" i="8" s="1"/>
  <c r="W12" i="8"/>
  <c r="X12" i="8" s="1"/>
  <c r="W6" i="8"/>
  <c r="X6" i="8" s="1"/>
  <c r="BF406" i="6"/>
  <c r="BF405" i="6"/>
  <c r="BF404" i="6"/>
  <c r="BF403" i="6"/>
  <c r="BF402" i="6"/>
  <c r="BF401" i="6"/>
  <c r="BF400" i="6"/>
  <c r="BF399" i="6"/>
  <c r="BF398" i="6"/>
  <c r="BF397" i="6"/>
  <c r="BF396" i="6"/>
  <c r="BF395" i="6"/>
  <c r="BF394" i="6"/>
  <c r="BF393" i="6"/>
  <c r="BF392" i="6"/>
  <c r="BF391" i="6"/>
  <c r="BF390" i="6"/>
  <c r="BF389" i="6"/>
  <c r="BF388" i="6"/>
  <c r="BF387" i="6"/>
  <c r="BF386" i="6"/>
  <c r="BF385" i="6"/>
  <c r="BF384" i="6"/>
  <c r="BF383" i="6"/>
  <c r="BF382" i="6"/>
  <c r="BF381" i="6"/>
  <c r="BF380" i="6"/>
  <c r="BF379" i="6"/>
  <c r="BF378" i="6"/>
  <c r="BF377" i="6"/>
  <c r="BF376" i="6"/>
  <c r="BF375" i="6"/>
  <c r="BF374" i="6"/>
  <c r="BF373" i="6"/>
  <c r="BF372" i="6"/>
  <c r="BF371" i="6"/>
  <c r="BF370" i="6"/>
  <c r="BF369" i="6"/>
  <c r="BF368" i="6"/>
  <c r="BF367" i="6"/>
  <c r="BF366" i="6"/>
  <c r="BF365" i="6"/>
  <c r="BF364" i="6"/>
  <c r="BF363" i="6"/>
  <c r="BF362" i="6"/>
  <c r="BF361" i="6"/>
  <c r="BF360" i="6"/>
  <c r="BF359" i="6"/>
  <c r="BF358" i="6"/>
  <c r="BF357" i="6"/>
  <c r="BF356" i="6"/>
  <c r="BF355" i="6"/>
  <c r="BF354" i="6"/>
  <c r="BF353" i="6"/>
  <c r="BF352" i="6"/>
  <c r="BF351" i="6"/>
  <c r="BF350" i="6"/>
  <c r="BF349" i="6"/>
  <c r="BF348" i="6"/>
  <c r="BF347" i="6"/>
  <c r="BF346" i="6"/>
  <c r="BF345" i="6"/>
  <c r="BF344" i="6"/>
  <c r="BF343" i="6"/>
  <c r="BF342" i="6"/>
  <c r="BF341" i="6"/>
  <c r="BF340" i="6"/>
  <c r="BF339" i="6"/>
  <c r="BF338" i="6"/>
  <c r="BF337" i="6"/>
  <c r="BF336" i="6"/>
  <c r="BF335" i="6"/>
  <c r="BF334" i="6"/>
  <c r="BF333" i="6"/>
  <c r="BF332" i="6"/>
  <c r="BF331" i="6"/>
  <c r="BF330" i="6"/>
  <c r="BF329" i="6"/>
  <c r="BF328" i="6"/>
  <c r="BF327" i="6"/>
  <c r="BF326" i="6"/>
  <c r="BF325" i="6"/>
  <c r="BF324" i="6"/>
  <c r="BF323" i="6"/>
  <c r="BF322" i="6"/>
  <c r="BF321" i="6"/>
  <c r="BF320" i="6"/>
  <c r="BF319" i="6"/>
  <c r="BF318" i="6"/>
  <c r="BF317" i="6"/>
  <c r="BF316" i="6"/>
  <c r="BF315" i="6"/>
  <c r="BF314" i="6"/>
  <c r="BF313" i="6"/>
  <c r="BF312" i="6"/>
  <c r="BF311" i="6"/>
  <c r="BF310" i="6"/>
  <c r="BF309" i="6"/>
  <c r="BF308" i="6"/>
  <c r="BF307" i="6"/>
  <c r="BF306" i="6"/>
  <c r="BF305" i="6"/>
  <c r="BF304" i="6"/>
  <c r="BF303" i="6"/>
  <c r="BF302" i="6"/>
  <c r="BF301" i="6"/>
  <c r="BF300" i="6"/>
  <c r="BF299" i="6"/>
  <c r="BF298" i="6"/>
  <c r="BF297" i="6"/>
  <c r="BF296" i="6"/>
  <c r="BF295" i="6"/>
  <c r="BF294" i="6"/>
  <c r="BF293" i="6"/>
  <c r="BF292" i="6"/>
  <c r="BF291" i="6"/>
  <c r="BF290" i="6"/>
  <c r="BF289" i="6"/>
  <c r="BF288" i="6"/>
  <c r="BF287" i="6"/>
  <c r="BF286" i="6"/>
  <c r="BF285" i="6"/>
  <c r="BF284" i="6"/>
  <c r="BF283" i="6"/>
  <c r="BF282" i="6"/>
  <c r="BF281" i="6"/>
  <c r="BF280" i="6"/>
  <c r="BF279" i="6"/>
  <c r="BF278" i="6"/>
  <c r="BF277" i="6"/>
  <c r="BF276" i="6"/>
  <c r="BF275" i="6"/>
  <c r="BF274" i="6"/>
  <c r="BF273" i="6"/>
  <c r="BF272" i="6"/>
  <c r="BF271" i="6"/>
  <c r="BF270" i="6"/>
  <c r="BF269" i="6"/>
  <c r="BF268" i="6"/>
  <c r="BF267" i="6"/>
  <c r="BF266" i="6"/>
  <c r="BF265" i="6"/>
  <c r="BF264" i="6"/>
  <c r="BF263" i="6"/>
  <c r="BF262" i="6"/>
  <c r="BF261" i="6"/>
  <c r="BF260" i="6"/>
  <c r="BF259" i="6"/>
  <c r="BF258" i="6"/>
  <c r="BF257" i="6"/>
  <c r="BF256" i="6"/>
  <c r="BF255" i="6"/>
  <c r="BF254" i="6"/>
  <c r="BF253" i="6"/>
  <c r="BF252" i="6"/>
  <c r="BF251" i="6"/>
  <c r="BF250" i="6"/>
  <c r="BF249" i="6"/>
  <c r="BF248" i="6"/>
  <c r="BF247" i="6"/>
  <c r="BF246" i="6"/>
  <c r="BF245" i="6"/>
  <c r="BF244" i="6"/>
  <c r="BF243" i="6"/>
  <c r="BF242" i="6"/>
  <c r="BF241" i="6"/>
  <c r="BF240" i="6"/>
  <c r="BF239" i="6"/>
  <c r="BF238" i="6"/>
  <c r="BF237" i="6"/>
  <c r="BF236" i="6"/>
  <c r="BF235" i="6"/>
  <c r="BF234" i="6"/>
  <c r="BF233" i="6"/>
  <c r="BF232" i="6"/>
  <c r="BF231" i="6"/>
  <c r="BF230" i="6"/>
  <c r="BF229" i="6"/>
  <c r="BF228" i="6"/>
  <c r="BF227" i="6"/>
  <c r="BF226" i="6"/>
  <c r="BF225" i="6"/>
  <c r="BF224" i="6"/>
  <c r="BF223" i="6"/>
  <c r="BF222" i="6"/>
  <c r="BF221" i="6"/>
  <c r="BF220" i="6"/>
  <c r="BF219" i="6"/>
  <c r="BF218" i="6"/>
  <c r="BF217" i="6"/>
  <c r="BF216" i="6"/>
  <c r="BF215" i="6"/>
  <c r="BF214" i="6"/>
  <c r="BF213" i="6"/>
  <c r="BF212" i="6"/>
  <c r="BF211" i="6"/>
  <c r="BF210" i="6"/>
  <c r="BF209" i="6"/>
  <c r="BF208" i="6"/>
  <c r="BF207" i="6"/>
  <c r="BF206" i="6"/>
  <c r="BF205" i="6"/>
  <c r="BF204" i="6"/>
  <c r="BF203" i="6"/>
  <c r="BF202" i="6"/>
  <c r="BF201" i="6"/>
  <c r="BF200" i="6"/>
  <c r="BF199" i="6"/>
  <c r="BF198" i="6"/>
  <c r="BF197" i="6"/>
  <c r="BF196" i="6"/>
  <c r="BF195" i="6"/>
  <c r="BF194" i="6"/>
  <c r="BF193" i="6"/>
  <c r="BF192" i="6"/>
  <c r="BF191" i="6"/>
  <c r="BF190" i="6"/>
  <c r="BF189" i="6"/>
  <c r="BF188" i="6"/>
  <c r="BF187" i="6"/>
  <c r="BF186" i="6"/>
  <c r="BF185" i="6"/>
  <c r="BF184" i="6"/>
  <c r="BF183" i="6"/>
  <c r="BF182" i="6"/>
  <c r="BF181" i="6"/>
  <c r="BF180" i="6"/>
  <c r="BF179" i="6"/>
  <c r="BF178" i="6"/>
  <c r="BF177" i="6"/>
  <c r="BF176" i="6"/>
  <c r="BF175" i="6"/>
  <c r="BF174" i="6"/>
  <c r="BF173" i="6"/>
  <c r="BF172" i="6"/>
  <c r="BF171" i="6"/>
  <c r="BF170" i="6"/>
  <c r="BF169" i="6"/>
  <c r="BF168" i="6"/>
  <c r="BF167" i="6"/>
  <c r="BF166" i="6"/>
  <c r="BF165" i="6"/>
  <c r="BF164" i="6"/>
  <c r="BF163" i="6"/>
  <c r="BF162" i="6"/>
  <c r="BF161" i="6"/>
  <c r="BF160" i="6"/>
  <c r="BF159" i="6"/>
  <c r="BF158" i="6"/>
  <c r="BF157" i="6"/>
  <c r="BF156" i="6"/>
  <c r="BF155" i="6"/>
  <c r="BF154" i="6"/>
  <c r="BF153" i="6"/>
  <c r="BF152" i="6"/>
  <c r="BF151" i="6"/>
  <c r="BF150" i="6"/>
  <c r="BF149" i="6"/>
  <c r="BF148" i="6"/>
  <c r="BF147" i="6"/>
  <c r="BF146" i="6"/>
  <c r="BF145" i="6"/>
  <c r="BF144" i="6"/>
  <c r="BF143" i="6"/>
  <c r="BF142" i="6"/>
  <c r="BF141" i="6"/>
  <c r="BF140" i="6"/>
  <c r="BF139" i="6"/>
  <c r="BF138" i="6"/>
  <c r="BF137" i="6"/>
  <c r="BF136" i="6"/>
  <c r="BF135" i="6"/>
  <c r="BF134" i="6"/>
  <c r="BF133" i="6"/>
  <c r="BF132" i="6"/>
  <c r="BF131" i="6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7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2" i="6"/>
  <c r="BF21" i="6"/>
  <c r="BF20" i="6"/>
  <c r="BF18" i="6"/>
  <c r="BF17" i="6"/>
  <c r="BF16" i="6"/>
  <c r="BF14" i="6"/>
  <c r="BF13" i="6"/>
  <c r="BF10" i="6"/>
  <c r="BI406" i="6"/>
  <c r="BI405" i="6"/>
  <c r="BI404" i="6"/>
  <c r="BI403" i="6"/>
  <c r="BI402" i="6"/>
  <c r="BI401" i="6"/>
  <c r="BI400" i="6"/>
  <c r="BI399" i="6"/>
  <c r="BI398" i="6"/>
  <c r="BI397" i="6"/>
  <c r="BI396" i="6"/>
  <c r="BI395" i="6"/>
  <c r="BI394" i="6"/>
  <c r="BI393" i="6"/>
  <c r="BI392" i="6"/>
  <c r="BI391" i="6"/>
  <c r="BI390" i="6"/>
  <c r="BI389" i="6"/>
  <c r="BI388" i="6"/>
  <c r="BI387" i="6"/>
  <c r="BI386" i="6"/>
  <c r="BI385" i="6"/>
  <c r="BI384" i="6"/>
  <c r="BI383" i="6"/>
  <c r="BI382" i="6"/>
  <c r="BI381" i="6"/>
  <c r="BI380" i="6"/>
  <c r="BI379" i="6"/>
  <c r="BI378" i="6"/>
  <c r="BI377" i="6"/>
  <c r="BI376" i="6"/>
  <c r="BI375" i="6"/>
  <c r="BI374" i="6"/>
  <c r="BI373" i="6"/>
  <c r="BI372" i="6"/>
  <c r="BI371" i="6"/>
  <c r="BI370" i="6"/>
  <c r="BI369" i="6"/>
  <c r="BI368" i="6"/>
  <c r="BI367" i="6"/>
  <c r="BI366" i="6"/>
  <c r="BI365" i="6"/>
  <c r="BI364" i="6"/>
  <c r="BI363" i="6"/>
  <c r="BI362" i="6"/>
  <c r="BI361" i="6"/>
  <c r="BI360" i="6"/>
  <c r="BI359" i="6"/>
  <c r="BI358" i="6"/>
  <c r="BI357" i="6"/>
  <c r="BI356" i="6"/>
  <c r="BI355" i="6"/>
  <c r="BI354" i="6"/>
  <c r="BI353" i="6"/>
  <c r="BI352" i="6"/>
  <c r="BI351" i="6"/>
  <c r="BI350" i="6"/>
  <c r="BI349" i="6"/>
  <c r="BI348" i="6"/>
  <c r="BI347" i="6"/>
  <c r="BI346" i="6"/>
  <c r="BI345" i="6"/>
  <c r="BI344" i="6"/>
  <c r="BI343" i="6"/>
  <c r="BI342" i="6"/>
  <c r="BI341" i="6"/>
  <c r="BI340" i="6"/>
  <c r="BI339" i="6"/>
  <c r="BI338" i="6"/>
  <c r="BI337" i="6"/>
  <c r="BI336" i="6"/>
  <c r="BI335" i="6"/>
  <c r="BI334" i="6"/>
  <c r="BI333" i="6"/>
  <c r="BI332" i="6"/>
  <c r="BI331" i="6"/>
  <c r="BI330" i="6"/>
  <c r="BI329" i="6"/>
  <c r="BI328" i="6"/>
  <c r="BI327" i="6"/>
  <c r="BI326" i="6"/>
  <c r="BI325" i="6"/>
  <c r="BI324" i="6"/>
  <c r="BI323" i="6"/>
  <c r="BI322" i="6"/>
  <c r="BI321" i="6"/>
  <c r="BI320" i="6"/>
  <c r="BI319" i="6"/>
  <c r="BI318" i="6"/>
  <c r="BI317" i="6"/>
  <c r="BI316" i="6"/>
  <c r="BI315" i="6"/>
  <c r="BI314" i="6"/>
  <c r="BI313" i="6"/>
  <c r="BI312" i="6"/>
  <c r="BI311" i="6"/>
  <c r="BI310" i="6"/>
  <c r="BI309" i="6"/>
  <c r="BI308" i="6"/>
  <c r="BI307" i="6"/>
  <c r="BI306" i="6"/>
  <c r="BI305" i="6"/>
  <c r="BI304" i="6"/>
  <c r="BI303" i="6"/>
  <c r="BI302" i="6"/>
  <c r="BI301" i="6"/>
  <c r="BI300" i="6"/>
  <c r="BI299" i="6"/>
  <c r="BI298" i="6"/>
  <c r="BI297" i="6"/>
  <c r="BI296" i="6"/>
  <c r="BI295" i="6"/>
  <c r="BI294" i="6"/>
  <c r="BI293" i="6"/>
  <c r="BI292" i="6"/>
  <c r="BI291" i="6"/>
  <c r="BI290" i="6"/>
  <c r="BI289" i="6"/>
  <c r="BI288" i="6"/>
  <c r="BI287" i="6"/>
  <c r="BI286" i="6"/>
  <c r="BI285" i="6"/>
  <c r="BI284" i="6"/>
  <c r="BI283" i="6"/>
  <c r="BI282" i="6"/>
  <c r="BI281" i="6"/>
  <c r="BI280" i="6"/>
  <c r="BI279" i="6"/>
  <c r="BI278" i="6"/>
  <c r="BI277" i="6"/>
  <c r="BI276" i="6"/>
  <c r="BI275" i="6"/>
  <c r="BI274" i="6"/>
  <c r="BI273" i="6"/>
  <c r="BI272" i="6"/>
  <c r="BI271" i="6"/>
  <c r="BI270" i="6"/>
  <c r="BI269" i="6"/>
  <c r="BI268" i="6"/>
  <c r="BI267" i="6"/>
  <c r="BI266" i="6"/>
  <c r="BI265" i="6"/>
  <c r="BI264" i="6"/>
  <c r="BI263" i="6"/>
  <c r="BI262" i="6"/>
  <c r="BI261" i="6"/>
  <c r="BI260" i="6"/>
  <c r="BI259" i="6"/>
  <c r="BI258" i="6"/>
  <c r="BI257" i="6"/>
  <c r="BI256" i="6"/>
  <c r="BI255" i="6"/>
  <c r="BI254" i="6"/>
  <c r="BI253" i="6"/>
  <c r="BI252" i="6"/>
  <c r="BI251" i="6"/>
  <c r="BI250" i="6"/>
  <c r="BI249" i="6"/>
  <c r="BI248" i="6"/>
  <c r="BI247" i="6"/>
  <c r="BI246" i="6"/>
  <c r="BI245" i="6"/>
  <c r="BI244" i="6"/>
  <c r="BI243" i="6"/>
  <c r="BI242" i="6"/>
  <c r="BI241" i="6"/>
  <c r="BI240" i="6"/>
  <c r="BI239" i="6"/>
  <c r="BI238" i="6"/>
  <c r="BI237" i="6"/>
  <c r="BI236" i="6"/>
  <c r="BI235" i="6"/>
  <c r="BI234" i="6"/>
  <c r="BI233" i="6"/>
  <c r="BI232" i="6"/>
  <c r="BI231" i="6"/>
  <c r="BI230" i="6"/>
  <c r="BI229" i="6"/>
  <c r="BI228" i="6"/>
  <c r="BI227" i="6"/>
  <c r="BI226" i="6"/>
  <c r="BI225" i="6"/>
  <c r="BI224" i="6"/>
  <c r="BI223" i="6"/>
  <c r="BI222" i="6"/>
  <c r="BI221" i="6"/>
  <c r="BI220" i="6"/>
  <c r="BI219" i="6"/>
  <c r="BI218" i="6"/>
  <c r="BI217" i="6"/>
  <c r="BI216" i="6"/>
  <c r="BI215" i="6"/>
  <c r="BI214" i="6"/>
  <c r="BI213" i="6"/>
  <c r="BI212" i="6"/>
  <c r="BI211" i="6"/>
  <c r="BI210" i="6"/>
  <c r="BI209" i="6"/>
  <c r="BI208" i="6"/>
  <c r="BI207" i="6"/>
  <c r="BI206" i="6"/>
  <c r="BI205" i="6"/>
  <c r="BI204" i="6"/>
  <c r="BI203" i="6"/>
  <c r="BI202" i="6"/>
  <c r="BI201" i="6"/>
  <c r="BI200" i="6"/>
  <c r="BI199" i="6"/>
  <c r="BI198" i="6"/>
  <c r="BI197" i="6"/>
  <c r="BI196" i="6"/>
  <c r="BI195" i="6"/>
  <c r="BI194" i="6"/>
  <c r="BI193" i="6"/>
  <c r="BI192" i="6"/>
  <c r="BI191" i="6"/>
  <c r="BI190" i="6"/>
  <c r="BI189" i="6"/>
  <c r="BI188" i="6"/>
  <c r="BI187" i="6"/>
  <c r="BI186" i="6"/>
  <c r="BI185" i="6"/>
  <c r="BI184" i="6"/>
  <c r="BI183" i="6"/>
  <c r="BI182" i="6"/>
  <c r="BI181" i="6"/>
  <c r="BI180" i="6"/>
  <c r="BI179" i="6"/>
  <c r="BI178" i="6"/>
  <c r="BI177" i="6"/>
  <c r="BI176" i="6"/>
  <c r="BI175" i="6"/>
  <c r="BI174" i="6"/>
  <c r="BI173" i="6"/>
  <c r="BI172" i="6"/>
  <c r="BI171" i="6"/>
  <c r="BI170" i="6"/>
  <c r="BI169" i="6"/>
  <c r="BI168" i="6"/>
  <c r="BI167" i="6"/>
  <c r="BI166" i="6"/>
  <c r="BI165" i="6"/>
  <c r="BI164" i="6"/>
  <c r="BI163" i="6"/>
  <c r="BI162" i="6"/>
  <c r="BI161" i="6"/>
  <c r="BI160" i="6"/>
  <c r="BI159" i="6"/>
  <c r="BI158" i="6"/>
  <c r="BI157" i="6"/>
  <c r="BI156" i="6"/>
  <c r="BI155" i="6"/>
  <c r="BI154" i="6"/>
  <c r="BI153" i="6"/>
  <c r="BI152" i="6"/>
  <c r="BI151" i="6"/>
  <c r="BI150" i="6"/>
  <c r="BI149" i="6"/>
  <c r="BI148" i="6"/>
  <c r="BI147" i="6"/>
  <c r="BI146" i="6"/>
  <c r="BI145" i="6"/>
  <c r="BI144" i="6"/>
  <c r="BI143" i="6"/>
  <c r="BI142" i="6"/>
  <c r="BI141" i="6"/>
  <c r="BI140" i="6"/>
  <c r="BI139" i="6"/>
  <c r="BI138" i="6"/>
  <c r="BI137" i="6"/>
  <c r="BI136" i="6"/>
  <c r="BI135" i="6"/>
  <c r="BI134" i="6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7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2" i="6"/>
  <c r="BI21" i="6"/>
  <c r="BI20" i="6"/>
  <c r="BI19" i="6"/>
  <c r="BI18" i="6"/>
  <c r="BI17" i="6"/>
  <c r="BI16" i="6"/>
  <c r="BI14" i="6"/>
  <c r="BI13" i="6"/>
  <c r="BI12" i="6"/>
  <c r="BI10" i="6"/>
  <c r="BI8" i="6"/>
  <c r="BJ406" i="6"/>
  <c r="BK406" i="6" s="1"/>
  <c r="BJ405" i="6"/>
  <c r="BK405" i="6" s="1"/>
  <c r="BJ404" i="6"/>
  <c r="BK404" i="6" s="1"/>
  <c r="BJ403" i="6"/>
  <c r="BK403" i="6" s="1"/>
  <c r="BJ402" i="6"/>
  <c r="BK402" i="6" s="1"/>
  <c r="BJ401" i="6"/>
  <c r="BK401" i="6" s="1"/>
  <c r="BJ400" i="6"/>
  <c r="BK400" i="6" s="1"/>
  <c r="BJ399" i="6"/>
  <c r="BK399" i="6" s="1"/>
  <c r="BJ398" i="6"/>
  <c r="BK398" i="6" s="1"/>
  <c r="BJ397" i="6"/>
  <c r="BK397" i="6" s="1"/>
  <c r="BJ396" i="6"/>
  <c r="BK396" i="6" s="1"/>
  <c r="BJ395" i="6"/>
  <c r="BK395" i="6" s="1"/>
  <c r="BJ394" i="6"/>
  <c r="BK394" i="6" s="1"/>
  <c r="BJ393" i="6"/>
  <c r="BK393" i="6" s="1"/>
  <c r="BJ392" i="6"/>
  <c r="BK392" i="6" s="1"/>
  <c r="BJ391" i="6"/>
  <c r="BK391" i="6" s="1"/>
  <c r="BJ390" i="6"/>
  <c r="BK390" i="6" s="1"/>
  <c r="BJ389" i="6"/>
  <c r="BK389" i="6" s="1"/>
  <c r="BJ388" i="6"/>
  <c r="BK388" i="6" s="1"/>
  <c r="BJ387" i="6"/>
  <c r="BK387" i="6" s="1"/>
  <c r="BJ386" i="6"/>
  <c r="BK386" i="6" s="1"/>
  <c r="BJ385" i="6"/>
  <c r="BK385" i="6" s="1"/>
  <c r="BJ384" i="6"/>
  <c r="BK384" i="6" s="1"/>
  <c r="BJ383" i="6"/>
  <c r="BK383" i="6" s="1"/>
  <c r="BJ382" i="6"/>
  <c r="BK382" i="6" s="1"/>
  <c r="BJ381" i="6"/>
  <c r="BK381" i="6" s="1"/>
  <c r="BJ380" i="6"/>
  <c r="BK380" i="6" s="1"/>
  <c r="BJ379" i="6"/>
  <c r="BK379" i="6" s="1"/>
  <c r="BJ378" i="6"/>
  <c r="BK378" i="6" s="1"/>
  <c r="BJ377" i="6"/>
  <c r="BK377" i="6" s="1"/>
  <c r="BJ376" i="6"/>
  <c r="BK376" i="6" s="1"/>
  <c r="BJ375" i="6"/>
  <c r="BK375" i="6" s="1"/>
  <c r="BJ374" i="6"/>
  <c r="BK374" i="6" s="1"/>
  <c r="BJ373" i="6"/>
  <c r="BK373" i="6" s="1"/>
  <c r="BJ372" i="6"/>
  <c r="BK372" i="6" s="1"/>
  <c r="BJ371" i="6"/>
  <c r="BK371" i="6" s="1"/>
  <c r="BJ370" i="6"/>
  <c r="BK370" i="6" s="1"/>
  <c r="BJ369" i="6"/>
  <c r="BK369" i="6" s="1"/>
  <c r="BJ368" i="6"/>
  <c r="BK368" i="6" s="1"/>
  <c r="BJ367" i="6"/>
  <c r="BK367" i="6" s="1"/>
  <c r="BJ366" i="6"/>
  <c r="BK366" i="6" s="1"/>
  <c r="BJ365" i="6"/>
  <c r="BK365" i="6" s="1"/>
  <c r="BJ364" i="6"/>
  <c r="BK364" i="6" s="1"/>
  <c r="BJ363" i="6"/>
  <c r="BK363" i="6" s="1"/>
  <c r="BJ362" i="6"/>
  <c r="BK362" i="6" s="1"/>
  <c r="BJ361" i="6"/>
  <c r="BK361" i="6" s="1"/>
  <c r="BJ360" i="6"/>
  <c r="BK360" i="6" s="1"/>
  <c r="BJ359" i="6"/>
  <c r="BK359" i="6" s="1"/>
  <c r="BJ358" i="6"/>
  <c r="BK358" i="6" s="1"/>
  <c r="BJ357" i="6"/>
  <c r="BK357" i="6" s="1"/>
  <c r="BJ356" i="6"/>
  <c r="BK356" i="6" s="1"/>
  <c r="BJ355" i="6"/>
  <c r="BK355" i="6" s="1"/>
  <c r="BJ354" i="6"/>
  <c r="BK354" i="6" s="1"/>
  <c r="BJ353" i="6"/>
  <c r="BK353" i="6" s="1"/>
  <c r="BJ352" i="6"/>
  <c r="BK352" i="6" s="1"/>
  <c r="BJ351" i="6"/>
  <c r="BK351" i="6" s="1"/>
  <c r="BJ350" i="6"/>
  <c r="BK350" i="6" s="1"/>
  <c r="BJ349" i="6"/>
  <c r="BK349" i="6" s="1"/>
  <c r="BJ348" i="6"/>
  <c r="BK348" i="6" s="1"/>
  <c r="BJ347" i="6"/>
  <c r="BK347" i="6" s="1"/>
  <c r="BJ346" i="6"/>
  <c r="BK346" i="6" s="1"/>
  <c r="BJ345" i="6"/>
  <c r="BK345" i="6" s="1"/>
  <c r="BJ344" i="6"/>
  <c r="BK344" i="6" s="1"/>
  <c r="BJ343" i="6"/>
  <c r="BK343" i="6" s="1"/>
  <c r="BJ342" i="6"/>
  <c r="BK342" i="6" s="1"/>
  <c r="BJ341" i="6"/>
  <c r="BK341" i="6" s="1"/>
  <c r="BJ340" i="6"/>
  <c r="BK340" i="6" s="1"/>
  <c r="BJ339" i="6"/>
  <c r="BK339" i="6" s="1"/>
  <c r="BJ338" i="6"/>
  <c r="BK338" i="6" s="1"/>
  <c r="BJ337" i="6"/>
  <c r="BK337" i="6" s="1"/>
  <c r="BJ336" i="6"/>
  <c r="BK336" i="6" s="1"/>
  <c r="BJ335" i="6"/>
  <c r="BK335" i="6" s="1"/>
  <c r="BJ334" i="6"/>
  <c r="BK334" i="6" s="1"/>
  <c r="BJ333" i="6"/>
  <c r="BK333" i="6" s="1"/>
  <c r="BJ332" i="6"/>
  <c r="BK332" i="6" s="1"/>
  <c r="BJ331" i="6"/>
  <c r="BK331" i="6" s="1"/>
  <c r="BJ330" i="6"/>
  <c r="BK330" i="6" s="1"/>
  <c r="BJ329" i="6"/>
  <c r="BK329" i="6" s="1"/>
  <c r="BJ328" i="6"/>
  <c r="BK328" i="6" s="1"/>
  <c r="BJ327" i="6"/>
  <c r="BK327" i="6" s="1"/>
  <c r="BJ326" i="6"/>
  <c r="BK326" i="6" s="1"/>
  <c r="BJ325" i="6"/>
  <c r="BK325" i="6" s="1"/>
  <c r="BJ324" i="6"/>
  <c r="BK324" i="6" s="1"/>
  <c r="BJ323" i="6"/>
  <c r="BK323" i="6" s="1"/>
  <c r="BJ322" i="6"/>
  <c r="BK322" i="6" s="1"/>
  <c r="BJ321" i="6"/>
  <c r="BK321" i="6" s="1"/>
  <c r="BJ320" i="6"/>
  <c r="BK320" i="6" s="1"/>
  <c r="BJ319" i="6"/>
  <c r="BK319" i="6" s="1"/>
  <c r="BJ318" i="6"/>
  <c r="BK318" i="6" s="1"/>
  <c r="BJ317" i="6"/>
  <c r="BK317" i="6" s="1"/>
  <c r="BJ316" i="6"/>
  <c r="BK316" i="6" s="1"/>
  <c r="BJ315" i="6"/>
  <c r="BK315" i="6" s="1"/>
  <c r="BJ314" i="6"/>
  <c r="BK314" i="6" s="1"/>
  <c r="BJ313" i="6"/>
  <c r="BK313" i="6" s="1"/>
  <c r="BJ312" i="6"/>
  <c r="BK312" i="6" s="1"/>
  <c r="BJ311" i="6"/>
  <c r="BK311" i="6" s="1"/>
  <c r="BJ310" i="6"/>
  <c r="BK310" i="6" s="1"/>
  <c r="BJ309" i="6"/>
  <c r="BK309" i="6" s="1"/>
  <c r="BJ308" i="6"/>
  <c r="BK308" i="6" s="1"/>
  <c r="BJ307" i="6"/>
  <c r="BK307" i="6" s="1"/>
  <c r="BJ306" i="6"/>
  <c r="BK306" i="6" s="1"/>
  <c r="BJ305" i="6"/>
  <c r="BK305" i="6" s="1"/>
  <c r="BJ304" i="6"/>
  <c r="BK304" i="6" s="1"/>
  <c r="BJ303" i="6"/>
  <c r="BK303" i="6" s="1"/>
  <c r="BJ302" i="6"/>
  <c r="BK302" i="6" s="1"/>
  <c r="BJ301" i="6"/>
  <c r="BK301" i="6" s="1"/>
  <c r="BJ300" i="6"/>
  <c r="BK300" i="6" s="1"/>
  <c r="BJ299" i="6"/>
  <c r="BK299" i="6" s="1"/>
  <c r="BJ298" i="6"/>
  <c r="BK298" i="6" s="1"/>
  <c r="BJ297" i="6"/>
  <c r="BK297" i="6" s="1"/>
  <c r="BJ296" i="6"/>
  <c r="BK296" i="6" s="1"/>
  <c r="BJ295" i="6"/>
  <c r="BK295" i="6" s="1"/>
  <c r="BJ294" i="6"/>
  <c r="BK294" i="6" s="1"/>
  <c r="BJ293" i="6"/>
  <c r="BK293" i="6" s="1"/>
  <c r="BJ292" i="6"/>
  <c r="BK292" i="6" s="1"/>
  <c r="BJ291" i="6"/>
  <c r="BK291" i="6" s="1"/>
  <c r="BJ290" i="6"/>
  <c r="BK290" i="6" s="1"/>
  <c r="BJ289" i="6"/>
  <c r="BK289" i="6" s="1"/>
  <c r="BJ288" i="6"/>
  <c r="BK288" i="6" s="1"/>
  <c r="BJ287" i="6"/>
  <c r="BK287" i="6" s="1"/>
  <c r="BJ286" i="6"/>
  <c r="BK286" i="6" s="1"/>
  <c r="BJ285" i="6"/>
  <c r="BK285" i="6" s="1"/>
  <c r="BJ284" i="6"/>
  <c r="BK284" i="6" s="1"/>
  <c r="BJ283" i="6"/>
  <c r="BK283" i="6" s="1"/>
  <c r="BJ282" i="6"/>
  <c r="BK282" i="6" s="1"/>
  <c r="BJ281" i="6"/>
  <c r="BK281" i="6" s="1"/>
  <c r="BJ280" i="6"/>
  <c r="BK280" i="6" s="1"/>
  <c r="BJ279" i="6"/>
  <c r="BK279" i="6" s="1"/>
  <c r="BJ278" i="6"/>
  <c r="BK278" i="6" s="1"/>
  <c r="BJ277" i="6"/>
  <c r="BK277" i="6" s="1"/>
  <c r="BJ276" i="6"/>
  <c r="BK276" i="6" s="1"/>
  <c r="BJ275" i="6"/>
  <c r="BK275" i="6" s="1"/>
  <c r="BJ274" i="6"/>
  <c r="BK274" i="6" s="1"/>
  <c r="BJ273" i="6"/>
  <c r="BK273" i="6" s="1"/>
  <c r="BJ272" i="6"/>
  <c r="BK272" i="6" s="1"/>
  <c r="BJ271" i="6"/>
  <c r="BK271" i="6" s="1"/>
  <c r="BJ270" i="6"/>
  <c r="BK270" i="6" s="1"/>
  <c r="BJ269" i="6"/>
  <c r="BK269" i="6" s="1"/>
  <c r="BJ268" i="6"/>
  <c r="BK268" i="6" s="1"/>
  <c r="BJ267" i="6"/>
  <c r="BK267" i="6" s="1"/>
  <c r="BJ266" i="6"/>
  <c r="BK266" i="6" s="1"/>
  <c r="BJ265" i="6"/>
  <c r="BK265" i="6" s="1"/>
  <c r="BJ264" i="6"/>
  <c r="BK264" i="6" s="1"/>
  <c r="BJ263" i="6"/>
  <c r="BK263" i="6" s="1"/>
  <c r="BJ262" i="6"/>
  <c r="BK262" i="6" s="1"/>
  <c r="BJ261" i="6"/>
  <c r="BK261" i="6" s="1"/>
  <c r="BJ260" i="6"/>
  <c r="BK260" i="6" s="1"/>
  <c r="BJ259" i="6"/>
  <c r="BK259" i="6" s="1"/>
  <c r="BJ258" i="6"/>
  <c r="BK258" i="6" s="1"/>
  <c r="BJ257" i="6"/>
  <c r="BK257" i="6" s="1"/>
  <c r="BJ256" i="6"/>
  <c r="BK256" i="6" s="1"/>
  <c r="BJ255" i="6"/>
  <c r="BK255" i="6" s="1"/>
  <c r="BJ254" i="6"/>
  <c r="BK254" i="6" s="1"/>
  <c r="BJ253" i="6"/>
  <c r="BK253" i="6" s="1"/>
  <c r="BJ252" i="6"/>
  <c r="BK252" i="6" s="1"/>
  <c r="BJ251" i="6"/>
  <c r="BK251" i="6" s="1"/>
  <c r="BJ250" i="6"/>
  <c r="BK250" i="6" s="1"/>
  <c r="BJ249" i="6"/>
  <c r="BK249" i="6" s="1"/>
  <c r="BJ248" i="6"/>
  <c r="BK248" i="6" s="1"/>
  <c r="BJ247" i="6"/>
  <c r="BK247" i="6" s="1"/>
  <c r="BJ246" i="6"/>
  <c r="BK246" i="6" s="1"/>
  <c r="BJ245" i="6"/>
  <c r="BK245" i="6" s="1"/>
  <c r="BJ244" i="6"/>
  <c r="BK244" i="6" s="1"/>
  <c r="BJ243" i="6"/>
  <c r="BK243" i="6" s="1"/>
  <c r="BJ242" i="6"/>
  <c r="BK242" i="6" s="1"/>
  <c r="BJ241" i="6"/>
  <c r="BK241" i="6" s="1"/>
  <c r="BJ240" i="6"/>
  <c r="BK240" i="6" s="1"/>
  <c r="BJ239" i="6"/>
  <c r="BK239" i="6" s="1"/>
  <c r="BJ238" i="6"/>
  <c r="BK238" i="6" s="1"/>
  <c r="BJ237" i="6"/>
  <c r="BK237" i="6" s="1"/>
  <c r="BJ236" i="6"/>
  <c r="BK236" i="6" s="1"/>
  <c r="BJ235" i="6"/>
  <c r="BK235" i="6" s="1"/>
  <c r="BJ234" i="6"/>
  <c r="BK234" i="6" s="1"/>
  <c r="BJ233" i="6"/>
  <c r="BK233" i="6" s="1"/>
  <c r="BJ232" i="6"/>
  <c r="BK232" i="6" s="1"/>
  <c r="BJ231" i="6"/>
  <c r="BK231" i="6" s="1"/>
  <c r="BJ230" i="6"/>
  <c r="BK230" i="6" s="1"/>
  <c r="BJ229" i="6"/>
  <c r="BK229" i="6" s="1"/>
  <c r="BJ228" i="6"/>
  <c r="BK228" i="6" s="1"/>
  <c r="BJ227" i="6"/>
  <c r="BK227" i="6" s="1"/>
  <c r="BJ226" i="6"/>
  <c r="BK226" i="6" s="1"/>
  <c r="BJ225" i="6"/>
  <c r="BK225" i="6" s="1"/>
  <c r="BJ224" i="6"/>
  <c r="BK224" i="6" s="1"/>
  <c r="BJ223" i="6"/>
  <c r="BK223" i="6" s="1"/>
  <c r="BJ222" i="6"/>
  <c r="BK222" i="6" s="1"/>
  <c r="BJ221" i="6"/>
  <c r="BK221" i="6" s="1"/>
  <c r="BJ220" i="6"/>
  <c r="BK220" i="6" s="1"/>
  <c r="BJ219" i="6"/>
  <c r="BK219" i="6" s="1"/>
  <c r="BJ218" i="6"/>
  <c r="BK218" i="6" s="1"/>
  <c r="BJ217" i="6"/>
  <c r="BK217" i="6" s="1"/>
  <c r="BJ216" i="6"/>
  <c r="BK216" i="6" s="1"/>
  <c r="BJ215" i="6"/>
  <c r="BK215" i="6" s="1"/>
  <c r="BJ214" i="6"/>
  <c r="BK214" i="6" s="1"/>
  <c r="BJ213" i="6"/>
  <c r="BK213" i="6" s="1"/>
  <c r="BJ212" i="6"/>
  <c r="BK212" i="6" s="1"/>
  <c r="BJ211" i="6"/>
  <c r="BK211" i="6" s="1"/>
  <c r="BJ210" i="6"/>
  <c r="BK210" i="6" s="1"/>
  <c r="BJ209" i="6"/>
  <c r="BK209" i="6" s="1"/>
  <c r="BJ208" i="6"/>
  <c r="BK208" i="6" s="1"/>
  <c r="BJ207" i="6"/>
  <c r="BK207" i="6" s="1"/>
  <c r="BJ206" i="6"/>
  <c r="BK206" i="6" s="1"/>
  <c r="BJ205" i="6"/>
  <c r="BK205" i="6" s="1"/>
  <c r="BJ204" i="6"/>
  <c r="BK204" i="6" s="1"/>
  <c r="BJ203" i="6"/>
  <c r="BK203" i="6" s="1"/>
  <c r="BJ202" i="6"/>
  <c r="BK202" i="6" s="1"/>
  <c r="BJ201" i="6"/>
  <c r="BK201" i="6" s="1"/>
  <c r="BJ200" i="6"/>
  <c r="BK200" i="6" s="1"/>
  <c r="BJ199" i="6"/>
  <c r="BK199" i="6" s="1"/>
  <c r="BJ198" i="6"/>
  <c r="BK198" i="6" s="1"/>
  <c r="BJ197" i="6"/>
  <c r="BK197" i="6" s="1"/>
  <c r="BJ196" i="6"/>
  <c r="BK196" i="6" s="1"/>
  <c r="BJ195" i="6"/>
  <c r="BK195" i="6" s="1"/>
  <c r="BJ194" i="6"/>
  <c r="BK194" i="6" s="1"/>
  <c r="BJ193" i="6"/>
  <c r="BK193" i="6" s="1"/>
  <c r="BJ192" i="6"/>
  <c r="BK192" i="6" s="1"/>
  <c r="BJ191" i="6"/>
  <c r="BK191" i="6" s="1"/>
  <c r="BJ190" i="6"/>
  <c r="BK190" i="6" s="1"/>
  <c r="BJ189" i="6"/>
  <c r="BK189" i="6" s="1"/>
  <c r="BJ188" i="6"/>
  <c r="BK188" i="6" s="1"/>
  <c r="BJ187" i="6"/>
  <c r="BK187" i="6" s="1"/>
  <c r="BJ186" i="6"/>
  <c r="BK186" i="6" s="1"/>
  <c r="BJ185" i="6"/>
  <c r="BK185" i="6" s="1"/>
  <c r="BJ184" i="6"/>
  <c r="BK184" i="6" s="1"/>
  <c r="BJ183" i="6"/>
  <c r="BK183" i="6" s="1"/>
  <c r="BJ182" i="6"/>
  <c r="BK182" i="6" s="1"/>
  <c r="BJ181" i="6"/>
  <c r="BK181" i="6" s="1"/>
  <c r="BJ180" i="6"/>
  <c r="BK180" i="6" s="1"/>
  <c r="BJ179" i="6"/>
  <c r="BK179" i="6" s="1"/>
  <c r="BJ178" i="6"/>
  <c r="BK178" i="6" s="1"/>
  <c r="BJ177" i="6"/>
  <c r="BK177" i="6" s="1"/>
  <c r="BJ176" i="6"/>
  <c r="BK176" i="6" s="1"/>
  <c r="BJ175" i="6"/>
  <c r="BK175" i="6" s="1"/>
  <c r="BJ174" i="6"/>
  <c r="BK174" i="6" s="1"/>
  <c r="BJ173" i="6"/>
  <c r="BK173" i="6" s="1"/>
  <c r="BJ172" i="6"/>
  <c r="BK172" i="6" s="1"/>
  <c r="BJ171" i="6"/>
  <c r="BK171" i="6" s="1"/>
  <c r="BJ170" i="6"/>
  <c r="BK170" i="6" s="1"/>
  <c r="BJ169" i="6"/>
  <c r="BK169" i="6" s="1"/>
  <c r="BJ168" i="6"/>
  <c r="BK168" i="6" s="1"/>
  <c r="BJ167" i="6"/>
  <c r="BK167" i="6" s="1"/>
  <c r="BJ166" i="6"/>
  <c r="BK166" i="6" s="1"/>
  <c r="BJ165" i="6"/>
  <c r="BK165" i="6" s="1"/>
  <c r="BJ164" i="6"/>
  <c r="BK164" i="6" s="1"/>
  <c r="BJ163" i="6"/>
  <c r="BK163" i="6" s="1"/>
  <c r="BJ162" i="6"/>
  <c r="BK162" i="6" s="1"/>
  <c r="BJ161" i="6"/>
  <c r="BK161" i="6" s="1"/>
  <c r="BJ160" i="6"/>
  <c r="BK160" i="6" s="1"/>
  <c r="BJ159" i="6"/>
  <c r="BK159" i="6" s="1"/>
  <c r="BJ158" i="6"/>
  <c r="BK158" i="6" s="1"/>
  <c r="BJ157" i="6"/>
  <c r="BK157" i="6" s="1"/>
  <c r="BJ156" i="6"/>
  <c r="BK156" i="6" s="1"/>
  <c r="BJ155" i="6"/>
  <c r="BK155" i="6" s="1"/>
  <c r="BJ154" i="6"/>
  <c r="BK154" i="6" s="1"/>
  <c r="BJ153" i="6"/>
  <c r="BK153" i="6" s="1"/>
  <c r="BJ152" i="6"/>
  <c r="BK152" i="6" s="1"/>
  <c r="BJ151" i="6"/>
  <c r="BK151" i="6" s="1"/>
  <c r="BJ150" i="6"/>
  <c r="BK150" i="6" s="1"/>
  <c r="BJ149" i="6"/>
  <c r="BK149" i="6" s="1"/>
  <c r="BJ148" i="6"/>
  <c r="BK148" i="6" s="1"/>
  <c r="BJ147" i="6"/>
  <c r="BK147" i="6" s="1"/>
  <c r="BJ146" i="6"/>
  <c r="BK146" i="6" s="1"/>
  <c r="BJ145" i="6"/>
  <c r="BK145" i="6" s="1"/>
  <c r="BJ144" i="6"/>
  <c r="BK144" i="6" s="1"/>
  <c r="BJ143" i="6"/>
  <c r="BK143" i="6" s="1"/>
  <c r="BJ142" i="6"/>
  <c r="BK142" i="6" s="1"/>
  <c r="BJ141" i="6"/>
  <c r="BK141" i="6" s="1"/>
  <c r="BJ140" i="6"/>
  <c r="BK140" i="6" s="1"/>
  <c r="BJ139" i="6"/>
  <c r="BK139" i="6" s="1"/>
  <c r="BJ138" i="6"/>
  <c r="BK138" i="6" s="1"/>
  <c r="BJ137" i="6"/>
  <c r="BK137" i="6" s="1"/>
  <c r="BJ136" i="6"/>
  <c r="BK136" i="6" s="1"/>
  <c r="BJ135" i="6"/>
  <c r="BK135" i="6" s="1"/>
  <c r="BJ134" i="6"/>
  <c r="BK134" i="6" s="1"/>
  <c r="BJ133" i="6"/>
  <c r="BK133" i="6" s="1"/>
  <c r="BJ132" i="6"/>
  <c r="BK132" i="6" s="1"/>
  <c r="BJ131" i="6"/>
  <c r="BK131" i="6" s="1"/>
  <c r="BJ130" i="6"/>
  <c r="BK130" i="6" s="1"/>
  <c r="BJ129" i="6"/>
  <c r="BK129" i="6" s="1"/>
  <c r="BJ128" i="6"/>
  <c r="BK128" i="6" s="1"/>
  <c r="BJ127" i="6"/>
  <c r="BK127" i="6" s="1"/>
  <c r="BJ126" i="6"/>
  <c r="BK126" i="6" s="1"/>
  <c r="BJ125" i="6"/>
  <c r="BK125" i="6" s="1"/>
  <c r="BJ124" i="6"/>
  <c r="BK124" i="6" s="1"/>
  <c r="BJ123" i="6"/>
  <c r="BK123" i="6" s="1"/>
  <c r="BJ122" i="6"/>
  <c r="BK122" i="6" s="1"/>
  <c r="BJ121" i="6"/>
  <c r="BK121" i="6" s="1"/>
  <c r="BJ120" i="6"/>
  <c r="BK120" i="6" s="1"/>
  <c r="BJ119" i="6"/>
  <c r="BK119" i="6" s="1"/>
  <c r="BJ118" i="6"/>
  <c r="BK118" i="6" s="1"/>
  <c r="BJ117" i="6"/>
  <c r="BK117" i="6" s="1"/>
  <c r="BJ116" i="6"/>
  <c r="BK116" i="6" s="1"/>
  <c r="BJ115" i="6"/>
  <c r="BK115" i="6" s="1"/>
  <c r="BJ114" i="6"/>
  <c r="BK114" i="6" s="1"/>
  <c r="BJ113" i="6"/>
  <c r="BK113" i="6" s="1"/>
  <c r="BJ112" i="6"/>
  <c r="BK112" i="6" s="1"/>
  <c r="BJ111" i="6"/>
  <c r="BK111" i="6" s="1"/>
  <c r="BJ110" i="6"/>
  <c r="BK110" i="6" s="1"/>
  <c r="BJ109" i="6"/>
  <c r="BK109" i="6" s="1"/>
  <c r="BJ108" i="6"/>
  <c r="BK108" i="6" s="1"/>
  <c r="BJ107" i="6"/>
  <c r="BK107" i="6" s="1"/>
  <c r="BJ106" i="6"/>
  <c r="BK106" i="6" s="1"/>
  <c r="BJ105" i="6"/>
  <c r="BK105" i="6" s="1"/>
  <c r="BJ104" i="6"/>
  <c r="BK104" i="6" s="1"/>
  <c r="BJ103" i="6"/>
  <c r="BK103" i="6" s="1"/>
  <c r="BJ102" i="6"/>
  <c r="BK102" i="6" s="1"/>
  <c r="BJ101" i="6"/>
  <c r="BK101" i="6" s="1"/>
  <c r="BJ100" i="6"/>
  <c r="BK100" i="6" s="1"/>
  <c r="BJ99" i="6"/>
  <c r="BK99" i="6" s="1"/>
  <c r="BJ98" i="6"/>
  <c r="BK98" i="6" s="1"/>
  <c r="BJ97" i="6"/>
  <c r="BK97" i="6" s="1"/>
  <c r="BJ96" i="6"/>
  <c r="BK96" i="6" s="1"/>
  <c r="BJ95" i="6"/>
  <c r="BK95" i="6" s="1"/>
  <c r="BJ94" i="6"/>
  <c r="BK94" i="6" s="1"/>
  <c r="BJ93" i="6"/>
  <c r="BK93" i="6" s="1"/>
  <c r="BJ92" i="6"/>
  <c r="BK92" i="6" s="1"/>
  <c r="BJ91" i="6"/>
  <c r="BK91" i="6" s="1"/>
  <c r="BJ90" i="6"/>
  <c r="BK90" i="6" s="1"/>
  <c r="BJ89" i="6"/>
  <c r="BK89" i="6" s="1"/>
  <c r="BJ88" i="6"/>
  <c r="BK88" i="6" s="1"/>
  <c r="BJ87" i="6"/>
  <c r="BK87" i="6" s="1"/>
  <c r="BJ86" i="6"/>
  <c r="BK86" i="6" s="1"/>
  <c r="BJ85" i="6"/>
  <c r="BK85" i="6" s="1"/>
  <c r="BJ84" i="6"/>
  <c r="BK84" i="6" s="1"/>
  <c r="BJ83" i="6"/>
  <c r="BK83" i="6" s="1"/>
  <c r="BJ82" i="6"/>
  <c r="BK82" i="6" s="1"/>
  <c r="BJ81" i="6"/>
  <c r="BK81" i="6" s="1"/>
  <c r="BJ80" i="6"/>
  <c r="BK80" i="6" s="1"/>
  <c r="BJ79" i="6"/>
  <c r="BK79" i="6" s="1"/>
  <c r="BJ78" i="6"/>
  <c r="BK78" i="6" s="1"/>
  <c r="BJ77" i="6"/>
  <c r="BK77" i="6" s="1"/>
  <c r="BJ76" i="6"/>
  <c r="BK76" i="6" s="1"/>
  <c r="BJ75" i="6"/>
  <c r="BK75" i="6" s="1"/>
  <c r="BJ74" i="6"/>
  <c r="BK74" i="6" s="1"/>
  <c r="BJ73" i="6"/>
  <c r="BK73" i="6" s="1"/>
  <c r="BJ72" i="6"/>
  <c r="BK72" i="6" s="1"/>
  <c r="BJ71" i="6"/>
  <c r="BK71" i="6" s="1"/>
  <c r="BJ70" i="6"/>
  <c r="BK70" i="6" s="1"/>
  <c r="BJ69" i="6"/>
  <c r="BK69" i="6" s="1"/>
  <c r="BJ68" i="6"/>
  <c r="BK68" i="6" s="1"/>
  <c r="BJ67" i="6"/>
  <c r="BK67" i="6" s="1"/>
  <c r="BJ66" i="6"/>
  <c r="BK66" i="6" s="1"/>
  <c r="BJ65" i="6"/>
  <c r="BK65" i="6" s="1"/>
  <c r="BJ64" i="6"/>
  <c r="BK64" i="6" s="1"/>
  <c r="BJ63" i="6"/>
  <c r="BK63" i="6" s="1"/>
  <c r="BJ62" i="6"/>
  <c r="BK62" i="6" s="1"/>
  <c r="BJ61" i="6"/>
  <c r="BK61" i="6" s="1"/>
  <c r="BJ60" i="6"/>
  <c r="BK60" i="6" s="1"/>
  <c r="BJ59" i="6"/>
  <c r="BK59" i="6" s="1"/>
  <c r="BJ58" i="6"/>
  <c r="BK58" i="6" s="1"/>
  <c r="BJ57" i="6"/>
  <c r="BK57" i="6" s="1"/>
  <c r="BJ56" i="6"/>
  <c r="BK56" i="6" s="1"/>
  <c r="BJ55" i="6"/>
  <c r="BK55" i="6" s="1"/>
  <c r="BJ54" i="6"/>
  <c r="BK54" i="6" s="1"/>
  <c r="BJ53" i="6"/>
  <c r="BK53" i="6" s="1"/>
  <c r="BJ52" i="6"/>
  <c r="BK52" i="6" s="1"/>
  <c r="BJ51" i="6"/>
  <c r="BK51" i="6" s="1"/>
  <c r="BJ50" i="6"/>
  <c r="BK50" i="6" s="1"/>
  <c r="BJ49" i="6"/>
  <c r="BK49" i="6" s="1"/>
  <c r="BJ48" i="6"/>
  <c r="BK48" i="6" s="1"/>
  <c r="BJ47" i="6"/>
  <c r="BK47" i="6" s="1"/>
  <c r="BJ46" i="6"/>
  <c r="BK46" i="6" s="1"/>
  <c r="BJ45" i="6"/>
  <c r="BK45" i="6" s="1"/>
  <c r="BJ44" i="6"/>
  <c r="BK44" i="6" s="1"/>
  <c r="BJ43" i="6"/>
  <c r="BK43" i="6" s="1"/>
  <c r="BJ42" i="6"/>
  <c r="BK42" i="6" s="1"/>
  <c r="BJ41" i="6"/>
  <c r="BK41" i="6" s="1"/>
  <c r="BJ40" i="6"/>
  <c r="BK40" i="6" s="1"/>
  <c r="BJ39" i="6"/>
  <c r="BK39" i="6" s="1"/>
  <c r="BJ38" i="6"/>
  <c r="BK38" i="6" s="1"/>
  <c r="BJ37" i="6"/>
  <c r="BK37" i="6" s="1"/>
  <c r="BJ36" i="6"/>
  <c r="BK36" i="6" s="1"/>
  <c r="BJ35" i="6"/>
  <c r="BK35" i="6" s="1"/>
  <c r="BJ34" i="6"/>
  <c r="BK34" i="6" s="1"/>
  <c r="BJ33" i="6"/>
  <c r="BK33" i="6" s="1"/>
  <c r="BJ32" i="6"/>
  <c r="BK32" i="6" s="1"/>
  <c r="BJ31" i="6"/>
  <c r="BK31" i="6" s="1"/>
  <c r="BJ30" i="6"/>
  <c r="BK30" i="6" s="1"/>
  <c r="BJ29" i="6"/>
  <c r="BK29" i="6" s="1"/>
  <c r="BJ28" i="6"/>
  <c r="BK28" i="6" s="1"/>
  <c r="BJ27" i="6"/>
  <c r="BK27" i="6" s="1"/>
  <c r="BJ26" i="6"/>
  <c r="BK26" i="6" s="1"/>
  <c r="BJ25" i="6"/>
  <c r="BK25" i="6" s="1"/>
  <c r="BJ24" i="6"/>
  <c r="BK24" i="6" s="1"/>
  <c r="BJ23" i="6"/>
  <c r="BK23" i="6" s="1"/>
  <c r="BJ22" i="6"/>
  <c r="BK22" i="6" s="1"/>
  <c r="BJ21" i="6"/>
  <c r="BK21" i="6" s="1"/>
  <c r="BJ20" i="6"/>
  <c r="BK20" i="6" s="1"/>
  <c r="BJ19" i="6"/>
  <c r="BK19" i="6" s="1"/>
  <c r="BJ18" i="6"/>
  <c r="BK18" i="6" s="1"/>
  <c r="BJ17" i="6"/>
  <c r="BK17" i="6" s="1"/>
  <c r="BJ16" i="6"/>
  <c r="BK16" i="6" s="1"/>
  <c r="BJ15" i="6"/>
  <c r="BK15" i="6" s="1"/>
  <c r="BJ14" i="6"/>
  <c r="BK14" i="6" s="1"/>
  <c r="BJ13" i="6"/>
  <c r="BK13" i="6" s="1"/>
  <c r="BJ12" i="6"/>
  <c r="BK12" i="6" s="1"/>
  <c r="BJ11" i="6"/>
  <c r="BK11" i="6" s="1"/>
  <c r="BJ10" i="6"/>
  <c r="BK10" i="6" s="1"/>
  <c r="BJ9" i="6"/>
  <c r="BK9" i="6" s="1"/>
  <c r="BJ8" i="6"/>
  <c r="BK8" i="6" s="1"/>
  <c r="BJ7" i="6"/>
  <c r="BK7" i="6" s="1"/>
  <c r="BL16" i="5"/>
  <c r="BF13" i="5"/>
  <c r="BF14" i="5"/>
  <c r="BF16" i="5"/>
  <c r="BF17" i="5"/>
  <c r="BF18" i="5"/>
  <c r="BF20" i="5"/>
  <c r="BF21" i="5"/>
  <c r="BF22" i="5"/>
  <c r="BF24" i="5"/>
  <c r="BF25" i="5"/>
  <c r="BF26" i="5"/>
  <c r="BF29" i="5"/>
  <c r="BF30" i="5"/>
  <c r="BF32" i="5"/>
  <c r="BF33" i="5"/>
  <c r="BF34" i="5"/>
  <c r="BF40" i="5"/>
  <c r="BF41" i="5"/>
  <c r="BF42" i="5"/>
  <c r="BF44" i="5"/>
  <c r="BF45" i="5"/>
  <c r="BF46" i="5"/>
  <c r="BF48" i="5"/>
  <c r="BF49" i="5"/>
  <c r="BF50" i="5"/>
  <c r="BF52" i="5"/>
  <c r="BF53" i="5"/>
  <c r="BF54" i="5"/>
  <c r="BF56" i="5"/>
  <c r="BF57" i="5"/>
  <c r="BF58" i="5"/>
  <c r="BF60" i="5"/>
  <c r="BF61" i="5"/>
  <c r="BF62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09" i="5"/>
  <c r="BF210" i="5"/>
  <c r="BF211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381" i="5"/>
  <c r="BF382" i="5"/>
  <c r="BF383" i="5"/>
  <c r="BF384" i="5"/>
  <c r="BF385" i="5"/>
  <c r="BF386" i="5"/>
  <c r="BF387" i="5"/>
  <c r="BF388" i="5"/>
  <c r="BF389" i="5"/>
  <c r="BF390" i="5"/>
  <c r="BF391" i="5"/>
  <c r="BF392" i="5"/>
  <c r="BF393" i="5"/>
  <c r="BF394" i="5"/>
  <c r="BF395" i="5"/>
  <c r="BF396" i="5"/>
  <c r="BF397" i="5"/>
  <c r="BF398" i="5"/>
  <c r="BF399" i="5"/>
  <c r="BF400" i="5"/>
  <c r="BF401" i="5"/>
  <c r="BF402" i="5"/>
  <c r="BF403" i="5"/>
  <c r="BF404" i="5"/>
  <c r="BF405" i="5"/>
  <c r="BF406" i="5"/>
  <c r="BG7" i="5"/>
  <c r="BH10" i="5"/>
  <c r="BH9" i="5"/>
  <c r="BH8" i="5"/>
  <c r="BH7" i="5"/>
  <c r="BI13" i="5"/>
  <c r="BI14" i="5"/>
  <c r="BI16" i="5"/>
  <c r="BI17" i="5"/>
  <c r="BI18" i="5"/>
  <c r="BI20" i="5"/>
  <c r="BI21" i="5"/>
  <c r="BI22" i="5"/>
  <c r="BI24" i="5"/>
  <c r="BI25" i="5"/>
  <c r="BI26" i="5"/>
  <c r="BI28" i="5"/>
  <c r="BI29" i="5"/>
  <c r="BI30" i="5"/>
  <c r="BI32" i="5"/>
  <c r="BI33" i="5"/>
  <c r="BI34" i="5"/>
  <c r="BI36" i="5"/>
  <c r="BI37" i="5"/>
  <c r="BI38" i="5"/>
  <c r="BI40" i="5"/>
  <c r="BI41" i="5"/>
  <c r="BI42" i="5"/>
  <c r="BI44" i="5"/>
  <c r="BI45" i="5"/>
  <c r="BI46" i="5"/>
  <c r="BI48" i="5"/>
  <c r="BI49" i="5"/>
  <c r="BI50" i="5"/>
  <c r="BI52" i="5"/>
  <c r="BI53" i="5"/>
  <c r="BI54" i="5"/>
  <c r="BI56" i="5"/>
  <c r="BI57" i="5"/>
  <c r="BI58" i="5"/>
  <c r="BI60" i="5"/>
  <c r="BI61" i="5"/>
  <c r="BI62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2" i="5"/>
  <c r="BI263" i="5"/>
  <c r="BI264" i="5"/>
  <c r="BI265" i="5"/>
  <c r="BI266" i="5"/>
  <c r="BI267" i="5"/>
  <c r="BI268" i="5"/>
  <c r="BI269" i="5"/>
  <c r="BI270" i="5"/>
  <c r="BI271" i="5"/>
  <c r="BI272" i="5"/>
  <c r="BI273" i="5"/>
  <c r="BI274" i="5"/>
  <c r="BI275" i="5"/>
  <c r="BI276" i="5"/>
  <c r="BI277" i="5"/>
  <c r="BI278" i="5"/>
  <c r="BI279" i="5"/>
  <c r="BI280" i="5"/>
  <c r="BI281" i="5"/>
  <c r="BI282" i="5"/>
  <c r="BI283" i="5"/>
  <c r="BI284" i="5"/>
  <c r="BI285" i="5"/>
  <c r="BI286" i="5"/>
  <c r="BI287" i="5"/>
  <c r="BI288" i="5"/>
  <c r="BI289" i="5"/>
  <c r="BI290" i="5"/>
  <c r="BI291" i="5"/>
  <c r="BI292" i="5"/>
  <c r="BI293" i="5"/>
  <c r="BI294" i="5"/>
  <c r="BI295" i="5"/>
  <c r="BI296" i="5"/>
  <c r="BI297" i="5"/>
  <c r="BI298" i="5"/>
  <c r="BI299" i="5"/>
  <c r="BI300" i="5"/>
  <c r="BI301" i="5"/>
  <c r="BI302" i="5"/>
  <c r="BI303" i="5"/>
  <c r="BI304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337" i="5"/>
  <c r="BI338" i="5"/>
  <c r="BI339" i="5"/>
  <c r="BI340" i="5"/>
  <c r="BI341" i="5"/>
  <c r="BI342" i="5"/>
  <c r="BI343" i="5"/>
  <c r="BI344" i="5"/>
  <c r="BI345" i="5"/>
  <c r="BI346" i="5"/>
  <c r="BI347" i="5"/>
  <c r="BI348" i="5"/>
  <c r="BI349" i="5"/>
  <c r="BI350" i="5"/>
  <c r="BI351" i="5"/>
  <c r="BI352" i="5"/>
  <c r="BI353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370" i="5"/>
  <c r="BI371" i="5"/>
  <c r="BI372" i="5"/>
  <c r="BI373" i="5"/>
  <c r="BI374" i="5"/>
  <c r="BI375" i="5"/>
  <c r="BI376" i="5"/>
  <c r="BI377" i="5"/>
  <c r="BI378" i="5"/>
  <c r="BI379" i="5"/>
  <c r="BI380" i="5"/>
  <c r="BI381" i="5"/>
  <c r="BI382" i="5"/>
  <c r="BI383" i="5"/>
  <c r="BI384" i="5"/>
  <c r="BI385" i="5"/>
  <c r="BI386" i="5"/>
  <c r="BI387" i="5"/>
  <c r="BI388" i="5"/>
  <c r="BI389" i="5"/>
  <c r="BI390" i="5"/>
  <c r="BI391" i="5"/>
  <c r="BI392" i="5"/>
  <c r="BI393" i="5"/>
  <c r="BI394" i="5"/>
  <c r="BI395" i="5"/>
  <c r="BI396" i="5"/>
  <c r="BI397" i="5"/>
  <c r="BI398" i="5"/>
  <c r="BI399" i="5"/>
  <c r="BI400" i="5"/>
  <c r="BI401" i="5"/>
  <c r="BI402" i="5"/>
  <c r="BI403" i="5"/>
  <c r="BI404" i="5"/>
  <c r="BI405" i="5"/>
  <c r="BI406" i="5"/>
  <c r="BJ8" i="5"/>
  <c r="BK8" i="5" s="1"/>
  <c r="BJ9" i="5"/>
  <c r="BK9" i="5" s="1"/>
  <c r="BJ10" i="5"/>
  <c r="BK10" i="5" s="1"/>
  <c r="BJ11" i="5"/>
  <c r="BK11" i="5" s="1"/>
  <c r="BJ12" i="5"/>
  <c r="BK12" i="5" s="1"/>
  <c r="BJ13" i="5"/>
  <c r="BK13" i="5" s="1"/>
  <c r="BJ14" i="5"/>
  <c r="BK14" i="5" s="1"/>
  <c r="BJ15" i="5"/>
  <c r="BK15" i="5" s="1"/>
  <c r="BJ16" i="5"/>
  <c r="BK16" i="5" s="1"/>
  <c r="BJ17" i="5"/>
  <c r="BK17" i="5" s="1"/>
  <c r="BJ18" i="5"/>
  <c r="BK18" i="5" s="1"/>
  <c r="BJ19" i="5"/>
  <c r="BK19" i="5" s="1"/>
  <c r="BJ20" i="5"/>
  <c r="BK20" i="5" s="1"/>
  <c r="BJ21" i="5"/>
  <c r="BK21" i="5" s="1"/>
  <c r="BJ22" i="5"/>
  <c r="BK22" i="5" s="1"/>
  <c r="BJ23" i="5"/>
  <c r="BK23" i="5" s="1"/>
  <c r="BJ24" i="5"/>
  <c r="BK24" i="5" s="1"/>
  <c r="BJ25" i="5"/>
  <c r="BK25" i="5" s="1"/>
  <c r="BJ26" i="5"/>
  <c r="BK26" i="5" s="1"/>
  <c r="BJ27" i="5"/>
  <c r="BK27" i="5" s="1"/>
  <c r="BJ28" i="5"/>
  <c r="BK28" i="5" s="1"/>
  <c r="BJ29" i="5"/>
  <c r="BK29" i="5" s="1"/>
  <c r="BJ30" i="5"/>
  <c r="BK30" i="5" s="1"/>
  <c r="BJ31" i="5"/>
  <c r="BK31" i="5" s="1"/>
  <c r="BJ32" i="5"/>
  <c r="BK32" i="5" s="1"/>
  <c r="BJ33" i="5"/>
  <c r="BK33" i="5" s="1"/>
  <c r="BJ34" i="5"/>
  <c r="BK34" i="5" s="1"/>
  <c r="BJ35" i="5"/>
  <c r="BK35" i="5" s="1"/>
  <c r="BJ36" i="5"/>
  <c r="BK36" i="5" s="1"/>
  <c r="BJ37" i="5"/>
  <c r="BK37" i="5" s="1"/>
  <c r="BJ38" i="5"/>
  <c r="BK38" i="5" s="1"/>
  <c r="BJ39" i="5"/>
  <c r="BK39" i="5" s="1"/>
  <c r="BJ40" i="5"/>
  <c r="BK40" i="5" s="1"/>
  <c r="BJ41" i="5"/>
  <c r="BK41" i="5" s="1"/>
  <c r="BJ42" i="5"/>
  <c r="BK42" i="5" s="1"/>
  <c r="BJ43" i="5"/>
  <c r="BK43" i="5" s="1"/>
  <c r="BJ44" i="5"/>
  <c r="BK44" i="5" s="1"/>
  <c r="BJ45" i="5"/>
  <c r="BK45" i="5" s="1"/>
  <c r="BJ46" i="5"/>
  <c r="BK46" i="5" s="1"/>
  <c r="BJ47" i="5"/>
  <c r="BK47" i="5" s="1"/>
  <c r="BJ48" i="5"/>
  <c r="BK48" i="5" s="1"/>
  <c r="BJ49" i="5"/>
  <c r="BK49" i="5" s="1"/>
  <c r="BJ50" i="5"/>
  <c r="BK50" i="5" s="1"/>
  <c r="BJ51" i="5"/>
  <c r="BK51" i="5" s="1"/>
  <c r="BJ52" i="5"/>
  <c r="BK52" i="5" s="1"/>
  <c r="BJ53" i="5"/>
  <c r="BK53" i="5" s="1"/>
  <c r="BJ54" i="5"/>
  <c r="BK54" i="5" s="1"/>
  <c r="BJ55" i="5"/>
  <c r="BK55" i="5" s="1"/>
  <c r="BJ56" i="5"/>
  <c r="BK56" i="5" s="1"/>
  <c r="BJ57" i="5"/>
  <c r="BK57" i="5" s="1"/>
  <c r="BJ58" i="5"/>
  <c r="BK58" i="5" s="1"/>
  <c r="BJ59" i="5"/>
  <c r="BK59" i="5" s="1"/>
  <c r="BJ60" i="5"/>
  <c r="BK60" i="5" s="1"/>
  <c r="BJ61" i="5"/>
  <c r="BK61" i="5" s="1"/>
  <c r="BJ62" i="5"/>
  <c r="BK62" i="5" s="1"/>
  <c r="BJ63" i="5"/>
  <c r="BK63" i="5" s="1"/>
  <c r="BJ64" i="5"/>
  <c r="BK64" i="5" s="1"/>
  <c r="BJ65" i="5"/>
  <c r="BK65" i="5" s="1"/>
  <c r="BJ66" i="5"/>
  <c r="BK66" i="5" s="1"/>
  <c r="BJ67" i="5"/>
  <c r="BK67" i="5" s="1"/>
  <c r="BJ68" i="5"/>
  <c r="BK68" i="5" s="1"/>
  <c r="BJ69" i="5"/>
  <c r="BK69" i="5" s="1"/>
  <c r="BJ70" i="5"/>
  <c r="BK70" i="5" s="1"/>
  <c r="BJ71" i="5"/>
  <c r="BK71" i="5" s="1"/>
  <c r="BJ72" i="5"/>
  <c r="BK72" i="5" s="1"/>
  <c r="BJ73" i="5"/>
  <c r="BK73" i="5" s="1"/>
  <c r="BJ74" i="5"/>
  <c r="BK74" i="5" s="1"/>
  <c r="BJ75" i="5"/>
  <c r="BK75" i="5" s="1"/>
  <c r="BJ76" i="5"/>
  <c r="BK76" i="5" s="1"/>
  <c r="BJ77" i="5"/>
  <c r="BK77" i="5" s="1"/>
  <c r="BJ78" i="5"/>
  <c r="BK78" i="5" s="1"/>
  <c r="BJ79" i="5"/>
  <c r="BK79" i="5" s="1"/>
  <c r="BJ80" i="5"/>
  <c r="BK80" i="5" s="1"/>
  <c r="BJ81" i="5"/>
  <c r="BK81" i="5" s="1"/>
  <c r="BJ82" i="5"/>
  <c r="BK82" i="5" s="1"/>
  <c r="BJ83" i="5"/>
  <c r="BK83" i="5" s="1"/>
  <c r="BJ84" i="5"/>
  <c r="BK84" i="5" s="1"/>
  <c r="BJ85" i="5"/>
  <c r="BK85" i="5" s="1"/>
  <c r="BJ86" i="5"/>
  <c r="BK86" i="5" s="1"/>
  <c r="BJ87" i="5"/>
  <c r="BK87" i="5" s="1"/>
  <c r="BJ88" i="5"/>
  <c r="BK88" i="5" s="1"/>
  <c r="BJ89" i="5"/>
  <c r="BK89" i="5" s="1"/>
  <c r="BJ90" i="5"/>
  <c r="BK90" i="5" s="1"/>
  <c r="BJ91" i="5"/>
  <c r="BK91" i="5" s="1"/>
  <c r="BJ92" i="5"/>
  <c r="BK92" i="5" s="1"/>
  <c r="BJ93" i="5"/>
  <c r="BK93" i="5" s="1"/>
  <c r="BJ94" i="5"/>
  <c r="BK94" i="5" s="1"/>
  <c r="BJ95" i="5"/>
  <c r="BK95" i="5" s="1"/>
  <c r="BJ96" i="5"/>
  <c r="BK96" i="5" s="1"/>
  <c r="BJ97" i="5"/>
  <c r="BK97" i="5" s="1"/>
  <c r="BJ98" i="5"/>
  <c r="BK98" i="5" s="1"/>
  <c r="BJ99" i="5"/>
  <c r="BK99" i="5" s="1"/>
  <c r="BJ100" i="5"/>
  <c r="BK100" i="5" s="1"/>
  <c r="BJ101" i="5"/>
  <c r="BK101" i="5" s="1"/>
  <c r="BJ102" i="5"/>
  <c r="BK102" i="5" s="1"/>
  <c r="BJ103" i="5"/>
  <c r="BK103" i="5" s="1"/>
  <c r="BJ104" i="5"/>
  <c r="BK104" i="5" s="1"/>
  <c r="BJ105" i="5"/>
  <c r="BK105" i="5" s="1"/>
  <c r="BJ106" i="5"/>
  <c r="BK106" i="5" s="1"/>
  <c r="BJ107" i="5"/>
  <c r="BK107" i="5" s="1"/>
  <c r="BJ108" i="5"/>
  <c r="BK108" i="5" s="1"/>
  <c r="BJ109" i="5"/>
  <c r="BK109" i="5" s="1"/>
  <c r="BJ110" i="5"/>
  <c r="BK110" i="5" s="1"/>
  <c r="BJ111" i="5"/>
  <c r="BK111" i="5" s="1"/>
  <c r="BJ112" i="5"/>
  <c r="BK112" i="5" s="1"/>
  <c r="BJ113" i="5"/>
  <c r="BK113" i="5" s="1"/>
  <c r="BJ114" i="5"/>
  <c r="BK114" i="5" s="1"/>
  <c r="BJ115" i="5"/>
  <c r="BK115" i="5" s="1"/>
  <c r="BJ116" i="5"/>
  <c r="BK116" i="5" s="1"/>
  <c r="BJ117" i="5"/>
  <c r="BK117" i="5" s="1"/>
  <c r="BJ118" i="5"/>
  <c r="BK118" i="5" s="1"/>
  <c r="BJ119" i="5"/>
  <c r="BK119" i="5" s="1"/>
  <c r="BJ120" i="5"/>
  <c r="BK120" i="5" s="1"/>
  <c r="BJ121" i="5"/>
  <c r="BK121" i="5" s="1"/>
  <c r="BJ122" i="5"/>
  <c r="BK122" i="5" s="1"/>
  <c r="BJ123" i="5"/>
  <c r="BK123" i="5" s="1"/>
  <c r="BJ124" i="5"/>
  <c r="BK124" i="5" s="1"/>
  <c r="BJ125" i="5"/>
  <c r="BK125" i="5" s="1"/>
  <c r="BJ126" i="5"/>
  <c r="BK126" i="5" s="1"/>
  <c r="BJ127" i="5"/>
  <c r="BK127" i="5" s="1"/>
  <c r="BJ128" i="5"/>
  <c r="BK128" i="5" s="1"/>
  <c r="BJ129" i="5"/>
  <c r="BK129" i="5" s="1"/>
  <c r="BJ130" i="5"/>
  <c r="BK130" i="5" s="1"/>
  <c r="BJ131" i="5"/>
  <c r="BK131" i="5" s="1"/>
  <c r="BJ132" i="5"/>
  <c r="BK132" i="5" s="1"/>
  <c r="BJ133" i="5"/>
  <c r="BK133" i="5" s="1"/>
  <c r="BJ134" i="5"/>
  <c r="BK134" i="5" s="1"/>
  <c r="BJ135" i="5"/>
  <c r="BK135" i="5" s="1"/>
  <c r="BJ136" i="5"/>
  <c r="BK136" i="5" s="1"/>
  <c r="BJ137" i="5"/>
  <c r="BK137" i="5" s="1"/>
  <c r="BJ138" i="5"/>
  <c r="BK138" i="5" s="1"/>
  <c r="BJ139" i="5"/>
  <c r="BK139" i="5" s="1"/>
  <c r="BJ140" i="5"/>
  <c r="BK140" i="5" s="1"/>
  <c r="BJ141" i="5"/>
  <c r="BK141" i="5" s="1"/>
  <c r="BJ142" i="5"/>
  <c r="BK142" i="5" s="1"/>
  <c r="BJ143" i="5"/>
  <c r="BK143" i="5" s="1"/>
  <c r="BJ144" i="5"/>
  <c r="BK144" i="5" s="1"/>
  <c r="BJ145" i="5"/>
  <c r="BK145" i="5" s="1"/>
  <c r="BJ146" i="5"/>
  <c r="BK146" i="5" s="1"/>
  <c r="BJ147" i="5"/>
  <c r="BK147" i="5" s="1"/>
  <c r="BJ148" i="5"/>
  <c r="BK148" i="5" s="1"/>
  <c r="BJ149" i="5"/>
  <c r="BK149" i="5" s="1"/>
  <c r="BJ150" i="5"/>
  <c r="BK150" i="5" s="1"/>
  <c r="BJ151" i="5"/>
  <c r="BK151" i="5" s="1"/>
  <c r="BJ152" i="5"/>
  <c r="BK152" i="5" s="1"/>
  <c r="BJ153" i="5"/>
  <c r="BK153" i="5" s="1"/>
  <c r="BJ154" i="5"/>
  <c r="BK154" i="5" s="1"/>
  <c r="BJ155" i="5"/>
  <c r="BK155" i="5" s="1"/>
  <c r="BJ156" i="5"/>
  <c r="BK156" i="5" s="1"/>
  <c r="BJ157" i="5"/>
  <c r="BK157" i="5" s="1"/>
  <c r="BJ158" i="5"/>
  <c r="BK158" i="5" s="1"/>
  <c r="BJ159" i="5"/>
  <c r="BK159" i="5" s="1"/>
  <c r="BJ160" i="5"/>
  <c r="BK160" i="5" s="1"/>
  <c r="BJ161" i="5"/>
  <c r="BK161" i="5" s="1"/>
  <c r="BJ162" i="5"/>
  <c r="BK162" i="5" s="1"/>
  <c r="BJ163" i="5"/>
  <c r="BK163" i="5" s="1"/>
  <c r="BJ164" i="5"/>
  <c r="BK164" i="5" s="1"/>
  <c r="BJ165" i="5"/>
  <c r="BK165" i="5" s="1"/>
  <c r="BJ166" i="5"/>
  <c r="BK166" i="5" s="1"/>
  <c r="BJ167" i="5"/>
  <c r="BK167" i="5" s="1"/>
  <c r="BJ168" i="5"/>
  <c r="BK168" i="5" s="1"/>
  <c r="BJ169" i="5"/>
  <c r="BK169" i="5" s="1"/>
  <c r="BJ170" i="5"/>
  <c r="BK170" i="5" s="1"/>
  <c r="BJ171" i="5"/>
  <c r="BK171" i="5" s="1"/>
  <c r="BJ172" i="5"/>
  <c r="BK172" i="5" s="1"/>
  <c r="BJ173" i="5"/>
  <c r="BK173" i="5" s="1"/>
  <c r="BJ174" i="5"/>
  <c r="BK174" i="5" s="1"/>
  <c r="BJ175" i="5"/>
  <c r="BK175" i="5" s="1"/>
  <c r="BJ176" i="5"/>
  <c r="BK176" i="5" s="1"/>
  <c r="BJ177" i="5"/>
  <c r="BK177" i="5" s="1"/>
  <c r="BJ178" i="5"/>
  <c r="BK178" i="5" s="1"/>
  <c r="BJ179" i="5"/>
  <c r="BK179" i="5" s="1"/>
  <c r="BJ180" i="5"/>
  <c r="BK180" i="5" s="1"/>
  <c r="BJ181" i="5"/>
  <c r="BK181" i="5" s="1"/>
  <c r="BJ182" i="5"/>
  <c r="BK182" i="5" s="1"/>
  <c r="BJ183" i="5"/>
  <c r="BK183" i="5" s="1"/>
  <c r="BJ184" i="5"/>
  <c r="BK184" i="5" s="1"/>
  <c r="BJ185" i="5"/>
  <c r="BK185" i="5" s="1"/>
  <c r="BJ186" i="5"/>
  <c r="BK186" i="5" s="1"/>
  <c r="BJ187" i="5"/>
  <c r="BK187" i="5" s="1"/>
  <c r="BJ188" i="5"/>
  <c r="BK188" i="5" s="1"/>
  <c r="BJ189" i="5"/>
  <c r="BK189" i="5" s="1"/>
  <c r="BJ190" i="5"/>
  <c r="BK190" i="5" s="1"/>
  <c r="BJ191" i="5"/>
  <c r="BK191" i="5" s="1"/>
  <c r="BJ192" i="5"/>
  <c r="BK192" i="5" s="1"/>
  <c r="BJ193" i="5"/>
  <c r="BK193" i="5" s="1"/>
  <c r="BJ194" i="5"/>
  <c r="BK194" i="5" s="1"/>
  <c r="BJ195" i="5"/>
  <c r="BK195" i="5" s="1"/>
  <c r="BJ196" i="5"/>
  <c r="BK196" i="5" s="1"/>
  <c r="BJ197" i="5"/>
  <c r="BK197" i="5" s="1"/>
  <c r="BJ198" i="5"/>
  <c r="BK198" i="5" s="1"/>
  <c r="BJ199" i="5"/>
  <c r="BK199" i="5" s="1"/>
  <c r="BJ200" i="5"/>
  <c r="BK200" i="5" s="1"/>
  <c r="BJ201" i="5"/>
  <c r="BK201" i="5" s="1"/>
  <c r="BJ202" i="5"/>
  <c r="BK202" i="5" s="1"/>
  <c r="BJ203" i="5"/>
  <c r="BK203" i="5" s="1"/>
  <c r="BJ204" i="5"/>
  <c r="BK204" i="5" s="1"/>
  <c r="BJ205" i="5"/>
  <c r="BK205" i="5" s="1"/>
  <c r="BJ206" i="5"/>
  <c r="BK206" i="5" s="1"/>
  <c r="BJ207" i="5"/>
  <c r="BK207" i="5" s="1"/>
  <c r="BJ208" i="5"/>
  <c r="BK208" i="5" s="1"/>
  <c r="BJ209" i="5"/>
  <c r="BK209" i="5" s="1"/>
  <c r="BJ210" i="5"/>
  <c r="BK210" i="5" s="1"/>
  <c r="BJ211" i="5"/>
  <c r="BK211" i="5" s="1"/>
  <c r="BJ212" i="5"/>
  <c r="BK212" i="5" s="1"/>
  <c r="BJ213" i="5"/>
  <c r="BK213" i="5" s="1"/>
  <c r="BJ214" i="5"/>
  <c r="BK214" i="5" s="1"/>
  <c r="BJ215" i="5"/>
  <c r="BK215" i="5" s="1"/>
  <c r="BJ216" i="5"/>
  <c r="BK216" i="5" s="1"/>
  <c r="BJ217" i="5"/>
  <c r="BK217" i="5" s="1"/>
  <c r="BJ218" i="5"/>
  <c r="BK218" i="5" s="1"/>
  <c r="BJ219" i="5"/>
  <c r="BK219" i="5" s="1"/>
  <c r="BJ220" i="5"/>
  <c r="BK220" i="5" s="1"/>
  <c r="BJ221" i="5"/>
  <c r="BK221" i="5" s="1"/>
  <c r="BJ222" i="5"/>
  <c r="BK222" i="5" s="1"/>
  <c r="BJ223" i="5"/>
  <c r="BK223" i="5" s="1"/>
  <c r="BJ224" i="5"/>
  <c r="BK224" i="5" s="1"/>
  <c r="BJ225" i="5"/>
  <c r="BK225" i="5" s="1"/>
  <c r="BJ226" i="5"/>
  <c r="BK226" i="5" s="1"/>
  <c r="BJ227" i="5"/>
  <c r="BK227" i="5" s="1"/>
  <c r="BJ228" i="5"/>
  <c r="BK228" i="5" s="1"/>
  <c r="BJ229" i="5"/>
  <c r="BK229" i="5" s="1"/>
  <c r="BJ230" i="5"/>
  <c r="BK230" i="5" s="1"/>
  <c r="BJ231" i="5"/>
  <c r="BK231" i="5" s="1"/>
  <c r="BJ232" i="5"/>
  <c r="BK232" i="5" s="1"/>
  <c r="BJ233" i="5"/>
  <c r="BK233" i="5" s="1"/>
  <c r="BJ234" i="5"/>
  <c r="BK234" i="5" s="1"/>
  <c r="BJ235" i="5"/>
  <c r="BK235" i="5" s="1"/>
  <c r="BJ236" i="5"/>
  <c r="BK236" i="5" s="1"/>
  <c r="BJ237" i="5"/>
  <c r="BK237" i="5" s="1"/>
  <c r="BJ238" i="5"/>
  <c r="BK238" i="5" s="1"/>
  <c r="BJ239" i="5"/>
  <c r="BK239" i="5" s="1"/>
  <c r="BJ240" i="5"/>
  <c r="BK240" i="5" s="1"/>
  <c r="BJ241" i="5"/>
  <c r="BK241" i="5" s="1"/>
  <c r="BJ242" i="5"/>
  <c r="BK242" i="5" s="1"/>
  <c r="BJ243" i="5"/>
  <c r="BK243" i="5" s="1"/>
  <c r="BJ244" i="5"/>
  <c r="BK244" i="5" s="1"/>
  <c r="BJ245" i="5"/>
  <c r="BK245" i="5" s="1"/>
  <c r="BJ246" i="5"/>
  <c r="BK246" i="5" s="1"/>
  <c r="BJ247" i="5"/>
  <c r="BK247" i="5" s="1"/>
  <c r="BJ248" i="5"/>
  <c r="BK248" i="5" s="1"/>
  <c r="BJ249" i="5"/>
  <c r="BK249" i="5" s="1"/>
  <c r="BJ250" i="5"/>
  <c r="BK250" i="5" s="1"/>
  <c r="BJ251" i="5"/>
  <c r="BK251" i="5" s="1"/>
  <c r="BJ252" i="5"/>
  <c r="BK252" i="5" s="1"/>
  <c r="BJ253" i="5"/>
  <c r="BK253" i="5" s="1"/>
  <c r="BJ254" i="5"/>
  <c r="BK254" i="5" s="1"/>
  <c r="BJ255" i="5"/>
  <c r="BK255" i="5" s="1"/>
  <c r="BJ256" i="5"/>
  <c r="BK256" i="5" s="1"/>
  <c r="BJ257" i="5"/>
  <c r="BK257" i="5" s="1"/>
  <c r="BJ258" i="5"/>
  <c r="BK258" i="5" s="1"/>
  <c r="BJ259" i="5"/>
  <c r="BK259" i="5" s="1"/>
  <c r="BJ260" i="5"/>
  <c r="BK260" i="5" s="1"/>
  <c r="BJ261" i="5"/>
  <c r="BK261" i="5" s="1"/>
  <c r="BJ262" i="5"/>
  <c r="BK262" i="5" s="1"/>
  <c r="BJ263" i="5"/>
  <c r="BK263" i="5" s="1"/>
  <c r="BJ264" i="5"/>
  <c r="BK264" i="5" s="1"/>
  <c r="BJ265" i="5"/>
  <c r="BK265" i="5" s="1"/>
  <c r="BJ266" i="5"/>
  <c r="BK266" i="5" s="1"/>
  <c r="BJ267" i="5"/>
  <c r="BK267" i="5" s="1"/>
  <c r="BJ268" i="5"/>
  <c r="BK268" i="5" s="1"/>
  <c r="BJ269" i="5"/>
  <c r="BK269" i="5" s="1"/>
  <c r="BJ270" i="5"/>
  <c r="BK270" i="5" s="1"/>
  <c r="BJ271" i="5"/>
  <c r="BK271" i="5" s="1"/>
  <c r="BJ272" i="5"/>
  <c r="BK272" i="5" s="1"/>
  <c r="BJ273" i="5"/>
  <c r="BK273" i="5" s="1"/>
  <c r="BJ274" i="5"/>
  <c r="BK274" i="5" s="1"/>
  <c r="BJ275" i="5"/>
  <c r="BK275" i="5" s="1"/>
  <c r="BJ276" i="5"/>
  <c r="BK276" i="5" s="1"/>
  <c r="BJ277" i="5"/>
  <c r="BK277" i="5" s="1"/>
  <c r="BJ278" i="5"/>
  <c r="BK278" i="5" s="1"/>
  <c r="BJ279" i="5"/>
  <c r="BK279" i="5" s="1"/>
  <c r="BJ280" i="5"/>
  <c r="BK280" i="5" s="1"/>
  <c r="BJ281" i="5"/>
  <c r="BK281" i="5" s="1"/>
  <c r="BJ282" i="5"/>
  <c r="BK282" i="5" s="1"/>
  <c r="BJ283" i="5"/>
  <c r="BK283" i="5" s="1"/>
  <c r="BJ284" i="5"/>
  <c r="BK284" i="5" s="1"/>
  <c r="BJ285" i="5"/>
  <c r="BK285" i="5" s="1"/>
  <c r="BJ286" i="5"/>
  <c r="BK286" i="5" s="1"/>
  <c r="BJ287" i="5"/>
  <c r="BK287" i="5" s="1"/>
  <c r="BJ288" i="5"/>
  <c r="BK288" i="5" s="1"/>
  <c r="BJ289" i="5"/>
  <c r="BK289" i="5" s="1"/>
  <c r="BJ290" i="5"/>
  <c r="BK290" i="5" s="1"/>
  <c r="BJ291" i="5"/>
  <c r="BK291" i="5" s="1"/>
  <c r="BJ292" i="5"/>
  <c r="BK292" i="5" s="1"/>
  <c r="BJ293" i="5"/>
  <c r="BK293" i="5" s="1"/>
  <c r="BJ294" i="5"/>
  <c r="BK294" i="5" s="1"/>
  <c r="BJ295" i="5"/>
  <c r="BK295" i="5" s="1"/>
  <c r="BJ296" i="5"/>
  <c r="BK296" i="5" s="1"/>
  <c r="BJ297" i="5"/>
  <c r="BK297" i="5" s="1"/>
  <c r="BJ298" i="5"/>
  <c r="BK298" i="5" s="1"/>
  <c r="BJ299" i="5"/>
  <c r="BK299" i="5" s="1"/>
  <c r="BJ300" i="5"/>
  <c r="BK300" i="5" s="1"/>
  <c r="BJ301" i="5"/>
  <c r="BK301" i="5" s="1"/>
  <c r="BJ302" i="5"/>
  <c r="BK302" i="5" s="1"/>
  <c r="BJ303" i="5"/>
  <c r="BK303" i="5" s="1"/>
  <c r="BJ304" i="5"/>
  <c r="BK304" i="5" s="1"/>
  <c r="BJ305" i="5"/>
  <c r="BK305" i="5" s="1"/>
  <c r="BJ306" i="5"/>
  <c r="BK306" i="5" s="1"/>
  <c r="BJ307" i="5"/>
  <c r="BK307" i="5" s="1"/>
  <c r="BJ308" i="5"/>
  <c r="BK308" i="5" s="1"/>
  <c r="BJ309" i="5"/>
  <c r="BK309" i="5" s="1"/>
  <c r="BJ310" i="5"/>
  <c r="BK310" i="5" s="1"/>
  <c r="BJ311" i="5"/>
  <c r="BK311" i="5" s="1"/>
  <c r="BJ312" i="5"/>
  <c r="BK312" i="5" s="1"/>
  <c r="BJ313" i="5"/>
  <c r="BK313" i="5" s="1"/>
  <c r="BJ314" i="5"/>
  <c r="BK314" i="5" s="1"/>
  <c r="BJ315" i="5"/>
  <c r="BK315" i="5" s="1"/>
  <c r="BJ316" i="5"/>
  <c r="BK316" i="5" s="1"/>
  <c r="BJ317" i="5"/>
  <c r="BK317" i="5" s="1"/>
  <c r="BJ318" i="5"/>
  <c r="BK318" i="5" s="1"/>
  <c r="BJ319" i="5"/>
  <c r="BK319" i="5" s="1"/>
  <c r="BJ320" i="5"/>
  <c r="BK320" i="5" s="1"/>
  <c r="BJ321" i="5"/>
  <c r="BK321" i="5" s="1"/>
  <c r="BJ322" i="5"/>
  <c r="BK322" i="5" s="1"/>
  <c r="BJ323" i="5"/>
  <c r="BK323" i="5" s="1"/>
  <c r="BJ324" i="5"/>
  <c r="BK324" i="5" s="1"/>
  <c r="BJ325" i="5"/>
  <c r="BK325" i="5" s="1"/>
  <c r="BJ326" i="5"/>
  <c r="BK326" i="5" s="1"/>
  <c r="BJ327" i="5"/>
  <c r="BK327" i="5" s="1"/>
  <c r="BJ328" i="5"/>
  <c r="BK328" i="5" s="1"/>
  <c r="BJ329" i="5"/>
  <c r="BK329" i="5" s="1"/>
  <c r="BJ330" i="5"/>
  <c r="BK330" i="5" s="1"/>
  <c r="BJ331" i="5"/>
  <c r="BK331" i="5" s="1"/>
  <c r="BJ332" i="5"/>
  <c r="BK332" i="5" s="1"/>
  <c r="BJ333" i="5"/>
  <c r="BK333" i="5" s="1"/>
  <c r="BJ334" i="5"/>
  <c r="BK334" i="5" s="1"/>
  <c r="BJ335" i="5"/>
  <c r="BK335" i="5" s="1"/>
  <c r="BJ336" i="5"/>
  <c r="BK336" i="5" s="1"/>
  <c r="BJ337" i="5"/>
  <c r="BK337" i="5" s="1"/>
  <c r="BJ338" i="5"/>
  <c r="BK338" i="5" s="1"/>
  <c r="BJ339" i="5"/>
  <c r="BK339" i="5" s="1"/>
  <c r="BJ340" i="5"/>
  <c r="BK340" i="5" s="1"/>
  <c r="BJ341" i="5"/>
  <c r="BK341" i="5" s="1"/>
  <c r="BJ342" i="5"/>
  <c r="BK342" i="5" s="1"/>
  <c r="BJ343" i="5"/>
  <c r="BK343" i="5" s="1"/>
  <c r="BJ344" i="5"/>
  <c r="BK344" i="5" s="1"/>
  <c r="BJ345" i="5"/>
  <c r="BK345" i="5" s="1"/>
  <c r="BJ346" i="5"/>
  <c r="BK346" i="5" s="1"/>
  <c r="BJ347" i="5"/>
  <c r="BK347" i="5" s="1"/>
  <c r="BJ348" i="5"/>
  <c r="BK348" i="5" s="1"/>
  <c r="BJ349" i="5"/>
  <c r="BK349" i="5" s="1"/>
  <c r="BJ350" i="5"/>
  <c r="BK350" i="5" s="1"/>
  <c r="BJ351" i="5"/>
  <c r="BK351" i="5" s="1"/>
  <c r="BJ352" i="5"/>
  <c r="BK352" i="5" s="1"/>
  <c r="BJ353" i="5"/>
  <c r="BK353" i="5" s="1"/>
  <c r="BJ354" i="5"/>
  <c r="BK354" i="5" s="1"/>
  <c r="BJ355" i="5"/>
  <c r="BK355" i="5" s="1"/>
  <c r="BJ356" i="5"/>
  <c r="BK356" i="5" s="1"/>
  <c r="BJ357" i="5"/>
  <c r="BK357" i="5" s="1"/>
  <c r="BJ358" i="5"/>
  <c r="BK358" i="5" s="1"/>
  <c r="BJ359" i="5"/>
  <c r="BK359" i="5" s="1"/>
  <c r="BJ360" i="5"/>
  <c r="BK360" i="5" s="1"/>
  <c r="BJ361" i="5"/>
  <c r="BK361" i="5" s="1"/>
  <c r="BJ362" i="5"/>
  <c r="BK362" i="5" s="1"/>
  <c r="BJ363" i="5"/>
  <c r="BK363" i="5" s="1"/>
  <c r="BJ364" i="5"/>
  <c r="BK364" i="5" s="1"/>
  <c r="BJ365" i="5"/>
  <c r="BK365" i="5" s="1"/>
  <c r="BJ366" i="5"/>
  <c r="BK366" i="5" s="1"/>
  <c r="BJ367" i="5"/>
  <c r="BK367" i="5" s="1"/>
  <c r="BJ368" i="5"/>
  <c r="BK368" i="5" s="1"/>
  <c r="BJ369" i="5"/>
  <c r="BK369" i="5" s="1"/>
  <c r="BJ370" i="5"/>
  <c r="BK370" i="5" s="1"/>
  <c r="BJ371" i="5"/>
  <c r="BK371" i="5" s="1"/>
  <c r="BJ372" i="5"/>
  <c r="BK372" i="5" s="1"/>
  <c r="BJ373" i="5"/>
  <c r="BK373" i="5" s="1"/>
  <c r="BJ374" i="5"/>
  <c r="BK374" i="5" s="1"/>
  <c r="BJ375" i="5"/>
  <c r="BK375" i="5" s="1"/>
  <c r="BJ376" i="5"/>
  <c r="BK376" i="5" s="1"/>
  <c r="BJ377" i="5"/>
  <c r="BK377" i="5" s="1"/>
  <c r="BJ378" i="5"/>
  <c r="BK378" i="5" s="1"/>
  <c r="BJ379" i="5"/>
  <c r="BK379" i="5" s="1"/>
  <c r="BJ380" i="5"/>
  <c r="BK380" i="5" s="1"/>
  <c r="BJ381" i="5"/>
  <c r="BK381" i="5" s="1"/>
  <c r="BJ382" i="5"/>
  <c r="BK382" i="5" s="1"/>
  <c r="BJ383" i="5"/>
  <c r="BK383" i="5" s="1"/>
  <c r="BJ384" i="5"/>
  <c r="BK384" i="5" s="1"/>
  <c r="BJ385" i="5"/>
  <c r="BK385" i="5" s="1"/>
  <c r="BJ386" i="5"/>
  <c r="BK386" i="5" s="1"/>
  <c r="BJ387" i="5"/>
  <c r="BK387" i="5" s="1"/>
  <c r="BJ388" i="5"/>
  <c r="BK388" i="5" s="1"/>
  <c r="BJ389" i="5"/>
  <c r="BK389" i="5" s="1"/>
  <c r="BJ390" i="5"/>
  <c r="BK390" i="5" s="1"/>
  <c r="BJ391" i="5"/>
  <c r="BK391" i="5" s="1"/>
  <c r="BJ392" i="5"/>
  <c r="BK392" i="5" s="1"/>
  <c r="BJ393" i="5"/>
  <c r="BK393" i="5" s="1"/>
  <c r="BJ394" i="5"/>
  <c r="BK394" i="5" s="1"/>
  <c r="BJ395" i="5"/>
  <c r="BK395" i="5" s="1"/>
  <c r="BJ396" i="5"/>
  <c r="BK396" i="5" s="1"/>
  <c r="BJ397" i="5"/>
  <c r="BK397" i="5" s="1"/>
  <c r="BJ398" i="5"/>
  <c r="BK398" i="5" s="1"/>
  <c r="BJ399" i="5"/>
  <c r="BK399" i="5" s="1"/>
  <c r="BJ400" i="5"/>
  <c r="BK400" i="5" s="1"/>
  <c r="BJ401" i="5"/>
  <c r="BK401" i="5" s="1"/>
  <c r="BJ402" i="5"/>
  <c r="BK402" i="5" s="1"/>
  <c r="BJ403" i="5"/>
  <c r="BK403" i="5" s="1"/>
  <c r="BJ404" i="5"/>
  <c r="BK404" i="5" s="1"/>
  <c r="BJ405" i="5"/>
  <c r="BK405" i="5" s="1"/>
  <c r="BJ406" i="5"/>
  <c r="BK406" i="5" s="1"/>
  <c r="BJ7" i="5"/>
  <c r="BK7" i="5" s="1"/>
  <c r="AK11" i="9"/>
  <c r="AK10" i="9"/>
  <c r="AK9" i="9"/>
  <c r="AK6" i="9"/>
  <c r="AK7" i="9"/>
  <c r="AK8" i="9"/>
  <c r="X3" i="8" l="1"/>
  <c r="BK3" i="6"/>
  <c r="BK3" i="5"/>
  <c r="G401" i="5" l="1"/>
  <c r="E401" i="5"/>
  <c r="G400" i="5"/>
  <c r="G399" i="5"/>
  <c r="D399" i="5"/>
  <c r="H399" i="5" s="1"/>
  <c r="AX399" i="5" s="1"/>
  <c r="G397" i="5"/>
  <c r="E397" i="5"/>
  <c r="G396" i="5"/>
  <c r="G395" i="5"/>
  <c r="D395" i="5"/>
  <c r="H395" i="5" s="1"/>
  <c r="AX395" i="5" s="1"/>
  <c r="G393" i="5"/>
  <c r="E393" i="5"/>
  <c r="G392" i="5"/>
  <c r="G391" i="5"/>
  <c r="D391" i="5"/>
  <c r="H391" i="5" s="1"/>
  <c r="AX391" i="5" s="1"/>
  <c r="G389" i="5"/>
  <c r="E389" i="5"/>
  <c r="G388" i="5"/>
  <c r="G387" i="5"/>
  <c r="D387" i="5"/>
  <c r="H387" i="5" s="1"/>
  <c r="AX387" i="5" s="1"/>
  <c r="G385" i="5"/>
  <c r="E385" i="5"/>
  <c r="G384" i="5"/>
  <c r="G383" i="5"/>
  <c r="D383" i="5"/>
  <c r="H383" i="5" s="1"/>
  <c r="AX383" i="5" s="1"/>
  <c r="G381" i="5"/>
  <c r="E381" i="5"/>
  <c r="G380" i="5"/>
  <c r="G379" i="5"/>
  <c r="D379" i="5"/>
  <c r="H379" i="5" s="1"/>
  <c r="AX379" i="5" s="1"/>
  <c r="G377" i="5"/>
  <c r="E377" i="5"/>
  <c r="G376" i="5"/>
  <c r="G375" i="5"/>
  <c r="D375" i="5"/>
  <c r="H375" i="5" s="1"/>
  <c r="AX375" i="5" s="1"/>
  <c r="G373" i="5"/>
  <c r="E373" i="5"/>
  <c r="G372" i="5"/>
  <c r="G371" i="5"/>
  <c r="D371" i="5"/>
  <c r="H371" i="5" s="1"/>
  <c r="AX371" i="5" s="1"/>
  <c r="G369" i="5"/>
  <c r="E369" i="5"/>
  <c r="G368" i="5"/>
  <c r="G367" i="5"/>
  <c r="D367" i="5"/>
  <c r="H367" i="5" s="1"/>
  <c r="AX367" i="5" s="1"/>
  <c r="G365" i="5"/>
  <c r="E365" i="5"/>
  <c r="G364" i="5"/>
  <c r="G363" i="5"/>
  <c r="D363" i="5"/>
  <c r="H363" i="5" s="1"/>
  <c r="AX363" i="5" s="1"/>
  <c r="G361" i="5"/>
  <c r="E361" i="5"/>
  <c r="G360" i="5"/>
  <c r="G359" i="5"/>
  <c r="D359" i="5"/>
  <c r="H359" i="5" s="1"/>
  <c r="AX359" i="5" s="1"/>
  <c r="G357" i="5"/>
  <c r="E357" i="5"/>
  <c r="G356" i="5"/>
  <c r="G355" i="5"/>
  <c r="D355" i="5"/>
  <c r="H355" i="5" s="1"/>
  <c r="AX355" i="5" s="1"/>
  <c r="G353" i="5"/>
  <c r="E353" i="5"/>
  <c r="G352" i="5"/>
  <c r="G351" i="5"/>
  <c r="D351" i="5"/>
  <c r="H351" i="5" s="1"/>
  <c r="AX351" i="5" s="1"/>
  <c r="G349" i="5"/>
  <c r="E349" i="5"/>
  <c r="G348" i="5"/>
  <c r="G347" i="5"/>
  <c r="D347" i="5"/>
  <c r="H347" i="5" s="1"/>
  <c r="AX347" i="5" s="1"/>
  <c r="G345" i="5"/>
  <c r="E345" i="5"/>
  <c r="G344" i="5"/>
  <c r="G343" i="5"/>
  <c r="D343" i="5"/>
  <c r="H343" i="5" s="1"/>
  <c r="AX343" i="5" s="1"/>
  <c r="G341" i="5"/>
  <c r="E341" i="5"/>
  <c r="G340" i="5"/>
  <c r="G339" i="5"/>
  <c r="D339" i="5"/>
  <c r="H339" i="5" s="1"/>
  <c r="AX339" i="5" s="1"/>
  <c r="G337" i="5"/>
  <c r="E337" i="5"/>
  <c r="G336" i="5"/>
  <c r="G335" i="5"/>
  <c r="D335" i="5"/>
  <c r="H335" i="5" s="1"/>
  <c r="AX335" i="5" s="1"/>
  <c r="G333" i="5"/>
  <c r="E333" i="5"/>
  <c r="G332" i="5"/>
  <c r="G331" i="5"/>
  <c r="D331" i="5"/>
  <c r="H331" i="5" s="1"/>
  <c r="AX331" i="5" s="1"/>
  <c r="G329" i="5"/>
  <c r="E329" i="5"/>
  <c r="G328" i="5"/>
  <c r="G327" i="5"/>
  <c r="D327" i="5"/>
  <c r="H327" i="5" s="1"/>
  <c r="AX327" i="5" s="1"/>
  <c r="G325" i="5"/>
  <c r="E325" i="5"/>
  <c r="G324" i="5"/>
  <c r="G323" i="5"/>
  <c r="D323" i="5"/>
  <c r="H323" i="5" s="1"/>
  <c r="AX323" i="5" s="1"/>
  <c r="G321" i="5"/>
  <c r="E321" i="5"/>
  <c r="G320" i="5"/>
  <c r="G319" i="5"/>
  <c r="D319" i="5"/>
  <c r="H319" i="5" s="1"/>
  <c r="AX319" i="5" s="1"/>
  <c r="G317" i="5"/>
  <c r="E317" i="5"/>
  <c r="G316" i="5"/>
  <c r="G315" i="5"/>
  <c r="D315" i="5"/>
  <c r="H315" i="5" s="1"/>
  <c r="AX315" i="5" s="1"/>
  <c r="G313" i="5"/>
  <c r="E313" i="5"/>
  <c r="G312" i="5"/>
  <c r="G311" i="5"/>
  <c r="D311" i="5"/>
  <c r="H311" i="5" s="1"/>
  <c r="AX311" i="5" s="1"/>
  <c r="G309" i="5"/>
  <c r="E309" i="5"/>
  <c r="G308" i="5"/>
  <c r="G307" i="5"/>
  <c r="D307" i="5"/>
  <c r="H307" i="5" s="1"/>
  <c r="AX307" i="5" s="1"/>
  <c r="G305" i="5"/>
  <c r="E305" i="5"/>
  <c r="G304" i="5"/>
  <c r="G303" i="5"/>
  <c r="D303" i="5"/>
  <c r="H303" i="5" s="1"/>
  <c r="AX303" i="5" s="1"/>
  <c r="G301" i="5"/>
  <c r="E301" i="5"/>
  <c r="G300" i="5"/>
  <c r="G299" i="5"/>
  <c r="D299" i="5"/>
  <c r="H299" i="5" s="1"/>
  <c r="AX299" i="5" s="1"/>
  <c r="G297" i="5"/>
  <c r="E297" i="5"/>
  <c r="G296" i="5"/>
  <c r="G295" i="5"/>
  <c r="D295" i="5"/>
  <c r="H295" i="5" s="1"/>
  <c r="AX295" i="5" s="1"/>
  <c r="G293" i="5"/>
  <c r="E293" i="5"/>
  <c r="G292" i="5"/>
  <c r="G291" i="5"/>
  <c r="D291" i="5"/>
  <c r="H291" i="5" s="1"/>
  <c r="AX291" i="5" s="1"/>
  <c r="G289" i="5"/>
  <c r="E289" i="5"/>
  <c r="G288" i="5"/>
  <c r="G287" i="5"/>
  <c r="D287" i="5"/>
  <c r="H287" i="5" s="1"/>
  <c r="AX287" i="5" s="1"/>
  <c r="G285" i="5"/>
  <c r="E285" i="5"/>
  <c r="G284" i="5"/>
  <c r="G283" i="5"/>
  <c r="D283" i="5"/>
  <c r="H283" i="5" s="1"/>
  <c r="AX283" i="5" s="1"/>
  <c r="G281" i="5"/>
  <c r="E281" i="5"/>
  <c r="G280" i="5"/>
  <c r="G279" i="5"/>
  <c r="D279" i="5"/>
  <c r="H279" i="5" s="1"/>
  <c r="AX279" i="5" s="1"/>
  <c r="G277" i="5"/>
  <c r="E277" i="5"/>
  <c r="G276" i="5"/>
  <c r="G275" i="5"/>
  <c r="D275" i="5"/>
  <c r="H275" i="5" s="1"/>
  <c r="AX275" i="5" s="1"/>
  <c r="G273" i="5"/>
  <c r="E273" i="5"/>
  <c r="G272" i="5"/>
  <c r="G271" i="5"/>
  <c r="D271" i="5"/>
  <c r="H271" i="5" s="1"/>
  <c r="AX271" i="5" s="1"/>
  <c r="G269" i="5"/>
  <c r="E269" i="5"/>
  <c r="G268" i="5"/>
  <c r="G267" i="5"/>
  <c r="D267" i="5"/>
  <c r="H267" i="5" s="1"/>
  <c r="AX267" i="5" s="1"/>
  <c r="G265" i="5"/>
  <c r="E265" i="5"/>
  <c r="G264" i="5"/>
  <c r="G263" i="5"/>
  <c r="D263" i="5"/>
  <c r="H263" i="5" s="1"/>
  <c r="AX263" i="5" s="1"/>
  <c r="G261" i="5"/>
  <c r="E261" i="5"/>
  <c r="G260" i="5"/>
  <c r="G259" i="5"/>
  <c r="D259" i="5"/>
  <c r="H259" i="5" s="1"/>
  <c r="AX259" i="5" s="1"/>
  <c r="G257" i="5"/>
  <c r="E257" i="5"/>
  <c r="G256" i="5"/>
  <c r="G255" i="5"/>
  <c r="D255" i="5"/>
  <c r="H255" i="5" s="1"/>
  <c r="AX255" i="5" s="1"/>
  <c r="G253" i="5"/>
  <c r="E253" i="5"/>
  <c r="G252" i="5"/>
  <c r="G251" i="5"/>
  <c r="D251" i="5"/>
  <c r="H251" i="5" s="1"/>
  <c r="AX251" i="5" s="1"/>
  <c r="G249" i="5"/>
  <c r="E249" i="5"/>
  <c r="G248" i="5"/>
  <c r="G247" i="5"/>
  <c r="D247" i="5"/>
  <c r="H247" i="5" s="1"/>
  <c r="AX247" i="5" s="1"/>
  <c r="G245" i="5"/>
  <c r="E245" i="5"/>
  <c r="G244" i="5"/>
  <c r="G243" i="5"/>
  <c r="D243" i="5"/>
  <c r="H243" i="5" s="1"/>
  <c r="AX243" i="5" s="1"/>
  <c r="G241" i="5"/>
  <c r="E241" i="5"/>
  <c r="G240" i="5"/>
  <c r="G239" i="5"/>
  <c r="D239" i="5"/>
  <c r="H239" i="5" s="1"/>
  <c r="AX239" i="5" s="1"/>
  <c r="G237" i="5"/>
  <c r="E237" i="5"/>
  <c r="G236" i="5"/>
  <c r="G235" i="5"/>
  <c r="D235" i="5"/>
  <c r="H235" i="5" s="1"/>
  <c r="AX235" i="5" s="1"/>
  <c r="G233" i="5"/>
  <c r="E233" i="5"/>
  <c r="G232" i="5"/>
  <c r="G231" i="5"/>
  <c r="D231" i="5"/>
  <c r="H231" i="5" s="1"/>
  <c r="AX231" i="5" s="1"/>
  <c r="G229" i="5"/>
  <c r="E229" i="5"/>
  <c r="G228" i="5"/>
  <c r="G227" i="5"/>
  <c r="D227" i="5"/>
  <c r="H227" i="5" s="1"/>
  <c r="AX227" i="5" s="1"/>
  <c r="G225" i="5"/>
  <c r="E225" i="5"/>
  <c r="G224" i="5"/>
  <c r="G223" i="5"/>
  <c r="D223" i="5"/>
  <c r="H223" i="5" s="1"/>
  <c r="AX223" i="5" s="1"/>
  <c r="G221" i="5"/>
  <c r="E221" i="5"/>
  <c r="G220" i="5"/>
  <c r="G219" i="5"/>
  <c r="D219" i="5"/>
  <c r="H219" i="5" s="1"/>
  <c r="AX219" i="5" s="1"/>
  <c r="G217" i="5"/>
  <c r="E217" i="5"/>
  <c r="G216" i="5"/>
  <c r="G215" i="5"/>
  <c r="D215" i="5"/>
  <c r="H215" i="5" s="1"/>
  <c r="AX215" i="5" s="1"/>
  <c r="G213" i="5"/>
  <c r="E213" i="5"/>
  <c r="G212" i="5"/>
  <c r="G211" i="5"/>
  <c r="D211" i="5"/>
  <c r="H211" i="5" s="1"/>
  <c r="AX211" i="5" s="1"/>
  <c r="G209" i="5"/>
  <c r="E209" i="5"/>
  <c r="G208" i="5"/>
  <c r="G207" i="5"/>
  <c r="D207" i="5"/>
  <c r="H207" i="5" s="1"/>
  <c r="AX207" i="5" s="1"/>
  <c r="G205" i="5"/>
  <c r="E205" i="5"/>
  <c r="G204" i="5"/>
  <c r="G203" i="5"/>
  <c r="D203" i="5"/>
  <c r="H203" i="5" s="1"/>
  <c r="AX203" i="5" s="1"/>
  <c r="G201" i="5"/>
  <c r="E201" i="5"/>
  <c r="G200" i="5"/>
  <c r="G199" i="5"/>
  <c r="D199" i="5"/>
  <c r="H199" i="5" s="1"/>
  <c r="AX199" i="5" s="1"/>
  <c r="G197" i="5"/>
  <c r="E197" i="5"/>
  <c r="G196" i="5"/>
  <c r="G195" i="5"/>
  <c r="D195" i="5"/>
  <c r="H195" i="5" s="1"/>
  <c r="AX195" i="5" s="1"/>
  <c r="G193" i="5"/>
  <c r="E193" i="5"/>
  <c r="G192" i="5"/>
  <c r="G191" i="5"/>
  <c r="D191" i="5"/>
  <c r="H191" i="5" s="1"/>
  <c r="AX191" i="5" s="1"/>
  <c r="G189" i="5"/>
  <c r="E189" i="5"/>
  <c r="G188" i="5"/>
  <c r="G187" i="5"/>
  <c r="D187" i="5"/>
  <c r="H187" i="5" s="1"/>
  <c r="AX187" i="5" s="1"/>
  <c r="G185" i="5"/>
  <c r="E185" i="5"/>
  <c r="G184" i="5"/>
  <c r="G183" i="5"/>
  <c r="D183" i="5"/>
  <c r="H183" i="5" s="1"/>
  <c r="AX183" i="5" s="1"/>
  <c r="G181" i="5"/>
  <c r="E181" i="5"/>
  <c r="G180" i="5"/>
  <c r="G179" i="5"/>
  <c r="D179" i="5"/>
  <c r="H179" i="5" s="1"/>
  <c r="AX179" i="5" s="1"/>
  <c r="G177" i="5"/>
  <c r="E177" i="5"/>
  <c r="G176" i="5"/>
  <c r="G175" i="5"/>
  <c r="D175" i="5"/>
  <c r="H175" i="5" s="1"/>
  <c r="AX175" i="5" s="1"/>
  <c r="G173" i="5"/>
  <c r="E173" i="5"/>
  <c r="G172" i="5"/>
  <c r="G171" i="5"/>
  <c r="D171" i="5"/>
  <c r="H171" i="5" s="1"/>
  <c r="AX171" i="5" s="1"/>
  <c r="G169" i="5"/>
  <c r="E169" i="5"/>
  <c r="G168" i="5"/>
  <c r="G167" i="5"/>
  <c r="D167" i="5"/>
  <c r="H167" i="5" s="1"/>
  <c r="AX167" i="5" s="1"/>
  <c r="G165" i="5"/>
  <c r="E165" i="5"/>
  <c r="G164" i="5"/>
  <c r="G163" i="5"/>
  <c r="D163" i="5"/>
  <c r="H163" i="5" s="1"/>
  <c r="AX163" i="5" s="1"/>
  <c r="G161" i="5"/>
  <c r="E161" i="5"/>
  <c r="G160" i="5"/>
  <c r="G159" i="5"/>
  <c r="D159" i="5"/>
  <c r="H159" i="5" s="1"/>
  <c r="AX159" i="5" s="1"/>
  <c r="G157" i="5"/>
  <c r="E157" i="5"/>
  <c r="G156" i="5"/>
  <c r="G155" i="5"/>
  <c r="D155" i="5"/>
  <c r="H155" i="5" s="1"/>
  <c r="AX155" i="5" s="1"/>
  <c r="G153" i="5"/>
  <c r="E153" i="5"/>
  <c r="G152" i="5"/>
  <c r="G151" i="5"/>
  <c r="D151" i="5"/>
  <c r="H151" i="5" s="1"/>
  <c r="AX151" i="5" s="1"/>
  <c r="G149" i="5"/>
  <c r="E149" i="5"/>
  <c r="G148" i="5"/>
  <c r="G147" i="5"/>
  <c r="D147" i="5"/>
  <c r="H147" i="5" s="1"/>
  <c r="AX147" i="5" s="1"/>
  <c r="G145" i="5"/>
  <c r="E145" i="5"/>
  <c r="G144" i="5"/>
  <c r="G143" i="5"/>
  <c r="D143" i="5"/>
  <c r="G141" i="5"/>
  <c r="E141" i="5"/>
  <c r="G140" i="5"/>
  <c r="G139" i="5"/>
  <c r="D139" i="5"/>
  <c r="G137" i="5"/>
  <c r="E137" i="5"/>
  <c r="G136" i="5"/>
  <c r="G135" i="5"/>
  <c r="D135" i="5"/>
  <c r="G133" i="5"/>
  <c r="E133" i="5"/>
  <c r="G132" i="5"/>
  <c r="G131" i="5"/>
  <c r="D131" i="5"/>
  <c r="H131" i="5" s="1"/>
  <c r="AX131" i="5" s="1"/>
  <c r="G129" i="5"/>
  <c r="E129" i="5"/>
  <c r="G128" i="5"/>
  <c r="G127" i="5"/>
  <c r="D127" i="5"/>
  <c r="G125" i="5"/>
  <c r="E125" i="5"/>
  <c r="G124" i="5"/>
  <c r="G123" i="5"/>
  <c r="D123" i="5"/>
  <c r="G121" i="5"/>
  <c r="E121" i="5"/>
  <c r="G120" i="5"/>
  <c r="G119" i="5"/>
  <c r="D119" i="5"/>
  <c r="F119" i="5" s="1"/>
  <c r="G117" i="5"/>
  <c r="E117" i="5"/>
  <c r="G116" i="5"/>
  <c r="G115" i="5"/>
  <c r="D115" i="5"/>
  <c r="H115" i="5" s="1"/>
  <c r="AX115" i="5" s="1"/>
  <c r="G113" i="5"/>
  <c r="E113" i="5"/>
  <c r="G112" i="5"/>
  <c r="G111" i="5"/>
  <c r="D111" i="5"/>
  <c r="G109" i="5"/>
  <c r="E109" i="5"/>
  <c r="G108" i="5"/>
  <c r="G107" i="5"/>
  <c r="D107" i="5"/>
  <c r="G105" i="5"/>
  <c r="E105" i="5"/>
  <c r="G104" i="5"/>
  <c r="G103" i="5"/>
  <c r="D103" i="5"/>
  <c r="G101" i="5"/>
  <c r="E101" i="5"/>
  <c r="G100" i="5"/>
  <c r="G99" i="5"/>
  <c r="D99" i="5"/>
  <c r="H99" i="5" s="1"/>
  <c r="AX99" i="5" s="1"/>
  <c r="G97" i="5"/>
  <c r="E97" i="5"/>
  <c r="G96" i="5"/>
  <c r="G95" i="5"/>
  <c r="D95" i="5"/>
  <c r="G93" i="5"/>
  <c r="E93" i="5"/>
  <c r="G92" i="5"/>
  <c r="G91" i="5"/>
  <c r="D91" i="5"/>
  <c r="G89" i="5"/>
  <c r="E89" i="5"/>
  <c r="G88" i="5"/>
  <c r="G87" i="5"/>
  <c r="D87" i="5"/>
  <c r="F87" i="5" s="1"/>
  <c r="D83" i="5"/>
  <c r="D79" i="5"/>
  <c r="D75" i="5"/>
  <c r="D71" i="5"/>
  <c r="D67" i="5"/>
  <c r="D63" i="5"/>
  <c r="D59" i="5"/>
  <c r="D55" i="5"/>
  <c r="D51" i="5"/>
  <c r="D47" i="5"/>
  <c r="D43" i="5"/>
  <c r="G40" i="5"/>
  <c r="D39" i="5"/>
  <c r="D35" i="5"/>
  <c r="D31" i="5"/>
  <c r="G32" i="5" s="1"/>
  <c r="D27" i="5"/>
  <c r="D23" i="5"/>
  <c r="D19" i="5"/>
  <c r="D15" i="5"/>
  <c r="D11" i="5"/>
  <c r="D7" i="5"/>
  <c r="AS7" i="9"/>
  <c r="AT7" i="9" s="1"/>
  <c r="G7" i="9" s="1"/>
  <c r="AU7" i="9"/>
  <c r="AV7" i="9" s="1"/>
  <c r="Q7" i="9" s="1"/>
  <c r="AW7" i="9"/>
  <c r="AX7" i="9" s="1"/>
  <c r="AA7" i="9" s="1"/>
  <c r="AY7" i="9"/>
  <c r="AZ7" i="9" s="1"/>
  <c r="G15" i="9" s="1"/>
  <c r="BA7" i="9"/>
  <c r="BB7" i="9" s="1"/>
  <c r="Q15" i="9" s="1"/>
  <c r="BC7" i="9"/>
  <c r="BD7" i="9" s="1"/>
  <c r="AA15" i="9" s="1"/>
  <c r="AS8" i="9"/>
  <c r="AT8" i="9" s="1"/>
  <c r="G8" i="9" s="1"/>
  <c r="AU8" i="9"/>
  <c r="AV8" i="9" s="1"/>
  <c r="Q8" i="9" s="1"/>
  <c r="AW8" i="9"/>
  <c r="AX8" i="9" s="1"/>
  <c r="AA8" i="9" s="1"/>
  <c r="AY8" i="9"/>
  <c r="AZ8" i="9" s="1"/>
  <c r="G16" i="9" s="1"/>
  <c r="BA8" i="9"/>
  <c r="BB8" i="9" s="1"/>
  <c r="Q16" i="9" s="1"/>
  <c r="BC8" i="9"/>
  <c r="BD8" i="9" s="1"/>
  <c r="AA16" i="9" s="1"/>
  <c r="AS9" i="9"/>
  <c r="AT9" i="9" s="1"/>
  <c r="G9" i="9" s="1"/>
  <c r="AU9" i="9"/>
  <c r="AV9" i="9" s="1"/>
  <c r="Q9" i="9" s="1"/>
  <c r="AW9" i="9"/>
  <c r="AX9" i="9" s="1"/>
  <c r="AA9" i="9" s="1"/>
  <c r="AY9" i="9"/>
  <c r="AZ9" i="9" s="1"/>
  <c r="G17" i="9" s="1"/>
  <c r="BA9" i="9"/>
  <c r="BB9" i="9" s="1"/>
  <c r="Q17" i="9" s="1"/>
  <c r="BC9" i="9"/>
  <c r="BD9" i="9" s="1"/>
  <c r="AA17" i="9" s="1"/>
  <c r="AS10" i="9"/>
  <c r="AT10" i="9" s="1"/>
  <c r="G10" i="9" s="1"/>
  <c r="AU10" i="9"/>
  <c r="AV10" i="9" s="1"/>
  <c r="Q10" i="9" s="1"/>
  <c r="AW10" i="9"/>
  <c r="AX10" i="9" s="1"/>
  <c r="AA10" i="9" s="1"/>
  <c r="AY10" i="9"/>
  <c r="AZ10" i="9" s="1"/>
  <c r="G18" i="9" s="1"/>
  <c r="BA10" i="9"/>
  <c r="BB10" i="9" s="1"/>
  <c r="Q18" i="9" s="1"/>
  <c r="BC10" i="9"/>
  <c r="BD10" i="9" s="1"/>
  <c r="AA18" i="9" s="1"/>
  <c r="AS11" i="9"/>
  <c r="AT11" i="9" s="1"/>
  <c r="G11" i="9" s="1"/>
  <c r="AU11" i="9"/>
  <c r="AV11" i="9" s="1"/>
  <c r="Q11" i="9" s="1"/>
  <c r="AW11" i="9"/>
  <c r="AX11" i="9" s="1"/>
  <c r="AA11" i="9" s="1"/>
  <c r="AY11" i="9"/>
  <c r="AZ11" i="9" s="1"/>
  <c r="G19" i="9" s="1"/>
  <c r="BA11" i="9"/>
  <c r="BB11" i="9" s="1"/>
  <c r="Q19" i="9" s="1"/>
  <c r="BC11" i="9"/>
  <c r="BD11" i="9" s="1"/>
  <c r="AA19" i="9" s="1"/>
  <c r="AS15" i="9"/>
  <c r="AT15" i="9" s="1"/>
  <c r="J7" i="9" s="1"/>
  <c r="AU15" i="9"/>
  <c r="AV15" i="9" s="1"/>
  <c r="T7" i="9" s="1"/>
  <c r="AW15" i="9"/>
  <c r="AX15" i="9" s="1"/>
  <c r="AD7" i="9" s="1"/>
  <c r="AY15" i="9"/>
  <c r="AZ15" i="9" s="1"/>
  <c r="J15" i="9" s="1"/>
  <c r="BA15" i="9"/>
  <c r="BB15" i="9" s="1"/>
  <c r="T15" i="9" s="1"/>
  <c r="BC15" i="9"/>
  <c r="BD15" i="9" s="1"/>
  <c r="AD15" i="9" s="1"/>
  <c r="AS16" i="9"/>
  <c r="AT16" i="9" s="1"/>
  <c r="J8" i="9" s="1"/>
  <c r="AU16" i="9"/>
  <c r="AV16" i="9" s="1"/>
  <c r="T8" i="9" s="1"/>
  <c r="AW16" i="9"/>
  <c r="AX16" i="9" s="1"/>
  <c r="AD8" i="9" s="1"/>
  <c r="AY16" i="9"/>
  <c r="AZ16" i="9" s="1"/>
  <c r="J16" i="9" s="1"/>
  <c r="BA16" i="9"/>
  <c r="BB16" i="9" s="1"/>
  <c r="T16" i="9" s="1"/>
  <c r="BC16" i="9"/>
  <c r="BD16" i="9" s="1"/>
  <c r="AD16" i="9" s="1"/>
  <c r="AS17" i="9"/>
  <c r="AT17" i="9" s="1"/>
  <c r="J9" i="9" s="1"/>
  <c r="AU17" i="9"/>
  <c r="AV17" i="9" s="1"/>
  <c r="T9" i="9" s="1"/>
  <c r="AW17" i="9"/>
  <c r="AX17" i="9" s="1"/>
  <c r="AD9" i="9" s="1"/>
  <c r="AY17" i="9"/>
  <c r="AZ17" i="9" s="1"/>
  <c r="J17" i="9" s="1"/>
  <c r="BA17" i="9"/>
  <c r="BB17" i="9" s="1"/>
  <c r="T17" i="9" s="1"/>
  <c r="BC17" i="9"/>
  <c r="BD17" i="9" s="1"/>
  <c r="AD17" i="9" s="1"/>
  <c r="AS18" i="9"/>
  <c r="AT18" i="9" s="1"/>
  <c r="J10" i="9" s="1"/>
  <c r="AU18" i="9"/>
  <c r="AV18" i="9" s="1"/>
  <c r="T10" i="9" s="1"/>
  <c r="AW18" i="9"/>
  <c r="AX18" i="9" s="1"/>
  <c r="AD10" i="9" s="1"/>
  <c r="AY18" i="9"/>
  <c r="AZ18" i="9" s="1"/>
  <c r="J18" i="9" s="1"/>
  <c r="BA18" i="9"/>
  <c r="BB18" i="9" s="1"/>
  <c r="T18" i="9" s="1"/>
  <c r="BC18" i="9"/>
  <c r="BD18" i="9" s="1"/>
  <c r="AD18" i="9" s="1"/>
  <c r="AS19" i="9"/>
  <c r="AT19" i="9" s="1"/>
  <c r="J11" i="9" s="1"/>
  <c r="AU19" i="9"/>
  <c r="AV19" i="9" s="1"/>
  <c r="T11" i="9" s="1"/>
  <c r="AW19" i="9"/>
  <c r="AX19" i="9" s="1"/>
  <c r="AD11" i="9" s="1"/>
  <c r="AY19" i="9"/>
  <c r="AZ19" i="9" s="1"/>
  <c r="J19" i="9" s="1"/>
  <c r="BA19" i="9"/>
  <c r="BB19" i="9" s="1"/>
  <c r="T19" i="9" s="1"/>
  <c r="BC19" i="9"/>
  <c r="BD19" i="9" s="1"/>
  <c r="AD19" i="9" s="1"/>
  <c r="AS23" i="9"/>
  <c r="AT23" i="9" s="1"/>
  <c r="G23" i="9" s="1"/>
  <c r="AU23" i="9"/>
  <c r="AV23" i="9" s="1"/>
  <c r="Q23" i="9" s="1"/>
  <c r="AW23" i="9"/>
  <c r="AX23" i="9" s="1"/>
  <c r="AA23" i="9" s="1"/>
  <c r="AY23" i="9"/>
  <c r="AZ23" i="9" s="1"/>
  <c r="G31" i="9" s="1"/>
  <c r="BA23" i="9"/>
  <c r="BB23" i="9" s="1"/>
  <c r="Q31" i="9" s="1"/>
  <c r="BC23" i="9"/>
  <c r="BD23" i="9" s="1"/>
  <c r="AA31" i="9" s="1"/>
  <c r="AS24" i="9"/>
  <c r="AT24" i="9" s="1"/>
  <c r="G24" i="9" s="1"/>
  <c r="AU24" i="9"/>
  <c r="AV24" i="9" s="1"/>
  <c r="Q24" i="9" s="1"/>
  <c r="AW24" i="9"/>
  <c r="AX24" i="9" s="1"/>
  <c r="AA24" i="9" s="1"/>
  <c r="AY24" i="9"/>
  <c r="AZ24" i="9" s="1"/>
  <c r="G32" i="9" s="1"/>
  <c r="BA24" i="9"/>
  <c r="BB24" i="9" s="1"/>
  <c r="Q32" i="9" s="1"/>
  <c r="BC24" i="9"/>
  <c r="BD24" i="9" s="1"/>
  <c r="AA32" i="9" s="1"/>
  <c r="AS25" i="9"/>
  <c r="AT25" i="9" s="1"/>
  <c r="G25" i="9" s="1"/>
  <c r="AU25" i="9"/>
  <c r="AV25" i="9" s="1"/>
  <c r="Q25" i="9" s="1"/>
  <c r="AW25" i="9"/>
  <c r="AX25" i="9" s="1"/>
  <c r="AA25" i="9" s="1"/>
  <c r="AY25" i="9"/>
  <c r="AZ25" i="9" s="1"/>
  <c r="G33" i="9" s="1"/>
  <c r="BA25" i="9"/>
  <c r="BB25" i="9" s="1"/>
  <c r="Q33" i="9" s="1"/>
  <c r="BC25" i="9"/>
  <c r="BD25" i="9" s="1"/>
  <c r="AA33" i="9" s="1"/>
  <c r="AS26" i="9"/>
  <c r="AT26" i="9" s="1"/>
  <c r="G26" i="9" s="1"/>
  <c r="AU26" i="9"/>
  <c r="AV26" i="9" s="1"/>
  <c r="Q26" i="9" s="1"/>
  <c r="AW26" i="9"/>
  <c r="AX26" i="9" s="1"/>
  <c r="AA26" i="9" s="1"/>
  <c r="AY26" i="9"/>
  <c r="AZ26" i="9" s="1"/>
  <c r="G34" i="9" s="1"/>
  <c r="BA26" i="9"/>
  <c r="BB26" i="9" s="1"/>
  <c r="Q34" i="9" s="1"/>
  <c r="BC26" i="9"/>
  <c r="BD26" i="9" s="1"/>
  <c r="AA34" i="9" s="1"/>
  <c r="AV31" i="9"/>
  <c r="AX31" i="9"/>
  <c r="AZ31" i="9"/>
  <c r="BB31" i="9"/>
  <c r="AS32" i="9"/>
  <c r="AT32" i="9" s="1"/>
  <c r="J23" i="9" s="1"/>
  <c r="AU32" i="9"/>
  <c r="AV32" i="9" s="1"/>
  <c r="T23" i="9" s="1"/>
  <c r="AW32" i="9"/>
  <c r="AX32" i="9" s="1"/>
  <c r="AD23" i="9" s="1"/>
  <c r="AY32" i="9"/>
  <c r="AZ32" i="9" s="1"/>
  <c r="J31" i="9" s="1"/>
  <c r="BA32" i="9"/>
  <c r="BB32" i="9" s="1"/>
  <c r="T31" i="9" s="1"/>
  <c r="BC32" i="9"/>
  <c r="BD32" i="9" s="1"/>
  <c r="AD31" i="9" s="1"/>
  <c r="AS33" i="9"/>
  <c r="AT33" i="9" s="1"/>
  <c r="J24" i="9" s="1"/>
  <c r="AU33" i="9"/>
  <c r="AV33" i="9" s="1"/>
  <c r="T24" i="9" s="1"/>
  <c r="AW33" i="9"/>
  <c r="AX33" i="9" s="1"/>
  <c r="AD24" i="9" s="1"/>
  <c r="AY33" i="9"/>
  <c r="AZ33" i="9" s="1"/>
  <c r="J32" i="9" s="1"/>
  <c r="BA33" i="9"/>
  <c r="BB33" i="9" s="1"/>
  <c r="T32" i="9" s="1"/>
  <c r="BC33" i="9"/>
  <c r="BD33" i="9" s="1"/>
  <c r="AD32" i="9" s="1"/>
  <c r="G401" i="6"/>
  <c r="E401" i="6"/>
  <c r="G400" i="6"/>
  <c r="G399" i="6"/>
  <c r="D399" i="6"/>
  <c r="G397" i="6"/>
  <c r="E397" i="6"/>
  <c r="G396" i="6"/>
  <c r="G395" i="6"/>
  <c r="D395" i="6"/>
  <c r="G393" i="6"/>
  <c r="E393" i="6"/>
  <c r="G392" i="6"/>
  <c r="G391" i="6"/>
  <c r="D391" i="6"/>
  <c r="G389" i="6"/>
  <c r="E389" i="6"/>
  <c r="G388" i="6"/>
  <c r="G387" i="6"/>
  <c r="D387" i="6"/>
  <c r="G385" i="6"/>
  <c r="E385" i="6"/>
  <c r="G384" i="6"/>
  <c r="G383" i="6"/>
  <c r="D383" i="6"/>
  <c r="G381" i="6"/>
  <c r="E381" i="6"/>
  <c r="G380" i="6"/>
  <c r="G379" i="6"/>
  <c r="D379" i="6"/>
  <c r="G377" i="6"/>
  <c r="E377" i="6"/>
  <c r="G376" i="6"/>
  <c r="G375" i="6"/>
  <c r="D375" i="6"/>
  <c r="E375" i="6" s="1"/>
  <c r="AZ375" i="6" s="1"/>
  <c r="G373" i="6"/>
  <c r="E373" i="6"/>
  <c r="G372" i="6"/>
  <c r="G371" i="6"/>
  <c r="D371" i="6"/>
  <c r="E371" i="6" s="1"/>
  <c r="AZ371" i="6" s="1"/>
  <c r="G369" i="6"/>
  <c r="E369" i="6"/>
  <c r="G368" i="6"/>
  <c r="G367" i="6"/>
  <c r="D367" i="6"/>
  <c r="G365" i="6"/>
  <c r="E365" i="6"/>
  <c r="G364" i="6"/>
  <c r="G363" i="6"/>
  <c r="D363" i="6"/>
  <c r="G361" i="6"/>
  <c r="E361" i="6"/>
  <c r="G360" i="6"/>
  <c r="G359" i="6"/>
  <c r="D359" i="6"/>
  <c r="E359" i="6" s="1"/>
  <c r="G357" i="6"/>
  <c r="E357" i="6"/>
  <c r="G356" i="6"/>
  <c r="G355" i="6"/>
  <c r="D355" i="6"/>
  <c r="E355" i="6" s="1"/>
  <c r="AZ355" i="6" s="1"/>
  <c r="G353" i="6"/>
  <c r="E353" i="6"/>
  <c r="G352" i="6"/>
  <c r="G351" i="6"/>
  <c r="D351" i="6"/>
  <c r="G349" i="6"/>
  <c r="E349" i="6"/>
  <c r="G348" i="6"/>
  <c r="G347" i="6"/>
  <c r="D347" i="6"/>
  <c r="G345" i="6"/>
  <c r="E345" i="6"/>
  <c r="G344" i="6"/>
  <c r="G343" i="6"/>
  <c r="D343" i="6"/>
  <c r="E343" i="6" s="1"/>
  <c r="AZ343" i="6" s="1"/>
  <c r="G341" i="6"/>
  <c r="E341" i="6"/>
  <c r="G340" i="6"/>
  <c r="G339" i="6"/>
  <c r="D339" i="6"/>
  <c r="E339" i="6" s="1"/>
  <c r="AZ339" i="6" s="1"/>
  <c r="G337" i="6"/>
  <c r="E337" i="6"/>
  <c r="G336" i="6"/>
  <c r="G335" i="6"/>
  <c r="D335" i="6"/>
  <c r="G333" i="6"/>
  <c r="E333" i="6"/>
  <c r="G332" i="6"/>
  <c r="G331" i="6"/>
  <c r="D331" i="6"/>
  <c r="G329" i="6"/>
  <c r="E329" i="6"/>
  <c r="G328" i="6"/>
  <c r="G327" i="6"/>
  <c r="D327" i="6"/>
  <c r="E327" i="6" s="1"/>
  <c r="G325" i="6"/>
  <c r="E325" i="6"/>
  <c r="G324" i="6"/>
  <c r="G323" i="6"/>
  <c r="D323" i="6"/>
  <c r="E323" i="6" s="1"/>
  <c r="AZ323" i="6" s="1"/>
  <c r="G321" i="6"/>
  <c r="E321" i="6"/>
  <c r="G320" i="6"/>
  <c r="G319" i="6"/>
  <c r="D319" i="6"/>
  <c r="G317" i="6"/>
  <c r="E317" i="6"/>
  <c r="G316" i="6"/>
  <c r="G315" i="6"/>
  <c r="D315" i="6"/>
  <c r="G313" i="6"/>
  <c r="E313" i="6"/>
  <c r="G312" i="6"/>
  <c r="G311" i="6"/>
  <c r="D311" i="6"/>
  <c r="E311" i="6" s="1"/>
  <c r="G309" i="6"/>
  <c r="E309" i="6"/>
  <c r="G308" i="6"/>
  <c r="G307" i="6"/>
  <c r="D307" i="6"/>
  <c r="E307" i="6" s="1"/>
  <c r="AZ307" i="6" s="1"/>
  <c r="G305" i="6"/>
  <c r="E305" i="6"/>
  <c r="G304" i="6"/>
  <c r="G303" i="6"/>
  <c r="D303" i="6"/>
  <c r="G301" i="6"/>
  <c r="E301" i="6"/>
  <c r="G300" i="6"/>
  <c r="G299" i="6"/>
  <c r="D299" i="6"/>
  <c r="G297" i="6"/>
  <c r="E297" i="6"/>
  <c r="G296" i="6"/>
  <c r="G295" i="6"/>
  <c r="D295" i="6"/>
  <c r="E295" i="6" s="1"/>
  <c r="G293" i="6"/>
  <c r="E293" i="6"/>
  <c r="G292" i="6"/>
  <c r="G291" i="6"/>
  <c r="D291" i="6"/>
  <c r="E291" i="6" s="1"/>
  <c r="AZ291" i="6" s="1"/>
  <c r="G289" i="6"/>
  <c r="E289" i="6"/>
  <c r="G288" i="6"/>
  <c r="G287" i="6"/>
  <c r="D287" i="6"/>
  <c r="G285" i="6"/>
  <c r="E285" i="6"/>
  <c r="G284" i="6"/>
  <c r="G283" i="6"/>
  <c r="D283" i="6"/>
  <c r="G281" i="6"/>
  <c r="E281" i="6"/>
  <c r="G280" i="6"/>
  <c r="G279" i="6"/>
  <c r="D279" i="6"/>
  <c r="E279" i="6" s="1"/>
  <c r="AZ279" i="6" s="1"/>
  <c r="G277" i="6"/>
  <c r="E277" i="6"/>
  <c r="G276" i="6"/>
  <c r="G275" i="6"/>
  <c r="D275" i="6"/>
  <c r="E275" i="6" s="1"/>
  <c r="AZ275" i="6" s="1"/>
  <c r="G273" i="6"/>
  <c r="E273" i="6"/>
  <c r="G272" i="6"/>
  <c r="G271" i="6"/>
  <c r="D271" i="6"/>
  <c r="G269" i="6"/>
  <c r="E269" i="6"/>
  <c r="G268" i="6"/>
  <c r="G267" i="6"/>
  <c r="D267" i="6"/>
  <c r="G265" i="6"/>
  <c r="E265" i="6"/>
  <c r="G264" i="6"/>
  <c r="G263" i="6"/>
  <c r="D263" i="6"/>
  <c r="E263" i="6" s="1"/>
  <c r="G261" i="6"/>
  <c r="E261" i="6"/>
  <c r="G260" i="6"/>
  <c r="G259" i="6"/>
  <c r="D259" i="6"/>
  <c r="E259" i="6" s="1"/>
  <c r="AZ259" i="6" s="1"/>
  <c r="G257" i="6"/>
  <c r="E257" i="6"/>
  <c r="G256" i="6"/>
  <c r="G255" i="6"/>
  <c r="D255" i="6"/>
  <c r="G253" i="6"/>
  <c r="E253" i="6"/>
  <c r="G252" i="6"/>
  <c r="G251" i="6"/>
  <c r="D251" i="6"/>
  <c r="G249" i="6"/>
  <c r="E249" i="6"/>
  <c r="G248" i="6"/>
  <c r="G247" i="6"/>
  <c r="D247" i="6"/>
  <c r="E247" i="6" s="1"/>
  <c r="AZ247" i="6" s="1"/>
  <c r="G245" i="6"/>
  <c r="E245" i="6"/>
  <c r="G244" i="6"/>
  <c r="G243" i="6"/>
  <c r="D243" i="6"/>
  <c r="E243" i="6" s="1"/>
  <c r="AZ243" i="6" s="1"/>
  <c r="G241" i="6"/>
  <c r="E241" i="6"/>
  <c r="G240" i="6"/>
  <c r="G239" i="6"/>
  <c r="D239" i="6"/>
  <c r="G237" i="6"/>
  <c r="E237" i="6"/>
  <c r="G236" i="6"/>
  <c r="G235" i="6"/>
  <c r="D235" i="6"/>
  <c r="G233" i="6"/>
  <c r="E233" i="6"/>
  <c r="G232" i="6"/>
  <c r="G231" i="6"/>
  <c r="D231" i="6"/>
  <c r="E231" i="6" s="1"/>
  <c r="G229" i="6"/>
  <c r="E229" i="6"/>
  <c r="G228" i="6"/>
  <c r="G227" i="6"/>
  <c r="D227" i="6"/>
  <c r="E227" i="6" s="1"/>
  <c r="AZ227" i="6" s="1"/>
  <c r="G225" i="6"/>
  <c r="E225" i="6"/>
  <c r="G224" i="6"/>
  <c r="G223" i="6"/>
  <c r="D223" i="6"/>
  <c r="G221" i="6"/>
  <c r="E221" i="6"/>
  <c r="G220" i="6"/>
  <c r="G219" i="6"/>
  <c r="D219" i="6"/>
  <c r="G217" i="6"/>
  <c r="E217" i="6"/>
  <c r="G216" i="6"/>
  <c r="G215" i="6"/>
  <c r="D215" i="6"/>
  <c r="E215" i="6" s="1"/>
  <c r="AZ215" i="6" s="1"/>
  <c r="G213" i="6"/>
  <c r="E213" i="6"/>
  <c r="G212" i="6"/>
  <c r="G211" i="6"/>
  <c r="D211" i="6"/>
  <c r="E211" i="6" s="1"/>
  <c r="AZ211" i="6" s="1"/>
  <c r="G209" i="6"/>
  <c r="E209" i="6"/>
  <c r="G208" i="6"/>
  <c r="G207" i="6"/>
  <c r="D207" i="6"/>
  <c r="H207" i="6" s="1"/>
  <c r="AX207" i="6" s="1"/>
  <c r="G205" i="6"/>
  <c r="E205" i="6"/>
  <c r="G204" i="6"/>
  <c r="G203" i="6"/>
  <c r="D203" i="6"/>
  <c r="G201" i="6"/>
  <c r="E201" i="6"/>
  <c r="G200" i="6"/>
  <c r="G199" i="6"/>
  <c r="D199" i="6"/>
  <c r="E199" i="6" s="1"/>
  <c r="AZ199" i="6" s="1"/>
  <c r="G197" i="6"/>
  <c r="E197" i="6"/>
  <c r="G196" i="6"/>
  <c r="G195" i="6"/>
  <c r="D195" i="6"/>
  <c r="E195" i="6" s="1"/>
  <c r="AZ195" i="6" s="1"/>
  <c r="G193" i="6"/>
  <c r="E193" i="6"/>
  <c r="G192" i="6"/>
  <c r="G191" i="6"/>
  <c r="D191" i="6"/>
  <c r="H191" i="6" s="1"/>
  <c r="AX191" i="6" s="1"/>
  <c r="G189" i="6"/>
  <c r="E189" i="6"/>
  <c r="G188" i="6"/>
  <c r="G187" i="6"/>
  <c r="D187" i="6"/>
  <c r="H187" i="6" s="1"/>
  <c r="AX187" i="6" s="1"/>
  <c r="G185" i="6"/>
  <c r="E185" i="6"/>
  <c r="G184" i="6"/>
  <c r="G183" i="6"/>
  <c r="D183" i="6"/>
  <c r="G181" i="6"/>
  <c r="E181" i="6"/>
  <c r="G180" i="6"/>
  <c r="G179" i="6"/>
  <c r="D179" i="6"/>
  <c r="G177" i="6"/>
  <c r="E177" i="6"/>
  <c r="G176" i="6"/>
  <c r="G175" i="6"/>
  <c r="D175" i="6"/>
  <c r="H175" i="6" s="1"/>
  <c r="AX175" i="6" s="1"/>
  <c r="G173" i="6"/>
  <c r="E173" i="6"/>
  <c r="G172" i="6"/>
  <c r="G171" i="6"/>
  <c r="D171" i="6"/>
  <c r="H171" i="6" s="1"/>
  <c r="AX171" i="6" s="1"/>
  <c r="G169" i="6"/>
  <c r="E169" i="6"/>
  <c r="G168" i="6"/>
  <c r="G167" i="6"/>
  <c r="D167" i="6"/>
  <c r="E167" i="6" s="1"/>
  <c r="AZ167" i="6" s="1"/>
  <c r="G165" i="6"/>
  <c r="E165" i="6"/>
  <c r="G164" i="6"/>
  <c r="G163" i="6"/>
  <c r="D163" i="6"/>
  <c r="E163" i="6" s="1"/>
  <c r="AZ163" i="6" s="1"/>
  <c r="G161" i="6"/>
  <c r="E161" i="6"/>
  <c r="G160" i="6"/>
  <c r="G159" i="6"/>
  <c r="D159" i="6"/>
  <c r="G157" i="6"/>
  <c r="E157" i="6"/>
  <c r="G156" i="6"/>
  <c r="G155" i="6"/>
  <c r="D155" i="6"/>
  <c r="H155" i="6" s="1"/>
  <c r="AX155" i="6" s="1"/>
  <c r="G153" i="6"/>
  <c r="E153" i="6"/>
  <c r="G152" i="6"/>
  <c r="G151" i="6"/>
  <c r="D151" i="6"/>
  <c r="E151" i="6" s="1"/>
  <c r="AZ151" i="6" s="1"/>
  <c r="G149" i="6"/>
  <c r="E149" i="6"/>
  <c r="G148" i="6"/>
  <c r="G147" i="6"/>
  <c r="D147" i="6"/>
  <c r="E147" i="6" s="1"/>
  <c r="AZ147" i="6" s="1"/>
  <c r="G145" i="6"/>
  <c r="E145" i="6"/>
  <c r="G144" i="6"/>
  <c r="G143" i="6"/>
  <c r="D143" i="6"/>
  <c r="H143" i="6" s="1"/>
  <c r="AX143" i="6" s="1"/>
  <c r="G141" i="6"/>
  <c r="E141" i="6"/>
  <c r="G140" i="6"/>
  <c r="G139" i="6"/>
  <c r="D139" i="6"/>
  <c r="H139" i="6" s="1"/>
  <c r="AX139" i="6" s="1"/>
  <c r="G137" i="6"/>
  <c r="E137" i="6"/>
  <c r="G136" i="6"/>
  <c r="G135" i="6"/>
  <c r="D135" i="6"/>
  <c r="E135" i="6" s="1"/>
  <c r="AZ135" i="6" s="1"/>
  <c r="G133" i="6"/>
  <c r="E133" i="6"/>
  <c r="G132" i="6"/>
  <c r="G131" i="6"/>
  <c r="D131" i="6"/>
  <c r="E131" i="6" s="1"/>
  <c r="AZ131" i="6" s="1"/>
  <c r="G129" i="6"/>
  <c r="E129" i="6"/>
  <c r="G128" i="6"/>
  <c r="G127" i="6"/>
  <c r="D127" i="6"/>
  <c r="H127" i="6" s="1"/>
  <c r="AX127" i="6" s="1"/>
  <c r="G125" i="6"/>
  <c r="E125" i="6"/>
  <c r="G124" i="6"/>
  <c r="G123" i="6"/>
  <c r="D123" i="6"/>
  <c r="H123" i="6" s="1"/>
  <c r="AX123" i="6" s="1"/>
  <c r="G121" i="6"/>
  <c r="E121" i="6"/>
  <c r="G120" i="6"/>
  <c r="G119" i="6"/>
  <c r="D119" i="6"/>
  <c r="G117" i="6"/>
  <c r="E117" i="6"/>
  <c r="G116" i="6"/>
  <c r="G115" i="6"/>
  <c r="D115" i="6"/>
  <c r="G113" i="6"/>
  <c r="E113" i="6"/>
  <c r="G112" i="6"/>
  <c r="G111" i="6"/>
  <c r="D111" i="6"/>
  <c r="H111" i="6" s="1"/>
  <c r="AX111" i="6" s="1"/>
  <c r="G109" i="6"/>
  <c r="E109" i="6"/>
  <c r="G108" i="6"/>
  <c r="G107" i="6"/>
  <c r="D107" i="6"/>
  <c r="H107" i="6" s="1"/>
  <c r="AX107" i="6" s="1"/>
  <c r="G105" i="6"/>
  <c r="E105" i="6"/>
  <c r="G104" i="6"/>
  <c r="G103" i="6"/>
  <c r="D103" i="6"/>
  <c r="E103" i="6" s="1"/>
  <c r="AZ103" i="6" s="1"/>
  <c r="G101" i="6"/>
  <c r="E101" i="6"/>
  <c r="G100" i="6"/>
  <c r="G99" i="6"/>
  <c r="D99" i="6"/>
  <c r="E99" i="6" s="1"/>
  <c r="AZ99" i="6" s="1"/>
  <c r="G97" i="6"/>
  <c r="E97" i="6"/>
  <c r="G96" i="6"/>
  <c r="G95" i="6"/>
  <c r="D95" i="6"/>
  <c r="G93" i="6"/>
  <c r="E93" i="6"/>
  <c r="G92" i="6"/>
  <c r="G91" i="6"/>
  <c r="D91" i="6"/>
  <c r="H91" i="6" s="1"/>
  <c r="AX91" i="6" s="1"/>
  <c r="G89" i="6"/>
  <c r="E89" i="6"/>
  <c r="G88" i="6"/>
  <c r="G87" i="6"/>
  <c r="D87" i="6"/>
  <c r="E87" i="6" s="1"/>
  <c r="AZ87" i="6" s="1"/>
  <c r="G85" i="6"/>
  <c r="E85" i="6"/>
  <c r="G84" i="6"/>
  <c r="G83" i="6"/>
  <c r="D83" i="6"/>
  <c r="E83" i="6" s="1"/>
  <c r="AZ83" i="6" s="1"/>
  <c r="G81" i="6"/>
  <c r="E81" i="6"/>
  <c r="G80" i="6"/>
  <c r="G79" i="6"/>
  <c r="D79" i="6"/>
  <c r="H79" i="6" s="1"/>
  <c r="AX79" i="6" s="1"/>
  <c r="G77" i="6"/>
  <c r="E77" i="6"/>
  <c r="G76" i="6"/>
  <c r="G75" i="6"/>
  <c r="D75" i="6"/>
  <c r="H75" i="6" s="1"/>
  <c r="AX75" i="6" s="1"/>
  <c r="G73" i="6"/>
  <c r="E73" i="6"/>
  <c r="G72" i="6"/>
  <c r="G71" i="6"/>
  <c r="D71" i="6"/>
  <c r="E71" i="6" s="1"/>
  <c r="AZ71" i="6" s="1"/>
  <c r="G69" i="6"/>
  <c r="E69" i="6"/>
  <c r="G68" i="6"/>
  <c r="G67" i="6"/>
  <c r="D67" i="6"/>
  <c r="E67" i="6" s="1"/>
  <c r="AZ67" i="6" s="1"/>
  <c r="G65" i="6"/>
  <c r="E65" i="6"/>
  <c r="G64" i="6"/>
  <c r="G63" i="6"/>
  <c r="D63" i="6"/>
  <c r="H63" i="6" s="1"/>
  <c r="AX63" i="6" s="1"/>
  <c r="G61" i="6"/>
  <c r="E61" i="6"/>
  <c r="G60" i="6"/>
  <c r="G59" i="6"/>
  <c r="D59" i="6"/>
  <c r="H59" i="6" s="1"/>
  <c r="AX59" i="6" s="1"/>
  <c r="G57" i="6"/>
  <c r="E57" i="6"/>
  <c r="G56" i="6"/>
  <c r="G55" i="6"/>
  <c r="D55" i="6"/>
  <c r="G53" i="6"/>
  <c r="E53" i="6"/>
  <c r="G52" i="6"/>
  <c r="G51" i="6"/>
  <c r="D51" i="6"/>
  <c r="G49" i="6"/>
  <c r="E49" i="6"/>
  <c r="G48" i="6"/>
  <c r="G47" i="6"/>
  <c r="D47" i="6"/>
  <c r="G45" i="6"/>
  <c r="E45" i="6"/>
  <c r="G44" i="6"/>
  <c r="G43" i="6"/>
  <c r="D43" i="6"/>
  <c r="H43" i="6" s="1"/>
  <c r="AX43" i="6" s="1"/>
  <c r="D39" i="6"/>
  <c r="G40" i="6" s="1"/>
  <c r="D35" i="6"/>
  <c r="E35" i="6" s="1"/>
  <c r="G32" i="6"/>
  <c r="G31" i="6"/>
  <c r="D31" i="6"/>
  <c r="H31" i="6" s="1"/>
  <c r="AX31" i="6" s="1"/>
  <c r="G28" i="6"/>
  <c r="D27" i="6"/>
  <c r="H27" i="6" s="1"/>
  <c r="AX27" i="6" s="1"/>
  <c r="D23" i="6"/>
  <c r="H23" i="6" s="1"/>
  <c r="AX23" i="6" s="1"/>
  <c r="D19" i="6"/>
  <c r="H19" i="6" s="1"/>
  <c r="AX19" i="6" s="1"/>
  <c r="D15" i="6"/>
  <c r="H15" i="6" s="1"/>
  <c r="AX15" i="6" s="1"/>
  <c r="D11" i="6"/>
  <c r="G12" i="6" s="1"/>
  <c r="D7" i="6"/>
  <c r="G405" i="6"/>
  <c r="E405" i="6"/>
  <c r="G404" i="6"/>
  <c r="G403" i="6"/>
  <c r="AE233" i="6" l="1"/>
  <c r="AF233" i="6" s="1"/>
  <c r="AZ231" i="6"/>
  <c r="AE265" i="6"/>
  <c r="AF265" i="6" s="1"/>
  <c r="AZ263" i="6"/>
  <c r="AE297" i="6"/>
  <c r="AF297" i="6" s="1"/>
  <c r="AZ295" i="6"/>
  <c r="AE313" i="6"/>
  <c r="AF313" i="6" s="1"/>
  <c r="AZ311" i="6"/>
  <c r="AE330" i="6"/>
  <c r="AF330" i="6" s="1"/>
  <c r="AZ327" i="6"/>
  <c r="AE361" i="6"/>
  <c r="AF361" i="6" s="1"/>
  <c r="AZ359" i="6"/>
  <c r="G41" i="6"/>
  <c r="E41" i="6"/>
  <c r="G39" i="6"/>
  <c r="AE37" i="6"/>
  <c r="AF37" i="6" s="1"/>
  <c r="AZ35" i="6"/>
  <c r="G37" i="6"/>
  <c r="G35" i="6"/>
  <c r="G36" i="6"/>
  <c r="E37" i="6"/>
  <c r="E33" i="6"/>
  <c r="G33" i="6"/>
  <c r="E29" i="6"/>
  <c r="G29" i="6"/>
  <c r="G27" i="6"/>
  <c r="G24" i="6"/>
  <c r="G35" i="5"/>
  <c r="G37" i="5"/>
  <c r="G24" i="5"/>
  <c r="E9" i="5"/>
  <c r="G8" i="5"/>
  <c r="G7" i="5"/>
  <c r="G9" i="5"/>
  <c r="E7" i="5"/>
  <c r="F7" i="5"/>
  <c r="F31" i="5"/>
  <c r="H31" i="5"/>
  <c r="AX31" i="5" s="1"/>
  <c r="F43" i="5"/>
  <c r="H43" i="5"/>
  <c r="AX43" i="5" s="1"/>
  <c r="F59" i="5"/>
  <c r="H59" i="5"/>
  <c r="AX59" i="5" s="1"/>
  <c r="E75" i="5"/>
  <c r="H75" i="5"/>
  <c r="AX75" i="5" s="1"/>
  <c r="E111" i="5"/>
  <c r="H111" i="5"/>
  <c r="AX111" i="5" s="1"/>
  <c r="E143" i="5"/>
  <c r="H143" i="5"/>
  <c r="AX143" i="5" s="1"/>
  <c r="F23" i="5"/>
  <c r="H23" i="5"/>
  <c r="AX23" i="5" s="1"/>
  <c r="F47" i="5"/>
  <c r="H47" i="5"/>
  <c r="AX47" i="5" s="1"/>
  <c r="E63" i="5"/>
  <c r="H63" i="5"/>
  <c r="AX63" i="5" s="1"/>
  <c r="E79" i="5"/>
  <c r="H79" i="5"/>
  <c r="AX79" i="5" s="1"/>
  <c r="E91" i="5"/>
  <c r="H91" i="5"/>
  <c r="AX91" i="5" s="1"/>
  <c r="E103" i="5"/>
  <c r="H103" i="5"/>
  <c r="AX103" i="5" s="1"/>
  <c r="F111" i="5"/>
  <c r="E123" i="5"/>
  <c r="H123" i="5"/>
  <c r="AX123" i="5" s="1"/>
  <c r="E135" i="5"/>
  <c r="H135" i="5"/>
  <c r="AX135" i="5" s="1"/>
  <c r="F143" i="5"/>
  <c r="F35" i="5"/>
  <c r="H35" i="5"/>
  <c r="AX35" i="5" s="1"/>
  <c r="F39" i="5"/>
  <c r="H39" i="5"/>
  <c r="AX39" i="5" s="1"/>
  <c r="F51" i="5"/>
  <c r="H51" i="5"/>
  <c r="AX51" i="5" s="1"/>
  <c r="E69" i="5"/>
  <c r="H67" i="5"/>
  <c r="AX67" i="5" s="1"/>
  <c r="E85" i="5"/>
  <c r="H83" i="5"/>
  <c r="AX83" i="5" s="1"/>
  <c r="E95" i="5"/>
  <c r="H95" i="5"/>
  <c r="AX95" i="5" s="1"/>
  <c r="F103" i="5"/>
  <c r="E127" i="5"/>
  <c r="H127" i="5"/>
  <c r="AX127" i="5" s="1"/>
  <c r="F135" i="5"/>
  <c r="F27" i="5"/>
  <c r="H27" i="5"/>
  <c r="AX27" i="5" s="1"/>
  <c r="E35" i="5"/>
  <c r="AZ35" i="5" s="1"/>
  <c r="F55" i="5"/>
  <c r="H55" i="5"/>
  <c r="AX55" i="5" s="1"/>
  <c r="E71" i="5"/>
  <c r="H71" i="5"/>
  <c r="AX71" i="5" s="1"/>
  <c r="E87" i="5"/>
  <c r="V87" i="5" s="1"/>
  <c r="H87" i="5"/>
  <c r="AX87" i="5" s="1"/>
  <c r="F95" i="5"/>
  <c r="E107" i="5"/>
  <c r="H107" i="5"/>
  <c r="AX107" i="5" s="1"/>
  <c r="E119" i="5"/>
  <c r="H119" i="5"/>
  <c r="AX119" i="5" s="1"/>
  <c r="F127" i="5"/>
  <c r="E139" i="5"/>
  <c r="H139" i="5"/>
  <c r="AX139" i="5" s="1"/>
  <c r="E31" i="6"/>
  <c r="AZ31" i="6" s="1"/>
  <c r="E127" i="6"/>
  <c r="AZ127" i="6" s="1"/>
  <c r="E191" i="6"/>
  <c r="AZ191" i="6" s="1"/>
  <c r="AE345" i="6"/>
  <c r="AF345" i="6" s="1"/>
  <c r="V343" i="6"/>
  <c r="E159" i="6"/>
  <c r="AZ159" i="6" s="1"/>
  <c r="H159" i="6"/>
  <c r="AX159" i="6" s="1"/>
  <c r="F239" i="6"/>
  <c r="H239" i="6"/>
  <c r="AX239" i="6" s="1"/>
  <c r="F271" i="6"/>
  <c r="H271" i="6"/>
  <c r="AX271" i="6" s="1"/>
  <c r="F303" i="6"/>
  <c r="H303" i="6"/>
  <c r="AX303" i="6" s="1"/>
  <c r="F335" i="6"/>
  <c r="H335" i="6"/>
  <c r="AX335" i="6" s="1"/>
  <c r="F367" i="6"/>
  <c r="H367" i="6"/>
  <c r="AX367" i="6" s="1"/>
  <c r="F391" i="6"/>
  <c r="H391" i="6"/>
  <c r="AX391" i="6" s="1"/>
  <c r="F119" i="6"/>
  <c r="H119" i="6"/>
  <c r="AX119" i="6" s="1"/>
  <c r="F179" i="6"/>
  <c r="H179" i="6"/>
  <c r="AX179" i="6" s="1"/>
  <c r="F35" i="6"/>
  <c r="H35" i="6"/>
  <c r="AX35" i="6" s="1"/>
  <c r="E47" i="6"/>
  <c r="AZ47" i="6" s="1"/>
  <c r="H47" i="6"/>
  <c r="AX47" i="6" s="1"/>
  <c r="F71" i="6"/>
  <c r="AU71" i="6" s="1"/>
  <c r="H71" i="6"/>
  <c r="AX71" i="6" s="1"/>
  <c r="F83" i="6"/>
  <c r="H83" i="6"/>
  <c r="AX83" i="6" s="1"/>
  <c r="F103" i="6"/>
  <c r="AU103" i="6" s="1"/>
  <c r="H103" i="6"/>
  <c r="AX103" i="6" s="1"/>
  <c r="E111" i="6"/>
  <c r="AZ111" i="6" s="1"/>
  <c r="E119" i="6"/>
  <c r="F131" i="6"/>
  <c r="AU131" i="6" s="1"/>
  <c r="H131" i="6"/>
  <c r="AX131" i="6" s="1"/>
  <c r="F151" i="6"/>
  <c r="H151" i="6"/>
  <c r="AX151" i="6" s="1"/>
  <c r="F163" i="6"/>
  <c r="AU163" i="6" s="1"/>
  <c r="H163" i="6"/>
  <c r="AX163" i="6" s="1"/>
  <c r="E179" i="6"/>
  <c r="AZ179" i="6" s="1"/>
  <c r="F199" i="6"/>
  <c r="AU199" i="6" s="1"/>
  <c r="H199" i="6"/>
  <c r="AX199" i="6" s="1"/>
  <c r="F211" i="6"/>
  <c r="AU211" i="6" s="1"/>
  <c r="H211" i="6"/>
  <c r="AX211" i="6" s="1"/>
  <c r="F219" i="6"/>
  <c r="H219" i="6"/>
  <c r="AX219" i="6" s="1"/>
  <c r="F231" i="6"/>
  <c r="AU231" i="6" s="1"/>
  <c r="H231" i="6"/>
  <c r="AX231" i="6" s="1"/>
  <c r="F243" i="6"/>
  <c r="AU243" i="6" s="1"/>
  <c r="H243" i="6"/>
  <c r="AX243" i="6" s="1"/>
  <c r="F251" i="6"/>
  <c r="H251" i="6"/>
  <c r="AX251" i="6" s="1"/>
  <c r="F263" i="6"/>
  <c r="AU263" i="6" s="1"/>
  <c r="H263" i="6"/>
  <c r="AX263" i="6" s="1"/>
  <c r="F275" i="6"/>
  <c r="AU275" i="6" s="1"/>
  <c r="H275" i="6"/>
  <c r="AX275" i="6" s="1"/>
  <c r="F283" i="6"/>
  <c r="H283" i="6"/>
  <c r="AX283" i="6" s="1"/>
  <c r="F295" i="6"/>
  <c r="AU295" i="6" s="1"/>
  <c r="H295" i="6"/>
  <c r="AX295" i="6" s="1"/>
  <c r="F307" i="6"/>
  <c r="H307" i="6"/>
  <c r="AX307" i="6" s="1"/>
  <c r="F315" i="6"/>
  <c r="H315" i="6"/>
  <c r="AX315" i="6" s="1"/>
  <c r="F327" i="6"/>
  <c r="H327" i="6"/>
  <c r="AX327" i="6" s="1"/>
  <c r="F339" i="6"/>
  <c r="AU339" i="6" s="1"/>
  <c r="H339" i="6"/>
  <c r="AX339" i="6" s="1"/>
  <c r="F347" i="6"/>
  <c r="H347" i="6"/>
  <c r="AX347" i="6" s="1"/>
  <c r="F359" i="6"/>
  <c r="AU359" i="6" s="1"/>
  <c r="H359" i="6"/>
  <c r="AX359" i="6" s="1"/>
  <c r="F371" i="6"/>
  <c r="AU371" i="6" s="1"/>
  <c r="H371" i="6"/>
  <c r="AX371" i="6" s="1"/>
  <c r="F379" i="6"/>
  <c r="H379" i="6"/>
  <c r="AX379" i="6" s="1"/>
  <c r="E391" i="6"/>
  <c r="V391" i="6" s="1"/>
  <c r="F51" i="6"/>
  <c r="H51" i="6"/>
  <c r="AX51" i="6" s="1"/>
  <c r="F115" i="6"/>
  <c r="H115" i="6"/>
  <c r="AX115" i="6" s="1"/>
  <c r="F183" i="6"/>
  <c r="H183" i="6"/>
  <c r="AX183" i="6" s="1"/>
  <c r="F223" i="6"/>
  <c r="H223" i="6"/>
  <c r="AX223" i="6" s="1"/>
  <c r="F255" i="6"/>
  <c r="H255" i="6"/>
  <c r="AX255" i="6" s="1"/>
  <c r="F287" i="6"/>
  <c r="H287" i="6"/>
  <c r="AX287" i="6" s="1"/>
  <c r="F319" i="6"/>
  <c r="H319" i="6"/>
  <c r="AX319" i="6" s="1"/>
  <c r="F351" i="6"/>
  <c r="H351" i="6"/>
  <c r="AX351" i="6" s="1"/>
  <c r="F383" i="6"/>
  <c r="H383" i="6"/>
  <c r="AX383" i="6" s="1"/>
  <c r="F395" i="6"/>
  <c r="H395" i="6"/>
  <c r="AX395" i="6" s="1"/>
  <c r="F55" i="6"/>
  <c r="H55" i="6"/>
  <c r="AX55" i="6" s="1"/>
  <c r="E95" i="6"/>
  <c r="H95" i="6"/>
  <c r="AX95" i="6" s="1"/>
  <c r="F39" i="6"/>
  <c r="H39" i="6"/>
  <c r="AX39" i="6" s="1"/>
  <c r="E51" i="6"/>
  <c r="F67" i="6"/>
  <c r="AU67" i="6" s="1"/>
  <c r="H67" i="6"/>
  <c r="AX67" i="6" s="1"/>
  <c r="F87" i="6"/>
  <c r="AU87" i="6" s="1"/>
  <c r="H87" i="6"/>
  <c r="AX87" i="6" s="1"/>
  <c r="F99" i="6"/>
  <c r="AU99" i="6" s="1"/>
  <c r="H99" i="6"/>
  <c r="AX99" i="6" s="1"/>
  <c r="E115" i="6"/>
  <c r="F135" i="6"/>
  <c r="AU135" i="6" s="1"/>
  <c r="H135" i="6"/>
  <c r="AX135" i="6" s="1"/>
  <c r="F147" i="6"/>
  <c r="AU147" i="6" s="1"/>
  <c r="H147" i="6"/>
  <c r="AX147" i="6" s="1"/>
  <c r="F167" i="6"/>
  <c r="AU167" i="6" s="1"/>
  <c r="H167" i="6"/>
  <c r="AX167" i="6" s="1"/>
  <c r="E175" i="6"/>
  <c r="E183" i="6"/>
  <c r="F195" i="6"/>
  <c r="AU195" i="6" s="1"/>
  <c r="H195" i="6"/>
  <c r="AX195" i="6" s="1"/>
  <c r="F203" i="6"/>
  <c r="H203" i="6"/>
  <c r="AX203" i="6" s="1"/>
  <c r="F215" i="6"/>
  <c r="AU215" i="6" s="1"/>
  <c r="H215" i="6"/>
  <c r="AX215" i="6" s="1"/>
  <c r="F227" i="6"/>
  <c r="AU227" i="6" s="1"/>
  <c r="H227" i="6"/>
  <c r="AX227" i="6" s="1"/>
  <c r="F235" i="6"/>
  <c r="H235" i="6"/>
  <c r="AX235" i="6" s="1"/>
  <c r="F247" i="6"/>
  <c r="AU247" i="6" s="1"/>
  <c r="H247" i="6"/>
  <c r="AX247" i="6" s="1"/>
  <c r="F259" i="6"/>
  <c r="AU259" i="6" s="1"/>
  <c r="H259" i="6"/>
  <c r="AX259" i="6" s="1"/>
  <c r="F267" i="6"/>
  <c r="H267" i="6"/>
  <c r="AX267" i="6" s="1"/>
  <c r="F279" i="6"/>
  <c r="AU279" i="6" s="1"/>
  <c r="H279" i="6"/>
  <c r="AX279" i="6" s="1"/>
  <c r="F291" i="6"/>
  <c r="AU291" i="6" s="1"/>
  <c r="H291" i="6"/>
  <c r="AX291" i="6" s="1"/>
  <c r="F299" i="6"/>
  <c r="H299" i="6"/>
  <c r="AX299" i="6" s="1"/>
  <c r="F311" i="6"/>
  <c r="AU311" i="6" s="1"/>
  <c r="H311" i="6"/>
  <c r="AX311" i="6" s="1"/>
  <c r="F323" i="6"/>
  <c r="AU323" i="6" s="1"/>
  <c r="H323" i="6"/>
  <c r="AX323" i="6" s="1"/>
  <c r="F331" i="6"/>
  <c r="H331" i="6"/>
  <c r="AX331" i="6" s="1"/>
  <c r="F343" i="6"/>
  <c r="AU343" i="6" s="1"/>
  <c r="H343" i="6"/>
  <c r="AX343" i="6" s="1"/>
  <c r="F355" i="6"/>
  <c r="AU355" i="6" s="1"/>
  <c r="H355" i="6"/>
  <c r="AX355" i="6" s="1"/>
  <c r="F363" i="6"/>
  <c r="H363" i="6"/>
  <c r="AX363" i="6" s="1"/>
  <c r="F375" i="6"/>
  <c r="AU375" i="6" s="1"/>
  <c r="H375" i="6"/>
  <c r="AX375" i="6" s="1"/>
  <c r="F387" i="6"/>
  <c r="H387" i="6"/>
  <c r="AX387" i="6" s="1"/>
  <c r="F399" i="6"/>
  <c r="H399" i="6"/>
  <c r="AX399" i="6" s="1"/>
  <c r="AE127" i="6"/>
  <c r="AF127" i="6" s="1"/>
  <c r="AE136" i="6"/>
  <c r="AF136" i="6" s="1"/>
  <c r="AE149" i="6"/>
  <c r="AF149" i="6" s="1"/>
  <c r="AE161" i="6"/>
  <c r="AF161" i="6" s="1"/>
  <c r="AE169" i="6"/>
  <c r="AF169" i="6" s="1"/>
  <c r="AE195" i="6"/>
  <c r="AF195" i="6" s="1"/>
  <c r="AE215" i="6"/>
  <c r="AF215" i="6" s="1"/>
  <c r="AE227" i="6"/>
  <c r="AF227" i="6" s="1"/>
  <c r="AE247" i="6"/>
  <c r="AF247" i="6" s="1"/>
  <c r="AE259" i="6"/>
  <c r="AF259" i="6" s="1"/>
  <c r="AE279" i="6"/>
  <c r="AF279" i="6" s="1"/>
  <c r="AE291" i="6"/>
  <c r="AF291" i="6" s="1"/>
  <c r="AE311" i="6"/>
  <c r="AF311" i="6" s="1"/>
  <c r="AE323" i="6"/>
  <c r="AF323" i="6" s="1"/>
  <c r="AE343" i="6"/>
  <c r="AF343" i="6" s="1"/>
  <c r="AE356" i="6"/>
  <c r="AF356" i="6" s="1"/>
  <c r="AE375" i="6"/>
  <c r="AF375" i="6" s="1"/>
  <c r="AE69" i="6"/>
  <c r="AF69" i="6" s="1"/>
  <c r="AE88" i="6"/>
  <c r="AF88" i="6" s="1"/>
  <c r="AE101" i="6"/>
  <c r="AF101" i="6" s="1"/>
  <c r="V111" i="6"/>
  <c r="AE179" i="6"/>
  <c r="AF179" i="6" s="1"/>
  <c r="AU179" i="6"/>
  <c r="AE38" i="6"/>
  <c r="AF38" i="6" s="1"/>
  <c r="AE73" i="6"/>
  <c r="AF73" i="6" s="1"/>
  <c r="V83" i="6"/>
  <c r="AU83" i="6"/>
  <c r="AE106" i="6"/>
  <c r="AF106" i="6" s="1"/>
  <c r="AE133" i="6"/>
  <c r="AF133" i="6" s="1"/>
  <c r="AE153" i="6"/>
  <c r="AF153" i="6" s="1"/>
  <c r="AU151" i="6"/>
  <c r="AE166" i="6"/>
  <c r="AF166" i="6" s="1"/>
  <c r="AE191" i="6"/>
  <c r="AF191" i="6" s="1"/>
  <c r="AE199" i="6"/>
  <c r="AF199" i="6" s="1"/>
  <c r="AE211" i="6"/>
  <c r="AF211" i="6" s="1"/>
  <c r="AE231" i="6"/>
  <c r="AF231" i="6" s="1"/>
  <c r="AE243" i="6"/>
  <c r="AF243" i="6" s="1"/>
  <c r="AE263" i="6"/>
  <c r="AF263" i="6" s="1"/>
  <c r="AE275" i="6"/>
  <c r="AF275" i="6" s="1"/>
  <c r="AE295" i="6"/>
  <c r="AF295" i="6" s="1"/>
  <c r="AE307" i="6"/>
  <c r="AF307" i="6" s="1"/>
  <c r="AU307" i="6"/>
  <c r="AE327" i="6"/>
  <c r="AF327" i="6" s="1"/>
  <c r="AU327" i="6"/>
  <c r="AE341" i="6"/>
  <c r="AF341" i="6" s="1"/>
  <c r="AE359" i="6"/>
  <c r="AF359" i="6" s="1"/>
  <c r="AE374" i="6"/>
  <c r="AF374" i="6" s="1"/>
  <c r="Q27" i="9"/>
  <c r="Q35" i="9"/>
  <c r="G27" i="9"/>
  <c r="AA35" i="9"/>
  <c r="G35" i="9"/>
  <c r="AA27" i="9"/>
  <c r="G16" i="6"/>
  <c r="F11" i="6"/>
  <c r="H11" i="6"/>
  <c r="AX11" i="6" s="1"/>
  <c r="F19" i="5"/>
  <c r="H19" i="5"/>
  <c r="AX19" i="5" s="1"/>
  <c r="G21" i="5"/>
  <c r="F15" i="5"/>
  <c r="H15" i="5"/>
  <c r="AX15" i="5" s="1"/>
  <c r="F11" i="5"/>
  <c r="H11" i="5"/>
  <c r="AX11" i="5" s="1"/>
  <c r="E7" i="6"/>
  <c r="AZ7" i="6" s="1"/>
  <c r="H7" i="6"/>
  <c r="AX7" i="6" s="1"/>
  <c r="B2" i="4"/>
  <c r="H7" i="5"/>
  <c r="AX7" i="5" s="1"/>
  <c r="G85" i="5"/>
  <c r="G83" i="5"/>
  <c r="G84" i="5"/>
  <c r="G80" i="5"/>
  <c r="F79" i="5"/>
  <c r="E81" i="5"/>
  <c r="G79" i="5"/>
  <c r="G81" i="5"/>
  <c r="G77" i="5"/>
  <c r="G75" i="5"/>
  <c r="G76" i="5"/>
  <c r="E77" i="5"/>
  <c r="G72" i="5"/>
  <c r="F71" i="5"/>
  <c r="E73" i="5"/>
  <c r="G71" i="5"/>
  <c r="G73" i="5"/>
  <c r="G69" i="5"/>
  <c r="G67" i="5"/>
  <c r="G68" i="5"/>
  <c r="G64" i="5"/>
  <c r="F63" i="5"/>
  <c r="E65" i="5"/>
  <c r="G63" i="5"/>
  <c r="G65" i="5"/>
  <c r="E59" i="5"/>
  <c r="G61" i="5"/>
  <c r="G59" i="5"/>
  <c r="G60" i="5"/>
  <c r="E61" i="5"/>
  <c r="G56" i="5"/>
  <c r="E57" i="5"/>
  <c r="E55" i="5"/>
  <c r="G57" i="5"/>
  <c r="G55" i="5"/>
  <c r="E51" i="5"/>
  <c r="G53" i="5"/>
  <c r="G51" i="5"/>
  <c r="G52" i="5"/>
  <c r="E53" i="5"/>
  <c r="G48" i="5"/>
  <c r="E49" i="5"/>
  <c r="E47" i="5"/>
  <c r="G49" i="5"/>
  <c r="G47" i="5"/>
  <c r="E43" i="5"/>
  <c r="G45" i="5"/>
  <c r="G43" i="5"/>
  <c r="G44" i="5"/>
  <c r="E45" i="5"/>
  <c r="E41" i="5"/>
  <c r="E39" i="5"/>
  <c r="G41" i="5"/>
  <c r="G39" i="5"/>
  <c r="G36" i="5"/>
  <c r="E37" i="5"/>
  <c r="E33" i="5"/>
  <c r="E31" i="5"/>
  <c r="G33" i="5"/>
  <c r="G31" i="5"/>
  <c r="E27" i="5"/>
  <c r="G29" i="5"/>
  <c r="G27" i="5"/>
  <c r="G28" i="5"/>
  <c r="E29" i="5"/>
  <c r="E25" i="5"/>
  <c r="E23" i="5"/>
  <c r="G25" i="5"/>
  <c r="G23" i="5"/>
  <c r="G16" i="5"/>
  <c r="V215" i="6"/>
  <c r="AE201" i="6"/>
  <c r="AF201" i="6" s="1"/>
  <c r="AE159" i="6"/>
  <c r="AF159" i="6" s="1"/>
  <c r="V71" i="6"/>
  <c r="V279" i="6"/>
  <c r="V35" i="6"/>
  <c r="AE281" i="6"/>
  <c r="AF281" i="6" s="1"/>
  <c r="AE114" i="6"/>
  <c r="AF114" i="6" s="1"/>
  <c r="AE134" i="6"/>
  <c r="AF134" i="6" s="1"/>
  <c r="V167" i="6"/>
  <c r="AE168" i="6"/>
  <c r="AF168" i="6" s="1"/>
  <c r="AE105" i="6"/>
  <c r="AF105" i="6" s="1"/>
  <c r="AE167" i="6"/>
  <c r="AF167" i="6" s="1"/>
  <c r="AE104" i="6"/>
  <c r="AF104" i="6" s="1"/>
  <c r="V307" i="6"/>
  <c r="V195" i="6"/>
  <c r="AE377" i="6"/>
  <c r="AF377" i="6" s="1"/>
  <c r="AE355" i="6"/>
  <c r="AF355" i="6" s="1"/>
  <c r="AE326" i="6"/>
  <c r="AF326" i="6" s="1"/>
  <c r="AE282" i="6"/>
  <c r="AF282" i="6" s="1"/>
  <c r="AE250" i="6"/>
  <c r="AF250" i="6" s="1"/>
  <c r="AE196" i="6"/>
  <c r="AF196" i="6" s="1"/>
  <c r="AE373" i="6"/>
  <c r="AF373" i="6" s="1"/>
  <c r="V247" i="6"/>
  <c r="AE362" i="6"/>
  <c r="AF362" i="6" s="1"/>
  <c r="AE340" i="6"/>
  <c r="AF340" i="6" s="1"/>
  <c r="AE298" i="6"/>
  <c r="AF298" i="6" s="1"/>
  <c r="AE266" i="6"/>
  <c r="AF266" i="6" s="1"/>
  <c r="AE214" i="6"/>
  <c r="AF214" i="6" s="1"/>
  <c r="AE151" i="6"/>
  <c r="AF151" i="6" s="1"/>
  <c r="AE87" i="6"/>
  <c r="AF87" i="6" s="1"/>
  <c r="V339" i="6"/>
  <c r="V291" i="6"/>
  <c r="V243" i="6"/>
  <c r="AE372" i="6"/>
  <c r="AF372" i="6" s="1"/>
  <c r="AE358" i="6"/>
  <c r="AF358" i="6" s="1"/>
  <c r="AE339" i="6"/>
  <c r="AF339" i="6" s="1"/>
  <c r="AE325" i="6"/>
  <c r="AF325" i="6" s="1"/>
  <c r="AE310" i="6"/>
  <c r="AF310" i="6" s="1"/>
  <c r="AE246" i="6"/>
  <c r="AF246" i="6" s="1"/>
  <c r="AE230" i="6"/>
  <c r="AF230" i="6" s="1"/>
  <c r="AE212" i="6"/>
  <c r="AF212" i="6" s="1"/>
  <c r="AE72" i="6"/>
  <c r="AF72" i="6" s="1"/>
  <c r="V371" i="6"/>
  <c r="V323" i="6"/>
  <c r="AE371" i="6"/>
  <c r="AF371" i="6" s="1"/>
  <c r="AE357" i="6"/>
  <c r="AF357" i="6" s="1"/>
  <c r="AE342" i="6"/>
  <c r="AF342" i="6" s="1"/>
  <c r="AE324" i="6"/>
  <c r="AF324" i="6" s="1"/>
  <c r="AE309" i="6"/>
  <c r="AF309" i="6" s="1"/>
  <c r="AE294" i="6"/>
  <c r="AF294" i="6" s="1"/>
  <c r="AE278" i="6"/>
  <c r="AF278" i="6" s="1"/>
  <c r="AE261" i="6"/>
  <c r="AF261" i="6" s="1"/>
  <c r="AE245" i="6"/>
  <c r="AF245" i="6" s="1"/>
  <c r="AE229" i="6"/>
  <c r="AF229" i="6" s="1"/>
  <c r="AE70" i="6"/>
  <c r="AF70" i="6" s="1"/>
  <c r="V355" i="6"/>
  <c r="V311" i="6"/>
  <c r="V259" i="6"/>
  <c r="V211" i="6"/>
  <c r="V103" i="6"/>
  <c r="AE329" i="6"/>
  <c r="AF329" i="6" s="1"/>
  <c r="AE308" i="6"/>
  <c r="AF308" i="6" s="1"/>
  <c r="AE293" i="6"/>
  <c r="AF293" i="6" s="1"/>
  <c r="AE276" i="6"/>
  <c r="AF276" i="6" s="1"/>
  <c r="AE260" i="6"/>
  <c r="AF260" i="6" s="1"/>
  <c r="AE244" i="6"/>
  <c r="AF244" i="6" s="1"/>
  <c r="AE217" i="6"/>
  <c r="AF217" i="6" s="1"/>
  <c r="AE197" i="6"/>
  <c r="AF197" i="6" s="1"/>
  <c r="AE135" i="6"/>
  <c r="AF135" i="6" s="1"/>
  <c r="AE90" i="6"/>
  <c r="AF90" i="6" s="1"/>
  <c r="V67" i="6"/>
  <c r="AE170" i="6"/>
  <c r="AF170" i="6" s="1"/>
  <c r="AE162" i="6"/>
  <c r="AF162" i="6" s="1"/>
  <c r="AE150" i="6"/>
  <c r="AF150" i="6" s="1"/>
  <c r="AE132" i="6"/>
  <c r="AF132" i="6" s="1"/>
  <c r="AE120" i="6"/>
  <c r="AF120" i="6" s="1"/>
  <c r="AE113" i="6"/>
  <c r="AF113" i="6" s="1"/>
  <c r="AE103" i="6"/>
  <c r="AF103" i="6" s="1"/>
  <c r="V375" i="6"/>
  <c r="AE378" i="6"/>
  <c r="AF378" i="6" s="1"/>
  <c r="AE346" i="6"/>
  <c r="AF346" i="6" s="1"/>
  <c r="AE314" i="6"/>
  <c r="AF314" i="6" s="1"/>
  <c r="AE218" i="6"/>
  <c r="AF218" i="6" s="1"/>
  <c r="AE202" i="6"/>
  <c r="AF202" i="6" s="1"/>
  <c r="AE194" i="6"/>
  <c r="AF194" i="6" s="1"/>
  <c r="AE147" i="6"/>
  <c r="AF147" i="6" s="1"/>
  <c r="AE129" i="6"/>
  <c r="AF129" i="6" s="1"/>
  <c r="AE71" i="6"/>
  <c r="AF71" i="6" s="1"/>
  <c r="E19" i="5"/>
  <c r="AZ19" i="5" s="1"/>
  <c r="G19" i="5"/>
  <c r="G20" i="5"/>
  <c r="E21" i="5"/>
  <c r="E17" i="5"/>
  <c r="G17" i="5"/>
  <c r="G15" i="5"/>
  <c r="AE165" i="6"/>
  <c r="AF165" i="6" s="1"/>
  <c r="V275" i="6"/>
  <c r="V227" i="6"/>
  <c r="V191" i="6"/>
  <c r="V135" i="6"/>
  <c r="V99" i="6"/>
  <c r="AE292" i="6"/>
  <c r="AF292" i="6" s="1"/>
  <c r="AE277" i="6"/>
  <c r="AF277" i="6" s="1"/>
  <c r="AE262" i="6"/>
  <c r="AF262" i="6" s="1"/>
  <c r="AE249" i="6"/>
  <c r="AF249" i="6" s="1"/>
  <c r="AE234" i="6"/>
  <c r="AF234" i="6" s="1"/>
  <c r="AE228" i="6"/>
  <c r="AF228" i="6" s="1"/>
  <c r="AE213" i="6"/>
  <c r="AF213" i="6" s="1"/>
  <c r="AE198" i="6"/>
  <c r="AF198" i="6" s="1"/>
  <c r="AE193" i="6"/>
  <c r="AF193" i="6" s="1"/>
  <c r="AE164" i="6"/>
  <c r="AF164" i="6" s="1"/>
  <c r="AE152" i="6"/>
  <c r="AF152" i="6" s="1"/>
  <c r="AE138" i="6"/>
  <c r="AF138" i="6" s="1"/>
  <c r="AE130" i="6"/>
  <c r="AF130" i="6" s="1"/>
  <c r="AE86" i="6"/>
  <c r="AF86" i="6" s="1"/>
  <c r="AE360" i="6"/>
  <c r="AF360" i="6" s="1"/>
  <c r="AE312" i="6"/>
  <c r="AF312" i="6" s="1"/>
  <c r="AE296" i="6"/>
  <c r="AF296" i="6" s="1"/>
  <c r="AE264" i="6"/>
  <c r="AF264" i="6" s="1"/>
  <c r="AE232" i="6"/>
  <c r="AF232" i="6" s="1"/>
  <c r="AE200" i="6"/>
  <c r="AF200" i="6" s="1"/>
  <c r="AE192" i="6"/>
  <c r="AF192" i="6" s="1"/>
  <c r="AE180" i="6"/>
  <c r="AF180" i="6" s="1"/>
  <c r="V151" i="6"/>
  <c r="V87" i="6"/>
  <c r="AE376" i="6"/>
  <c r="AF376" i="6" s="1"/>
  <c r="AE344" i="6"/>
  <c r="AF344" i="6" s="1"/>
  <c r="AE328" i="6"/>
  <c r="AF328" i="6" s="1"/>
  <c r="AE280" i="6"/>
  <c r="AF280" i="6" s="1"/>
  <c r="AE248" i="6"/>
  <c r="AF248" i="6" s="1"/>
  <c r="AE216" i="6"/>
  <c r="AF216" i="6" s="1"/>
  <c r="AE163" i="6"/>
  <c r="AF163" i="6" s="1"/>
  <c r="AE154" i="6"/>
  <c r="AF154" i="6" s="1"/>
  <c r="AE137" i="6"/>
  <c r="AF137" i="6" s="1"/>
  <c r="AE89" i="6"/>
  <c r="AF89" i="6" s="1"/>
  <c r="AE74" i="6"/>
  <c r="AF74" i="6" s="1"/>
  <c r="V359" i="6"/>
  <c r="V327" i="6"/>
  <c r="V295" i="6"/>
  <c r="V263" i="6"/>
  <c r="V231" i="6"/>
  <c r="V199" i="6"/>
  <c r="V179" i="6"/>
  <c r="V147" i="6"/>
  <c r="AE148" i="6"/>
  <c r="AF148" i="6" s="1"/>
  <c r="AE131" i="6"/>
  <c r="AF131" i="6" s="1"/>
  <c r="AE102" i="6"/>
  <c r="AF102" i="6" s="1"/>
  <c r="V163" i="6"/>
  <c r="V131" i="6"/>
  <c r="G8" i="6"/>
  <c r="E15" i="5"/>
  <c r="E11" i="5"/>
  <c r="G13" i="5"/>
  <c r="G11" i="5"/>
  <c r="G12" i="5"/>
  <c r="E13" i="5"/>
  <c r="F147" i="5"/>
  <c r="E147" i="5"/>
  <c r="F243" i="5"/>
  <c r="E243" i="5"/>
  <c r="F275" i="5"/>
  <c r="E275" i="5"/>
  <c r="F307" i="5"/>
  <c r="E307" i="5"/>
  <c r="E83" i="5"/>
  <c r="F83" i="5"/>
  <c r="E99" i="5"/>
  <c r="F99" i="5"/>
  <c r="E115" i="5"/>
  <c r="F115" i="5"/>
  <c r="F179" i="5"/>
  <c r="E179" i="5"/>
  <c r="F267" i="5"/>
  <c r="E267" i="5"/>
  <c r="F299" i="5"/>
  <c r="E299" i="5"/>
  <c r="F331" i="5"/>
  <c r="E331" i="5"/>
  <c r="F211" i="5"/>
  <c r="E211" i="5"/>
  <c r="F171" i="5"/>
  <c r="E171" i="5"/>
  <c r="V171" i="5" s="1"/>
  <c r="F163" i="5"/>
  <c r="E163" i="5"/>
  <c r="F195" i="5"/>
  <c r="E195" i="5"/>
  <c r="F227" i="5"/>
  <c r="E227" i="5"/>
  <c r="F259" i="5"/>
  <c r="E259" i="5"/>
  <c r="F291" i="5"/>
  <c r="E291" i="5"/>
  <c r="F323" i="5"/>
  <c r="E323" i="5"/>
  <c r="E67" i="5"/>
  <c r="F67" i="5"/>
  <c r="E131" i="5"/>
  <c r="F131" i="5"/>
  <c r="F203" i="5"/>
  <c r="E203" i="5"/>
  <c r="F235" i="5"/>
  <c r="E235" i="5"/>
  <c r="F155" i="5"/>
  <c r="E155" i="5"/>
  <c r="F187" i="5"/>
  <c r="E187" i="5"/>
  <c r="F219" i="5"/>
  <c r="E219" i="5"/>
  <c r="F251" i="5"/>
  <c r="E251" i="5"/>
  <c r="F283" i="5"/>
  <c r="E283" i="5"/>
  <c r="F315" i="5"/>
  <c r="E315" i="5"/>
  <c r="F395" i="5"/>
  <c r="E395" i="5"/>
  <c r="F339" i="5"/>
  <c r="E339" i="5"/>
  <c r="F347" i="5"/>
  <c r="E347" i="5"/>
  <c r="F355" i="5"/>
  <c r="E355" i="5"/>
  <c r="F363" i="5"/>
  <c r="E363" i="5"/>
  <c r="F371" i="5"/>
  <c r="E371" i="5"/>
  <c r="F379" i="5"/>
  <c r="E379" i="5"/>
  <c r="F387" i="5"/>
  <c r="E387" i="5"/>
  <c r="F311" i="5"/>
  <c r="E311" i="5"/>
  <c r="F319" i="5"/>
  <c r="E319" i="5"/>
  <c r="F327" i="5"/>
  <c r="E327" i="5"/>
  <c r="F335" i="5"/>
  <c r="E335" i="5"/>
  <c r="F343" i="5"/>
  <c r="E343" i="5"/>
  <c r="F351" i="5"/>
  <c r="E351" i="5"/>
  <c r="F359" i="5"/>
  <c r="E359" i="5"/>
  <c r="F367" i="5"/>
  <c r="E367" i="5"/>
  <c r="F375" i="5"/>
  <c r="E375" i="5"/>
  <c r="F383" i="5"/>
  <c r="E383" i="5"/>
  <c r="F391" i="5"/>
  <c r="E391" i="5"/>
  <c r="F399" i="5"/>
  <c r="E399" i="5"/>
  <c r="F151" i="5"/>
  <c r="E151" i="5"/>
  <c r="F159" i="5"/>
  <c r="E159" i="5"/>
  <c r="F167" i="5"/>
  <c r="E167" i="5"/>
  <c r="F175" i="5"/>
  <c r="E175" i="5"/>
  <c r="F183" i="5"/>
  <c r="E183" i="5"/>
  <c r="F191" i="5"/>
  <c r="E191" i="5"/>
  <c r="F199" i="5"/>
  <c r="E199" i="5"/>
  <c r="F207" i="5"/>
  <c r="E207" i="5"/>
  <c r="F215" i="5"/>
  <c r="E215" i="5"/>
  <c r="F223" i="5"/>
  <c r="E223" i="5"/>
  <c r="F231" i="5"/>
  <c r="E231" i="5"/>
  <c r="F239" i="5"/>
  <c r="E239" i="5"/>
  <c r="F247" i="5"/>
  <c r="E247" i="5"/>
  <c r="F255" i="5"/>
  <c r="E255" i="5"/>
  <c r="F263" i="5"/>
  <c r="E263" i="5"/>
  <c r="F271" i="5"/>
  <c r="E271" i="5"/>
  <c r="F279" i="5"/>
  <c r="E279" i="5"/>
  <c r="F287" i="5"/>
  <c r="E287" i="5"/>
  <c r="F295" i="5"/>
  <c r="E295" i="5"/>
  <c r="F303" i="5"/>
  <c r="E303" i="5"/>
  <c r="F75" i="5"/>
  <c r="F91" i="5"/>
  <c r="F107" i="5"/>
  <c r="F123" i="5"/>
  <c r="F139" i="5"/>
  <c r="AL3" i="9"/>
  <c r="V143" i="5"/>
  <c r="E13" i="6"/>
  <c r="G11" i="6"/>
  <c r="G13" i="6"/>
  <c r="AE48" i="6"/>
  <c r="AF48" i="6" s="1"/>
  <c r="AE47" i="6"/>
  <c r="AF47" i="6" s="1"/>
  <c r="AE49" i="6"/>
  <c r="AF49" i="6" s="1"/>
  <c r="V47" i="6"/>
  <c r="AE50" i="6"/>
  <c r="AF50" i="6" s="1"/>
  <c r="E21" i="6"/>
  <c r="F19" i="6"/>
  <c r="G21" i="6"/>
  <c r="G19" i="6"/>
  <c r="E19" i="6"/>
  <c r="AZ19" i="6" s="1"/>
  <c r="F27" i="6"/>
  <c r="E27" i="6"/>
  <c r="AZ27" i="6" s="1"/>
  <c r="F63" i="6"/>
  <c r="AE160" i="6"/>
  <c r="AF160" i="6" s="1"/>
  <c r="V159" i="6"/>
  <c r="F47" i="6"/>
  <c r="AU47" i="6" s="1"/>
  <c r="AE84" i="6"/>
  <c r="AF84" i="6" s="1"/>
  <c r="AE83" i="6"/>
  <c r="AF83" i="6" s="1"/>
  <c r="AE85" i="6"/>
  <c r="AF85" i="6" s="1"/>
  <c r="G20" i="6"/>
  <c r="AE36" i="6"/>
  <c r="AF36" i="6" s="1"/>
  <c r="AE35" i="6"/>
  <c r="AF35" i="6" s="1"/>
  <c r="F43" i="6"/>
  <c r="E43" i="6"/>
  <c r="AZ43" i="6" s="1"/>
  <c r="E63" i="6"/>
  <c r="AZ63" i="6" s="1"/>
  <c r="F79" i="6"/>
  <c r="E79" i="6"/>
  <c r="AZ79" i="6" s="1"/>
  <c r="AE128" i="6"/>
  <c r="AF128" i="6" s="1"/>
  <c r="V127" i="6"/>
  <c r="E17" i="6"/>
  <c r="F15" i="6"/>
  <c r="G17" i="6"/>
  <c r="G15" i="6"/>
  <c r="E15" i="6"/>
  <c r="AZ15" i="6" s="1"/>
  <c r="E25" i="6"/>
  <c r="F23" i="6"/>
  <c r="G25" i="6"/>
  <c r="G23" i="6"/>
  <c r="E23" i="6"/>
  <c r="AZ23" i="6" s="1"/>
  <c r="F31" i="6"/>
  <c r="F59" i="6"/>
  <c r="E59" i="6"/>
  <c r="AZ59" i="6" s="1"/>
  <c r="AE100" i="6"/>
  <c r="AF100" i="6" s="1"/>
  <c r="AE99" i="6"/>
  <c r="AF99" i="6" s="1"/>
  <c r="F107" i="6"/>
  <c r="E107" i="6"/>
  <c r="AZ107" i="6" s="1"/>
  <c r="E11" i="6"/>
  <c r="AZ11" i="6" s="1"/>
  <c r="E39" i="6"/>
  <c r="AZ39" i="6" s="1"/>
  <c r="E55" i="6"/>
  <c r="AZ55" i="6" s="1"/>
  <c r="AE68" i="6"/>
  <c r="AF68" i="6" s="1"/>
  <c r="AE67" i="6"/>
  <c r="AF67" i="6" s="1"/>
  <c r="F75" i="6"/>
  <c r="E75" i="6"/>
  <c r="AZ75" i="6" s="1"/>
  <c r="F111" i="6"/>
  <c r="AU111" i="6" s="1"/>
  <c r="F139" i="6"/>
  <c r="E139" i="6"/>
  <c r="AZ139" i="6" s="1"/>
  <c r="F175" i="6"/>
  <c r="F91" i="6"/>
  <c r="E91" i="6"/>
  <c r="AZ91" i="6" s="1"/>
  <c r="AE112" i="6"/>
  <c r="AF112" i="6" s="1"/>
  <c r="AE111" i="6"/>
  <c r="AF111" i="6" s="1"/>
  <c r="F127" i="6"/>
  <c r="AU127" i="6" s="1"/>
  <c r="F155" i="6"/>
  <c r="E155" i="6"/>
  <c r="AZ155" i="6" s="1"/>
  <c r="F191" i="6"/>
  <c r="AU191" i="6" s="1"/>
  <c r="F143" i="6"/>
  <c r="F171" i="6"/>
  <c r="E171" i="6"/>
  <c r="AZ171" i="6" s="1"/>
  <c r="F207" i="6"/>
  <c r="E207" i="6"/>
  <c r="AZ207" i="6" s="1"/>
  <c r="E9" i="6"/>
  <c r="F7" i="6"/>
  <c r="G9" i="6"/>
  <c r="G7" i="6"/>
  <c r="F95" i="6"/>
  <c r="F123" i="6"/>
  <c r="E123" i="6"/>
  <c r="AZ123" i="6" s="1"/>
  <c r="E143" i="6"/>
  <c r="F159" i="6"/>
  <c r="AU159" i="6" s="1"/>
  <c r="F187" i="6"/>
  <c r="E187" i="6"/>
  <c r="AZ187" i="6" s="1"/>
  <c r="E387" i="6"/>
  <c r="AZ387" i="6" s="1"/>
  <c r="E223" i="6"/>
  <c r="AZ223" i="6" s="1"/>
  <c r="E239" i="6"/>
  <c r="AZ239" i="6" s="1"/>
  <c r="E255" i="6"/>
  <c r="AZ255" i="6" s="1"/>
  <c r="E271" i="6"/>
  <c r="E287" i="6"/>
  <c r="AZ287" i="6" s="1"/>
  <c r="E303" i="6"/>
  <c r="AZ303" i="6" s="1"/>
  <c r="E319" i="6"/>
  <c r="AZ319" i="6" s="1"/>
  <c r="E335" i="6"/>
  <c r="E351" i="6"/>
  <c r="AZ351" i="6" s="1"/>
  <c r="E367" i="6"/>
  <c r="AZ367" i="6" s="1"/>
  <c r="E383" i="6"/>
  <c r="AZ383" i="6" s="1"/>
  <c r="E399" i="6"/>
  <c r="AZ399" i="6" s="1"/>
  <c r="E203" i="6"/>
  <c r="AZ203" i="6" s="1"/>
  <c r="E219" i="6"/>
  <c r="E235" i="6"/>
  <c r="AZ235" i="6" s="1"/>
  <c r="E251" i="6"/>
  <c r="AZ251" i="6" s="1"/>
  <c r="E267" i="6"/>
  <c r="AZ267" i="6" s="1"/>
  <c r="E283" i="6"/>
  <c r="E299" i="6"/>
  <c r="AZ299" i="6" s="1"/>
  <c r="E315" i="6"/>
  <c r="AZ315" i="6" s="1"/>
  <c r="E331" i="6"/>
  <c r="AZ331" i="6" s="1"/>
  <c r="E347" i="6"/>
  <c r="E363" i="6"/>
  <c r="AZ363" i="6" s="1"/>
  <c r="E379" i="6"/>
  <c r="AZ379" i="6" s="1"/>
  <c r="E395" i="6"/>
  <c r="AZ395" i="6" s="1"/>
  <c r="V251" i="5"/>
  <c r="V123" i="5"/>
  <c r="V95" i="5"/>
  <c r="V103" i="5"/>
  <c r="V111" i="5"/>
  <c r="V63" i="5"/>
  <c r="V79" i="5"/>
  <c r="V147" i="5"/>
  <c r="AU31" i="6" l="1"/>
  <c r="AE34" i="6"/>
  <c r="AF34" i="6" s="1"/>
  <c r="AE31" i="6"/>
  <c r="AF31" i="6" s="1"/>
  <c r="AE117" i="6"/>
  <c r="AF117" i="6" s="1"/>
  <c r="AZ115" i="6"/>
  <c r="AU335" i="6"/>
  <c r="AZ335" i="6"/>
  <c r="AU271" i="6"/>
  <c r="AZ271" i="6"/>
  <c r="AU143" i="6"/>
  <c r="AZ143" i="6"/>
  <c r="AE175" i="6"/>
  <c r="AF175" i="6" s="1"/>
  <c r="AZ175" i="6"/>
  <c r="AE393" i="6"/>
  <c r="AF393" i="6" s="1"/>
  <c r="AZ391" i="6"/>
  <c r="AE119" i="6"/>
  <c r="AF119" i="6" s="1"/>
  <c r="AZ119" i="6"/>
  <c r="AE183" i="6"/>
  <c r="AF183" i="6" s="1"/>
  <c r="AZ183" i="6"/>
  <c r="AU347" i="6"/>
  <c r="AZ347" i="6"/>
  <c r="AU283" i="6"/>
  <c r="AZ283" i="6"/>
  <c r="AU219" i="6"/>
  <c r="AZ219" i="6"/>
  <c r="AE51" i="6"/>
  <c r="AF51" i="6" s="1"/>
  <c r="AZ51" i="6"/>
  <c r="AE98" i="6"/>
  <c r="AF98" i="6" s="1"/>
  <c r="AZ95" i="6"/>
  <c r="AZ131" i="5"/>
  <c r="AU131" i="5"/>
  <c r="V115" i="5"/>
  <c r="AZ115" i="5"/>
  <c r="AU115" i="5"/>
  <c r="V83" i="5"/>
  <c r="AZ83" i="5"/>
  <c r="AU83" i="5"/>
  <c r="AU55" i="5"/>
  <c r="AZ55" i="5"/>
  <c r="V71" i="5"/>
  <c r="AU71" i="5"/>
  <c r="AZ71" i="5"/>
  <c r="AZ127" i="5"/>
  <c r="AU127" i="5"/>
  <c r="V135" i="5"/>
  <c r="AU135" i="5"/>
  <c r="AZ135" i="5"/>
  <c r="AU295" i="5"/>
  <c r="AZ295" i="5"/>
  <c r="AU279" i="5"/>
  <c r="AZ279" i="5"/>
  <c r="AU263" i="5"/>
  <c r="AZ263" i="5"/>
  <c r="AU247" i="5"/>
  <c r="AZ247" i="5"/>
  <c r="AU231" i="5"/>
  <c r="AZ231" i="5"/>
  <c r="AU215" i="5"/>
  <c r="AZ215" i="5"/>
  <c r="AU199" i="5"/>
  <c r="AZ199" i="5"/>
  <c r="AU183" i="5"/>
  <c r="AZ183" i="5"/>
  <c r="AU167" i="5"/>
  <c r="AZ167" i="5"/>
  <c r="AU151" i="5"/>
  <c r="AZ151" i="5"/>
  <c r="AU391" i="5"/>
  <c r="AZ391" i="5"/>
  <c r="AU375" i="5"/>
  <c r="AZ375" i="5"/>
  <c r="AU359" i="5"/>
  <c r="AZ359" i="5"/>
  <c r="AU343" i="5"/>
  <c r="AZ343" i="5"/>
  <c r="AU327" i="5"/>
  <c r="AZ327" i="5"/>
  <c r="AU311" i="5"/>
  <c r="AZ311" i="5"/>
  <c r="AZ379" i="5"/>
  <c r="AU379" i="5"/>
  <c r="AZ363" i="5"/>
  <c r="AU363" i="5"/>
  <c r="AZ347" i="5"/>
  <c r="AU347" i="5"/>
  <c r="AZ395" i="5"/>
  <c r="AU395" i="5"/>
  <c r="AZ283" i="5"/>
  <c r="AU283" i="5"/>
  <c r="AZ219" i="5"/>
  <c r="AU219" i="5"/>
  <c r="AZ155" i="5"/>
  <c r="AU155" i="5"/>
  <c r="AZ203" i="5"/>
  <c r="AU203" i="5"/>
  <c r="AZ291" i="5"/>
  <c r="AU291" i="5"/>
  <c r="AZ227" i="5"/>
  <c r="AU227" i="5"/>
  <c r="V163" i="5"/>
  <c r="AZ163" i="5"/>
  <c r="AU163" i="5"/>
  <c r="AZ211" i="5"/>
  <c r="AU211" i="5"/>
  <c r="AZ299" i="5"/>
  <c r="AU299" i="5"/>
  <c r="AZ179" i="5"/>
  <c r="AU179" i="5"/>
  <c r="AZ307" i="5"/>
  <c r="AU307" i="5"/>
  <c r="AZ243" i="5"/>
  <c r="AU243" i="5"/>
  <c r="AU39" i="5"/>
  <c r="AZ39" i="5"/>
  <c r="AZ51" i="5"/>
  <c r="AU51" i="5"/>
  <c r="AU119" i="5"/>
  <c r="AZ119" i="5"/>
  <c r="AU103" i="5"/>
  <c r="AZ103" i="5"/>
  <c r="AZ79" i="5"/>
  <c r="AU79" i="5"/>
  <c r="AZ143" i="5"/>
  <c r="AU143" i="5"/>
  <c r="AZ75" i="5"/>
  <c r="AU75" i="5"/>
  <c r="AZ67" i="5"/>
  <c r="AU67" i="5"/>
  <c r="AZ99" i="5"/>
  <c r="AU99" i="5"/>
  <c r="V47" i="5"/>
  <c r="AZ47" i="5"/>
  <c r="AU47" i="5"/>
  <c r="V139" i="5"/>
  <c r="AZ139" i="5"/>
  <c r="AU139" i="5"/>
  <c r="AU87" i="5"/>
  <c r="AZ87" i="5"/>
  <c r="AZ123" i="5"/>
  <c r="AU123" i="5"/>
  <c r="AZ303" i="5"/>
  <c r="AU303" i="5"/>
  <c r="AZ287" i="5"/>
  <c r="AU287" i="5"/>
  <c r="AZ271" i="5"/>
  <c r="AU271" i="5"/>
  <c r="AZ255" i="5"/>
  <c r="AU255" i="5"/>
  <c r="AZ239" i="5"/>
  <c r="AU239" i="5"/>
  <c r="AZ223" i="5"/>
  <c r="AU223" i="5"/>
  <c r="AZ207" i="5"/>
  <c r="AU207" i="5"/>
  <c r="AZ191" i="5"/>
  <c r="AU191" i="5"/>
  <c r="AZ175" i="5"/>
  <c r="AU175" i="5"/>
  <c r="AZ159" i="5"/>
  <c r="AU159" i="5"/>
  <c r="AZ399" i="5"/>
  <c r="AU399" i="5"/>
  <c r="AZ383" i="5"/>
  <c r="AU383" i="5"/>
  <c r="AZ367" i="5"/>
  <c r="AU367" i="5"/>
  <c r="AZ351" i="5"/>
  <c r="AU351" i="5"/>
  <c r="AZ335" i="5"/>
  <c r="AU335" i="5"/>
  <c r="AZ319" i="5"/>
  <c r="AU319" i="5"/>
  <c r="AZ387" i="5"/>
  <c r="AU387" i="5"/>
  <c r="AZ371" i="5"/>
  <c r="AU371" i="5"/>
  <c r="AZ355" i="5"/>
  <c r="AU355" i="5"/>
  <c r="AZ339" i="5"/>
  <c r="AU339" i="5"/>
  <c r="AZ315" i="5"/>
  <c r="AU315" i="5"/>
  <c r="AZ251" i="5"/>
  <c r="AU251" i="5"/>
  <c r="AZ187" i="5"/>
  <c r="AU187" i="5"/>
  <c r="AZ235" i="5"/>
  <c r="AU235" i="5"/>
  <c r="AZ323" i="5"/>
  <c r="AU323" i="5"/>
  <c r="AZ259" i="5"/>
  <c r="AU259" i="5"/>
  <c r="AZ195" i="5"/>
  <c r="AU195" i="5"/>
  <c r="AZ171" i="5"/>
  <c r="AU171" i="5"/>
  <c r="AZ331" i="5"/>
  <c r="AU331" i="5"/>
  <c r="AZ267" i="5"/>
  <c r="AU267" i="5"/>
  <c r="AZ275" i="5"/>
  <c r="AU275" i="5"/>
  <c r="AZ147" i="5"/>
  <c r="AU147" i="5"/>
  <c r="AZ43" i="5"/>
  <c r="AU43" i="5"/>
  <c r="AZ59" i="5"/>
  <c r="AU59" i="5"/>
  <c r="V107" i="5"/>
  <c r="AZ107" i="5"/>
  <c r="AU107" i="5"/>
  <c r="AZ95" i="5"/>
  <c r="AU95" i="5"/>
  <c r="AZ91" i="5"/>
  <c r="AU91" i="5"/>
  <c r="AZ63" i="5"/>
  <c r="AU63" i="5"/>
  <c r="AZ111" i="5"/>
  <c r="AU111" i="5"/>
  <c r="AU31" i="5"/>
  <c r="AU27" i="5"/>
  <c r="AU35" i="6"/>
  <c r="V31" i="6"/>
  <c r="AE32" i="6"/>
  <c r="AF32" i="6" s="1"/>
  <c r="AE33" i="6"/>
  <c r="AF33" i="6" s="1"/>
  <c r="AU35" i="5"/>
  <c r="V23" i="5"/>
  <c r="AZ23" i="5"/>
  <c r="AZ31" i="5"/>
  <c r="AZ27" i="5"/>
  <c r="AU23" i="5"/>
  <c r="AU19" i="5"/>
  <c r="AZ15" i="5"/>
  <c r="AU15" i="5"/>
  <c r="AU11" i="5"/>
  <c r="AU7" i="5"/>
  <c r="AZ7" i="5"/>
  <c r="AZ11" i="5"/>
  <c r="V119" i="6"/>
  <c r="AE121" i="6"/>
  <c r="AF121" i="6" s="1"/>
  <c r="V119" i="5"/>
  <c r="V95" i="6"/>
  <c r="AE96" i="6"/>
  <c r="AF96" i="6" s="1"/>
  <c r="V203" i="5"/>
  <c r="V243" i="5"/>
  <c r="V279" i="5"/>
  <c r="V231" i="5"/>
  <c r="V375" i="5"/>
  <c r="V67" i="5"/>
  <c r="V99" i="5"/>
  <c r="V127" i="5"/>
  <c r="V295" i="5"/>
  <c r="V247" i="5"/>
  <c r="V199" i="5"/>
  <c r="V391" i="5"/>
  <c r="V303" i="5"/>
  <c r="V287" i="5"/>
  <c r="V271" i="5"/>
  <c r="V255" i="5"/>
  <c r="V239" i="5"/>
  <c r="V223" i="5"/>
  <c r="V207" i="5"/>
  <c r="V191" i="5"/>
  <c r="V175" i="5"/>
  <c r="V159" i="5"/>
  <c r="V399" i="5"/>
  <c r="V383" i="5"/>
  <c r="V367" i="5"/>
  <c r="V351" i="5"/>
  <c r="V335" i="5"/>
  <c r="V319" i="5"/>
  <c r="V387" i="5"/>
  <c r="V371" i="5"/>
  <c r="V355" i="5"/>
  <c r="V339" i="5"/>
  <c r="V315" i="5"/>
  <c r="V187" i="5"/>
  <c r="V235" i="5"/>
  <c r="V323" i="5"/>
  <c r="V259" i="5"/>
  <c r="V195" i="5"/>
  <c r="V331" i="5"/>
  <c r="V267" i="5"/>
  <c r="V275" i="5"/>
  <c r="V43" i="5"/>
  <c r="V59" i="5"/>
  <c r="V75" i="5"/>
  <c r="V131" i="5"/>
  <c r="V55" i="5"/>
  <c r="V263" i="5"/>
  <c r="V215" i="5"/>
  <c r="V183" i="5"/>
  <c r="V167" i="5"/>
  <c r="V151" i="5"/>
  <c r="V359" i="5"/>
  <c r="V343" i="5"/>
  <c r="V327" i="5"/>
  <c r="V311" i="5"/>
  <c r="V379" i="5"/>
  <c r="V363" i="5"/>
  <c r="V347" i="5"/>
  <c r="V395" i="5"/>
  <c r="V283" i="5"/>
  <c r="V219" i="5"/>
  <c r="V155" i="5"/>
  <c r="V291" i="5"/>
  <c r="V227" i="5"/>
  <c r="V211" i="5"/>
  <c r="V299" i="5"/>
  <c r="V179" i="5"/>
  <c r="V307" i="5"/>
  <c r="V39" i="5"/>
  <c r="V51" i="5"/>
  <c r="V35" i="5"/>
  <c r="V91" i="5"/>
  <c r="AU387" i="6"/>
  <c r="AU303" i="6"/>
  <c r="AU239" i="6"/>
  <c r="AU39" i="6"/>
  <c r="AU367" i="6"/>
  <c r="AU63" i="6"/>
  <c r="AU395" i="6"/>
  <c r="AU351" i="6"/>
  <c r="AU287" i="6"/>
  <c r="AU223" i="6"/>
  <c r="AU95" i="6"/>
  <c r="AE97" i="6"/>
  <c r="AF97" i="6" s="1"/>
  <c r="AE53" i="6"/>
  <c r="AF53" i="6" s="1"/>
  <c r="AU119" i="6"/>
  <c r="AU331" i="6"/>
  <c r="AU267" i="6"/>
  <c r="AU203" i="6"/>
  <c r="V175" i="6"/>
  <c r="AE185" i="6"/>
  <c r="AF185" i="6" s="1"/>
  <c r="AU379" i="6"/>
  <c r="AU315" i="6"/>
  <c r="AU251" i="6"/>
  <c r="AE394" i="6"/>
  <c r="AF394" i="6" s="1"/>
  <c r="AE122" i="6"/>
  <c r="AF122" i="6" s="1"/>
  <c r="AU391" i="6"/>
  <c r="AE52" i="6"/>
  <c r="AF52" i="6" s="1"/>
  <c r="AE54" i="6"/>
  <c r="AF54" i="6" s="1"/>
  <c r="V51" i="6"/>
  <c r="AU363" i="6"/>
  <c r="AU235" i="6"/>
  <c r="V115" i="6"/>
  <c r="AU299" i="6"/>
  <c r="AU91" i="6"/>
  <c r="AU43" i="6"/>
  <c r="AU207" i="6"/>
  <c r="AU107" i="6"/>
  <c r="AU59" i="6"/>
  <c r="AE178" i="6"/>
  <c r="AF178" i="6" s="1"/>
  <c r="AE176" i="6"/>
  <c r="AF176" i="6" s="1"/>
  <c r="AE177" i="6"/>
  <c r="AF177" i="6" s="1"/>
  <c r="AE95" i="6"/>
  <c r="AF95" i="6" s="1"/>
  <c r="AE392" i="6"/>
  <c r="AF392" i="6" s="1"/>
  <c r="AE391" i="6"/>
  <c r="AF391" i="6" s="1"/>
  <c r="AU51" i="6"/>
  <c r="AE186" i="6"/>
  <c r="AF186" i="6" s="1"/>
  <c r="AE184" i="6"/>
  <c r="AF184" i="6" s="1"/>
  <c r="AE116" i="6"/>
  <c r="AF116" i="6" s="1"/>
  <c r="AE118" i="6"/>
  <c r="AF118" i="6" s="1"/>
  <c r="AU115" i="6"/>
  <c r="AU399" i="6"/>
  <c r="AU183" i="6"/>
  <c r="AE115" i="6"/>
  <c r="AF115" i="6" s="1"/>
  <c r="AU383" i="6"/>
  <c r="AU319" i="6"/>
  <c r="AU255" i="6"/>
  <c r="AU175" i="6"/>
  <c r="AU55" i="6"/>
  <c r="V183" i="6"/>
  <c r="AE181" i="6"/>
  <c r="AF181" i="6" s="1"/>
  <c r="AE182" i="6"/>
  <c r="AF182" i="6" s="1"/>
  <c r="AU171" i="6"/>
  <c r="AU155" i="6"/>
  <c r="AU139" i="6"/>
  <c r="AU187" i="6"/>
  <c r="AU123" i="6"/>
  <c r="AU75" i="6"/>
  <c r="AU23" i="6"/>
  <c r="AU79" i="6"/>
  <c r="AU27" i="6"/>
  <c r="AU19" i="6"/>
  <c r="BF19" i="6" s="1"/>
  <c r="AU15" i="6"/>
  <c r="BF15" i="6" s="1"/>
  <c r="BI15" i="6" s="1"/>
  <c r="V11" i="6"/>
  <c r="AU11" i="6"/>
  <c r="AU7" i="6"/>
  <c r="BF9" i="6" s="1"/>
  <c r="BI9" i="6" s="1"/>
  <c r="AE288" i="6"/>
  <c r="AF288" i="6" s="1"/>
  <c r="V287" i="6"/>
  <c r="AE287" i="6"/>
  <c r="AF287" i="6" s="1"/>
  <c r="AE289" i="6"/>
  <c r="AF289" i="6" s="1"/>
  <c r="AE290" i="6"/>
  <c r="AF290" i="6" s="1"/>
  <c r="AE380" i="6"/>
  <c r="AF380" i="6" s="1"/>
  <c r="AE379" i="6"/>
  <c r="AF379" i="6" s="1"/>
  <c r="V379" i="6"/>
  <c r="AE381" i="6"/>
  <c r="AF381" i="6" s="1"/>
  <c r="AE382" i="6"/>
  <c r="AF382" i="6" s="1"/>
  <c r="AE348" i="6"/>
  <c r="AF348" i="6" s="1"/>
  <c r="V347" i="6"/>
  <c r="AE347" i="6"/>
  <c r="AF347" i="6" s="1"/>
  <c r="AE349" i="6"/>
  <c r="AF349" i="6" s="1"/>
  <c r="AE350" i="6"/>
  <c r="AF350" i="6" s="1"/>
  <c r="AE316" i="6"/>
  <c r="AF316" i="6" s="1"/>
  <c r="AE315" i="6"/>
  <c r="AF315" i="6" s="1"/>
  <c r="V315" i="6"/>
  <c r="AE317" i="6"/>
  <c r="AF317" i="6" s="1"/>
  <c r="AE318" i="6"/>
  <c r="AF318" i="6" s="1"/>
  <c r="AE284" i="6"/>
  <c r="AF284" i="6" s="1"/>
  <c r="AE283" i="6"/>
  <c r="AF283" i="6" s="1"/>
  <c r="AE285" i="6"/>
  <c r="AF285" i="6" s="1"/>
  <c r="AE286" i="6"/>
  <c r="AF286" i="6" s="1"/>
  <c r="V283" i="6"/>
  <c r="AE252" i="6"/>
  <c r="AF252" i="6" s="1"/>
  <c r="V251" i="6"/>
  <c r="AE251" i="6"/>
  <c r="AF251" i="6" s="1"/>
  <c r="AE253" i="6"/>
  <c r="AF253" i="6" s="1"/>
  <c r="AE254" i="6"/>
  <c r="AF254" i="6" s="1"/>
  <c r="AE220" i="6"/>
  <c r="AF220" i="6" s="1"/>
  <c r="AE222" i="6"/>
  <c r="AF222" i="6" s="1"/>
  <c r="AE219" i="6"/>
  <c r="AF219" i="6" s="1"/>
  <c r="AE221" i="6"/>
  <c r="AF221" i="6" s="1"/>
  <c r="V219" i="6"/>
  <c r="AE400" i="6"/>
  <c r="AF400" i="6" s="1"/>
  <c r="V399" i="6"/>
  <c r="AE399" i="6"/>
  <c r="AF399" i="6" s="1"/>
  <c r="AE401" i="6"/>
  <c r="AF401" i="6" s="1"/>
  <c r="AE402" i="6"/>
  <c r="AF402" i="6" s="1"/>
  <c r="AE336" i="6"/>
  <c r="AF336" i="6" s="1"/>
  <c r="V335" i="6"/>
  <c r="AE338" i="6"/>
  <c r="AF338" i="6" s="1"/>
  <c r="AE335" i="6"/>
  <c r="AF335" i="6" s="1"/>
  <c r="AE337" i="6"/>
  <c r="AF337" i="6" s="1"/>
  <c r="AE272" i="6"/>
  <c r="AF272" i="6" s="1"/>
  <c r="V271" i="6"/>
  <c r="AE274" i="6"/>
  <c r="AF274" i="6" s="1"/>
  <c r="AE273" i="6"/>
  <c r="AF273" i="6" s="1"/>
  <c r="AE271" i="6"/>
  <c r="AF271" i="6" s="1"/>
  <c r="AE388" i="6"/>
  <c r="AF388" i="6" s="1"/>
  <c r="AE389" i="6"/>
  <c r="AF389" i="6" s="1"/>
  <c r="AE390" i="6"/>
  <c r="AF390" i="6" s="1"/>
  <c r="V387" i="6"/>
  <c r="AE387" i="6"/>
  <c r="AF387" i="6" s="1"/>
  <c r="AE144" i="6"/>
  <c r="AF144" i="6" s="1"/>
  <c r="V143" i="6"/>
  <c r="AE143" i="6"/>
  <c r="AF143" i="6" s="1"/>
  <c r="AE146" i="6"/>
  <c r="AF146" i="6" s="1"/>
  <c r="AE145" i="6"/>
  <c r="AF145" i="6" s="1"/>
  <c r="AE384" i="6"/>
  <c r="AF384" i="6" s="1"/>
  <c r="V383" i="6"/>
  <c r="AE383" i="6"/>
  <c r="AF383" i="6" s="1"/>
  <c r="AE385" i="6"/>
  <c r="AF385" i="6" s="1"/>
  <c r="AE386" i="6"/>
  <c r="AF386" i="6" s="1"/>
  <c r="AE320" i="6"/>
  <c r="AF320" i="6" s="1"/>
  <c r="V319" i="6"/>
  <c r="AE319" i="6"/>
  <c r="AF319" i="6" s="1"/>
  <c r="AE321" i="6"/>
  <c r="AF321" i="6" s="1"/>
  <c r="AE322" i="6"/>
  <c r="AF322" i="6" s="1"/>
  <c r="AE256" i="6"/>
  <c r="AF256" i="6" s="1"/>
  <c r="V255" i="6"/>
  <c r="AE255" i="6"/>
  <c r="AF255" i="6" s="1"/>
  <c r="AE258" i="6"/>
  <c r="AF258" i="6" s="1"/>
  <c r="AE257" i="6"/>
  <c r="AF257" i="6" s="1"/>
  <c r="AE124" i="6"/>
  <c r="AF124" i="6" s="1"/>
  <c r="AE125" i="6"/>
  <c r="AF125" i="6" s="1"/>
  <c r="AE126" i="6"/>
  <c r="AF126" i="6" s="1"/>
  <c r="AE123" i="6"/>
  <c r="AF123" i="6" s="1"/>
  <c r="V123" i="6"/>
  <c r="AE172" i="6"/>
  <c r="AF172" i="6" s="1"/>
  <c r="V171" i="6"/>
  <c r="AE173" i="6"/>
  <c r="AF173" i="6" s="1"/>
  <c r="AE174" i="6"/>
  <c r="AF174" i="6" s="1"/>
  <c r="AE171" i="6"/>
  <c r="AF171" i="6" s="1"/>
  <c r="AE92" i="6"/>
  <c r="AF92" i="6" s="1"/>
  <c r="AE91" i="6"/>
  <c r="AF91" i="6" s="1"/>
  <c r="AE93" i="6"/>
  <c r="AF93" i="6" s="1"/>
  <c r="V91" i="6"/>
  <c r="AE94" i="6"/>
  <c r="AF94" i="6" s="1"/>
  <c r="AE140" i="6"/>
  <c r="AF140" i="6" s="1"/>
  <c r="AE141" i="6"/>
  <c r="AF141" i="6" s="1"/>
  <c r="AE142" i="6"/>
  <c r="AF142" i="6" s="1"/>
  <c r="AE139" i="6"/>
  <c r="AF139" i="6" s="1"/>
  <c r="V139" i="6"/>
  <c r="AE76" i="6"/>
  <c r="AF76" i="6" s="1"/>
  <c r="AE75" i="6"/>
  <c r="AF75" i="6" s="1"/>
  <c r="AE77" i="6"/>
  <c r="AF77" i="6" s="1"/>
  <c r="AE78" i="6"/>
  <c r="AF78" i="6" s="1"/>
  <c r="V75" i="6"/>
  <c r="AE56" i="6"/>
  <c r="AF56" i="6" s="1"/>
  <c r="AE55" i="6"/>
  <c r="AF55" i="6" s="1"/>
  <c r="AE57" i="6"/>
  <c r="AF57" i="6" s="1"/>
  <c r="V55" i="6"/>
  <c r="AE58" i="6"/>
  <c r="AF58" i="6" s="1"/>
  <c r="AE108" i="6"/>
  <c r="AF108" i="6" s="1"/>
  <c r="AE107" i="6"/>
  <c r="AF107" i="6" s="1"/>
  <c r="AE109" i="6"/>
  <c r="AF109" i="6" s="1"/>
  <c r="V107" i="6"/>
  <c r="AE110" i="6"/>
  <c r="AF110" i="6" s="1"/>
  <c r="AE60" i="6"/>
  <c r="AF60" i="6" s="1"/>
  <c r="AE59" i="6"/>
  <c r="AF59" i="6" s="1"/>
  <c r="AE62" i="6"/>
  <c r="AF62" i="6" s="1"/>
  <c r="V59" i="6"/>
  <c r="AE61" i="6"/>
  <c r="AF61" i="6" s="1"/>
  <c r="AE80" i="6"/>
  <c r="AF80" i="6" s="1"/>
  <c r="AE79" i="6"/>
  <c r="AF79" i="6" s="1"/>
  <c r="V79" i="6"/>
  <c r="AE82" i="6"/>
  <c r="AF82" i="6" s="1"/>
  <c r="AE81" i="6"/>
  <c r="AF81" i="6" s="1"/>
  <c r="AE44" i="6"/>
  <c r="AF44" i="6" s="1"/>
  <c r="AE43" i="6"/>
  <c r="AF43" i="6" s="1"/>
  <c r="V43" i="6"/>
  <c r="AE45" i="6"/>
  <c r="AF45" i="6" s="1"/>
  <c r="AE46" i="6"/>
  <c r="AF46" i="6" s="1"/>
  <c r="AE396" i="6"/>
  <c r="AF396" i="6" s="1"/>
  <c r="AE398" i="6"/>
  <c r="AF398" i="6" s="1"/>
  <c r="V395" i="6"/>
  <c r="AE397" i="6"/>
  <c r="AF397" i="6" s="1"/>
  <c r="AE395" i="6"/>
  <c r="AF395" i="6" s="1"/>
  <c r="AE364" i="6"/>
  <c r="AF364" i="6" s="1"/>
  <c r="AE363" i="6"/>
  <c r="AF363" i="6" s="1"/>
  <c r="AE365" i="6"/>
  <c r="AF365" i="6" s="1"/>
  <c r="AE366" i="6"/>
  <c r="AF366" i="6" s="1"/>
  <c r="V363" i="6"/>
  <c r="AE332" i="6"/>
  <c r="AF332" i="6" s="1"/>
  <c r="AE333" i="6"/>
  <c r="AF333" i="6" s="1"/>
  <c r="V331" i="6"/>
  <c r="AE334" i="6"/>
  <c r="AF334" i="6" s="1"/>
  <c r="AE331" i="6"/>
  <c r="AF331" i="6" s="1"/>
  <c r="AE300" i="6"/>
  <c r="AF300" i="6" s="1"/>
  <c r="AE301" i="6"/>
  <c r="AF301" i="6" s="1"/>
  <c r="AE302" i="6"/>
  <c r="AF302" i="6" s="1"/>
  <c r="V299" i="6"/>
  <c r="AE299" i="6"/>
  <c r="AF299" i="6" s="1"/>
  <c r="AE268" i="6"/>
  <c r="AF268" i="6" s="1"/>
  <c r="AE269" i="6"/>
  <c r="AF269" i="6" s="1"/>
  <c r="V267" i="6"/>
  <c r="AE270" i="6"/>
  <c r="AF270" i="6" s="1"/>
  <c r="AE267" i="6"/>
  <c r="AF267" i="6" s="1"/>
  <c r="AE236" i="6"/>
  <c r="AF236" i="6" s="1"/>
  <c r="AE235" i="6"/>
  <c r="AF235" i="6" s="1"/>
  <c r="AE237" i="6"/>
  <c r="AF237" i="6" s="1"/>
  <c r="AE238" i="6"/>
  <c r="AF238" i="6" s="1"/>
  <c r="V235" i="6"/>
  <c r="AE204" i="6"/>
  <c r="AF204" i="6" s="1"/>
  <c r="AE205" i="6"/>
  <c r="AF205" i="6" s="1"/>
  <c r="V203" i="6"/>
  <c r="AE206" i="6"/>
  <c r="AF206" i="6" s="1"/>
  <c r="AE203" i="6"/>
  <c r="AF203" i="6" s="1"/>
  <c r="AE368" i="6"/>
  <c r="AF368" i="6" s="1"/>
  <c r="V367" i="6"/>
  <c r="AE370" i="6"/>
  <c r="AF370" i="6" s="1"/>
  <c r="AE367" i="6"/>
  <c r="AF367" i="6" s="1"/>
  <c r="AE369" i="6"/>
  <c r="AF369" i="6" s="1"/>
  <c r="AE304" i="6"/>
  <c r="AF304" i="6" s="1"/>
  <c r="V303" i="6"/>
  <c r="AE305" i="6"/>
  <c r="AF305" i="6" s="1"/>
  <c r="AE306" i="6"/>
  <c r="AF306" i="6" s="1"/>
  <c r="AE303" i="6"/>
  <c r="AF303" i="6" s="1"/>
  <c r="AE240" i="6"/>
  <c r="AF240" i="6" s="1"/>
  <c r="V239" i="6"/>
  <c r="AE242" i="6"/>
  <c r="AF242" i="6" s="1"/>
  <c r="AE239" i="6"/>
  <c r="AF239" i="6" s="1"/>
  <c r="AE241" i="6"/>
  <c r="AF241" i="6" s="1"/>
  <c r="AE40" i="6"/>
  <c r="AF40" i="6" s="1"/>
  <c r="AE39" i="6"/>
  <c r="AF39" i="6" s="1"/>
  <c r="AE41" i="6"/>
  <c r="AF41" i="6" s="1"/>
  <c r="AE42" i="6"/>
  <c r="AF42" i="6" s="1"/>
  <c r="V39" i="6"/>
  <c r="AE352" i="6"/>
  <c r="AF352" i="6" s="1"/>
  <c r="V351" i="6"/>
  <c r="AE351" i="6"/>
  <c r="AF351" i="6" s="1"/>
  <c r="AE353" i="6"/>
  <c r="AF353" i="6" s="1"/>
  <c r="AE354" i="6"/>
  <c r="AF354" i="6" s="1"/>
  <c r="AE224" i="6"/>
  <c r="AF224" i="6" s="1"/>
  <c r="V223" i="6"/>
  <c r="AE223" i="6"/>
  <c r="AF223" i="6" s="1"/>
  <c r="AE226" i="6"/>
  <c r="AF226" i="6" s="1"/>
  <c r="AE225" i="6"/>
  <c r="AF225" i="6" s="1"/>
  <c r="AE188" i="6"/>
  <c r="AF188" i="6" s="1"/>
  <c r="AE187" i="6"/>
  <c r="AF187" i="6" s="1"/>
  <c r="V187" i="6"/>
  <c r="AE190" i="6"/>
  <c r="AF190" i="6" s="1"/>
  <c r="AE189" i="6"/>
  <c r="AF189" i="6" s="1"/>
  <c r="AE208" i="6"/>
  <c r="AF208" i="6" s="1"/>
  <c r="V207" i="6"/>
  <c r="AE210" i="6"/>
  <c r="AF210" i="6" s="1"/>
  <c r="AE209" i="6"/>
  <c r="AF209" i="6" s="1"/>
  <c r="AE207" i="6"/>
  <c r="AF207" i="6" s="1"/>
  <c r="AE156" i="6"/>
  <c r="AF156" i="6" s="1"/>
  <c r="AE155" i="6"/>
  <c r="AF155" i="6" s="1"/>
  <c r="AE157" i="6"/>
  <c r="AF157" i="6" s="1"/>
  <c r="V155" i="6"/>
  <c r="AE158" i="6"/>
  <c r="AF158" i="6" s="1"/>
  <c r="AE64" i="6"/>
  <c r="AF64" i="6" s="1"/>
  <c r="AE63" i="6"/>
  <c r="AF63" i="6" s="1"/>
  <c r="AE65" i="6"/>
  <c r="AF65" i="6" s="1"/>
  <c r="V63" i="6"/>
  <c r="AE66" i="6"/>
  <c r="AF66" i="6" s="1"/>
  <c r="AE28" i="6"/>
  <c r="AF28" i="6" s="1"/>
  <c r="AE27" i="6"/>
  <c r="AF27" i="6" s="1"/>
  <c r="AE30" i="6"/>
  <c r="AF30" i="6" s="1"/>
  <c r="AE29" i="6"/>
  <c r="AF29" i="6" s="1"/>
  <c r="BF11" i="6" l="1"/>
  <c r="BI11" i="6" s="1"/>
  <c r="BF12" i="6"/>
  <c r="BF36" i="5"/>
  <c r="BF38" i="5"/>
  <c r="BF37" i="5"/>
  <c r="AE283" i="5"/>
  <c r="AF283" i="5" s="1"/>
  <c r="AE284" i="5"/>
  <c r="AF284" i="5" s="1"/>
  <c r="AE285" i="5"/>
  <c r="AF285" i="5" s="1"/>
  <c r="AE286" i="5"/>
  <c r="AF286" i="5" s="1"/>
  <c r="AE287" i="5"/>
  <c r="AF287" i="5" s="1"/>
  <c r="AE288" i="5"/>
  <c r="AF288" i="5" s="1"/>
  <c r="AE289" i="5"/>
  <c r="AF289" i="5" s="1"/>
  <c r="AE290" i="5"/>
  <c r="AF290" i="5" s="1"/>
  <c r="AE291" i="5"/>
  <c r="AF291" i="5" s="1"/>
  <c r="AE292" i="5"/>
  <c r="AF292" i="5" s="1"/>
  <c r="AE293" i="5"/>
  <c r="AF293" i="5" s="1"/>
  <c r="AE294" i="5"/>
  <c r="AF294" i="5" s="1"/>
  <c r="AE295" i="5"/>
  <c r="AF295" i="5" s="1"/>
  <c r="AE296" i="5"/>
  <c r="AF296" i="5" s="1"/>
  <c r="AE297" i="5"/>
  <c r="AF297" i="5" s="1"/>
  <c r="AE298" i="5"/>
  <c r="AF298" i="5" s="1"/>
  <c r="AE299" i="5"/>
  <c r="AF299" i="5" s="1"/>
  <c r="AE300" i="5"/>
  <c r="AF300" i="5" s="1"/>
  <c r="AE301" i="5"/>
  <c r="AF301" i="5" s="1"/>
  <c r="AE302" i="5"/>
  <c r="AF302" i="5" s="1"/>
  <c r="AE303" i="5"/>
  <c r="AF303" i="5" s="1"/>
  <c r="AE304" i="5"/>
  <c r="AF304" i="5" s="1"/>
  <c r="AE305" i="5"/>
  <c r="AF305" i="5" s="1"/>
  <c r="AE306" i="5"/>
  <c r="AF306" i="5" s="1"/>
  <c r="AE307" i="5"/>
  <c r="AF307" i="5" s="1"/>
  <c r="AE308" i="5"/>
  <c r="AF308" i="5" s="1"/>
  <c r="AE309" i="5"/>
  <c r="AF309" i="5" s="1"/>
  <c r="AE310" i="5"/>
  <c r="AF310" i="5" s="1"/>
  <c r="AE311" i="5"/>
  <c r="AF311" i="5" s="1"/>
  <c r="AE312" i="5"/>
  <c r="AF312" i="5" s="1"/>
  <c r="AE313" i="5"/>
  <c r="AF313" i="5" s="1"/>
  <c r="AE314" i="5"/>
  <c r="AF314" i="5" s="1"/>
  <c r="AE315" i="5"/>
  <c r="AF315" i="5" s="1"/>
  <c r="AE316" i="5"/>
  <c r="AF316" i="5" s="1"/>
  <c r="AE317" i="5"/>
  <c r="AF317" i="5" s="1"/>
  <c r="AE318" i="5"/>
  <c r="AF318" i="5" s="1"/>
  <c r="AE319" i="5"/>
  <c r="AF319" i="5" s="1"/>
  <c r="AE320" i="5"/>
  <c r="AF320" i="5" s="1"/>
  <c r="AE321" i="5"/>
  <c r="AF321" i="5" s="1"/>
  <c r="AE322" i="5"/>
  <c r="AF322" i="5" s="1"/>
  <c r="AE323" i="5"/>
  <c r="AF323" i="5" s="1"/>
  <c r="AE324" i="5"/>
  <c r="AF324" i="5" s="1"/>
  <c r="AE325" i="5"/>
  <c r="AF325" i="5" s="1"/>
  <c r="AE326" i="5"/>
  <c r="AF326" i="5" s="1"/>
  <c r="AE327" i="5"/>
  <c r="AF327" i="5" s="1"/>
  <c r="AE328" i="5"/>
  <c r="AF328" i="5" s="1"/>
  <c r="AE329" i="5"/>
  <c r="AF329" i="5" s="1"/>
  <c r="AE330" i="5"/>
  <c r="AF330" i="5" s="1"/>
  <c r="AE331" i="5"/>
  <c r="AF331" i="5" s="1"/>
  <c r="AE332" i="5"/>
  <c r="AF332" i="5" s="1"/>
  <c r="AE333" i="5"/>
  <c r="AF333" i="5" s="1"/>
  <c r="AE334" i="5"/>
  <c r="AF334" i="5" s="1"/>
  <c r="AE335" i="5"/>
  <c r="AF335" i="5" s="1"/>
  <c r="AE336" i="5"/>
  <c r="AF336" i="5" s="1"/>
  <c r="AE337" i="5"/>
  <c r="AF337" i="5" s="1"/>
  <c r="AE338" i="5"/>
  <c r="AF338" i="5" s="1"/>
  <c r="AE339" i="5"/>
  <c r="AF339" i="5" s="1"/>
  <c r="AE340" i="5"/>
  <c r="AF340" i="5" s="1"/>
  <c r="AE341" i="5"/>
  <c r="AF341" i="5" s="1"/>
  <c r="AE342" i="5"/>
  <c r="AF342" i="5" s="1"/>
  <c r="AE343" i="5"/>
  <c r="AF343" i="5" s="1"/>
  <c r="AE344" i="5"/>
  <c r="AF344" i="5" s="1"/>
  <c r="AE345" i="5"/>
  <c r="AF345" i="5" s="1"/>
  <c r="AE346" i="5"/>
  <c r="AF346" i="5" s="1"/>
  <c r="AE347" i="5"/>
  <c r="AF347" i="5" s="1"/>
  <c r="AE348" i="5"/>
  <c r="AF348" i="5" s="1"/>
  <c r="AE349" i="5"/>
  <c r="AF349" i="5" s="1"/>
  <c r="AE350" i="5"/>
  <c r="AF350" i="5" s="1"/>
  <c r="AE351" i="5"/>
  <c r="AF351" i="5" s="1"/>
  <c r="AE352" i="5"/>
  <c r="AF352" i="5" s="1"/>
  <c r="AE353" i="5"/>
  <c r="AF353" i="5" s="1"/>
  <c r="AE354" i="5"/>
  <c r="AF354" i="5" s="1"/>
  <c r="AE355" i="5"/>
  <c r="AF355" i="5" s="1"/>
  <c r="AE356" i="5"/>
  <c r="AF356" i="5" s="1"/>
  <c r="AE357" i="5"/>
  <c r="AF357" i="5" s="1"/>
  <c r="AE358" i="5"/>
  <c r="AF358" i="5" s="1"/>
  <c r="AE359" i="5"/>
  <c r="AF359" i="5" s="1"/>
  <c r="AE360" i="5"/>
  <c r="AF360" i="5" s="1"/>
  <c r="AE361" i="5"/>
  <c r="AF361" i="5" s="1"/>
  <c r="AE362" i="5"/>
  <c r="AF362" i="5" s="1"/>
  <c r="AE363" i="5"/>
  <c r="AF363" i="5" s="1"/>
  <c r="AE364" i="5"/>
  <c r="AF364" i="5" s="1"/>
  <c r="AE365" i="5"/>
  <c r="AF365" i="5" s="1"/>
  <c r="AE366" i="5"/>
  <c r="AF366" i="5" s="1"/>
  <c r="AE367" i="5"/>
  <c r="AF367" i="5" s="1"/>
  <c r="AE368" i="5"/>
  <c r="AF368" i="5" s="1"/>
  <c r="AE369" i="5"/>
  <c r="AF369" i="5" s="1"/>
  <c r="AE370" i="5"/>
  <c r="AF370" i="5" s="1"/>
  <c r="AE371" i="5"/>
  <c r="AF371" i="5" s="1"/>
  <c r="AE372" i="5"/>
  <c r="AF372" i="5" s="1"/>
  <c r="AE373" i="5"/>
  <c r="AF373" i="5" s="1"/>
  <c r="AE374" i="5"/>
  <c r="AF374" i="5" s="1"/>
  <c r="AE375" i="5"/>
  <c r="AF375" i="5" s="1"/>
  <c r="AE376" i="5"/>
  <c r="AF376" i="5" s="1"/>
  <c r="AE377" i="5"/>
  <c r="AF377" i="5" s="1"/>
  <c r="AE378" i="5"/>
  <c r="AF378" i="5" s="1"/>
  <c r="AE379" i="5"/>
  <c r="AF379" i="5" s="1"/>
  <c r="AE380" i="5"/>
  <c r="AF380" i="5" s="1"/>
  <c r="AE381" i="5"/>
  <c r="AF381" i="5" s="1"/>
  <c r="AE382" i="5"/>
  <c r="AF382" i="5" s="1"/>
  <c r="AE383" i="5"/>
  <c r="AF383" i="5" s="1"/>
  <c r="AE384" i="5"/>
  <c r="AF384" i="5" s="1"/>
  <c r="AE385" i="5"/>
  <c r="AF385" i="5" s="1"/>
  <c r="AE386" i="5"/>
  <c r="AF386" i="5" s="1"/>
  <c r="AE387" i="5"/>
  <c r="AF387" i="5" s="1"/>
  <c r="AE388" i="5"/>
  <c r="AF388" i="5" s="1"/>
  <c r="AE389" i="5"/>
  <c r="AF389" i="5" s="1"/>
  <c r="AE390" i="5"/>
  <c r="AF390" i="5" s="1"/>
  <c r="AE391" i="5"/>
  <c r="AF391" i="5" s="1"/>
  <c r="AE392" i="5"/>
  <c r="AF392" i="5" s="1"/>
  <c r="AE393" i="5"/>
  <c r="AF393" i="5" s="1"/>
  <c r="AE394" i="5"/>
  <c r="AF394" i="5" s="1"/>
  <c r="AE395" i="5"/>
  <c r="AF395" i="5" s="1"/>
  <c r="AE396" i="5"/>
  <c r="AF396" i="5" s="1"/>
  <c r="AE397" i="5"/>
  <c r="AF397" i="5" s="1"/>
  <c r="AE398" i="5"/>
  <c r="AF398" i="5" s="1"/>
  <c r="AE399" i="5"/>
  <c r="AF399" i="5" s="1"/>
  <c r="AE400" i="5"/>
  <c r="AF400" i="5" s="1"/>
  <c r="AE401" i="5"/>
  <c r="AF401" i="5" s="1"/>
  <c r="AE402" i="5"/>
  <c r="AF402" i="5" s="1"/>
  <c r="AW11" i="6"/>
  <c r="AW15" i="6"/>
  <c r="AW19" i="6"/>
  <c r="AW23" i="6"/>
  <c r="AW27" i="6"/>
  <c r="AW31" i="6"/>
  <c r="AW35" i="6"/>
  <c r="AW39" i="6"/>
  <c r="AW43" i="6"/>
  <c r="AW47" i="6"/>
  <c r="AW51" i="6"/>
  <c r="AW55" i="6"/>
  <c r="AW59" i="6"/>
  <c r="AW63" i="6"/>
  <c r="AW67" i="6"/>
  <c r="AW71" i="6"/>
  <c r="AW75" i="6"/>
  <c r="AW79" i="6"/>
  <c r="AW83" i="6"/>
  <c r="AW87" i="6"/>
  <c r="AW91" i="6"/>
  <c r="AW95" i="6"/>
  <c r="AW99" i="6"/>
  <c r="AW103" i="6"/>
  <c r="AW107" i="6"/>
  <c r="AW111" i="6"/>
  <c r="AW115" i="6"/>
  <c r="AW119" i="6"/>
  <c r="AW123" i="6"/>
  <c r="AW127" i="6"/>
  <c r="AW131" i="6"/>
  <c r="AW135" i="6"/>
  <c r="AW139" i="6"/>
  <c r="AW143" i="6"/>
  <c r="AW147" i="6"/>
  <c r="AW151" i="6"/>
  <c r="AW155" i="6"/>
  <c r="AW159" i="6"/>
  <c r="AW163" i="6"/>
  <c r="AW167" i="6"/>
  <c r="AW171" i="6"/>
  <c r="AW175" i="6"/>
  <c r="AW179" i="6"/>
  <c r="AW183" i="6"/>
  <c r="AW187" i="6"/>
  <c r="AW191" i="6"/>
  <c r="AW195" i="6"/>
  <c r="AW199" i="6"/>
  <c r="AW203" i="6"/>
  <c r="AW207" i="6"/>
  <c r="AW211" i="6"/>
  <c r="AW215" i="6"/>
  <c r="AW219" i="6"/>
  <c r="AW223" i="6"/>
  <c r="AW227" i="6"/>
  <c r="AW231" i="6"/>
  <c r="AW235" i="6"/>
  <c r="AW239" i="6"/>
  <c r="AW243" i="6"/>
  <c r="AW247" i="6"/>
  <c r="AW251" i="6"/>
  <c r="AW255" i="6"/>
  <c r="AW259" i="6"/>
  <c r="AW263" i="6"/>
  <c r="AW267" i="6"/>
  <c r="AW271" i="6"/>
  <c r="AW275" i="6"/>
  <c r="AW279" i="6"/>
  <c r="AW283" i="6"/>
  <c r="AW287" i="6"/>
  <c r="AW291" i="6"/>
  <c r="AW295" i="6"/>
  <c r="AW299" i="6"/>
  <c r="AW303" i="6"/>
  <c r="AW307" i="6"/>
  <c r="AW311" i="6"/>
  <c r="AW315" i="6"/>
  <c r="AW319" i="6"/>
  <c r="AW323" i="6"/>
  <c r="AW327" i="6"/>
  <c r="AW331" i="6"/>
  <c r="AW335" i="6"/>
  <c r="AW339" i="6"/>
  <c r="AW343" i="6"/>
  <c r="AW347" i="6"/>
  <c r="AW351" i="6"/>
  <c r="AW355" i="6"/>
  <c r="AW359" i="6"/>
  <c r="AW363" i="6"/>
  <c r="AW367" i="6"/>
  <c r="AW371" i="6"/>
  <c r="AW375" i="6"/>
  <c r="AW379" i="6"/>
  <c r="AW383" i="6"/>
  <c r="AW387" i="6"/>
  <c r="AW391" i="6"/>
  <c r="AW395" i="6"/>
  <c r="AW399" i="6"/>
  <c r="AW403" i="6"/>
  <c r="AW7" i="6"/>
  <c r="AG14" i="6"/>
  <c r="AH14" i="6" s="1"/>
  <c r="AG22" i="6"/>
  <c r="AH22" i="6" s="1"/>
  <c r="AA403" i="6"/>
  <c r="AA399" i="6"/>
  <c r="AA395" i="6"/>
  <c r="AA391" i="6"/>
  <c r="AA387" i="6"/>
  <c r="AA383" i="6"/>
  <c r="AA379" i="6"/>
  <c r="AA375" i="6"/>
  <c r="AA371" i="6"/>
  <c r="AA367" i="6"/>
  <c r="AA363" i="6"/>
  <c r="AA359" i="6"/>
  <c r="AA355" i="6"/>
  <c r="AA351" i="6"/>
  <c r="AA347" i="6"/>
  <c r="AA343" i="6"/>
  <c r="AA339" i="6"/>
  <c r="AA335" i="6"/>
  <c r="AA331" i="6"/>
  <c r="AA327" i="6"/>
  <c r="AA323" i="6"/>
  <c r="AA319" i="6"/>
  <c r="AA315" i="6"/>
  <c r="AA311" i="6"/>
  <c r="AA307" i="6"/>
  <c r="AA303" i="6"/>
  <c r="AA299" i="6"/>
  <c r="AA295" i="6"/>
  <c r="AA291" i="6"/>
  <c r="AA287" i="6"/>
  <c r="AA283" i="6"/>
  <c r="AA279" i="6"/>
  <c r="AA275" i="6"/>
  <c r="AA271" i="6"/>
  <c r="AA267" i="6"/>
  <c r="AA263" i="6"/>
  <c r="AA259" i="6"/>
  <c r="AA255" i="6"/>
  <c r="AA251" i="6"/>
  <c r="AA247" i="6"/>
  <c r="AA243" i="6"/>
  <c r="AA239" i="6"/>
  <c r="AA235" i="6"/>
  <c r="AA231" i="6"/>
  <c r="AA227" i="6"/>
  <c r="AA223" i="6"/>
  <c r="AA219" i="6"/>
  <c r="AA215" i="6"/>
  <c r="AA211" i="6"/>
  <c r="AA207" i="6"/>
  <c r="AA203" i="6"/>
  <c r="AA199" i="6"/>
  <c r="AA195" i="6"/>
  <c r="AA191" i="6"/>
  <c r="AA187" i="6"/>
  <c r="AA183" i="6"/>
  <c r="AA179" i="6"/>
  <c r="AA175" i="6"/>
  <c r="AA171" i="6"/>
  <c r="AA167" i="6"/>
  <c r="AA163" i="6"/>
  <c r="AA159" i="6"/>
  <c r="AA155" i="6"/>
  <c r="AA151" i="6"/>
  <c r="AA147" i="6"/>
  <c r="AA143" i="6"/>
  <c r="AA139" i="6"/>
  <c r="AA135" i="6"/>
  <c r="AA131" i="6"/>
  <c r="AA127" i="6"/>
  <c r="AA123" i="6"/>
  <c r="AA119" i="6"/>
  <c r="AA115" i="6"/>
  <c r="AA111" i="6"/>
  <c r="AA107" i="6"/>
  <c r="AA103" i="6"/>
  <c r="AA99" i="6"/>
  <c r="AA95" i="6"/>
  <c r="AA91" i="6"/>
  <c r="AA87" i="6"/>
  <c r="AA83" i="6"/>
  <c r="AA79" i="6"/>
  <c r="AA75" i="6"/>
  <c r="AA71" i="6"/>
  <c r="AA67" i="6"/>
  <c r="AA63" i="6"/>
  <c r="AA59" i="6"/>
  <c r="AA55" i="6"/>
  <c r="AA51" i="6"/>
  <c r="AA47" i="6"/>
  <c r="AA43" i="6"/>
  <c r="AA39" i="6"/>
  <c r="AA35" i="6"/>
  <c r="AA31" i="6"/>
  <c r="AA27" i="6"/>
  <c r="AA23" i="6"/>
  <c r="AB23" i="6" s="1"/>
  <c r="AA19" i="6"/>
  <c r="AA15" i="6"/>
  <c r="AB15" i="6" s="1"/>
  <c r="AA11" i="6"/>
  <c r="AA7" i="6"/>
  <c r="BL406" i="6"/>
  <c r="BH406" i="6"/>
  <c r="BG406" i="6"/>
  <c r="AT406" i="6"/>
  <c r="BL405" i="6"/>
  <c r="BH405" i="6"/>
  <c r="BG405" i="6"/>
  <c r="AT405" i="6"/>
  <c r="BL404" i="6"/>
  <c r="BH404" i="6"/>
  <c r="BG404" i="6"/>
  <c r="AT404" i="6"/>
  <c r="BL403" i="6"/>
  <c r="BH403" i="6"/>
  <c r="BG403" i="6"/>
  <c r="AY403" i="6"/>
  <c r="AT403" i="6"/>
  <c r="BL402" i="6"/>
  <c r="BH402" i="6"/>
  <c r="BG402" i="6"/>
  <c r="AT402" i="6"/>
  <c r="AG402" i="6"/>
  <c r="AH402" i="6" s="1"/>
  <c r="Y402" i="6"/>
  <c r="Z402" i="6" s="1"/>
  <c r="BD402" i="6" s="1"/>
  <c r="BL401" i="6"/>
  <c r="BH401" i="6"/>
  <c r="BG401" i="6"/>
  <c r="AT401" i="6"/>
  <c r="AG401" i="6"/>
  <c r="AH401" i="6" s="1"/>
  <c r="Y401" i="6"/>
  <c r="Z401" i="6" s="1"/>
  <c r="BD401" i="6" s="1"/>
  <c r="BL400" i="6"/>
  <c r="BH400" i="6"/>
  <c r="BG400" i="6"/>
  <c r="AT400" i="6"/>
  <c r="AG400" i="6"/>
  <c r="AH400" i="6" s="1"/>
  <c r="Y400" i="6"/>
  <c r="Z400" i="6" s="1"/>
  <c r="BD400" i="6" s="1"/>
  <c r="BL399" i="6"/>
  <c r="BH399" i="6"/>
  <c r="BG399" i="6"/>
  <c r="AY399" i="6"/>
  <c r="AT399" i="6"/>
  <c r="AS399" i="6"/>
  <c r="AG399" i="6"/>
  <c r="AH399" i="6" s="1"/>
  <c r="AB399" i="6"/>
  <c r="Y399" i="6"/>
  <c r="Z399" i="6" s="1"/>
  <c r="BD399" i="6" s="1"/>
  <c r="X399" i="6"/>
  <c r="BC399" i="6" s="1"/>
  <c r="W399" i="6"/>
  <c r="S399" i="6"/>
  <c r="U399" i="6" s="1"/>
  <c r="BB399" i="6" s="1"/>
  <c r="BL398" i="6"/>
  <c r="BH398" i="6"/>
  <c r="BG398" i="6"/>
  <c r="AT398" i="6"/>
  <c r="AG398" i="6"/>
  <c r="AH398" i="6" s="1"/>
  <c r="Y398" i="6"/>
  <c r="Z398" i="6" s="1"/>
  <c r="BD398" i="6" s="1"/>
  <c r="BL397" i="6"/>
  <c r="BH397" i="6"/>
  <c r="BG397" i="6"/>
  <c r="AT397" i="6"/>
  <c r="AG397" i="6"/>
  <c r="AH397" i="6" s="1"/>
  <c r="Y397" i="6"/>
  <c r="Z397" i="6" s="1"/>
  <c r="BD397" i="6" s="1"/>
  <c r="BL396" i="6"/>
  <c r="BH396" i="6"/>
  <c r="BG396" i="6"/>
  <c r="AT396" i="6"/>
  <c r="AG396" i="6"/>
  <c r="AH396" i="6" s="1"/>
  <c r="Y396" i="6"/>
  <c r="BL395" i="6"/>
  <c r="BH395" i="6"/>
  <c r="BG395" i="6"/>
  <c r="AY395" i="6"/>
  <c r="AT395" i="6"/>
  <c r="AS395" i="6"/>
  <c r="AG395" i="6"/>
  <c r="AH395" i="6" s="1"/>
  <c r="AB395" i="6"/>
  <c r="Y395" i="6"/>
  <c r="Z395" i="6" s="1"/>
  <c r="BD395" i="6" s="1"/>
  <c r="W395" i="6"/>
  <c r="X395" i="6"/>
  <c r="BC395" i="6" s="1"/>
  <c r="S395" i="6"/>
  <c r="T395" i="6" s="1"/>
  <c r="BL394" i="6"/>
  <c r="BH394" i="6"/>
  <c r="BG394" i="6"/>
  <c r="AT394" i="6"/>
  <c r="AG394" i="6"/>
  <c r="AH394" i="6" s="1"/>
  <c r="Y394" i="6"/>
  <c r="BL393" i="6"/>
  <c r="BH393" i="6"/>
  <c r="BG393" i="6"/>
  <c r="AT393" i="6"/>
  <c r="AG393" i="6"/>
  <c r="AH393" i="6" s="1"/>
  <c r="Y393" i="6"/>
  <c r="Z393" i="6" s="1"/>
  <c r="BD393" i="6" s="1"/>
  <c r="BL392" i="6"/>
  <c r="BH392" i="6"/>
  <c r="BG392" i="6"/>
  <c r="AT392" i="6"/>
  <c r="AG392" i="6"/>
  <c r="AH392" i="6" s="1"/>
  <c r="Y392" i="6"/>
  <c r="BL391" i="6"/>
  <c r="BH391" i="6"/>
  <c r="BG391" i="6"/>
  <c r="AY391" i="6"/>
  <c r="AT391" i="6"/>
  <c r="AS391" i="6"/>
  <c r="AG391" i="6"/>
  <c r="AH391" i="6" s="1"/>
  <c r="AB391" i="6"/>
  <c r="Y391" i="6"/>
  <c r="Z391" i="6" s="1"/>
  <c r="BD391" i="6" s="1"/>
  <c r="W391" i="6"/>
  <c r="X391" i="6"/>
  <c r="BC391" i="6" s="1"/>
  <c r="S391" i="6"/>
  <c r="U391" i="6" s="1"/>
  <c r="BB391" i="6" s="1"/>
  <c r="BL390" i="6"/>
  <c r="BH390" i="6"/>
  <c r="BG390" i="6"/>
  <c r="AT390" i="6"/>
  <c r="AG390" i="6"/>
  <c r="AH390" i="6" s="1"/>
  <c r="Y390" i="6"/>
  <c r="BL389" i="6"/>
  <c r="BH389" i="6"/>
  <c r="BG389" i="6"/>
  <c r="AT389" i="6"/>
  <c r="AG389" i="6"/>
  <c r="AH389" i="6" s="1"/>
  <c r="Y389" i="6"/>
  <c r="BL388" i="6"/>
  <c r="BH388" i="6"/>
  <c r="BG388" i="6"/>
  <c r="AT388" i="6"/>
  <c r="AG388" i="6"/>
  <c r="AH388" i="6" s="1"/>
  <c r="Y388" i="6"/>
  <c r="BL387" i="6"/>
  <c r="BH387" i="6"/>
  <c r="BG387" i="6"/>
  <c r="AY387" i="6"/>
  <c r="AT387" i="6"/>
  <c r="AS387" i="6"/>
  <c r="AG387" i="6"/>
  <c r="AH387" i="6" s="1"/>
  <c r="AB387" i="6"/>
  <c r="Y387" i="6"/>
  <c r="X387" i="6"/>
  <c r="BC387" i="6" s="1"/>
  <c r="S387" i="6"/>
  <c r="U387" i="6" s="1"/>
  <c r="BB387" i="6" s="1"/>
  <c r="BL386" i="6"/>
  <c r="BH386" i="6"/>
  <c r="BG386" i="6"/>
  <c r="AT386" i="6"/>
  <c r="AG386" i="6"/>
  <c r="AH386" i="6" s="1"/>
  <c r="Y386" i="6"/>
  <c r="BL385" i="6"/>
  <c r="BH385" i="6"/>
  <c r="BG385" i="6"/>
  <c r="AT385" i="6"/>
  <c r="AG385" i="6"/>
  <c r="AH385" i="6" s="1"/>
  <c r="Y385" i="6"/>
  <c r="BL384" i="6"/>
  <c r="BH384" i="6"/>
  <c r="BG384" i="6"/>
  <c r="AT384" i="6"/>
  <c r="AG384" i="6"/>
  <c r="AH384" i="6" s="1"/>
  <c r="Y384" i="6"/>
  <c r="BL383" i="6"/>
  <c r="BH383" i="6"/>
  <c r="BG383" i="6"/>
  <c r="AY383" i="6"/>
  <c r="AT383" i="6"/>
  <c r="AS383" i="6"/>
  <c r="AG383" i="6"/>
  <c r="AH383" i="6" s="1"/>
  <c r="AB383" i="6"/>
  <c r="Y383" i="6"/>
  <c r="W383" i="6"/>
  <c r="X383" i="6"/>
  <c r="BC383" i="6" s="1"/>
  <c r="S383" i="6"/>
  <c r="T383" i="6" s="1"/>
  <c r="BL382" i="6"/>
  <c r="BH382" i="6"/>
  <c r="BG382" i="6"/>
  <c r="AT382" i="6"/>
  <c r="AG382" i="6"/>
  <c r="AH382" i="6" s="1"/>
  <c r="Y382" i="6"/>
  <c r="BL381" i="6"/>
  <c r="BH381" i="6"/>
  <c r="BG381" i="6"/>
  <c r="AT381" i="6"/>
  <c r="AG381" i="6"/>
  <c r="AH381" i="6" s="1"/>
  <c r="Y381" i="6"/>
  <c r="BL380" i="6"/>
  <c r="BH380" i="6"/>
  <c r="BG380" i="6"/>
  <c r="AT380" i="6"/>
  <c r="AG380" i="6"/>
  <c r="AH380" i="6" s="1"/>
  <c r="Y380" i="6"/>
  <c r="BL379" i="6"/>
  <c r="BH379" i="6"/>
  <c r="BG379" i="6"/>
  <c r="AY379" i="6"/>
  <c r="AT379" i="6"/>
  <c r="AS379" i="6"/>
  <c r="AG379" i="6"/>
  <c r="AH379" i="6" s="1"/>
  <c r="AB379" i="6"/>
  <c r="Y379" i="6"/>
  <c r="X379" i="6"/>
  <c r="BC379" i="6" s="1"/>
  <c r="W379" i="6"/>
  <c r="S379" i="6"/>
  <c r="T379" i="6" s="1"/>
  <c r="BL378" i="6"/>
  <c r="BH378" i="6"/>
  <c r="BG378" i="6"/>
  <c r="AT378" i="6"/>
  <c r="AG378" i="6"/>
  <c r="AH378" i="6" s="1"/>
  <c r="Y378" i="6"/>
  <c r="BL377" i="6"/>
  <c r="BH377" i="6"/>
  <c r="BG377" i="6"/>
  <c r="AT377" i="6"/>
  <c r="AG377" i="6"/>
  <c r="AH377" i="6" s="1"/>
  <c r="Y377" i="6"/>
  <c r="BL376" i="6"/>
  <c r="BH376" i="6"/>
  <c r="BG376" i="6"/>
  <c r="AT376" i="6"/>
  <c r="AG376" i="6"/>
  <c r="AH376" i="6" s="1"/>
  <c r="Y376" i="6"/>
  <c r="Z376" i="6" s="1"/>
  <c r="BD376" i="6" s="1"/>
  <c r="BL375" i="6"/>
  <c r="BH375" i="6"/>
  <c r="BG375" i="6"/>
  <c r="AY375" i="6"/>
  <c r="AT375" i="6"/>
  <c r="AS375" i="6"/>
  <c r="AG375" i="6"/>
  <c r="AH375" i="6" s="1"/>
  <c r="AB375" i="6"/>
  <c r="Y375" i="6"/>
  <c r="S375" i="6"/>
  <c r="T375" i="6" s="1"/>
  <c r="BL374" i="6"/>
  <c r="BH374" i="6"/>
  <c r="BG374" i="6"/>
  <c r="AT374" i="6"/>
  <c r="AG374" i="6"/>
  <c r="AH374" i="6" s="1"/>
  <c r="Y374" i="6"/>
  <c r="Z374" i="6" s="1"/>
  <c r="BD374" i="6" s="1"/>
  <c r="BL373" i="6"/>
  <c r="BH373" i="6"/>
  <c r="BG373" i="6"/>
  <c r="AT373" i="6"/>
  <c r="AG373" i="6"/>
  <c r="AH373" i="6" s="1"/>
  <c r="Y373" i="6"/>
  <c r="Z373" i="6" s="1"/>
  <c r="BD373" i="6" s="1"/>
  <c r="BL372" i="6"/>
  <c r="BH372" i="6"/>
  <c r="BG372" i="6"/>
  <c r="AT372" i="6"/>
  <c r="AG372" i="6"/>
  <c r="AH372" i="6" s="1"/>
  <c r="Y372" i="6"/>
  <c r="Z372" i="6" s="1"/>
  <c r="BD372" i="6" s="1"/>
  <c r="BL371" i="6"/>
  <c r="BH371" i="6"/>
  <c r="BG371" i="6"/>
  <c r="AY371" i="6"/>
  <c r="AT371" i="6"/>
  <c r="AS371" i="6"/>
  <c r="AG371" i="6"/>
  <c r="AH371" i="6" s="1"/>
  <c r="AB371" i="6"/>
  <c r="Y371" i="6"/>
  <c r="W371" i="6"/>
  <c r="X371" i="6"/>
  <c r="BC371" i="6" s="1"/>
  <c r="S371" i="6"/>
  <c r="U371" i="6" s="1"/>
  <c r="BB371" i="6" s="1"/>
  <c r="BL370" i="6"/>
  <c r="BH370" i="6"/>
  <c r="BG370" i="6"/>
  <c r="AT370" i="6"/>
  <c r="AG370" i="6"/>
  <c r="AH370" i="6" s="1"/>
  <c r="Y370" i="6"/>
  <c r="BL369" i="6"/>
  <c r="BH369" i="6"/>
  <c r="BG369" i="6"/>
  <c r="AT369" i="6"/>
  <c r="AG369" i="6"/>
  <c r="AH369" i="6" s="1"/>
  <c r="Y369" i="6"/>
  <c r="BL368" i="6"/>
  <c r="BH368" i="6"/>
  <c r="BG368" i="6"/>
  <c r="AT368" i="6"/>
  <c r="AG368" i="6"/>
  <c r="AH368" i="6" s="1"/>
  <c r="Y368" i="6"/>
  <c r="BL367" i="6"/>
  <c r="BH367" i="6"/>
  <c r="BG367" i="6"/>
  <c r="AY367" i="6"/>
  <c r="AT367" i="6"/>
  <c r="AS367" i="6"/>
  <c r="AG367" i="6"/>
  <c r="AH367" i="6" s="1"/>
  <c r="AB367" i="6"/>
  <c r="Y367" i="6"/>
  <c r="Z367" i="6" s="1"/>
  <c r="BD367" i="6" s="1"/>
  <c r="X367" i="6"/>
  <c r="BC367" i="6" s="1"/>
  <c r="S367" i="6"/>
  <c r="T367" i="6" s="1"/>
  <c r="BL366" i="6"/>
  <c r="BH366" i="6"/>
  <c r="BG366" i="6"/>
  <c r="AT366" i="6"/>
  <c r="AG366" i="6"/>
  <c r="AH366" i="6" s="1"/>
  <c r="Y366" i="6"/>
  <c r="BL365" i="6"/>
  <c r="BH365" i="6"/>
  <c r="BG365" i="6"/>
  <c r="AT365" i="6"/>
  <c r="AG365" i="6"/>
  <c r="AH365" i="6" s="1"/>
  <c r="Y365" i="6"/>
  <c r="BL364" i="6"/>
  <c r="BH364" i="6"/>
  <c r="BG364" i="6"/>
  <c r="AT364" i="6"/>
  <c r="AG364" i="6"/>
  <c r="AH364" i="6" s="1"/>
  <c r="Y364" i="6"/>
  <c r="Z364" i="6" s="1"/>
  <c r="BD364" i="6" s="1"/>
  <c r="BL363" i="6"/>
  <c r="BH363" i="6"/>
  <c r="BG363" i="6"/>
  <c r="AY363" i="6"/>
  <c r="AT363" i="6"/>
  <c r="AS363" i="6"/>
  <c r="AG363" i="6"/>
  <c r="AH363" i="6" s="1"/>
  <c r="AB363" i="6"/>
  <c r="Y363" i="6"/>
  <c r="S363" i="6"/>
  <c r="T363" i="6" s="1"/>
  <c r="BL362" i="6"/>
  <c r="BH362" i="6"/>
  <c r="BG362" i="6"/>
  <c r="AT362" i="6"/>
  <c r="AG362" i="6"/>
  <c r="AH362" i="6" s="1"/>
  <c r="Y362" i="6"/>
  <c r="BL361" i="6"/>
  <c r="BH361" i="6"/>
  <c r="BG361" i="6"/>
  <c r="AT361" i="6"/>
  <c r="AG361" i="6"/>
  <c r="AH361" i="6" s="1"/>
  <c r="Y361" i="6"/>
  <c r="BL360" i="6"/>
  <c r="BH360" i="6"/>
  <c r="BG360" i="6"/>
  <c r="AT360" i="6"/>
  <c r="AG360" i="6"/>
  <c r="AH360" i="6" s="1"/>
  <c r="Y360" i="6"/>
  <c r="BL359" i="6"/>
  <c r="BH359" i="6"/>
  <c r="BG359" i="6"/>
  <c r="AY359" i="6"/>
  <c r="AT359" i="6"/>
  <c r="AS359" i="6"/>
  <c r="AG359" i="6"/>
  <c r="AH359" i="6" s="1"/>
  <c r="AB359" i="6"/>
  <c r="Y359" i="6"/>
  <c r="Z359" i="6" s="1"/>
  <c r="BD359" i="6" s="1"/>
  <c r="X359" i="6"/>
  <c r="BC359" i="6" s="1"/>
  <c r="W359" i="6"/>
  <c r="S359" i="6"/>
  <c r="U359" i="6" s="1"/>
  <c r="BB359" i="6" s="1"/>
  <c r="BL358" i="6"/>
  <c r="BH358" i="6"/>
  <c r="BG358" i="6"/>
  <c r="AT358" i="6"/>
  <c r="AG358" i="6"/>
  <c r="AH358" i="6" s="1"/>
  <c r="Y358" i="6"/>
  <c r="Z358" i="6" s="1"/>
  <c r="BD358" i="6" s="1"/>
  <c r="BL357" i="6"/>
  <c r="BH357" i="6"/>
  <c r="BG357" i="6"/>
  <c r="AT357" i="6"/>
  <c r="AG357" i="6"/>
  <c r="AH357" i="6" s="1"/>
  <c r="Y357" i="6"/>
  <c r="Z357" i="6" s="1"/>
  <c r="BD357" i="6" s="1"/>
  <c r="BL356" i="6"/>
  <c r="BH356" i="6"/>
  <c r="BG356" i="6"/>
  <c r="AT356" i="6"/>
  <c r="AG356" i="6"/>
  <c r="AH356" i="6" s="1"/>
  <c r="Y356" i="6"/>
  <c r="BL355" i="6"/>
  <c r="BH355" i="6"/>
  <c r="BG355" i="6"/>
  <c r="AY355" i="6"/>
  <c r="AT355" i="6"/>
  <c r="AS355" i="6"/>
  <c r="AG355" i="6"/>
  <c r="AH355" i="6" s="1"/>
  <c r="AB355" i="6"/>
  <c r="Y355" i="6"/>
  <c r="S355" i="6"/>
  <c r="T355" i="6" s="1"/>
  <c r="BL354" i="6"/>
  <c r="BH354" i="6"/>
  <c r="BG354" i="6"/>
  <c r="AT354" i="6"/>
  <c r="AG354" i="6"/>
  <c r="AH354" i="6" s="1"/>
  <c r="Y354" i="6"/>
  <c r="BL353" i="6"/>
  <c r="BH353" i="6"/>
  <c r="BG353" i="6"/>
  <c r="AT353" i="6"/>
  <c r="AG353" i="6"/>
  <c r="AH353" i="6" s="1"/>
  <c r="Y353" i="6"/>
  <c r="BL352" i="6"/>
  <c r="BH352" i="6"/>
  <c r="BG352" i="6"/>
  <c r="AT352" i="6"/>
  <c r="AG352" i="6"/>
  <c r="AH352" i="6" s="1"/>
  <c r="Y352" i="6"/>
  <c r="Z352" i="6" s="1"/>
  <c r="BD352" i="6" s="1"/>
  <c r="BL351" i="6"/>
  <c r="BH351" i="6"/>
  <c r="BG351" i="6"/>
  <c r="AY351" i="6"/>
  <c r="AT351" i="6"/>
  <c r="AS351" i="6"/>
  <c r="AG351" i="6"/>
  <c r="AH351" i="6" s="1"/>
  <c r="AB351" i="6"/>
  <c r="Y351" i="6"/>
  <c r="Z351" i="6" s="1"/>
  <c r="BD351" i="6" s="1"/>
  <c r="S351" i="6"/>
  <c r="U351" i="6" s="1"/>
  <c r="BB351" i="6" s="1"/>
  <c r="BL350" i="6"/>
  <c r="BH350" i="6"/>
  <c r="BG350" i="6"/>
  <c r="AT350" i="6"/>
  <c r="AG350" i="6"/>
  <c r="AH350" i="6" s="1"/>
  <c r="Y350" i="6"/>
  <c r="BL349" i="6"/>
  <c r="BH349" i="6"/>
  <c r="BG349" i="6"/>
  <c r="AT349" i="6"/>
  <c r="AG349" i="6"/>
  <c r="AH349" i="6" s="1"/>
  <c r="Y349" i="6"/>
  <c r="BL348" i="6"/>
  <c r="BH348" i="6"/>
  <c r="BG348" i="6"/>
  <c r="AT348" i="6"/>
  <c r="AG348" i="6"/>
  <c r="AH348" i="6" s="1"/>
  <c r="Y348" i="6"/>
  <c r="BL347" i="6"/>
  <c r="BH347" i="6"/>
  <c r="BG347" i="6"/>
  <c r="AY347" i="6"/>
  <c r="AT347" i="6"/>
  <c r="AS347" i="6"/>
  <c r="AG347" i="6"/>
  <c r="AH347" i="6" s="1"/>
  <c r="AB347" i="6"/>
  <c r="Y347" i="6"/>
  <c r="Z347" i="6" s="1"/>
  <c r="BD347" i="6" s="1"/>
  <c r="X347" i="6"/>
  <c r="BC347" i="6" s="1"/>
  <c r="S347" i="6"/>
  <c r="U347" i="6" s="1"/>
  <c r="BB347" i="6" s="1"/>
  <c r="BL346" i="6"/>
  <c r="BH346" i="6"/>
  <c r="BG346" i="6"/>
  <c r="AT346" i="6"/>
  <c r="AG346" i="6"/>
  <c r="AH346" i="6" s="1"/>
  <c r="Y346" i="6"/>
  <c r="BL345" i="6"/>
  <c r="BH345" i="6"/>
  <c r="BG345" i="6"/>
  <c r="AT345" i="6"/>
  <c r="AG345" i="6"/>
  <c r="AH345" i="6" s="1"/>
  <c r="Y345" i="6"/>
  <c r="BL344" i="6"/>
  <c r="BH344" i="6"/>
  <c r="BG344" i="6"/>
  <c r="AT344" i="6"/>
  <c r="AG344" i="6"/>
  <c r="AH344" i="6" s="1"/>
  <c r="Y344" i="6"/>
  <c r="BL343" i="6"/>
  <c r="BH343" i="6"/>
  <c r="BG343" i="6"/>
  <c r="AY343" i="6"/>
  <c r="AT343" i="6"/>
  <c r="AS343" i="6"/>
  <c r="AG343" i="6"/>
  <c r="AH343" i="6" s="1"/>
  <c r="AB343" i="6"/>
  <c r="Y343" i="6"/>
  <c r="S343" i="6"/>
  <c r="T343" i="6" s="1"/>
  <c r="BL342" i="6"/>
  <c r="BH342" i="6"/>
  <c r="BG342" i="6"/>
  <c r="AT342" i="6"/>
  <c r="AG342" i="6"/>
  <c r="AH342" i="6" s="1"/>
  <c r="Y342" i="6"/>
  <c r="BL341" i="6"/>
  <c r="BH341" i="6"/>
  <c r="BG341" i="6"/>
  <c r="AT341" i="6"/>
  <c r="AG341" i="6"/>
  <c r="AH341" i="6" s="1"/>
  <c r="Y341" i="6"/>
  <c r="Z341" i="6" s="1"/>
  <c r="BD341" i="6" s="1"/>
  <c r="BL340" i="6"/>
  <c r="BH340" i="6"/>
  <c r="BG340" i="6"/>
  <c r="AT340" i="6"/>
  <c r="AG340" i="6"/>
  <c r="AH340" i="6" s="1"/>
  <c r="Y340" i="6"/>
  <c r="Z340" i="6" s="1"/>
  <c r="BD340" i="6" s="1"/>
  <c r="BL339" i="6"/>
  <c r="BH339" i="6"/>
  <c r="BG339" i="6"/>
  <c r="AY339" i="6"/>
  <c r="AT339" i="6"/>
  <c r="AS339" i="6"/>
  <c r="AG339" i="6"/>
  <c r="AH339" i="6" s="1"/>
  <c r="AB339" i="6"/>
  <c r="Y339" i="6"/>
  <c r="W339" i="6"/>
  <c r="X339" i="6"/>
  <c r="BC339" i="6" s="1"/>
  <c r="S339" i="6"/>
  <c r="U339" i="6" s="1"/>
  <c r="BB339" i="6" s="1"/>
  <c r="BL338" i="6"/>
  <c r="BH338" i="6"/>
  <c r="BG338" i="6"/>
  <c r="AT338" i="6"/>
  <c r="AG338" i="6"/>
  <c r="AH338" i="6" s="1"/>
  <c r="Y338" i="6"/>
  <c r="Z338" i="6" s="1"/>
  <c r="BD338" i="6" s="1"/>
  <c r="BL337" i="6"/>
  <c r="BH337" i="6"/>
  <c r="BG337" i="6"/>
  <c r="AT337" i="6"/>
  <c r="AG337" i="6"/>
  <c r="AH337" i="6" s="1"/>
  <c r="Y337" i="6"/>
  <c r="Z337" i="6" s="1"/>
  <c r="BD337" i="6" s="1"/>
  <c r="BL336" i="6"/>
  <c r="BH336" i="6"/>
  <c r="BG336" i="6"/>
  <c r="AT336" i="6"/>
  <c r="AG336" i="6"/>
  <c r="AH336" i="6" s="1"/>
  <c r="Y336" i="6"/>
  <c r="Z336" i="6" s="1"/>
  <c r="BD336" i="6" s="1"/>
  <c r="BL335" i="6"/>
  <c r="BH335" i="6"/>
  <c r="BG335" i="6"/>
  <c r="AY335" i="6"/>
  <c r="AT335" i="6"/>
  <c r="AS335" i="6"/>
  <c r="AG335" i="6"/>
  <c r="AH335" i="6" s="1"/>
  <c r="AB335" i="6"/>
  <c r="Y335" i="6"/>
  <c r="Z335" i="6" s="1"/>
  <c r="BD335" i="6" s="1"/>
  <c r="W335" i="6"/>
  <c r="X335" i="6"/>
  <c r="BC335" i="6" s="1"/>
  <c r="S335" i="6"/>
  <c r="BL334" i="6"/>
  <c r="BH334" i="6"/>
  <c r="BG334" i="6"/>
  <c r="AT334" i="6"/>
  <c r="AG334" i="6"/>
  <c r="AH334" i="6" s="1"/>
  <c r="Y334" i="6"/>
  <c r="BL333" i="6"/>
  <c r="BH333" i="6"/>
  <c r="BG333" i="6"/>
  <c r="AT333" i="6"/>
  <c r="AG333" i="6"/>
  <c r="AH333" i="6" s="1"/>
  <c r="Y333" i="6"/>
  <c r="BL332" i="6"/>
  <c r="BH332" i="6"/>
  <c r="BG332" i="6"/>
  <c r="AT332" i="6"/>
  <c r="AG332" i="6"/>
  <c r="AH332" i="6" s="1"/>
  <c r="Y332" i="6"/>
  <c r="BL331" i="6"/>
  <c r="BH331" i="6"/>
  <c r="BG331" i="6"/>
  <c r="AY331" i="6"/>
  <c r="AT331" i="6"/>
  <c r="AS331" i="6"/>
  <c r="AG331" i="6"/>
  <c r="AH331" i="6" s="1"/>
  <c r="AB331" i="6"/>
  <c r="Y331" i="6"/>
  <c r="Z331" i="6" s="1"/>
  <c r="BD331" i="6" s="1"/>
  <c r="X331" i="6"/>
  <c r="BC331" i="6" s="1"/>
  <c r="S331" i="6"/>
  <c r="T331" i="6" s="1"/>
  <c r="BL330" i="6"/>
  <c r="BH330" i="6"/>
  <c r="BG330" i="6"/>
  <c r="AT330" i="6"/>
  <c r="AG330" i="6"/>
  <c r="AH330" i="6" s="1"/>
  <c r="Y330" i="6"/>
  <c r="Z330" i="6" s="1"/>
  <c r="BD330" i="6" s="1"/>
  <c r="BL329" i="6"/>
  <c r="BH329" i="6"/>
  <c r="BG329" i="6"/>
  <c r="AT329" i="6"/>
  <c r="AG329" i="6"/>
  <c r="AH329" i="6" s="1"/>
  <c r="Y329" i="6"/>
  <c r="Z329" i="6" s="1"/>
  <c r="BD329" i="6" s="1"/>
  <c r="BL328" i="6"/>
  <c r="BH328" i="6"/>
  <c r="BG328" i="6"/>
  <c r="AT328" i="6"/>
  <c r="AG328" i="6"/>
  <c r="AH328" i="6" s="1"/>
  <c r="Y328" i="6"/>
  <c r="BL327" i="6"/>
  <c r="BH327" i="6"/>
  <c r="BG327" i="6"/>
  <c r="AY327" i="6"/>
  <c r="AT327" i="6"/>
  <c r="AS327" i="6"/>
  <c r="AG327" i="6"/>
  <c r="AH327" i="6" s="1"/>
  <c r="AB327" i="6"/>
  <c r="Y327" i="6"/>
  <c r="X327" i="6"/>
  <c r="BC327" i="6" s="1"/>
  <c r="W327" i="6"/>
  <c r="S327" i="6"/>
  <c r="T327" i="6" s="1"/>
  <c r="BL326" i="6"/>
  <c r="BH326" i="6"/>
  <c r="BG326" i="6"/>
  <c r="AT326" i="6"/>
  <c r="AG326" i="6"/>
  <c r="AH326" i="6" s="1"/>
  <c r="Y326" i="6"/>
  <c r="BL325" i="6"/>
  <c r="BH325" i="6"/>
  <c r="BG325" i="6"/>
  <c r="AT325" i="6"/>
  <c r="AG325" i="6"/>
  <c r="AH325" i="6" s="1"/>
  <c r="Y325" i="6"/>
  <c r="BL324" i="6"/>
  <c r="BH324" i="6"/>
  <c r="BG324" i="6"/>
  <c r="AT324" i="6"/>
  <c r="AG324" i="6"/>
  <c r="AH324" i="6" s="1"/>
  <c r="Y324" i="6"/>
  <c r="BL323" i="6"/>
  <c r="BH323" i="6"/>
  <c r="BG323" i="6"/>
  <c r="AY323" i="6"/>
  <c r="AT323" i="6"/>
  <c r="AS323" i="6"/>
  <c r="AG323" i="6"/>
  <c r="AH323" i="6" s="1"/>
  <c r="AB323" i="6"/>
  <c r="Y323" i="6"/>
  <c r="Z323" i="6" s="1"/>
  <c r="BD323" i="6" s="1"/>
  <c r="W323" i="6"/>
  <c r="X323" i="6"/>
  <c r="BC323" i="6" s="1"/>
  <c r="S323" i="6"/>
  <c r="U323" i="6" s="1"/>
  <c r="BB323" i="6" s="1"/>
  <c r="BL322" i="6"/>
  <c r="BH322" i="6"/>
  <c r="BG322" i="6"/>
  <c r="AT322" i="6"/>
  <c r="AG322" i="6"/>
  <c r="AH322" i="6" s="1"/>
  <c r="Y322" i="6"/>
  <c r="BL321" i="6"/>
  <c r="BH321" i="6"/>
  <c r="BG321" i="6"/>
  <c r="AT321" i="6"/>
  <c r="AG321" i="6"/>
  <c r="AH321" i="6" s="1"/>
  <c r="Y321" i="6"/>
  <c r="BL320" i="6"/>
  <c r="BH320" i="6"/>
  <c r="BG320" i="6"/>
  <c r="AT320" i="6"/>
  <c r="AG320" i="6"/>
  <c r="AH320" i="6" s="1"/>
  <c r="Y320" i="6"/>
  <c r="BL319" i="6"/>
  <c r="BH319" i="6"/>
  <c r="BG319" i="6"/>
  <c r="AY319" i="6"/>
  <c r="AT319" i="6"/>
  <c r="AS319" i="6"/>
  <c r="AG319" i="6"/>
  <c r="AH319" i="6" s="1"/>
  <c r="AB319" i="6"/>
  <c r="Y319" i="6"/>
  <c r="X319" i="6"/>
  <c r="BC319" i="6" s="1"/>
  <c r="S319" i="6"/>
  <c r="T319" i="6" s="1"/>
  <c r="BL318" i="6"/>
  <c r="BH318" i="6"/>
  <c r="BG318" i="6"/>
  <c r="AT318" i="6"/>
  <c r="AG318" i="6"/>
  <c r="AH318" i="6" s="1"/>
  <c r="Y318" i="6"/>
  <c r="BL317" i="6"/>
  <c r="BH317" i="6"/>
  <c r="BG317" i="6"/>
  <c r="AT317" i="6"/>
  <c r="AG317" i="6"/>
  <c r="AH317" i="6" s="1"/>
  <c r="Y317" i="6"/>
  <c r="BL316" i="6"/>
  <c r="BH316" i="6"/>
  <c r="BG316" i="6"/>
  <c r="AT316" i="6"/>
  <c r="AG316" i="6"/>
  <c r="AH316" i="6" s="1"/>
  <c r="Y316" i="6"/>
  <c r="BL315" i="6"/>
  <c r="BH315" i="6"/>
  <c r="BG315" i="6"/>
  <c r="AY315" i="6"/>
  <c r="AT315" i="6"/>
  <c r="AS315" i="6"/>
  <c r="AG315" i="6"/>
  <c r="AH315" i="6" s="1"/>
  <c r="AB315" i="6"/>
  <c r="Y315" i="6"/>
  <c r="W315" i="6"/>
  <c r="S315" i="6"/>
  <c r="U315" i="6" s="1"/>
  <c r="BB315" i="6" s="1"/>
  <c r="BL314" i="6"/>
  <c r="BH314" i="6"/>
  <c r="BG314" i="6"/>
  <c r="AT314" i="6"/>
  <c r="AG314" i="6"/>
  <c r="AH314" i="6" s="1"/>
  <c r="Y314" i="6"/>
  <c r="Z314" i="6" s="1"/>
  <c r="BD314" i="6" s="1"/>
  <c r="BL313" i="6"/>
  <c r="BH313" i="6"/>
  <c r="BG313" i="6"/>
  <c r="AT313" i="6"/>
  <c r="AG313" i="6"/>
  <c r="AH313" i="6" s="1"/>
  <c r="Y313" i="6"/>
  <c r="Z313" i="6" s="1"/>
  <c r="BD313" i="6" s="1"/>
  <c r="BL312" i="6"/>
  <c r="BH312" i="6"/>
  <c r="BG312" i="6"/>
  <c r="AT312" i="6"/>
  <c r="AG312" i="6"/>
  <c r="AH312" i="6" s="1"/>
  <c r="Y312" i="6"/>
  <c r="Z312" i="6" s="1"/>
  <c r="BD312" i="6" s="1"/>
  <c r="BL311" i="6"/>
  <c r="BH311" i="6"/>
  <c r="BG311" i="6"/>
  <c r="AY311" i="6"/>
  <c r="AT311" i="6"/>
  <c r="AS311" i="6"/>
  <c r="AG311" i="6"/>
  <c r="AH311" i="6" s="1"/>
  <c r="AB311" i="6"/>
  <c r="Y311" i="6"/>
  <c r="X311" i="6"/>
  <c r="BC311" i="6" s="1"/>
  <c r="W311" i="6"/>
  <c r="S311" i="6"/>
  <c r="T311" i="6" s="1"/>
  <c r="BL310" i="6"/>
  <c r="BH310" i="6"/>
  <c r="BG310" i="6"/>
  <c r="AT310" i="6"/>
  <c r="AG310" i="6"/>
  <c r="AH310" i="6" s="1"/>
  <c r="Y310" i="6"/>
  <c r="BL309" i="6"/>
  <c r="BH309" i="6"/>
  <c r="BG309" i="6"/>
  <c r="AT309" i="6"/>
  <c r="AG309" i="6"/>
  <c r="AH309" i="6" s="1"/>
  <c r="Y309" i="6"/>
  <c r="BL308" i="6"/>
  <c r="BH308" i="6"/>
  <c r="BG308" i="6"/>
  <c r="AT308" i="6"/>
  <c r="AG308" i="6"/>
  <c r="AH308" i="6" s="1"/>
  <c r="Y308" i="6"/>
  <c r="BL307" i="6"/>
  <c r="BH307" i="6"/>
  <c r="BG307" i="6"/>
  <c r="AY307" i="6"/>
  <c r="AT307" i="6"/>
  <c r="AS307" i="6"/>
  <c r="AG307" i="6"/>
  <c r="AH307" i="6" s="1"/>
  <c r="AB307" i="6"/>
  <c r="Y307" i="6"/>
  <c r="Z307" i="6" s="1"/>
  <c r="BD307" i="6" s="1"/>
  <c r="W307" i="6"/>
  <c r="S307" i="6"/>
  <c r="U307" i="6" s="1"/>
  <c r="BB307" i="6" s="1"/>
  <c r="BL306" i="6"/>
  <c r="BH306" i="6"/>
  <c r="BG306" i="6"/>
  <c r="AT306" i="6"/>
  <c r="AG306" i="6"/>
  <c r="AH306" i="6" s="1"/>
  <c r="Y306" i="6"/>
  <c r="BL305" i="6"/>
  <c r="BH305" i="6"/>
  <c r="BG305" i="6"/>
  <c r="AT305" i="6"/>
  <c r="AG305" i="6"/>
  <c r="AH305" i="6" s="1"/>
  <c r="Y305" i="6"/>
  <c r="BL304" i="6"/>
  <c r="BH304" i="6"/>
  <c r="BG304" i="6"/>
  <c r="AT304" i="6"/>
  <c r="AG304" i="6"/>
  <c r="AH304" i="6" s="1"/>
  <c r="Y304" i="6"/>
  <c r="BL303" i="6"/>
  <c r="BH303" i="6"/>
  <c r="BG303" i="6"/>
  <c r="AY303" i="6"/>
  <c r="AT303" i="6"/>
  <c r="AS303" i="6"/>
  <c r="AG303" i="6"/>
  <c r="AH303" i="6" s="1"/>
  <c r="AB303" i="6"/>
  <c r="Y303" i="6"/>
  <c r="S303" i="6"/>
  <c r="T303" i="6" s="1"/>
  <c r="BL302" i="6"/>
  <c r="BH302" i="6"/>
  <c r="BG302" i="6"/>
  <c r="AT302" i="6"/>
  <c r="AG302" i="6"/>
  <c r="AH302" i="6" s="1"/>
  <c r="Y302" i="6"/>
  <c r="BL301" i="6"/>
  <c r="BH301" i="6"/>
  <c r="BG301" i="6"/>
  <c r="AT301" i="6"/>
  <c r="AG301" i="6"/>
  <c r="AH301" i="6" s="1"/>
  <c r="Y301" i="6"/>
  <c r="BL300" i="6"/>
  <c r="BH300" i="6"/>
  <c r="BG300" i="6"/>
  <c r="AT300" i="6"/>
  <c r="AG300" i="6"/>
  <c r="AH300" i="6" s="1"/>
  <c r="Y300" i="6"/>
  <c r="BL299" i="6"/>
  <c r="BH299" i="6"/>
  <c r="BG299" i="6"/>
  <c r="AY299" i="6"/>
  <c r="AT299" i="6"/>
  <c r="AS299" i="6"/>
  <c r="AG299" i="6"/>
  <c r="AH299" i="6" s="1"/>
  <c r="AB299" i="6"/>
  <c r="Y299" i="6"/>
  <c r="S299" i="6"/>
  <c r="U299" i="6" s="1"/>
  <c r="BB299" i="6" s="1"/>
  <c r="BL298" i="6"/>
  <c r="BH298" i="6"/>
  <c r="BG298" i="6"/>
  <c r="AT298" i="6"/>
  <c r="AG298" i="6"/>
  <c r="AH298" i="6" s="1"/>
  <c r="Y298" i="6"/>
  <c r="Z298" i="6" s="1"/>
  <c r="BD298" i="6" s="1"/>
  <c r="BL297" i="6"/>
  <c r="BH297" i="6"/>
  <c r="BG297" i="6"/>
  <c r="AT297" i="6"/>
  <c r="AG297" i="6"/>
  <c r="AH297" i="6" s="1"/>
  <c r="Y297" i="6"/>
  <c r="Z297" i="6" s="1"/>
  <c r="BD297" i="6" s="1"/>
  <c r="BL296" i="6"/>
  <c r="BH296" i="6"/>
  <c r="BG296" i="6"/>
  <c r="AT296" i="6"/>
  <c r="AG296" i="6"/>
  <c r="AH296" i="6" s="1"/>
  <c r="Y296" i="6"/>
  <c r="Z296" i="6" s="1"/>
  <c r="BD296" i="6" s="1"/>
  <c r="BL295" i="6"/>
  <c r="BH295" i="6"/>
  <c r="BG295" i="6"/>
  <c r="AY295" i="6"/>
  <c r="AT295" i="6"/>
  <c r="AS295" i="6"/>
  <c r="AG295" i="6"/>
  <c r="AH295" i="6" s="1"/>
  <c r="AB295" i="6"/>
  <c r="Y295" i="6"/>
  <c r="X295" i="6"/>
  <c r="BC295" i="6" s="1"/>
  <c r="W295" i="6"/>
  <c r="S295" i="6"/>
  <c r="U295" i="6" s="1"/>
  <c r="BB295" i="6" s="1"/>
  <c r="BL294" i="6"/>
  <c r="BH294" i="6"/>
  <c r="BG294" i="6"/>
  <c r="AT294" i="6"/>
  <c r="AG294" i="6"/>
  <c r="AH294" i="6" s="1"/>
  <c r="Y294" i="6"/>
  <c r="Z294" i="6" s="1"/>
  <c r="BD294" i="6" s="1"/>
  <c r="BL293" i="6"/>
  <c r="BH293" i="6"/>
  <c r="BG293" i="6"/>
  <c r="AT293" i="6"/>
  <c r="AG293" i="6"/>
  <c r="AH293" i="6" s="1"/>
  <c r="Y293" i="6"/>
  <c r="BL292" i="6"/>
  <c r="BH292" i="6"/>
  <c r="BG292" i="6"/>
  <c r="AT292" i="6"/>
  <c r="AG292" i="6"/>
  <c r="AH292" i="6" s="1"/>
  <c r="Y292" i="6"/>
  <c r="BL291" i="6"/>
  <c r="BH291" i="6"/>
  <c r="BG291" i="6"/>
  <c r="AY291" i="6"/>
  <c r="AT291" i="6"/>
  <c r="AS291" i="6"/>
  <c r="AG291" i="6"/>
  <c r="AH291" i="6" s="1"/>
  <c r="AB291" i="6"/>
  <c r="Y291" i="6"/>
  <c r="Z291" i="6" s="1"/>
  <c r="BD291" i="6" s="1"/>
  <c r="X291" i="6"/>
  <c r="BC291" i="6" s="1"/>
  <c r="S291" i="6"/>
  <c r="BL290" i="6"/>
  <c r="BH290" i="6"/>
  <c r="BG290" i="6"/>
  <c r="AT290" i="6"/>
  <c r="AG290" i="6"/>
  <c r="AH290" i="6" s="1"/>
  <c r="Y290" i="6"/>
  <c r="Z290" i="6" s="1"/>
  <c r="BD290" i="6" s="1"/>
  <c r="BL289" i="6"/>
  <c r="BH289" i="6"/>
  <c r="BG289" i="6"/>
  <c r="AT289" i="6"/>
  <c r="AG289" i="6"/>
  <c r="AH289" i="6" s="1"/>
  <c r="Y289" i="6"/>
  <c r="Z289" i="6" s="1"/>
  <c r="BD289" i="6" s="1"/>
  <c r="BL288" i="6"/>
  <c r="BH288" i="6"/>
  <c r="BG288" i="6"/>
  <c r="AT288" i="6"/>
  <c r="AG288" i="6"/>
  <c r="AH288" i="6" s="1"/>
  <c r="Y288" i="6"/>
  <c r="Z288" i="6" s="1"/>
  <c r="BD288" i="6" s="1"/>
  <c r="BL287" i="6"/>
  <c r="BH287" i="6"/>
  <c r="BG287" i="6"/>
  <c r="AY287" i="6"/>
  <c r="AT287" i="6"/>
  <c r="AS287" i="6"/>
  <c r="AG287" i="6"/>
  <c r="AH287" i="6" s="1"/>
  <c r="AB287" i="6"/>
  <c r="Y287" i="6"/>
  <c r="W287" i="6"/>
  <c r="X287" i="6"/>
  <c r="BC287" i="6" s="1"/>
  <c r="S287" i="6"/>
  <c r="U287" i="6" s="1"/>
  <c r="BB287" i="6" s="1"/>
  <c r="BL286" i="6"/>
  <c r="BH286" i="6"/>
  <c r="BG286" i="6"/>
  <c r="AT286" i="6"/>
  <c r="AG286" i="6"/>
  <c r="AH286" i="6" s="1"/>
  <c r="Y286" i="6"/>
  <c r="BL285" i="6"/>
  <c r="BH285" i="6"/>
  <c r="BG285" i="6"/>
  <c r="AT285" i="6"/>
  <c r="AG285" i="6"/>
  <c r="AH285" i="6" s="1"/>
  <c r="Y285" i="6"/>
  <c r="BL284" i="6"/>
  <c r="BH284" i="6"/>
  <c r="BG284" i="6"/>
  <c r="AT284" i="6"/>
  <c r="AG284" i="6"/>
  <c r="AH284" i="6" s="1"/>
  <c r="Y284" i="6"/>
  <c r="BL283" i="6"/>
  <c r="BH283" i="6"/>
  <c r="BG283" i="6"/>
  <c r="AY283" i="6"/>
  <c r="AT283" i="6"/>
  <c r="AS283" i="6"/>
  <c r="AG283" i="6"/>
  <c r="AH283" i="6" s="1"/>
  <c r="AB283" i="6"/>
  <c r="Y283" i="6"/>
  <c r="Z283" i="6" s="1"/>
  <c r="BD283" i="6" s="1"/>
  <c r="X283" i="6"/>
  <c r="BC283" i="6" s="1"/>
  <c r="S283" i="6"/>
  <c r="U283" i="6" s="1"/>
  <c r="BB283" i="6" s="1"/>
  <c r="BL282" i="6"/>
  <c r="BH282" i="6"/>
  <c r="BG282" i="6"/>
  <c r="AT282" i="6"/>
  <c r="AG282" i="6"/>
  <c r="AH282" i="6" s="1"/>
  <c r="Y282" i="6"/>
  <c r="Z282" i="6" s="1"/>
  <c r="BD282" i="6" s="1"/>
  <c r="BL281" i="6"/>
  <c r="BH281" i="6"/>
  <c r="BG281" i="6"/>
  <c r="AT281" i="6"/>
  <c r="AG281" i="6"/>
  <c r="AH281" i="6" s="1"/>
  <c r="Y281" i="6"/>
  <c r="Z281" i="6" s="1"/>
  <c r="BD281" i="6" s="1"/>
  <c r="BL280" i="6"/>
  <c r="BH280" i="6"/>
  <c r="BG280" i="6"/>
  <c r="AT280" i="6"/>
  <c r="AG280" i="6"/>
  <c r="AH280" i="6" s="1"/>
  <c r="Y280" i="6"/>
  <c r="Z280" i="6" s="1"/>
  <c r="BD280" i="6" s="1"/>
  <c r="BL279" i="6"/>
  <c r="BH279" i="6"/>
  <c r="BG279" i="6"/>
  <c r="AY279" i="6"/>
  <c r="AT279" i="6"/>
  <c r="AS279" i="6"/>
  <c r="AG279" i="6"/>
  <c r="AH279" i="6" s="1"/>
  <c r="AB279" i="6"/>
  <c r="Y279" i="6"/>
  <c r="W279" i="6"/>
  <c r="X279" i="6"/>
  <c r="BC279" i="6" s="1"/>
  <c r="S279" i="6"/>
  <c r="T279" i="6" s="1"/>
  <c r="BL278" i="6"/>
  <c r="BH278" i="6"/>
  <c r="BG278" i="6"/>
  <c r="AT278" i="6"/>
  <c r="AG278" i="6"/>
  <c r="AH278" i="6" s="1"/>
  <c r="Y278" i="6"/>
  <c r="BL277" i="6"/>
  <c r="BH277" i="6"/>
  <c r="BG277" i="6"/>
  <c r="AT277" i="6"/>
  <c r="AG277" i="6"/>
  <c r="AH277" i="6" s="1"/>
  <c r="Y277" i="6"/>
  <c r="BL276" i="6"/>
  <c r="BH276" i="6"/>
  <c r="BG276" i="6"/>
  <c r="AT276" i="6"/>
  <c r="AG276" i="6"/>
  <c r="AH276" i="6" s="1"/>
  <c r="Y276" i="6"/>
  <c r="BL275" i="6"/>
  <c r="BH275" i="6"/>
  <c r="BG275" i="6"/>
  <c r="AY275" i="6"/>
  <c r="AT275" i="6"/>
  <c r="AS275" i="6"/>
  <c r="AG275" i="6"/>
  <c r="AH275" i="6" s="1"/>
  <c r="AB275" i="6"/>
  <c r="Y275" i="6"/>
  <c r="Z275" i="6" s="1"/>
  <c r="BD275" i="6" s="1"/>
  <c r="W275" i="6"/>
  <c r="S275" i="6"/>
  <c r="U275" i="6" s="1"/>
  <c r="BB275" i="6" s="1"/>
  <c r="BL274" i="6"/>
  <c r="BH274" i="6"/>
  <c r="BG274" i="6"/>
  <c r="AT274" i="6"/>
  <c r="AG274" i="6"/>
  <c r="AH274" i="6" s="1"/>
  <c r="Y274" i="6"/>
  <c r="Z274" i="6" s="1"/>
  <c r="BD274" i="6" s="1"/>
  <c r="BL273" i="6"/>
  <c r="BH273" i="6"/>
  <c r="BG273" i="6"/>
  <c r="AT273" i="6"/>
  <c r="AG273" i="6"/>
  <c r="AH273" i="6" s="1"/>
  <c r="Y273" i="6"/>
  <c r="Z273" i="6" s="1"/>
  <c r="BD273" i="6" s="1"/>
  <c r="BL272" i="6"/>
  <c r="BH272" i="6"/>
  <c r="BG272" i="6"/>
  <c r="AT272" i="6"/>
  <c r="AG272" i="6"/>
  <c r="AH272" i="6" s="1"/>
  <c r="Y272" i="6"/>
  <c r="BL271" i="6"/>
  <c r="BH271" i="6"/>
  <c r="BG271" i="6"/>
  <c r="AY271" i="6"/>
  <c r="AT271" i="6"/>
  <c r="AS271" i="6"/>
  <c r="AG271" i="6"/>
  <c r="AH271" i="6" s="1"/>
  <c r="AB271" i="6"/>
  <c r="Y271" i="6"/>
  <c r="W271" i="6"/>
  <c r="X271" i="6"/>
  <c r="BC271" i="6" s="1"/>
  <c r="S271" i="6"/>
  <c r="U271" i="6" s="1"/>
  <c r="BB271" i="6" s="1"/>
  <c r="BL270" i="6"/>
  <c r="BH270" i="6"/>
  <c r="BG270" i="6"/>
  <c r="AT270" i="6"/>
  <c r="AG270" i="6"/>
  <c r="AH270" i="6" s="1"/>
  <c r="Y270" i="6"/>
  <c r="BL269" i="6"/>
  <c r="BH269" i="6"/>
  <c r="BG269" i="6"/>
  <c r="AT269" i="6"/>
  <c r="AG269" i="6"/>
  <c r="AH269" i="6" s="1"/>
  <c r="Y269" i="6"/>
  <c r="BL268" i="6"/>
  <c r="BH268" i="6"/>
  <c r="BG268" i="6"/>
  <c r="AT268" i="6"/>
  <c r="AG268" i="6"/>
  <c r="AH268" i="6" s="1"/>
  <c r="Y268" i="6"/>
  <c r="BL267" i="6"/>
  <c r="BH267" i="6"/>
  <c r="BG267" i="6"/>
  <c r="AY267" i="6"/>
  <c r="AT267" i="6"/>
  <c r="AS267" i="6"/>
  <c r="AG267" i="6"/>
  <c r="AH267" i="6" s="1"/>
  <c r="AB267" i="6"/>
  <c r="Y267" i="6"/>
  <c r="Z267" i="6" s="1"/>
  <c r="BD267" i="6" s="1"/>
  <c r="X267" i="6"/>
  <c r="BC267" i="6" s="1"/>
  <c r="S267" i="6"/>
  <c r="U267" i="6" s="1"/>
  <c r="BB267" i="6" s="1"/>
  <c r="BL266" i="6"/>
  <c r="BH266" i="6"/>
  <c r="BG266" i="6"/>
  <c r="AT266" i="6"/>
  <c r="AG266" i="6"/>
  <c r="AH266" i="6" s="1"/>
  <c r="Y266" i="6"/>
  <c r="Z266" i="6" s="1"/>
  <c r="BD266" i="6" s="1"/>
  <c r="BL265" i="6"/>
  <c r="BH265" i="6"/>
  <c r="BG265" i="6"/>
  <c r="AT265" i="6"/>
  <c r="AG265" i="6"/>
  <c r="AH265" i="6" s="1"/>
  <c r="Y265" i="6"/>
  <c r="Z265" i="6" s="1"/>
  <c r="BD265" i="6" s="1"/>
  <c r="BL264" i="6"/>
  <c r="BH264" i="6"/>
  <c r="BG264" i="6"/>
  <c r="AT264" i="6"/>
  <c r="AG264" i="6"/>
  <c r="AH264" i="6" s="1"/>
  <c r="Y264" i="6"/>
  <c r="BL263" i="6"/>
  <c r="BH263" i="6"/>
  <c r="BG263" i="6"/>
  <c r="AY263" i="6"/>
  <c r="AT263" i="6"/>
  <c r="AS263" i="6"/>
  <c r="AG263" i="6"/>
  <c r="AH263" i="6" s="1"/>
  <c r="AB263" i="6"/>
  <c r="Y263" i="6"/>
  <c r="W263" i="6"/>
  <c r="X263" i="6"/>
  <c r="BC263" i="6" s="1"/>
  <c r="S263" i="6"/>
  <c r="T263" i="6" s="1"/>
  <c r="BL262" i="6"/>
  <c r="BH262" i="6"/>
  <c r="BG262" i="6"/>
  <c r="AT262" i="6"/>
  <c r="AG262" i="6"/>
  <c r="AH262" i="6" s="1"/>
  <c r="Y262" i="6"/>
  <c r="BL261" i="6"/>
  <c r="BH261" i="6"/>
  <c r="BG261" i="6"/>
  <c r="AT261" i="6"/>
  <c r="AG261" i="6"/>
  <c r="AH261" i="6" s="1"/>
  <c r="Y261" i="6"/>
  <c r="BL260" i="6"/>
  <c r="BH260" i="6"/>
  <c r="BG260" i="6"/>
  <c r="AT260" i="6"/>
  <c r="AG260" i="6"/>
  <c r="AH260" i="6" s="1"/>
  <c r="Y260" i="6"/>
  <c r="BL259" i="6"/>
  <c r="BH259" i="6"/>
  <c r="BG259" i="6"/>
  <c r="AY259" i="6"/>
  <c r="AT259" i="6"/>
  <c r="AS259" i="6"/>
  <c r="AG259" i="6"/>
  <c r="AH259" i="6" s="1"/>
  <c r="AB259" i="6"/>
  <c r="Y259" i="6"/>
  <c r="Z259" i="6" s="1"/>
  <c r="BD259" i="6" s="1"/>
  <c r="W259" i="6"/>
  <c r="S259" i="6"/>
  <c r="U259" i="6" s="1"/>
  <c r="BB259" i="6" s="1"/>
  <c r="BL258" i="6"/>
  <c r="BH258" i="6"/>
  <c r="BG258" i="6"/>
  <c r="AT258" i="6"/>
  <c r="AG258" i="6"/>
  <c r="AH258" i="6" s="1"/>
  <c r="Y258" i="6"/>
  <c r="Z258" i="6" s="1"/>
  <c r="BD258" i="6" s="1"/>
  <c r="BL257" i="6"/>
  <c r="BH257" i="6"/>
  <c r="BG257" i="6"/>
  <c r="AT257" i="6"/>
  <c r="AG257" i="6"/>
  <c r="AH257" i="6" s="1"/>
  <c r="Y257" i="6"/>
  <c r="Z257" i="6" s="1"/>
  <c r="BD257" i="6" s="1"/>
  <c r="BL256" i="6"/>
  <c r="BH256" i="6"/>
  <c r="BG256" i="6"/>
  <c r="AT256" i="6"/>
  <c r="AG256" i="6"/>
  <c r="AH256" i="6" s="1"/>
  <c r="Y256" i="6"/>
  <c r="Z256" i="6" s="1"/>
  <c r="BD256" i="6" s="1"/>
  <c r="BL255" i="6"/>
  <c r="BH255" i="6"/>
  <c r="BG255" i="6"/>
  <c r="AY255" i="6"/>
  <c r="AT255" i="6"/>
  <c r="AS255" i="6"/>
  <c r="AG255" i="6"/>
  <c r="AH255" i="6" s="1"/>
  <c r="AB255" i="6"/>
  <c r="Y255" i="6"/>
  <c r="S255" i="6"/>
  <c r="U255" i="6" s="1"/>
  <c r="BB255" i="6" s="1"/>
  <c r="BL254" i="6"/>
  <c r="BH254" i="6"/>
  <c r="BG254" i="6"/>
  <c r="AT254" i="6"/>
  <c r="AG254" i="6"/>
  <c r="AH254" i="6" s="1"/>
  <c r="Y254" i="6"/>
  <c r="BL253" i="6"/>
  <c r="BH253" i="6"/>
  <c r="BG253" i="6"/>
  <c r="AT253" i="6"/>
  <c r="AG253" i="6"/>
  <c r="AH253" i="6" s="1"/>
  <c r="Y253" i="6"/>
  <c r="BL252" i="6"/>
  <c r="BH252" i="6"/>
  <c r="BG252" i="6"/>
  <c r="AT252" i="6"/>
  <c r="AG252" i="6"/>
  <c r="AH252" i="6" s="1"/>
  <c r="Y252" i="6"/>
  <c r="BL251" i="6"/>
  <c r="BH251" i="6"/>
  <c r="BG251" i="6"/>
  <c r="AY251" i="6"/>
  <c r="AT251" i="6"/>
  <c r="AS251" i="6"/>
  <c r="AG251" i="6"/>
  <c r="AH251" i="6" s="1"/>
  <c r="AB251" i="6"/>
  <c r="Y251" i="6"/>
  <c r="W251" i="6"/>
  <c r="S251" i="6"/>
  <c r="U251" i="6" s="1"/>
  <c r="BB251" i="6" s="1"/>
  <c r="BL250" i="6"/>
  <c r="BH250" i="6"/>
  <c r="BG250" i="6"/>
  <c r="AT250" i="6"/>
  <c r="AG250" i="6"/>
  <c r="AH250" i="6" s="1"/>
  <c r="Y250" i="6"/>
  <c r="Z250" i="6" s="1"/>
  <c r="BD250" i="6" s="1"/>
  <c r="BL249" i="6"/>
  <c r="BH249" i="6"/>
  <c r="BG249" i="6"/>
  <c r="AT249" i="6"/>
  <c r="AG249" i="6"/>
  <c r="AH249" i="6" s="1"/>
  <c r="Y249" i="6"/>
  <c r="BL248" i="6"/>
  <c r="BH248" i="6"/>
  <c r="BG248" i="6"/>
  <c r="AT248" i="6"/>
  <c r="AG248" i="6"/>
  <c r="AH248" i="6" s="1"/>
  <c r="Y248" i="6"/>
  <c r="Z248" i="6" s="1"/>
  <c r="BD248" i="6" s="1"/>
  <c r="BL247" i="6"/>
  <c r="BH247" i="6"/>
  <c r="BG247" i="6"/>
  <c r="AY247" i="6"/>
  <c r="AT247" i="6"/>
  <c r="AS247" i="6"/>
  <c r="AG247" i="6"/>
  <c r="AH247" i="6" s="1"/>
  <c r="AB247" i="6"/>
  <c r="Y247" i="6"/>
  <c r="X247" i="6"/>
  <c r="BC247" i="6" s="1"/>
  <c r="S247" i="6"/>
  <c r="U247" i="6" s="1"/>
  <c r="BB247" i="6" s="1"/>
  <c r="BL246" i="6"/>
  <c r="BH246" i="6"/>
  <c r="BG246" i="6"/>
  <c r="AT246" i="6"/>
  <c r="AG246" i="6"/>
  <c r="AH246" i="6" s="1"/>
  <c r="Y246" i="6"/>
  <c r="BL245" i="6"/>
  <c r="BH245" i="6"/>
  <c r="BG245" i="6"/>
  <c r="AT245" i="6"/>
  <c r="AG245" i="6"/>
  <c r="AH245" i="6" s="1"/>
  <c r="Y245" i="6"/>
  <c r="BL244" i="6"/>
  <c r="BH244" i="6"/>
  <c r="BG244" i="6"/>
  <c r="AT244" i="6"/>
  <c r="AG244" i="6"/>
  <c r="AH244" i="6" s="1"/>
  <c r="Y244" i="6"/>
  <c r="BL243" i="6"/>
  <c r="BH243" i="6"/>
  <c r="BG243" i="6"/>
  <c r="AY243" i="6"/>
  <c r="AT243" i="6"/>
  <c r="AS243" i="6"/>
  <c r="AG243" i="6"/>
  <c r="AH243" i="6" s="1"/>
  <c r="AB243" i="6"/>
  <c r="Y243" i="6"/>
  <c r="Z243" i="6" s="1"/>
  <c r="BD243" i="6" s="1"/>
  <c r="X243" i="6"/>
  <c r="BC243" i="6" s="1"/>
  <c r="S243" i="6"/>
  <c r="U243" i="6" s="1"/>
  <c r="BB243" i="6" s="1"/>
  <c r="BL242" i="6"/>
  <c r="BH242" i="6"/>
  <c r="BG242" i="6"/>
  <c r="AT242" i="6"/>
  <c r="AG242" i="6"/>
  <c r="AH242" i="6" s="1"/>
  <c r="Y242" i="6"/>
  <c r="Z242" i="6" s="1"/>
  <c r="BD242" i="6" s="1"/>
  <c r="BL241" i="6"/>
  <c r="BH241" i="6"/>
  <c r="BG241" i="6"/>
  <c r="AT241" i="6"/>
  <c r="AG241" i="6"/>
  <c r="AH241" i="6" s="1"/>
  <c r="Y241" i="6"/>
  <c r="Z241" i="6" s="1"/>
  <c r="BD241" i="6" s="1"/>
  <c r="BL240" i="6"/>
  <c r="BH240" i="6"/>
  <c r="BG240" i="6"/>
  <c r="AT240" i="6"/>
  <c r="AG240" i="6"/>
  <c r="AH240" i="6" s="1"/>
  <c r="Y240" i="6"/>
  <c r="Z240" i="6" s="1"/>
  <c r="BD240" i="6" s="1"/>
  <c r="BL239" i="6"/>
  <c r="BH239" i="6"/>
  <c r="BG239" i="6"/>
  <c r="AY239" i="6"/>
  <c r="AT239" i="6"/>
  <c r="AS239" i="6"/>
  <c r="AG239" i="6"/>
  <c r="AH239" i="6" s="1"/>
  <c r="AB239" i="6"/>
  <c r="Y239" i="6"/>
  <c r="S239" i="6"/>
  <c r="T239" i="6" s="1"/>
  <c r="BL238" i="6"/>
  <c r="BH238" i="6"/>
  <c r="BG238" i="6"/>
  <c r="AT238" i="6"/>
  <c r="AG238" i="6"/>
  <c r="AH238" i="6" s="1"/>
  <c r="Y238" i="6"/>
  <c r="BL237" i="6"/>
  <c r="BH237" i="6"/>
  <c r="BG237" i="6"/>
  <c r="AT237" i="6"/>
  <c r="AG237" i="6"/>
  <c r="AH237" i="6" s="1"/>
  <c r="Y237" i="6"/>
  <c r="BL236" i="6"/>
  <c r="BH236" i="6"/>
  <c r="BG236" i="6"/>
  <c r="AT236" i="6"/>
  <c r="AG236" i="6"/>
  <c r="AH236" i="6" s="1"/>
  <c r="Y236" i="6"/>
  <c r="BL235" i="6"/>
  <c r="BH235" i="6"/>
  <c r="BG235" i="6"/>
  <c r="AY235" i="6"/>
  <c r="AT235" i="6"/>
  <c r="AS235" i="6"/>
  <c r="AG235" i="6"/>
  <c r="AH235" i="6" s="1"/>
  <c r="AB235" i="6"/>
  <c r="Y235" i="6"/>
  <c r="Z235" i="6" s="1"/>
  <c r="BD235" i="6" s="1"/>
  <c r="W235" i="6"/>
  <c r="S235" i="6"/>
  <c r="U235" i="6" s="1"/>
  <c r="BB235" i="6" s="1"/>
  <c r="BL234" i="6"/>
  <c r="BH234" i="6"/>
  <c r="BG234" i="6"/>
  <c r="AT234" i="6"/>
  <c r="AG234" i="6"/>
  <c r="AH234" i="6" s="1"/>
  <c r="Y234" i="6"/>
  <c r="Z234" i="6" s="1"/>
  <c r="BD234" i="6" s="1"/>
  <c r="BL233" i="6"/>
  <c r="BH233" i="6"/>
  <c r="BG233" i="6"/>
  <c r="AT233" i="6"/>
  <c r="AG233" i="6"/>
  <c r="AH233" i="6" s="1"/>
  <c r="Y233" i="6"/>
  <c r="Z233" i="6" s="1"/>
  <c r="BD233" i="6" s="1"/>
  <c r="BL232" i="6"/>
  <c r="BH232" i="6"/>
  <c r="BG232" i="6"/>
  <c r="AT232" i="6"/>
  <c r="AG232" i="6"/>
  <c r="AH232" i="6" s="1"/>
  <c r="Y232" i="6"/>
  <c r="BL231" i="6"/>
  <c r="BH231" i="6"/>
  <c r="BG231" i="6"/>
  <c r="AY231" i="6"/>
  <c r="AT231" i="6"/>
  <c r="AS231" i="6"/>
  <c r="AG231" i="6"/>
  <c r="AH231" i="6" s="1"/>
  <c r="AB231" i="6"/>
  <c r="Y231" i="6"/>
  <c r="X231" i="6"/>
  <c r="BC231" i="6" s="1"/>
  <c r="S231" i="6"/>
  <c r="U231" i="6" s="1"/>
  <c r="BB231" i="6" s="1"/>
  <c r="BL230" i="6"/>
  <c r="BH230" i="6"/>
  <c r="BG230" i="6"/>
  <c r="AT230" i="6"/>
  <c r="AG230" i="6"/>
  <c r="AH230" i="6" s="1"/>
  <c r="Y230" i="6"/>
  <c r="BL229" i="6"/>
  <c r="BH229" i="6"/>
  <c r="BG229" i="6"/>
  <c r="AT229" i="6"/>
  <c r="AG229" i="6"/>
  <c r="AH229" i="6" s="1"/>
  <c r="Y229" i="6"/>
  <c r="BL228" i="6"/>
  <c r="BH228" i="6"/>
  <c r="BG228" i="6"/>
  <c r="AT228" i="6"/>
  <c r="AG228" i="6"/>
  <c r="AH228" i="6" s="1"/>
  <c r="Y228" i="6"/>
  <c r="BL227" i="6"/>
  <c r="BH227" i="6"/>
  <c r="BG227" i="6"/>
  <c r="AY227" i="6"/>
  <c r="AT227" i="6"/>
  <c r="AS227" i="6"/>
  <c r="AG227" i="6"/>
  <c r="AH227" i="6" s="1"/>
  <c r="AB227" i="6"/>
  <c r="Y227" i="6"/>
  <c r="Z227" i="6" s="1"/>
  <c r="BD227" i="6" s="1"/>
  <c r="X227" i="6"/>
  <c r="BC227" i="6" s="1"/>
  <c r="S227" i="6"/>
  <c r="U227" i="6" s="1"/>
  <c r="BB227" i="6" s="1"/>
  <c r="BL226" i="6"/>
  <c r="BH226" i="6"/>
  <c r="BG226" i="6"/>
  <c r="AT226" i="6"/>
  <c r="AG226" i="6"/>
  <c r="AH226" i="6" s="1"/>
  <c r="Y226" i="6"/>
  <c r="Z226" i="6" s="1"/>
  <c r="BD226" i="6" s="1"/>
  <c r="BL225" i="6"/>
  <c r="BH225" i="6"/>
  <c r="BG225" i="6"/>
  <c r="AT225" i="6"/>
  <c r="AG225" i="6"/>
  <c r="AH225" i="6" s="1"/>
  <c r="Y225" i="6"/>
  <c r="Z225" i="6" s="1"/>
  <c r="BD225" i="6" s="1"/>
  <c r="BL224" i="6"/>
  <c r="BH224" i="6"/>
  <c r="BG224" i="6"/>
  <c r="AT224" i="6"/>
  <c r="AG224" i="6"/>
  <c r="AH224" i="6" s="1"/>
  <c r="Y224" i="6"/>
  <c r="Z224" i="6" s="1"/>
  <c r="BD224" i="6" s="1"/>
  <c r="BL223" i="6"/>
  <c r="BH223" i="6"/>
  <c r="BG223" i="6"/>
  <c r="AY223" i="6"/>
  <c r="AT223" i="6"/>
  <c r="AS223" i="6"/>
  <c r="AG223" i="6"/>
  <c r="AH223" i="6" s="1"/>
  <c r="AB223" i="6"/>
  <c r="Y223" i="6"/>
  <c r="X223" i="6"/>
  <c r="BC223" i="6" s="1"/>
  <c r="S223" i="6"/>
  <c r="T223" i="6" s="1"/>
  <c r="BL222" i="6"/>
  <c r="BH222" i="6"/>
  <c r="BG222" i="6"/>
  <c r="AT222" i="6"/>
  <c r="AG222" i="6"/>
  <c r="AH222" i="6" s="1"/>
  <c r="Y222" i="6"/>
  <c r="BL221" i="6"/>
  <c r="BH221" i="6"/>
  <c r="BG221" i="6"/>
  <c r="AT221" i="6"/>
  <c r="AG221" i="6"/>
  <c r="AH221" i="6" s="1"/>
  <c r="Y221" i="6"/>
  <c r="BL220" i="6"/>
  <c r="BH220" i="6"/>
  <c r="BG220" i="6"/>
  <c r="AT220" i="6"/>
  <c r="AG220" i="6"/>
  <c r="AH220" i="6" s="1"/>
  <c r="Y220" i="6"/>
  <c r="BL219" i="6"/>
  <c r="BH219" i="6"/>
  <c r="BG219" i="6"/>
  <c r="AY219" i="6"/>
  <c r="AT219" i="6"/>
  <c r="AS219" i="6"/>
  <c r="AG219" i="6"/>
  <c r="AH219" i="6" s="1"/>
  <c r="AB219" i="6"/>
  <c r="Y219" i="6"/>
  <c r="W219" i="6"/>
  <c r="S219" i="6"/>
  <c r="U219" i="6" s="1"/>
  <c r="BB219" i="6" s="1"/>
  <c r="BL218" i="6"/>
  <c r="BH218" i="6"/>
  <c r="BG218" i="6"/>
  <c r="AT218" i="6"/>
  <c r="AG218" i="6"/>
  <c r="AH218" i="6" s="1"/>
  <c r="Y218" i="6"/>
  <c r="BL217" i="6"/>
  <c r="BH217" i="6"/>
  <c r="BG217" i="6"/>
  <c r="AT217" i="6"/>
  <c r="AG217" i="6"/>
  <c r="AH217" i="6" s="1"/>
  <c r="Y217" i="6"/>
  <c r="Z217" i="6" s="1"/>
  <c r="BD217" i="6" s="1"/>
  <c r="BL216" i="6"/>
  <c r="BH216" i="6"/>
  <c r="BG216" i="6"/>
  <c r="AT216" i="6"/>
  <c r="AG216" i="6"/>
  <c r="AH216" i="6" s="1"/>
  <c r="Y216" i="6"/>
  <c r="Z216" i="6" s="1"/>
  <c r="BD216" i="6" s="1"/>
  <c r="BL215" i="6"/>
  <c r="BH215" i="6"/>
  <c r="BG215" i="6"/>
  <c r="AY215" i="6"/>
  <c r="AT215" i="6"/>
  <c r="AS215" i="6"/>
  <c r="AG215" i="6"/>
  <c r="AH215" i="6" s="1"/>
  <c r="AB215" i="6"/>
  <c r="Y215" i="6"/>
  <c r="W215" i="6"/>
  <c r="X215" i="6"/>
  <c r="BC215" i="6" s="1"/>
  <c r="S215" i="6"/>
  <c r="U215" i="6" s="1"/>
  <c r="BB215" i="6" s="1"/>
  <c r="BL214" i="6"/>
  <c r="BH214" i="6"/>
  <c r="BG214" i="6"/>
  <c r="AT214" i="6"/>
  <c r="AG214" i="6"/>
  <c r="AH214" i="6" s="1"/>
  <c r="Y214" i="6"/>
  <c r="BL213" i="6"/>
  <c r="BH213" i="6"/>
  <c r="BG213" i="6"/>
  <c r="AT213" i="6"/>
  <c r="AG213" i="6"/>
  <c r="AH213" i="6" s="1"/>
  <c r="Y213" i="6"/>
  <c r="BL212" i="6"/>
  <c r="BH212" i="6"/>
  <c r="BG212" i="6"/>
  <c r="AT212" i="6"/>
  <c r="AG212" i="6"/>
  <c r="AH212" i="6" s="1"/>
  <c r="Y212" i="6"/>
  <c r="BL211" i="6"/>
  <c r="BH211" i="6"/>
  <c r="BG211" i="6"/>
  <c r="AY211" i="6"/>
  <c r="AT211" i="6"/>
  <c r="AS211" i="6"/>
  <c r="AG211" i="6"/>
  <c r="AH211" i="6" s="1"/>
  <c r="AB211" i="6"/>
  <c r="Y211" i="6"/>
  <c r="Z211" i="6" s="1"/>
  <c r="BD211" i="6" s="1"/>
  <c r="X211" i="6"/>
  <c r="BC211" i="6" s="1"/>
  <c r="S211" i="6"/>
  <c r="U211" i="6" s="1"/>
  <c r="BB211" i="6" s="1"/>
  <c r="BL210" i="6"/>
  <c r="BH210" i="6"/>
  <c r="BG210" i="6"/>
  <c r="AT210" i="6"/>
  <c r="AG210" i="6"/>
  <c r="AH210" i="6" s="1"/>
  <c r="Y210" i="6"/>
  <c r="Z210" i="6" s="1"/>
  <c r="BD210" i="6" s="1"/>
  <c r="BL209" i="6"/>
  <c r="BH209" i="6"/>
  <c r="BG209" i="6"/>
  <c r="AT209" i="6"/>
  <c r="AG209" i="6"/>
  <c r="AH209" i="6" s="1"/>
  <c r="Y209" i="6"/>
  <c r="Z209" i="6" s="1"/>
  <c r="BD209" i="6" s="1"/>
  <c r="BL208" i="6"/>
  <c r="BH208" i="6"/>
  <c r="BG208" i="6"/>
  <c r="AT208" i="6"/>
  <c r="AG208" i="6"/>
  <c r="AH208" i="6" s="1"/>
  <c r="Y208" i="6"/>
  <c r="Z208" i="6" s="1"/>
  <c r="BD208" i="6" s="1"/>
  <c r="BL207" i="6"/>
  <c r="BH207" i="6"/>
  <c r="BG207" i="6"/>
  <c r="AY207" i="6"/>
  <c r="AT207" i="6"/>
  <c r="AS207" i="6"/>
  <c r="AG207" i="6"/>
  <c r="AH207" i="6" s="1"/>
  <c r="AB207" i="6"/>
  <c r="Y207" i="6"/>
  <c r="W207" i="6"/>
  <c r="X207" i="6"/>
  <c r="BC207" i="6" s="1"/>
  <c r="S207" i="6"/>
  <c r="T207" i="6" s="1"/>
  <c r="BL206" i="6"/>
  <c r="BH206" i="6"/>
  <c r="BG206" i="6"/>
  <c r="AT206" i="6"/>
  <c r="AG206" i="6"/>
  <c r="AH206" i="6" s="1"/>
  <c r="Y206" i="6"/>
  <c r="BL205" i="6"/>
  <c r="BH205" i="6"/>
  <c r="BG205" i="6"/>
  <c r="AT205" i="6"/>
  <c r="AG205" i="6"/>
  <c r="AH205" i="6" s="1"/>
  <c r="Y205" i="6"/>
  <c r="BL204" i="6"/>
  <c r="BH204" i="6"/>
  <c r="BG204" i="6"/>
  <c r="AT204" i="6"/>
  <c r="AG204" i="6"/>
  <c r="AH204" i="6" s="1"/>
  <c r="Y204" i="6"/>
  <c r="BL203" i="6"/>
  <c r="BH203" i="6"/>
  <c r="BG203" i="6"/>
  <c r="AY203" i="6"/>
  <c r="AT203" i="6"/>
  <c r="AS203" i="6"/>
  <c r="AG203" i="6"/>
  <c r="AH203" i="6" s="1"/>
  <c r="AB203" i="6"/>
  <c r="Y203" i="6"/>
  <c r="Z203" i="6" s="1"/>
  <c r="BD203" i="6" s="1"/>
  <c r="W203" i="6"/>
  <c r="S203" i="6"/>
  <c r="U203" i="6" s="1"/>
  <c r="BB203" i="6" s="1"/>
  <c r="BL202" i="6"/>
  <c r="BH202" i="6"/>
  <c r="BG202" i="6"/>
  <c r="AT202" i="6"/>
  <c r="AG202" i="6"/>
  <c r="AH202" i="6" s="1"/>
  <c r="Y202" i="6"/>
  <c r="Z202" i="6" s="1"/>
  <c r="BD202" i="6" s="1"/>
  <c r="BL201" i="6"/>
  <c r="BH201" i="6"/>
  <c r="BG201" i="6"/>
  <c r="AT201" i="6"/>
  <c r="AG201" i="6"/>
  <c r="AH201" i="6" s="1"/>
  <c r="Y201" i="6"/>
  <c r="BL200" i="6"/>
  <c r="BH200" i="6"/>
  <c r="BG200" i="6"/>
  <c r="AT200" i="6"/>
  <c r="AG200" i="6"/>
  <c r="AH200" i="6" s="1"/>
  <c r="Y200" i="6"/>
  <c r="Z200" i="6" s="1"/>
  <c r="BD200" i="6" s="1"/>
  <c r="BL199" i="6"/>
  <c r="BH199" i="6"/>
  <c r="BG199" i="6"/>
  <c r="AY199" i="6"/>
  <c r="AT199" i="6"/>
  <c r="AS199" i="6"/>
  <c r="AG199" i="6"/>
  <c r="AH199" i="6" s="1"/>
  <c r="AB199" i="6"/>
  <c r="Y199" i="6"/>
  <c r="W199" i="6"/>
  <c r="X199" i="6"/>
  <c r="BC199" i="6" s="1"/>
  <c r="S199" i="6"/>
  <c r="U199" i="6" s="1"/>
  <c r="BB199" i="6" s="1"/>
  <c r="BL198" i="6"/>
  <c r="BH198" i="6"/>
  <c r="BG198" i="6"/>
  <c r="AT198" i="6"/>
  <c r="AG198" i="6"/>
  <c r="AH198" i="6" s="1"/>
  <c r="Y198" i="6"/>
  <c r="BL197" i="6"/>
  <c r="BH197" i="6"/>
  <c r="BG197" i="6"/>
  <c r="AT197" i="6"/>
  <c r="AG197" i="6"/>
  <c r="AH197" i="6" s="1"/>
  <c r="Y197" i="6"/>
  <c r="BL196" i="6"/>
  <c r="BH196" i="6"/>
  <c r="BG196" i="6"/>
  <c r="AT196" i="6"/>
  <c r="AG196" i="6"/>
  <c r="AH196" i="6" s="1"/>
  <c r="Y196" i="6"/>
  <c r="BL195" i="6"/>
  <c r="BH195" i="6"/>
  <c r="BG195" i="6"/>
  <c r="AY195" i="6"/>
  <c r="AT195" i="6"/>
  <c r="AS195" i="6"/>
  <c r="AG195" i="6"/>
  <c r="AH195" i="6" s="1"/>
  <c r="AB195" i="6"/>
  <c r="Y195" i="6"/>
  <c r="Z195" i="6" s="1"/>
  <c r="BD195" i="6" s="1"/>
  <c r="X195" i="6"/>
  <c r="BC195" i="6" s="1"/>
  <c r="S195" i="6"/>
  <c r="U195" i="6" s="1"/>
  <c r="BB195" i="6" s="1"/>
  <c r="BL194" i="6"/>
  <c r="BH194" i="6"/>
  <c r="BG194" i="6"/>
  <c r="AT194" i="6"/>
  <c r="AG194" i="6"/>
  <c r="AH194" i="6" s="1"/>
  <c r="Y194" i="6"/>
  <c r="Z194" i="6" s="1"/>
  <c r="BD194" i="6" s="1"/>
  <c r="BL193" i="6"/>
  <c r="BH193" i="6"/>
  <c r="BG193" i="6"/>
  <c r="AT193" i="6"/>
  <c r="AG193" i="6"/>
  <c r="AH193" i="6" s="1"/>
  <c r="Y193" i="6"/>
  <c r="Z193" i="6" s="1"/>
  <c r="BD193" i="6" s="1"/>
  <c r="BL192" i="6"/>
  <c r="BH192" i="6"/>
  <c r="BG192" i="6"/>
  <c r="AT192" i="6"/>
  <c r="AG192" i="6"/>
  <c r="AH192" i="6" s="1"/>
  <c r="Y192" i="6"/>
  <c r="BL191" i="6"/>
  <c r="BH191" i="6"/>
  <c r="BG191" i="6"/>
  <c r="AY191" i="6"/>
  <c r="AT191" i="6"/>
  <c r="AS191" i="6"/>
  <c r="AG191" i="6"/>
  <c r="AH191" i="6" s="1"/>
  <c r="AB191" i="6"/>
  <c r="Y191" i="6"/>
  <c r="W191" i="6"/>
  <c r="X191" i="6"/>
  <c r="BC191" i="6" s="1"/>
  <c r="S191" i="6"/>
  <c r="T191" i="6" s="1"/>
  <c r="BL190" i="6"/>
  <c r="BH190" i="6"/>
  <c r="BG190" i="6"/>
  <c r="AT190" i="6"/>
  <c r="AG190" i="6"/>
  <c r="AH190" i="6" s="1"/>
  <c r="Y190" i="6"/>
  <c r="BL189" i="6"/>
  <c r="BH189" i="6"/>
  <c r="BG189" i="6"/>
  <c r="AT189" i="6"/>
  <c r="AG189" i="6"/>
  <c r="AH189" i="6" s="1"/>
  <c r="Y189" i="6"/>
  <c r="BL188" i="6"/>
  <c r="BH188" i="6"/>
  <c r="BG188" i="6"/>
  <c r="AT188" i="6"/>
  <c r="AG188" i="6"/>
  <c r="AH188" i="6" s="1"/>
  <c r="Y188" i="6"/>
  <c r="BL187" i="6"/>
  <c r="BH187" i="6"/>
  <c r="BG187" i="6"/>
  <c r="AY187" i="6"/>
  <c r="AT187" i="6"/>
  <c r="AS187" i="6"/>
  <c r="AG187" i="6"/>
  <c r="AH187" i="6" s="1"/>
  <c r="AB187" i="6"/>
  <c r="Y187" i="6"/>
  <c r="Z187" i="6" s="1"/>
  <c r="BD187" i="6" s="1"/>
  <c r="W187" i="6"/>
  <c r="S187" i="6"/>
  <c r="U187" i="6" s="1"/>
  <c r="BB187" i="6" s="1"/>
  <c r="BL186" i="6"/>
  <c r="BH186" i="6"/>
  <c r="BG186" i="6"/>
  <c r="AT186" i="6"/>
  <c r="AG186" i="6"/>
  <c r="AH186" i="6" s="1"/>
  <c r="Y186" i="6"/>
  <c r="Z186" i="6" s="1"/>
  <c r="BD186" i="6" s="1"/>
  <c r="BL185" i="6"/>
  <c r="BH185" i="6"/>
  <c r="BG185" i="6"/>
  <c r="AT185" i="6"/>
  <c r="AG185" i="6"/>
  <c r="AH185" i="6" s="1"/>
  <c r="Y185" i="6"/>
  <c r="Z185" i="6" s="1"/>
  <c r="BD185" i="6" s="1"/>
  <c r="BL184" i="6"/>
  <c r="BH184" i="6"/>
  <c r="BG184" i="6"/>
  <c r="AT184" i="6"/>
  <c r="AG184" i="6"/>
  <c r="AH184" i="6" s="1"/>
  <c r="Y184" i="6"/>
  <c r="BL183" i="6"/>
  <c r="BH183" i="6"/>
  <c r="BG183" i="6"/>
  <c r="AY183" i="6"/>
  <c r="AT183" i="6"/>
  <c r="AS183" i="6"/>
  <c r="AG183" i="6"/>
  <c r="AH183" i="6" s="1"/>
  <c r="AB183" i="6"/>
  <c r="Y183" i="6"/>
  <c r="S183" i="6"/>
  <c r="T183" i="6" s="1"/>
  <c r="BL182" i="6"/>
  <c r="BH182" i="6"/>
  <c r="BG182" i="6"/>
  <c r="AT182" i="6"/>
  <c r="AG182" i="6"/>
  <c r="AH182" i="6" s="1"/>
  <c r="Y182" i="6"/>
  <c r="BL181" i="6"/>
  <c r="BH181" i="6"/>
  <c r="BG181" i="6"/>
  <c r="AT181" i="6"/>
  <c r="AG181" i="6"/>
  <c r="AH181" i="6" s="1"/>
  <c r="Y181" i="6"/>
  <c r="BL180" i="6"/>
  <c r="BH180" i="6"/>
  <c r="BG180" i="6"/>
  <c r="AT180" i="6"/>
  <c r="AG180" i="6"/>
  <c r="AH180" i="6" s="1"/>
  <c r="Y180" i="6"/>
  <c r="BL179" i="6"/>
  <c r="BH179" i="6"/>
  <c r="BG179" i="6"/>
  <c r="AY179" i="6"/>
  <c r="AT179" i="6"/>
  <c r="AS179" i="6"/>
  <c r="AG179" i="6"/>
  <c r="AH179" i="6" s="1"/>
  <c r="AB179" i="6"/>
  <c r="Y179" i="6"/>
  <c r="Z179" i="6" s="1"/>
  <c r="BD179" i="6" s="1"/>
  <c r="X179" i="6"/>
  <c r="BC179" i="6" s="1"/>
  <c r="W179" i="6"/>
  <c r="S179" i="6"/>
  <c r="U179" i="6" s="1"/>
  <c r="BB179" i="6" s="1"/>
  <c r="BL178" i="6"/>
  <c r="BH178" i="6"/>
  <c r="BG178" i="6"/>
  <c r="AT178" i="6"/>
  <c r="AG178" i="6"/>
  <c r="AH178" i="6" s="1"/>
  <c r="Y178" i="6"/>
  <c r="Z178" i="6" s="1"/>
  <c r="BD178" i="6" s="1"/>
  <c r="BL177" i="6"/>
  <c r="BH177" i="6"/>
  <c r="BG177" i="6"/>
  <c r="AT177" i="6"/>
  <c r="AG177" i="6"/>
  <c r="AH177" i="6" s="1"/>
  <c r="Y177" i="6"/>
  <c r="Z177" i="6" s="1"/>
  <c r="BD177" i="6" s="1"/>
  <c r="BL176" i="6"/>
  <c r="BH176" i="6"/>
  <c r="BG176" i="6"/>
  <c r="AT176" i="6"/>
  <c r="AG176" i="6"/>
  <c r="AH176" i="6" s="1"/>
  <c r="Y176" i="6"/>
  <c r="BL175" i="6"/>
  <c r="BH175" i="6"/>
  <c r="BG175" i="6"/>
  <c r="AY175" i="6"/>
  <c r="AT175" i="6"/>
  <c r="AS175" i="6"/>
  <c r="AG175" i="6"/>
  <c r="AH175" i="6" s="1"/>
  <c r="AB175" i="6"/>
  <c r="Y175" i="6"/>
  <c r="S175" i="6"/>
  <c r="T175" i="6" s="1"/>
  <c r="BL174" i="6"/>
  <c r="BH174" i="6"/>
  <c r="BG174" i="6"/>
  <c r="AT174" i="6"/>
  <c r="AG174" i="6"/>
  <c r="AH174" i="6" s="1"/>
  <c r="Y174" i="6"/>
  <c r="BL173" i="6"/>
  <c r="BH173" i="6"/>
  <c r="BG173" i="6"/>
  <c r="AT173" i="6"/>
  <c r="AG173" i="6"/>
  <c r="AH173" i="6" s="1"/>
  <c r="Y173" i="6"/>
  <c r="BL172" i="6"/>
  <c r="BH172" i="6"/>
  <c r="BG172" i="6"/>
  <c r="AT172" i="6"/>
  <c r="AG172" i="6"/>
  <c r="AH172" i="6" s="1"/>
  <c r="Y172" i="6"/>
  <c r="BL171" i="6"/>
  <c r="BH171" i="6"/>
  <c r="BG171" i="6"/>
  <c r="AY171" i="6"/>
  <c r="AT171" i="6"/>
  <c r="AS171" i="6"/>
  <c r="AG171" i="6"/>
  <c r="AH171" i="6" s="1"/>
  <c r="AB171" i="6"/>
  <c r="Y171" i="6"/>
  <c r="Z171" i="6" s="1"/>
  <c r="BD171" i="6" s="1"/>
  <c r="S171" i="6"/>
  <c r="U171" i="6" s="1"/>
  <c r="BB171" i="6" s="1"/>
  <c r="BL170" i="6"/>
  <c r="BH170" i="6"/>
  <c r="BG170" i="6"/>
  <c r="AT170" i="6"/>
  <c r="AG170" i="6"/>
  <c r="AH170" i="6" s="1"/>
  <c r="Y170" i="6"/>
  <c r="Z170" i="6" s="1"/>
  <c r="BD170" i="6" s="1"/>
  <c r="BL169" i="6"/>
  <c r="BH169" i="6"/>
  <c r="BG169" i="6"/>
  <c r="AT169" i="6"/>
  <c r="AG169" i="6"/>
  <c r="AH169" i="6" s="1"/>
  <c r="Y169" i="6"/>
  <c r="Z169" i="6" s="1"/>
  <c r="BD169" i="6" s="1"/>
  <c r="BL168" i="6"/>
  <c r="BH168" i="6"/>
  <c r="BG168" i="6"/>
  <c r="AT168" i="6"/>
  <c r="AG168" i="6"/>
  <c r="AH168" i="6" s="1"/>
  <c r="Y168" i="6"/>
  <c r="BL167" i="6"/>
  <c r="BH167" i="6"/>
  <c r="BG167" i="6"/>
  <c r="AY167" i="6"/>
  <c r="AT167" i="6"/>
  <c r="AS167" i="6"/>
  <c r="AG167" i="6"/>
  <c r="AH167" i="6" s="1"/>
  <c r="AB167" i="6"/>
  <c r="Y167" i="6"/>
  <c r="X167" i="6"/>
  <c r="BC167" i="6" s="1"/>
  <c r="S167" i="6"/>
  <c r="T167" i="6" s="1"/>
  <c r="BL166" i="6"/>
  <c r="BH166" i="6"/>
  <c r="BG166" i="6"/>
  <c r="AT166" i="6"/>
  <c r="AG166" i="6"/>
  <c r="AH166" i="6" s="1"/>
  <c r="Y166" i="6"/>
  <c r="BL165" i="6"/>
  <c r="BH165" i="6"/>
  <c r="BG165" i="6"/>
  <c r="AT165" i="6"/>
  <c r="AG165" i="6"/>
  <c r="AH165" i="6" s="1"/>
  <c r="Y165" i="6"/>
  <c r="BL164" i="6"/>
  <c r="BH164" i="6"/>
  <c r="BG164" i="6"/>
  <c r="AT164" i="6"/>
  <c r="AG164" i="6"/>
  <c r="AH164" i="6" s="1"/>
  <c r="Y164" i="6"/>
  <c r="BL163" i="6"/>
  <c r="BH163" i="6"/>
  <c r="BG163" i="6"/>
  <c r="AY163" i="6"/>
  <c r="AT163" i="6"/>
  <c r="AS163" i="6"/>
  <c r="AG163" i="6"/>
  <c r="AH163" i="6" s="1"/>
  <c r="AB163" i="6"/>
  <c r="Y163" i="6"/>
  <c r="X163" i="6"/>
  <c r="BC163" i="6" s="1"/>
  <c r="W163" i="6"/>
  <c r="S163" i="6"/>
  <c r="T163" i="6" s="1"/>
  <c r="BL162" i="6"/>
  <c r="BH162" i="6"/>
  <c r="BG162" i="6"/>
  <c r="AT162" i="6"/>
  <c r="AG162" i="6"/>
  <c r="AH162" i="6" s="1"/>
  <c r="Y162" i="6"/>
  <c r="Z162" i="6" s="1"/>
  <c r="BD162" i="6" s="1"/>
  <c r="BL161" i="6"/>
  <c r="BH161" i="6"/>
  <c r="BG161" i="6"/>
  <c r="AT161" i="6"/>
  <c r="AG161" i="6"/>
  <c r="AH161" i="6" s="1"/>
  <c r="Y161" i="6"/>
  <c r="Z161" i="6" s="1"/>
  <c r="BD161" i="6" s="1"/>
  <c r="BL160" i="6"/>
  <c r="BH160" i="6"/>
  <c r="BG160" i="6"/>
  <c r="AT160" i="6"/>
  <c r="AG160" i="6"/>
  <c r="AH160" i="6" s="1"/>
  <c r="Y160" i="6"/>
  <c r="BL159" i="6"/>
  <c r="BH159" i="6"/>
  <c r="BG159" i="6"/>
  <c r="AY159" i="6"/>
  <c r="AT159" i="6"/>
  <c r="AS159" i="6"/>
  <c r="AG159" i="6"/>
  <c r="AH159" i="6" s="1"/>
  <c r="AB159" i="6"/>
  <c r="Y159" i="6"/>
  <c r="X159" i="6"/>
  <c r="BC159" i="6" s="1"/>
  <c r="W159" i="6"/>
  <c r="S159" i="6"/>
  <c r="U159" i="6" s="1"/>
  <c r="BB159" i="6" s="1"/>
  <c r="BL158" i="6"/>
  <c r="BH158" i="6"/>
  <c r="BG158" i="6"/>
  <c r="AT158" i="6"/>
  <c r="AG158" i="6"/>
  <c r="AH158" i="6" s="1"/>
  <c r="Y158" i="6"/>
  <c r="BL157" i="6"/>
  <c r="BH157" i="6"/>
  <c r="BG157" i="6"/>
  <c r="AT157" i="6"/>
  <c r="AG157" i="6"/>
  <c r="AH157" i="6" s="1"/>
  <c r="Y157" i="6"/>
  <c r="BL156" i="6"/>
  <c r="BH156" i="6"/>
  <c r="BG156" i="6"/>
  <c r="AT156" i="6"/>
  <c r="AG156" i="6"/>
  <c r="AH156" i="6" s="1"/>
  <c r="Y156" i="6"/>
  <c r="BL155" i="6"/>
  <c r="BH155" i="6"/>
  <c r="BG155" i="6"/>
  <c r="AY155" i="6"/>
  <c r="AT155" i="6"/>
  <c r="AS155" i="6"/>
  <c r="AG155" i="6"/>
  <c r="AH155" i="6" s="1"/>
  <c r="AB155" i="6"/>
  <c r="Y155" i="6"/>
  <c r="S155" i="6"/>
  <c r="U155" i="6" s="1"/>
  <c r="BB155" i="6" s="1"/>
  <c r="BL154" i="6"/>
  <c r="BH154" i="6"/>
  <c r="BG154" i="6"/>
  <c r="AT154" i="6"/>
  <c r="AG154" i="6"/>
  <c r="AH154" i="6" s="1"/>
  <c r="Y154" i="6"/>
  <c r="BL153" i="6"/>
  <c r="BH153" i="6"/>
  <c r="BG153" i="6"/>
  <c r="AT153" i="6"/>
  <c r="AG153" i="6"/>
  <c r="AH153" i="6" s="1"/>
  <c r="Y153" i="6"/>
  <c r="BL152" i="6"/>
  <c r="BH152" i="6"/>
  <c r="BG152" i="6"/>
  <c r="AT152" i="6"/>
  <c r="AG152" i="6"/>
  <c r="AH152" i="6" s="1"/>
  <c r="Y152" i="6"/>
  <c r="BL151" i="6"/>
  <c r="BH151" i="6"/>
  <c r="BG151" i="6"/>
  <c r="AY151" i="6"/>
  <c r="AT151" i="6"/>
  <c r="AS151" i="6"/>
  <c r="AG151" i="6"/>
  <c r="AH151" i="6" s="1"/>
  <c r="AB151" i="6"/>
  <c r="Y151" i="6"/>
  <c r="X151" i="6"/>
  <c r="BC151" i="6" s="1"/>
  <c r="S151" i="6"/>
  <c r="T151" i="6" s="1"/>
  <c r="BL150" i="6"/>
  <c r="BH150" i="6"/>
  <c r="BG150" i="6"/>
  <c r="AT150" i="6"/>
  <c r="AG150" i="6"/>
  <c r="AH150" i="6" s="1"/>
  <c r="Y150" i="6"/>
  <c r="BL149" i="6"/>
  <c r="BH149" i="6"/>
  <c r="BG149" i="6"/>
  <c r="AT149" i="6"/>
  <c r="AG149" i="6"/>
  <c r="AH149" i="6" s="1"/>
  <c r="Y149" i="6"/>
  <c r="BL148" i="6"/>
  <c r="BH148" i="6"/>
  <c r="BG148" i="6"/>
  <c r="AT148" i="6"/>
  <c r="AG148" i="6"/>
  <c r="AH148" i="6" s="1"/>
  <c r="Y148" i="6"/>
  <c r="BL147" i="6"/>
  <c r="BH147" i="6"/>
  <c r="BG147" i="6"/>
  <c r="AY147" i="6"/>
  <c r="AT147" i="6"/>
  <c r="AS147" i="6"/>
  <c r="AG147" i="6"/>
  <c r="AH147" i="6" s="1"/>
  <c r="AB147" i="6"/>
  <c r="Y147" i="6"/>
  <c r="X147" i="6"/>
  <c r="BC147" i="6" s="1"/>
  <c r="W147" i="6"/>
  <c r="S147" i="6"/>
  <c r="U147" i="6" s="1"/>
  <c r="BB147" i="6" s="1"/>
  <c r="BL146" i="6"/>
  <c r="BH146" i="6"/>
  <c r="BG146" i="6"/>
  <c r="AT146" i="6"/>
  <c r="AG146" i="6"/>
  <c r="AH146" i="6" s="1"/>
  <c r="Y146" i="6"/>
  <c r="Z146" i="6" s="1"/>
  <c r="BD146" i="6" s="1"/>
  <c r="BL145" i="6"/>
  <c r="BH145" i="6"/>
  <c r="BG145" i="6"/>
  <c r="AT145" i="6"/>
  <c r="AG145" i="6"/>
  <c r="AH145" i="6" s="1"/>
  <c r="Y145" i="6"/>
  <c r="Z145" i="6" s="1"/>
  <c r="BD145" i="6" s="1"/>
  <c r="BL144" i="6"/>
  <c r="BH144" i="6"/>
  <c r="BG144" i="6"/>
  <c r="AT144" i="6"/>
  <c r="AG144" i="6"/>
  <c r="AH144" i="6" s="1"/>
  <c r="Y144" i="6"/>
  <c r="Z144" i="6" s="1"/>
  <c r="BD144" i="6" s="1"/>
  <c r="BL143" i="6"/>
  <c r="BH143" i="6"/>
  <c r="BG143" i="6"/>
  <c r="AY143" i="6"/>
  <c r="AT143" i="6"/>
  <c r="AS143" i="6"/>
  <c r="AG143" i="6"/>
  <c r="AH143" i="6" s="1"/>
  <c r="AB143" i="6"/>
  <c r="Y143" i="6"/>
  <c r="X143" i="6"/>
  <c r="BC143" i="6" s="1"/>
  <c r="W143" i="6"/>
  <c r="S143" i="6"/>
  <c r="U143" i="6" s="1"/>
  <c r="BB143" i="6" s="1"/>
  <c r="BL142" i="6"/>
  <c r="BH142" i="6"/>
  <c r="BG142" i="6"/>
  <c r="AT142" i="6"/>
  <c r="AG142" i="6"/>
  <c r="AH142" i="6" s="1"/>
  <c r="Y142" i="6"/>
  <c r="BL141" i="6"/>
  <c r="BH141" i="6"/>
  <c r="BG141" i="6"/>
  <c r="AT141" i="6"/>
  <c r="AG141" i="6"/>
  <c r="AH141" i="6" s="1"/>
  <c r="Y141" i="6"/>
  <c r="BL140" i="6"/>
  <c r="BH140" i="6"/>
  <c r="BG140" i="6"/>
  <c r="AT140" i="6"/>
  <c r="AG140" i="6"/>
  <c r="AH140" i="6" s="1"/>
  <c r="Y140" i="6"/>
  <c r="BL139" i="6"/>
  <c r="BH139" i="6"/>
  <c r="BG139" i="6"/>
  <c r="AY139" i="6"/>
  <c r="AT139" i="6"/>
  <c r="AS139" i="6"/>
  <c r="AG139" i="6"/>
  <c r="AH139" i="6" s="1"/>
  <c r="AB139" i="6"/>
  <c r="Y139" i="6"/>
  <c r="Z139" i="6" s="1"/>
  <c r="BD139" i="6" s="1"/>
  <c r="S139" i="6"/>
  <c r="U139" i="6" s="1"/>
  <c r="BB139" i="6" s="1"/>
  <c r="BL138" i="6"/>
  <c r="BH138" i="6"/>
  <c r="BG138" i="6"/>
  <c r="AT138" i="6"/>
  <c r="AG138" i="6"/>
  <c r="AH138" i="6" s="1"/>
  <c r="Y138" i="6"/>
  <c r="BL137" i="6"/>
  <c r="BH137" i="6"/>
  <c r="BG137" i="6"/>
  <c r="AT137" i="6"/>
  <c r="AG137" i="6"/>
  <c r="AH137" i="6" s="1"/>
  <c r="Y137" i="6"/>
  <c r="BL136" i="6"/>
  <c r="BH136" i="6"/>
  <c r="BG136" i="6"/>
  <c r="AT136" i="6"/>
  <c r="AG136" i="6"/>
  <c r="AH136" i="6" s="1"/>
  <c r="Y136" i="6"/>
  <c r="BL135" i="6"/>
  <c r="BH135" i="6"/>
  <c r="BG135" i="6"/>
  <c r="AY135" i="6"/>
  <c r="AT135" i="6"/>
  <c r="AS135" i="6"/>
  <c r="AG135" i="6"/>
  <c r="AH135" i="6" s="1"/>
  <c r="AB135" i="6"/>
  <c r="Y135" i="6"/>
  <c r="X135" i="6"/>
  <c r="BC135" i="6" s="1"/>
  <c r="S135" i="6"/>
  <c r="T135" i="6" s="1"/>
  <c r="BL134" i="6"/>
  <c r="BH134" i="6"/>
  <c r="BG134" i="6"/>
  <c r="AT134" i="6"/>
  <c r="AG134" i="6"/>
  <c r="AH134" i="6" s="1"/>
  <c r="Y134" i="6"/>
  <c r="BL133" i="6"/>
  <c r="BH133" i="6"/>
  <c r="BG133" i="6"/>
  <c r="AT133" i="6"/>
  <c r="AG133" i="6"/>
  <c r="AH133" i="6" s="1"/>
  <c r="Y133" i="6"/>
  <c r="BL132" i="6"/>
  <c r="BH132" i="6"/>
  <c r="BG132" i="6"/>
  <c r="AT132" i="6"/>
  <c r="AG132" i="6"/>
  <c r="AH132" i="6" s="1"/>
  <c r="Y132" i="6"/>
  <c r="BL131" i="6"/>
  <c r="BH131" i="6"/>
  <c r="BG131" i="6"/>
  <c r="AY131" i="6"/>
  <c r="AT131" i="6"/>
  <c r="AS131" i="6"/>
  <c r="AG131" i="6"/>
  <c r="AH131" i="6" s="1"/>
  <c r="AB131" i="6"/>
  <c r="Y131" i="6"/>
  <c r="X131" i="6"/>
  <c r="BC131" i="6" s="1"/>
  <c r="W131" i="6"/>
  <c r="S131" i="6"/>
  <c r="U131" i="6" s="1"/>
  <c r="BB131" i="6" s="1"/>
  <c r="BL130" i="6"/>
  <c r="BH130" i="6"/>
  <c r="BG130" i="6"/>
  <c r="AT130" i="6"/>
  <c r="AG130" i="6"/>
  <c r="AH130" i="6" s="1"/>
  <c r="Y130" i="6"/>
  <c r="BL129" i="6"/>
  <c r="BH129" i="6"/>
  <c r="BG129" i="6"/>
  <c r="AT129" i="6"/>
  <c r="AG129" i="6"/>
  <c r="AH129" i="6" s="1"/>
  <c r="Y129" i="6"/>
  <c r="BL128" i="6"/>
  <c r="BH128" i="6"/>
  <c r="BG128" i="6"/>
  <c r="AT128" i="6"/>
  <c r="AG128" i="6"/>
  <c r="AH128" i="6" s="1"/>
  <c r="Y128" i="6"/>
  <c r="Z128" i="6" s="1"/>
  <c r="BD128" i="6" s="1"/>
  <c r="BL127" i="6"/>
  <c r="BH127" i="6"/>
  <c r="BG127" i="6"/>
  <c r="AY127" i="6"/>
  <c r="AT127" i="6"/>
  <c r="AS127" i="6"/>
  <c r="AG127" i="6"/>
  <c r="AH127" i="6" s="1"/>
  <c r="AB127" i="6"/>
  <c r="Y127" i="6"/>
  <c r="X127" i="6"/>
  <c r="BC127" i="6" s="1"/>
  <c r="W127" i="6"/>
  <c r="S127" i="6"/>
  <c r="U127" i="6" s="1"/>
  <c r="BB127" i="6" s="1"/>
  <c r="BL126" i="6"/>
  <c r="BH126" i="6"/>
  <c r="BG126" i="6"/>
  <c r="AT126" i="6"/>
  <c r="AG126" i="6"/>
  <c r="AH126" i="6" s="1"/>
  <c r="Y126" i="6"/>
  <c r="BL125" i="6"/>
  <c r="BH125" i="6"/>
  <c r="BG125" i="6"/>
  <c r="AT125" i="6"/>
  <c r="AG125" i="6"/>
  <c r="AH125" i="6" s="1"/>
  <c r="Y125" i="6"/>
  <c r="BL124" i="6"/>
  <c r="BH124" i="6"/>
  <c r="BG124" i="6"/>
  <c r="AT124" i="6"/>
  <c r="AG124" i="6"/>
  <c r="AH124" i="6" s="1"/>
  <c r="Y124" i="6"/>
  <c r="BL123" i="6"/>
  <c r="BH123" i="6"/>
  <c r="BG123" i="6"/>
  <c r="AY123" i="6"/>
  <c r="AT123" i="6"/>
  <c r="AS123" i="6"/>
  <c r="AG123" i="6"/>
  <c r="AH123" i="6" s="1"/>
  <c r="AB123" i="6"/>
  <c r="Y123" i="6"/>
  <c r="Z123" i="6" s="1"/>
  <c r="BD123" i="6" s="1"/>
  <c r="X123" i="6"/>
  <c r="BC123" i="6" s="1"/>
  <c r="S123" i="6"/>
  <c r="BL122" i="6"/>
  <c r="BH122" i="6"/>
  <c r="BG122" i="6"/>
  <c r="AT122" i="6"/>
  <c r="AG122" i="6"/>
  <c r="AH122" i="6" s="1"/>
  <c r="Y122" i="6"/>
  <c r="BL121" i="6"/>
  <c r="BH121" i="6"/>
  <c r="BG121" i="6"/>
  <c r="AT121" i="6"/>
  <c r="AG121" i="6"/>
  <c r="AH121" i="6" s="1"/>
  <c r="Y121" i="6"/>
  <c r="BL120" i="6"/>
  <c r="BH120" i="6"/>
  <c r="BG120" i="6"/>
  <c r="AT120" i="6"/>
  <c r="AG120" i="6"/>
  <c r="AH120" i="6" s="1"/>
  <c r="Y120" i="6"/>
  <c r="BL119" i="6"/>
  <c r="BH119" i="6"/>
  <c r="BG119" i="6"/>
  <c r="AY119" i="6"/>
  <c r="AT119" i="6"/>
  <c r="AS119" i="6"/>
  <c r="AG119" i="6"/>
  <c r="AH119" i="6" s="1"/>
  <c r="AB119" i="6"/>
  <c r="Y119" i="6"/>
  <c r="X119" i="6"/>
  <c r="BC119" i="6" s="1"/>
  <c r="S119" i="6"/>
  <c r="T119" i="6" s="1"/>
  <c r="BL118" i="6"/>
  <c r="BH118" i="6"/>
  <c r="BG118" i="6"/>
  <c r="AT118" i="6"/>
  <c r="AG118" i="6"/>
  <c r="AH118" i="6" s="1"/>
  <c r="Y118" i="6"/>
  <c r="BL117" i="6"/>
  <c r="BH117" i="6"/>
  <c r="BG117" i="6"/>
  <c r="AT117" i="6"/>
  <c r="AG117" i="6"/>
  <c r="AH117" i="6" s="1"/>
  <c r="Y117" i="6"/>
  <c r="BL116" i="6"/>
  <c r="BH116" i="6"/>
  <c r="BG116" i="6"/>
  <c r="AT116" i="6"/>
  <c r="AG116" i="6"/>
  <c r="AH116" i="6" s="1"/>
  <c r="Y116" i="6"/>
  <c r="BL115" i="6"/>
  <c r="BH115" i="6"/>
  <c r="BG115" i="6"/>
  <c r="AY115" i="6"/>
  <c r="AT115" i="6"/>
  <c r="AS115" i="6"/>
  <c r="AG115" i="6"/>
  <c r="AH115" i="6" s="1"/>
  <c r="AB115" i="6"/>
  <c r="Y115" i="6"/>
  <c r="X115" i="6"/>
  <c r="BC115" i="6" s="1"/>
  <c r="S115" i="6"/>
  <c r="U115" i="6" s="1"/>
  <c r="BB115" i="6" s="1"/>
  <c r="BL114" i="6"/>
  <c r="BH114" i="6"/>
  <c r="BG114" i="6"/>
  <c r="AT114" i="6"/>
  <c r="AG114" i="6"/>
  <c r="AH114" i="6" s="1"/>
  <c r="Y114" i="6"/>
  <c r="BL113" i="6"/>
  <c r="BH113" i="6"/>
  <c r="BG113" i="6"/>
  <c r="AT113" i="6"/>
  <c r="AG113" i="6"/>
  <c r="AH113" i="6" s="1"/>
  <c r="Y113" i="6"/>
  <c r="BL112" i="6"/>
  <c r="BH112" i="6"/>
  <c r="BG112" i="6"/>
  <c r="AT112" i="6"/>
  <c r="AG112" i="6"/>
  <c r="AH112" i="6" s="1"/>
  <c r="Y112" i="6"/>
  <c r="Z112" i="6" s="1"/>
  <c r="BD112" i="6" s="1"/>
  <c r="BL111" i="6"/>
  <c r="BH111" i="6"/>
  <c r="BG111" i="6"/>
  <c r="AY111" i="6"/>
  <c r="AT111" i="6"/>
  <c r="AS111" i="6"/>
  <c r="AG111" i="6"/>
  <c r="AH111" i="6" s="1"/>
  <c r="AB111" i="6"/>
  <c r="Y111" i="6"/>
  <c r="S111" i="6"/>
  <c r="T111" i="6" s="1"/>
  <c r="BL110" i="6"/>
  <c r="BH110" i="6"/>
  <c r="BG110" i="6"/>
  <c r="AT110" i="6"/>
  <c r="AG110" i="6"/>
  <c r="AH110" i="6" s="1"/>
  <c r="Y110" i="6"/>
  <c r="BL109" i="6"/>
  <c r="BH109" i="6"/>
  <c r="BG109" i="6"/>
  <c r="AT109" i="6"/>
  <c r="AG109" i="6"/>
  <c r="AH109" i="6" s="1"/>
  <c r="Y109" i="6"/>
  <c r="BL108" i="6"/>
  <c r="BH108" i="6"/>
  <c r="BG108" i="6"/>
  <c r="AT108" i="6"/>
  <c r="AG108" i="6"/>
  <c r="AH108" i="6" s="1"/>
  <c r="Y108" i="6"/>
  <c r="BL107" i="6"/>
  <c r="BH107" i="6"/>
  <c r="BG107" i="6"/>
  <c r="AY107" i="6"/>
  <c r="AT107" i="6"/>
  <c r="AS107" i="6"/>
  <c r="AG107" i="6"/>
  <c r="AH107" i="6" s="1"/>
  <c r="AB107" i="6"/>
  <c r="Y107" i="6"/>
  <c r="Z107" i="6" s="1"/>
  <c r="BD107" i="6" s="1"/>
  <c r="X107" i="6"/>
  <c r="BC107" i="6" s="1"/>
  <c r="W107" i="6"/>
  <c r="S107" i="6"/>
  <c r="U107" i="6" s="1"/>
  <c r="BB107" i="6" s="1"/>
  <c r="BL106" i="6"/>
  <c r="BH106" i="6"/>
  <c r="BG106" i="6"/>
  <c r="AT106" i="6"/>
  <c r="AG106" i="6"/>
  <c r="AH106" i="6" s="1"/>
  <c r="Y106" i="6"/>
  <c r="BL105" i="6"/>
  <c r="BH105" i="6"/>
  <c r="BG105" i="6"/>
  <c r="AT105" i="6"/>
  <c r="AG105" i="6"/>
  <c r="AH105" i="6" s="1"/>
  <c r="Y105" i="6"/>
  <c r="Z105" i="6" s="1"/>
  <c r="BD105" i="6" s="1"/>
  <c r="BL104" i="6"/>
  <c r="BH104" i="6"/>
  <c r="BG104" i="6"/>
  <c r="AT104" i="6"/>
  <c r="AG104" i="6"/>
  <c r="AH104" i="6" s="1"/>
  <c r="Y104" i="6"/>
  <c r="Z104" i="6" s="1"/>
  <c r="BD104" i="6" s="1"/>
  <c r="BL103" i="6"/>
  <c r="BH103" i="6"/>
  <c r="BG103" i="6"/>
  <c r="AY103" i="6"/>
  <c r="AT103" i="6"/>
  <c r="AS103" i="6"/>
  <c r="AG103" i="6"/>
  <c r="AH103" i="6" s="1"/>
  <c r="AB103" i="6"/>
  <c r="Y103" i="6"/>
  <c r="S103" i="6"/>
  <c r="U103" i="6" s="1"/>
  <c r="BB103" i="6" s="1"/>
  <c r="BL102" i="6"/>
  <c r="BH102" i="6"/>
  <c r="BG102" i="6"/>
  <c r="AT102" i="6"/>
  <c r="AG102" i="6"/>
  <c r="AH102" i="6" s="1"/>
  <c r="Y102" i="6"/>
  <c r="BL101" i="6"/>
  <c r="BH101" i="6"/>
  <c r="BG101" i="6"/>
  <c r="AT101" i="6"/>
  <c r="AG101" i="6"/>
  <c r="AH101" i="6" s="1"/>
  <c r="Y101" i="6"/>
  <c r="BL100" i="6"/>
  <c r="BH100" i="6"/>
  <c r="BG100" i="6"/>
  <c r="AT100" i="6"/>
  <c r="AG100" i="6"/>
  <c r="AH100" i="6" s="1"/>
  <c r="Y100" i="6"/>
  <c r="BL99" i="6"/>
  <c r="BH99" i="6"/>
  <c r="BG99" i="6"/>
  <c r="AY99" i="6"/>
  <c r="AT99" i="6"/>
  <c r="AS99" i="6"/>
  <c r="AG99" i="6"/>
  <c r="AH99" i="6" s="1"/>
  <c r="AB99" i="6"/>
  <c r="Y99" i="6"/>
  <c r="Z99" i="6" s="1"/>
  <c r="BD99" i="6" s="1"/>
  <c r="X99" i="6"/>
  <c r="BC99" i="6" s="1"/>
  <c r="S99" i="6"/>
  <c r="U99" i="6" s="1"/>
  <c r="BB99" i="6" s="1"/>
  <c r="BL98" i="6"/>
  <c r="BH98" i="6"/>
  <c r="BG98" i="6"/>
  <c r="AT98" i="6"/>
  <c r="AG98" i="6"/>
  <c r="AH98" i="6" s="1"/>
  <c r="Y98" i="6"/>
  <c r="Z98" i="6" s="1"/>
  <c r="BD98" i="6" s="1"/>
  <c r="BL97" i="6"/>
  <c r="BH97" i="6"/>
  <c r="BG97" i="6"/>
  <c r="AT97" i="6"/>
  <c r="AG97" i="6"/>
  <c r="AH97" i="6" s="1"/>
  <c r="Y97" i="6"/>
  <c r="Z97" i="6" s="1"/>
  <c r="BD97" i="6" s="1"/>
  <c r="BL96" i="6"/>
  <c r="BH96" i="6"/>
  <c r="BG96" i="6"/>
  <c r="AT96" i="6"/>
  <c r="AG96" i="6"/>
  <c r="AH96" i="6" s="1"/>
  <c r="Y96" i="6"/>
  <c r="BL95" i="6"/>
  <c r="BH95" i="6"/>
  <c r="BG95" i="6"/>
  <c r="AY95" i="6"/>
  <c r="AT95" i="6"/>
  <c r="AS95" i="6"/>
  <c r="AG95" i="6"/>
  <c r="AH95" i="6" s="1"/>
  <c r="AB95" i="6"/>
  <c r="Y95" i="6"/>
  <c r="W95" i="6"/>
  <c r="X95" i="6"/>
  <c r="BC95" i="6" s="1"/>
  <c r="S95" i="6"/>
  <c r="T95" i="6" s="1"/>
  <c r="BL94" i="6"/>
  <c r="BH94" i="6"/>
  <c r="BG94" i="6"/>
  <c r="AT94" i="6"/>
  <c r="AG94" i="6"/>
  <c r="AH94" i="6" s="1"/>
  <c r="Y94" i="6"/>
  <c r="BL93" i="6"/>
  <c r="BH93" i="6"/>
  <c r="BG93" i="6"/>
  <c r="AT93" i="6"/>
  <c r="AG93" i="6"/>
  <c r="AH93" i="6" s="1"/>
  <c r="Y93" i="6"/>
  <c r="BL92" i="6"/>
  <c r="BH92" i="6"/>
  <c r="BG92" i="6"/>
  <c r="AT92" i="6"/>
  <c r="AG92" i="6"/>
  <c r="AH92" i="6" s="1"/>
  <c r="Y92" i="6"/>
  <c r="BL91" i="6"/>
  <c r="BH91" i="6"/>
  <c r="BG91" i="6"/>
  <c r="AY91" i="6"/>
  <c r="AT91" i="6"/>
  <c r="AS91" i="6"/>
  <c r="AG91" i="6"/>
  <c r="AH91" i="6" s="1"/>
  <c r="AB91" i="6"/>
  <c r="Y91" i="6"/>
  <c r="Z91" i="6" s="1"/>
  <c r="BD91" i="6" s="1"/>
  <c r="X91" i="6"/>
  <c r="BC91" i="6" s="1"/>
  <c r="S91" i="6"/>
  <c r="T91" i="6" s="1"/>
  <c r="BL90" i="6"/>
  <c r="BH90" i="6"/>
  <c r="BG90" i="6"/>
  <c r="AT90" i="6"/>
  <c r="AG90" i="6"/>
  <c r="AH90" i="6" s="1"/>
  <c r="Y90" i="6"/>
  <c r="BL89" i="6"/>
  <c r="BH89" i="6"/>
  <c r="BG89" i="6"/>
  <c r="AT89" i="6"/>
  <c r="AG89" i="6"/>
  <c r="AH89" i="6" s="1"/>
  <c r="Y89" i="6"/>
  <c r="Z89" i="6" s="1"/>
  <c r="BD89" i="6" s="1"/>
  <c r="BL88" i="6"/>
  <c r="BH88" i="6"/>
  <c r="BG88" i="6"/>
  <c r="AT88" i="6"/>
  <c r="AG88" i="6"/>
  <c r="AH88" i="6" s="1"/>
  <c r="Y88" i="6"/>
  <c r="Z88" i="6" s="1"/>
  <c r="BD88" i="6" s="1"/>
  <c r="BL87" i="6"/>
  <c r="BH87" i="6"/>
  <c r="BG87" i="6"/>
  <c r="AY87" i="6"/>
  <c r="AT87" i="6"/>
  <c r="AS87" i="6"/>
  <c r="AG87" i="6"/>
  <c r="AH87" i="6" s="1"/>
  <c r="AB87" i="6"/>
  <c r="Y87" i="6"/>
  <c r="S87" i="6"/>
  <c r="T87" i="6" s="1"/>
  <c r="BL86" i="6"/>
  <c r="BH86" i="6"/>
  <c r="BG86" i="6"/>
  <c r="AT86" i="6"/>
  <c r="AG86" i="6"/>
  <c r="AH86" i="6" s="1"/>
  <c r="Y86" i="6"/>
  <c r="BL85" i="6"/>
  <c r="BH85" i="6"/>
  <c r="BG85" i="6"/>
  <c r="AT85" i="6"/>
  <c r="AG85" i="6"/>
  <c r="AH85" i="6" s="1"/>
  <c r="Y85" i="6"/>
  <c r="BL84" i="6"/>
  <c r="BH84" i="6"/>
  <c r="BG84" i="6"/>
  <c r="AT84" i="6"/>
  <c r="AG84" i="6"/>
  <c r="AH84" i="6" s="1"/>
  <c r="Y84" i="6"/>
  <c r="BL83" i="6"/>
  <c r="BH83" i="6"/>
  <c r="BG83" i="6"/>
  <c r="AY83" i="6"/>
  <c r="AT83" i="6"/>
  <c r="AS83" i="6"/>
  <c r="AG83" i="6"/>
  <c r="AH83" i="6" s="1"/>
  <c r="AB83" i="6"/>
  <c r="Y83" i="6"/>
  <c r="Z83" i="6" s="1"/>
  <c r="BD83" i="6" s="1"/>
  <c r="X83" i="6"/>
  <c r="BC83" i="6" s="1"/>
  <c r="W83" i="6"/>
  <c r="S83" i="6"/>
  <c r="U83" i="6" s="1"/>
  <c r="BB83" i="6" s="1"/>
  <c r="BL82" i="6"/>
  <c r="BH82" i="6"/>
  <c r="BG82" i="6"/>
  <c r="AT82" i="6"/>
  <c r="AG82" i="6"/>
  <c r="AH82" i="6" s="1"/>
  <c r="Y82" i="6"/>
  <c r="BL81" i="6"/>
  <c r="BH81" i="6"/>
  <c r="BG81" i="6"/>
  <c r="AT81" i="6"/>
  <c r="AG81" i="6"/>
  <c r="AH81" i="6" s="1"/>
  <c r="Y81" i="6"/>
  <c r="BL80" i="6"/>
  <c r="BH80" i="6"/>
  <c r="BG80" i="6"/>
  <c r="AT80" i="6"/>
  <c r="AG80" i="6"/>
  <c r="AH80" i="6" s="1"/>
  <c r="Y80" i="6"/>
  <c r="BL79" i="6"/>
  <c r="BH79" i="6"/>
  <c r="BG79" i="6"/>
  <c r="AY79" i="6"/>
  <c r="AT79" i="6"/>
  <c r="AS79" i="6"/>
  <c r="AG79" i="6"/>
  <c r="AH79" i="6" s="1"/>
  <c r="AB79" i="6"/>
  <c r="Y79" i="6"/>
  <c r="X79" i="6"/>
  <c r="BC79" i="6" s="1"/>
  <c r="S79" i="6"/>
  <c r="T79" i="6" s="1"/>
  <c r="BL78" i="6"/>
  <c r="BH78" i="6"/>
  <c r="BG78" i="6"/>
  <c r="AT78" i="6"/>
  <c r="AG78" i="6"/>
  <c r="AH78" i="6" s="1"/>
  <c r="Y78" i="6"/>
  <c r="BL77" i="6"/>
  <c r="BH77" i="6"/>
  <c r="BG77" i="6"/>
  <c r="AT77" i="6"/>
  <c r="AG77" i="6"/>
  <c r="AH77" i="6" s="1"/>
  <c r="Y77" i="6"/>
  <c r="BL76" i="6"/>
  <c r="BH76" i="6"/>
  <c r="BG76" i="6"/>
  <c r="AT76" i="6"/>
  <c r="AG76" i="6"/>
  <c r="AH76" i="6" s="1"/>
  <c r="Y76" i="6"/>
  <c r="BL75" i="6"/>
  <c r="BH75" i="6"/>
  <c r="BG75" i="6"/>
  <c r="AY75" i="6"/>
  <c r="AT75" i="6"/>
  <c r="AS75" i="6"/>
  <c r="AG75" i="6"/>
  <c r="AH75" i="6" s="1"/>
  <c r="AB75" i="6"/>
  <c r="Y75" i="6"/>
  <c r="W75" i="6"/>
  <c r="S75" i="6"/>
  <c r="T75" i="6" s="1"/>
  <c r="BL74" i="6"/>
  <c r="BH74" i="6"/>
  <c r="BG74" i="6"/>
  <c r="AT74" i="6"/>
  <c r="AG74" i="6"/>
  <c r="AH74" i="6" s="1"/>
  <c r="Y74" i="6"/>
  <c r="BL73" i="6"/>
  <c r="BH73" i="6"/>
  <c r="BG73" i="6"/>
  <c r="AT73" i="6"/>
  <c r="AG73" i="6"/>
  <c r="AH73" i="6" s="1"/>
  <c r="Y73" i="6"/>
  <c r="BL72" i="6"/>
  <c r="BH72" i="6"/>
  <c r="BG72" i="6"/>
  <c r="AT72" i="6"/>
  <c r="AG72" i="6"/>
  <c r="AH72" i="6" s="1"/>
  <c r="Y72" i="6"/>
  <c r="BL71" i="6"/>
  <c r="BH71" i="6"/>
  <c r="BG71" i="6"/>
  <c r="AY71" i="6"/>
  <c r="AT71" i="6"/>
  <c r="AS71" i="6"/>
  <c r="AG71" i="6"/>
  <c r="AH71" i="6" s="1"/>
  <c r="AB71" i="6"/>
  <c r="Y71" i="6"/>
  <c r="X71" i="6"/>
  <c r="BC71" i="6" s="1"/>
  <c r="S71" i="6"/>
  <c r="T71" i="6" s="1"/>
  <c r="BL70" i="6"/>
  <c r="BH70" i="6"/>
  <c r="BG70" i="6"/>
  <c r="AT70" i="6"/>
  <c r="AG70" i="6"/>
  <c r="AH70" i="6" s="1"/>
  <c r="Y70" i="6"/>
  <c r="BL69" i="6"/>
  <c r="BH69" i="6"/>
  <c r="BG69" i="6"/>
  <c r="AT69" i="6"/>
  <c r="AG69" i="6"/>
  <c r="AH69" i="6" s="1"/>
  <c r="Y69" i="6"/>
  <c r="BL68" i="6"/>
  <c r="BH68" i="6"/>
  <c r="BG68" i="6"/>
  <c r="AT68" i="6"/>
  <c r="AG68" i="6"/>
  <c r="AH68" i="6" s="1"/>
  <c r="Y68" i="6"/>
  <c r="Z68" i="6" s="1"/>
  <c r="BD68" i="6" s="1"/>
  <c r="BL67" i="6"/>
  <c r="BH67" i="6"/>
  <c r="BG67" i="6"/>
  <c r="AY67" i="6"/>
  <c r="AT67" i="6"/>
  <c r="AS67" i="6"/>
  <c r="AG67" i="6"/>
  <c r="AH67" i="6" s="1"/>
  <c r="AB67" i="6"/>
  <c r="Y67" i="6"/>
  <c r="X67" i="6"/>
  <c r="BC67" i="6" s="1"/>
  <c r="S67" i="6"/>
  <c r="U67" i="6" s="1"/>
  <c r="BB67" i="6" s="1"/>
  <c r="BL66" i="6"/>
  <c r="BH66" i="6"/>
  <c r="BG66" i="6"/>
  <c r="AT66" i="6"/>
  <c r="AG66" i="6"/>
  <c r="AH66" i="6" s="1"/>
  <c r="Y66" i="6"/>
  <c r="BL65" i="6"/>
  <c r="BH65" i="6"/>
  <c r="BG65" i="6"/>
  <c r="AT65" i="6"/>
  <c r="AG65" i="6"/>
  <c r="AH65" i="6" s="1"/>
  <c r="Y65" i="6"/>
  <c r="BL64" i="6"/>
  <c r="BH64" i="6"/>
  <c r="BG64" i="6"/>
  <c r="AT64" i="6"/>
  <c r="AG64" i="6"/>
  <c r="AH64" i="6" s="1"/>
  <c r="Y64" i="6"/>
  <c r="BL63" i="6"/>
  <c r="BH63" i="6"/>
  <c r="BG63" i="6"/>
  <c r="AY63" i="6"/>
  <c r="AT63" i="6"/>
  <c r="AS63" i="6"/>
  <c r="AG63" i="6"/>
  <c r="AH63" i="6" s="1"/>
  <c r="AB63" i="6"/>
  <c r="Y63" i="6"/>
  <c r="Z63" i="6" s="1"/>
  <c r="BD63" i="6" s="1"/>
  <c r="X63" i="6"/>
  <c r="BC63" i="6" s="1"/>
  <c r="S63" i="6"/>
  <c r="T63" i="6" s="1"/>
  <c r="BL62" i="6"/>
  <c r="BH62" i="6"/>
  <c r="BG62" i="6"/>
  <c r="AT62" i="6"/>
  <c r="AG62" i="6"/>
  <c r="AH62" i="6" s="1"/>
  <c r="Y62" i="6"/>
  <c r="BL61" i="6"/>
  <c r="BH61" i="6"/>
  <c r="BG61" i="6"/>
  <c r="AT61" i="6"/>
  <c r="AG61" i="6"/>
  <c r="AH61" i="6" s="1"/>
  <c r="Y61" i="6"/>
  <c r="BL60" i="6"/>
  <c r="BH60" i="6"/>
  <c r="BG60" i="6"/>
  <c r="AT60" i="6"/>
  <c r="AG60" i="6"/>
  <c r="AH60" i="6" s="1"/>
  <c r="Y60" i="6"/>
  <c r="BL59" i="6"/>
  <c r="BH59" i="6"/>
  <c r="BG59" i="6"/>
  <c r="AY59" i="6"/>
  <c r="AT59" i="6"/>
  <c r="AS59" i="6"/>
  <c r="AG59" i="6"/>
  <c r="AH59" i="6" s="1"/>
  <c r="AB59" i="6"/>
  <c r="Y59" i="6"/>
  <c r="Z59" i="6" s="1"/>
  <c r="BD59" i="6" s="1"/>
  <c r="W59" i="6"/>
  <c r="S59" i="6"/>
  <c r="T59" i="6" s="1"/>
  <c r="BL58" i="6"/>
  <c r="BH58" i="6"/>
  <c r="BG58" i="6"/>
  <c r="AT58" i="6"/>
  <c r="AG58" i="6"/>
  <c r="AH58" i="6" s="1"/>
  <c r="Y58" i="6"/>
  <c r="BL57" i="6"/>
  <c r="BH57" i="6"/>
  <c r="BG57" i="6"/>
  <c r="AT57" i="6"/>
  <c r="AG57" i="6"/>
  <c r="AH57" i="6" s="1"/>
  <c r="Y57" i="6"/>
  <c r="BL56" i="6"/>
  <c r="BH56" i="6"/>
  <c r="BG56" i="6"/>
  <c r="AT56" i="6"/>
  <c r="AG56" i="6"/>
  <c r="AH56" i="6" s="1"/>
  <c r="Y56" i="6"/>
  <c r="BL55" i="6"/>
  <c r="BH55" i="6"/>
  <c r="BG55" i="6"/>
  <c r="AY55" i="6"/>
  <c r="AT55" i="6"/>
  <c r="AS55" i="6"/>
  <c r="AG55" i="6"/>
  <c r="AH55" i="6" s="1"/>
  <c r="AB55" i="6"/>
  <c r="Y55" i="6"/>
  <c r="X55" i="6"/>
  <c r="BC55" i="6" s="1"/>
  <c r="S55" i="6"/>
  <c r="U55" i="6" s="1"/>
  <c r="BB55" i="6" s="1"/>
  <c r="BL54" i="6"/>
  <c r="BH54" i="6"/>
  <c r="BG54" i="6"/>
  <c r="AT54" i="6"/>
  <c r="AG54" i="6"/>
  <c r="AH54" i="6" s="1"/>
  <c r="Y54" i="6"/>
  <c r="BL53" i="6"/>
  <c r="BH53" i="6"/>
  <c r="BG53" i="6"/>
  <c r="AT53" i="6"/>
  <c r="AG53" i="6"/>
  <c r="AH53" i="6" s="1"/>
  <c r="Y53" i="6"/>
  <c r="BL52" i="6"/>
  <c r="BH52" i="6"/>
  <c r="BG52" i="6"/>
  <c r="AT52" i="6"/>
  <c r="AG52" i="6"/>
  <c r="AH52" i="6" s="1"/>
  <c r="Y52" i="6"/>
  <c r="Z52" i="6" s="1"/>
  <c r="BD52" i="6" s="1"/>
  <c r="BL51" i="6"/>
  <c r="BH51" i="6"/>
  <c r="BG51" i="6"/>
  <c r="AY51" i="6"/>
  <c r="AT51" i="6"/>
  <c r="AS51" i="6"/>
  <c r="AG51" i="6"/>
  <c r="AH51" i="6" s="1"/>
  <c r="AB51" i="6"/>
  <c r="Y51" i="6"/>
  <c r="X51" i="6"/>
  <c r="BC51" i="6" s="1"/>
  <c r="S51" i="6"/>
  <c r="U51" i="6" s="1"/>
  <c r="BB51" i="6" s="1"/>
  <c r="BL50" i="6"/>
  <c r="BH50" i="6"/>
  <c r="BG50" i="6"/>
  <c r="AT50" i="6"/>
  <c r="AG50" i="6"/>
  <c r="AH50" i="6" s="1"/>
  <c r="Y50" i="6"/>
  <c r="BL49" i="6"/>
  <c r="BH49" i="6"/>
  <c r="BG49" i="6"/>
  <c r="AT49" i="6"/>
  <c r="AG49" i="6"/>
  <c r="AH49" i="6" s="1"/>
  <c r="Y49" i="6"/>
  <c r="BL48" i="6"/>
  <c r="BH48" i="6"/>
  <c r="BG48" i="6"/>
  <c r="AT48" i="6"/>
  <c r="AG48" i="6"/>
  <c r="AH48" i="6" s="1"/>
  <c r="Y48" i="6"/>
  <c r="BL47" i="6"/>
  <c r="BH47" i="6"/>
  <c r="BG47" i="6"/>
  <c r="AY47" i="6"/>
  <c r="AT47" i="6"/>
  <c r="AS47" i="6"/>
  <c r="AG47" i="6"/>
  <c r="AH47" i="6" s="1"/>
  <c r="AB47" i="6"/>
  <c r="Y47" i="6"/>
  <c r="X47" i="6"/>
  <c r="BC47" i="6" s="1"/>
  <c r="S47" i="6"/>
  <c r="T47" i="6" s="1"/>
  <c r="BL46" i="6"/>
  <c r="BH46" i="6"/>
  <c r="BG46" i="6"/>
  <c r="AT46" i="6"/>
  <c r="AG46" i="6"/>
  <c r="AH46" i="6" s="1"/>
  <c r="Y46" i="6"/>
  <c r="BL45" i="6"/>
  <c r="BH45" i="6"/>
  <c r="BG45" i="6"/>
  <c r="AT45" i="6"/>
  <c r="AG45" i="6"/>
  <c r="AH45" i="6" s="1"/>
  <c r="Y45" i="6"/>
  <c r="BL44" i="6"/>
  <c r="BH44" i="6"/>
  <c r="BG44" i="6"/>
  <c r="AT44" i="6"/>
  <c r="AG44" i="6"/>
  <c r="AH44" i="6" s="1"/>
  <c r="Y44" i="6"/>
  <c r="BL43" i="6"/>
  <c r="BH43" i="6"/>
  <c r="BG43" i="6"/>
  <c r="AY43" i="6"/>
  <c r="AT43" i="6"/>
  <c r="AS43" i="6"/>
  <c r="AG43" i="6"/>
  <c r="AH43" i="6" s="1"/>
  <c r="AB43" i="6"/>
  <c r="Y43" i="6"/>
  <c r="W43" i="6"/>
  <c r="S43" i="6"/>
  <c r="T43" i="6" s="1"/>
  <c r="BL42" i="6"/>
  <c r="BH42" i="6"/>
  <c r="BG42" i="6"/>
  <c r="AT42" i="6"/>
  <c r="AG42" i="6"/>
  <c r="AH42" i="6" s="1"/>
  <c r="Y42" i="6"/>
  <c r="BL41" i="6"/>
  <c r="BH41" i="6"/>
  <c r="BG41" i="6"/>
  <c r="AT41" i="6"/>
  <c r="AG41" i="6"/>
  <c r="AH41" i="6" s="1"/>
  <c r="Y41" i="6"/>
  <c r="BL40" i="6"/>
  <c r="BH40" i="6"/>
  <c r="BG40" i="6"/>
  <c r="AT40" i="6"/>
  <c r="AG40" i="6"/>
  <c r="AH40" i="6" s="1"/>
  <c r="Y40" i="6"/>
  <c r="BL39" i="6"/>
  <c r="BH39" i="6"/>
  <c r="BG39" i="6"/>
  <c r="AY39" i="6"/>
  <c r="AT39" i="6"/>
  <c r="AS39" i="6"/>
  <c r="AG39" i="6"/>
  <c r="AH39" i="6" s="1"/>
  <c r="AB39" i="6"/>
  <c r="Y39" i="6"/>
  <c r="X39" i="6"/>
  <c r="BC39" i="6" s="1"/>
  <c r="W39" i="6"/>
  <c r="S39" i="6"/>
  <c r="U39" i="6" s="1"/>
  <c r="BB39" i="6" s="1"/>
  <c r="BL38" i="6"/>
  <c r="BH38" i="6"/>
  <c r="BG38" i="6"/>
  <c r="AT38" i="6"/>
  <c r="AG38" i="6"/>
  <c r="AH38" i="6" s="1"/>
  <c r="Y38" i="6"/>
  <c r="Z38" i="6" s="1"/>
  <c r="BD38" i="6" s="1"/>
  <c r="BL37" i="6"/>
  <c r="BH37" i="6"/>
  <c r="BG37" i="6"/>
  <c r="AT37" i="6"/>
  <c r="AG37" i="6"/>
  <c r="AH37" i="6" s="1"/>
  <c r="Y37" i="6"/>
  <c r="BL36" i="6"/>
  <c r="BH36" i="6"/>
  <c r="BG36" i="6"/>
  <c r="AT36" i="6"/>
  <c r="AG36" i="6"/>
  <c r="AH36" i="6" s="1"/>
  <c r="Y36" i="6"/>
  <c r="Z36" i="6" s="1"/>
  <c r="BD36" i="6" s="1"/>
  <c r="BL35" i="6"/>
  <c r="BH35" i="6"/>
  <c r="BG35" i="6"/>
  <c r="AY35" i="6"/>
  <c r="AT35" i="6"/>
  <c r="AS35" i="6"/>
  <c r="AG35" i="6"/>
  <c r="AH35" i="6" s="1"/>
  <c r="AB35" i="6"/>
  <c r="Y35" i="6"/>
  <c r="W35" i="6"/>
  <c r="X35" i="6"/>
  <c r="BC35" i="6" s="1"/>
  <c r="S35" i="6"/>
  <c r="U35" i="6" s="1"/>
  <c r="BB35" i="6" s="1"/>
  <c r="BL34" i="6"/>
  <c r="BH34" i="6"/>
  <c r="BG34" i="6"/>
  <c r="AT34" i="6"/>
  <c r="AG34" i="6"/>
  <c r="AH34" i="6" s="1"/>
  <c r="Y34" i="6"/>
  <c r="BL33" i="6"/>
  <c r="BH33" i="6"/>
  <c r="BG33" i="6"/>
  <c r="AT33" i="6"/>
  <c r="AG33" i="6"/>
  <c r="AH33" i="6" s="1"/>
  <c r="Y33" i="6"/>
  <c r="BL32" i="6"/>
  <c r="BH32" i="6"/>
  <c r="BG32" i="6"/>
  <c r="AT32" i="6"/>
  <c r="AG32" i="6"/>
  <c r="AH32" i="6" s="1"/>
  <c r="Y32" i="6"/>
  <c r="BL31" i="6"/>
  <c r="BH31" i="6"/>
  <c r="BG31" i="6"/>
  <c r="AY31" i="6"/>
  <c r="AT31" i="6"/>
  <c r="AS31" i="6"/>
  <c r="AG31" i="6"/>
  <c r="AH31" i="6" s="1"/>
  <c r="AB31" i="6"/>
  <c r="Y31" i="6"/>
  <c r="Z31" i="6" s="1"/>
  <c r="BD31" i="6" s="1"/>
  <c r="X31" i="6"/>
  <c r="BC31" i="6" s="1"/>
  <c r="S31" i="6"/>
  <c r="T31" i="6" s="1"/>
  <c r="BL30" i="6"/>
  <c r="BH30" i="6"/>
  <c r="BG30" i="6"/>
  <c r="AT30" i="6"/>
  <c r="AG30" i="6"/>
  <c r="AH30" i="6" s="1"/>
  <c r="Y30" i="6"/>
  <c r="BL29" i="6"/>
  <c r="BH29" i="6"/>
  <c r="BG29" i="6"/>
  <c r="AT29" i="6"/>
  <c r="AG29" i="6"/>
  <c r="AH29" i="6" s="1"/>
  <c r="Y29" i="6"/>
  <c r="BL28" i="6"/>
  <c r="BH28" i="6"/>
  <c r="BG28" i="6"/>
  <c r="AT28" i="6"/>
  <c r="AG28" i="6"/>
  <c r="AH28" i="6" s="1"/>
  <c r="Y28" i="6"/>
  <c r="BL27" i="6"/>
  <c r="BH27" i="6"/>
  <c r="BG27" i="6"/>
  <c r="AY27" i="6"/>
  <c r="AT27" i="6"/>
  <c r="AS27" i="6"/>
  <c r="AG27" i="6"/>
  <c r="AB27" i="6"/>
  <c r="Y27" i="6"/>
  <c r="S27" i="6"/>
  <c r="T27" i="6" s="1"/>
  <c r="BL26" i="6"/>
  <c r="BH26" i="6"/>
  <c r="BG26" i="6"/>
  <c r="AT26" i="6"/>
  <c r="AG26" i="6"/>
  <c r="AH26" i="6" s="1"/>
  <c r="Y26" i="6"/>
  <c r="BL25" i="6"/>
  <c r="BH25" i="6"/>
  <c r="BG25" i="6"/>
  <c r="AT25" i="6"/>
  <c r="AG25" i="6"/>
  <c r="AH25" i="6" s="1"/>
  <c r="Y25" i="6"/>
  <c r="BL24" i="6"/>
  <c r="BH24" i="6"/>
  <c r="BG24" i="6"/>
  <c r="AT24" i="6"/>
  <c r="AG24" i="6"/>
  <c r="AH24" i="6" s="1"/>
  <c r="Y24" i="6"/>
  <c r="BL23" i="6"/>
  <c r="BH23" i="6"/>
  <c r="BG23" i="6"/>
  <c r="AY23" i="6"/>
  <c r="AT23" i="6"/>
  <c r="AS23" i="6"/>
  <c r="Y23" i="6"/>
  <c r="S23" i="6"/>
  <c r="BL22" i="6"/>
  <c r="BH22" i="6"/>
  <c r="BG22" i="6"/>
  <c r="AT22" i="6"/>
  <c r="Y22" i="6"/>
  <c r="BL21" i="6"/>
  <c r="BH21" i="6"/>
  <c r="BG21" i="6"/>
  <c r="AT21" i="6"/>
  <c r="AG21" i="6"/>
  <c r="AH21" i="6" s="1"/>
  <c r="Y21" i="6"/>
  <c r="Z21" i="6" s="1"/>
  <c r="BD21" i="6" s="1"/>
  <c r="BL20" i="6"/>
  <c r="BH20" i="6"/>
  <c r="BG20" i="6"/>
  <c r="AT20" i="6"/>
  <c r="AG20" i="6"/>
  <c r="AH20" i="6" s="1"/>
  <c r="Y20" i="6"/>
  <c r="BL19" i="6"/>
  <c r="BH19" i="6"/>
  <c r="BG19" i="6"/>
  <c r="AY19" i="6"/>
  <c r="AT19" i="6"/>
  <c r="AS19" i="6"/>
  <c r="AB19" i="6"/>
  <c r="Y19" i="6"/>
  <c r="S19" i="6"/>
  <c r="BL18" i="6"/>
  <c r="BH18" i="6"/>
  <c r="BG18" i="6"/>
  <c r="AT18" i="6"/>
  <c r="AG18" i="6"/>
  <c r="AH18" i="6" s="1"/>
  <c r="Y18" i="6"/>
  <c r="BL17" i="6"/>
  <c r="BH17" i="6"/>
  <c r="BG17" i="6"/>
  <c r="AT17" i="6"/>
  <c r="AG17" i="6"/>
  <c r="AH17" i="6" s="1"/>
  <c r="Y17" i="6"/>
  <c r="BL16" i="6"/>
  <c r="BH16" i="6"/>
  <c r="BG16" i="6"/>
  <c r="AT16" i="6"/>
  <c r="AG16" i="6"/>
  <c r="AH16" i="6" s="1"/>
  <c r="Y16" i="6"/>
  <c r="BL15" i="6"/>
  <c r="BH15" i="6"/>
  <c r="BG15" i="6"/>
  <c r="AY15" i="6"/>
  <c r="AT15" i="6"/>
  <c r="AS15" i="6"/>
  <c r="AG15" i="6"/>
  <c r="Y15" i="6"/>
  <c r="S15" i="6"/>
  <c r="BL14" i="6"/>
  <c r="BH14" i="6"/>
  <c r="BG14" i="6"/>
  <c r="AT14" i="6"/>
  <c r="Y14" i="6"/>
  <c r="BL13" i="6"/>
  <c r="BH13" i="6"/>
  <c r="BG13" i="6"/>
  <c r="AT13" i="6"/>
  <c r="AG13" i="6"/>
  <c r="AH13" i="6" s="1"/>
  <c r="Y13" i="6"/>
  <c r="BL12" i="6"/>
  <c r="BH12" i="6"/>
  <c r="BG12" i="6"/>
  <c r="AT12" i="6"/>
  <c r="AG12" i="6"/>
  <c r="AH12" i="6" s="1"/>
  <c r="Y12" i="6"/>
  <c r="BH11" i="6"/>
  <c r="BG11" i="6"/>
  <c r="AY11" i="6"/>
  <c r="AT11" i="6"/>
  <c r="AS11" i="6"/>
  <c r="Y11" i="6"/>
  <c r="W11" i="6"/>
  <c r="S11" i="6"/>
  <c r="BL10" i="6"/>
  <c r="BH10" i="6"/>
  <c r="BG10" i="6"/>
  <c r="AT10" i="6"/>
  <c r="BL9" i="6"/>
  <c r="BH9" i="6"/>
  <c r="BG9" i="6"/>
  <c r="AT9" i="6"/>
  <c r="BH8" i="6"/>
  <c r="BG8" i="6"/>
  <c r="AT8" i="6"/>
  <c r="BH7" i="6"/>
  <c r="BG7" i="6"/>
  <c r="AT7" i="6"/>
  <c r="AM9" i="5"/>
  <c r="AN9" i="5" s="1"/>
  <c r="AK11" i="5"/>
  <c r="AK12" i="5"/>
  <c r="AL12" i="5" s="1"/>
  <c r="AM13" i="5"/>
  <c r="AN13" i="5" s="1"/>
  <c r="AM14" i="5"/>
  <c r="AN14" i="5" s="1"/>
  <c r="AM16" i="5"/>
  <c r="AN16" i="5" s="1"/>
  <c r="AM20" i="5"/>
  <c r="AN20" i="5" s="1"/>
  <c r="AO21" i="5"/>
  <c r="AP21" i="5" s="1"/>
  <c r="AM22" i="5"/>
  <c r="AN22" i="5" s="1"/>
  <c r="AM24" i="5"/>
  <c r="AN24" i="5" s="1"/>
  <c r="AO26" i="5"/>
  <c r="AP26" i="5" s="1"/>
  <c r="AE28" i="5"/>
  <c r="AF28" i="5" s="1"/>
  <c r="AE29" i="5"/>
  <c r="AF29" i="5" s="1"/>
  <c r="AE30" i="5"/>
  <c r="AF30" i="5" s="1"/>
  <c r="AE33" i="5"/>
  <c r="AF33" i="5" s="1"/>
  <c r="AE34" i="5"/>
  <c r="AF34" i="5" s="1"/>
  <c r="AE37" i="5"/>
  <c r="AF37" i="5" s="1"/>
  <c r="AE38" i="5"/>
  <c r="AE40" i="5"/>
  <c r="AF40" i="5" s="1"/>
  <c r="AE41" i="5"/>
  <c r="AF41" i="5" s="1"/>
  <c r="AE42" i="5"/>
  <c r="AF42" i="5" s="1"/>
  <c r="AE44" i="5"/>
  <c r="AF44" i="5" s="1"/>
  <c r="AE45" i="5"/>
  <c r="AF45" i="5" s="1"/>
  <c r="AE46" i="5"/>
  <c r="AF46" i="5" s="1"/>
  <c r="AE49" i="5"/>
  <c r="AF49" i="5" s="1"/>
  <c r="AE50" i="5"/>
  <c r="AF50" i="5" s="1"/>
  <c r="AE52" i="5"/>
  <c r="AF52" i="5" s="1"/>
  <c r="AE53" i="5"/>
  <c r="AF53" i="5" s="1"/>
  <c r="AE54" i="5"/>
  <c r="AF54" i="5" s="1"/>
  <c r="AE57" i="5"/>
  <c r="AF57" i="5" s="1"/>
  <c r="AE58" i="5"/>
  <c r="AF58" i="5" s="1"/>
  <c r="AE60" i="5"/>
  <c r="AF60" i="5" s="1"/>
  <c r="AE61" i="5"/>
  <c r="AF61" i="5" s="1"/>
  <c r="AE62" i="5"/>
  <c r="AF62" i="5" s="1"/>
  <c r="AE64" i="5"/>
  <c r="AF64" i="5" s="1"/>
  <c r="AE65" i="5"/>
  <c r="AF65" i="5" s="1"/>
  <c r="AE66" i="5"/>
  <c r="AF66" i="5" s="1"/>
  <c r="AE68" i="5"/>
  <c r="AF68" i="5" s="1"/>
  <c r="AE69" i="5"/>
  <c r="AF69" i="5" s="1"/>
  <c r="AE70" i="5"/>
  <c r="AF70" i="5" s="1"/>
  <c r="AE72" i="5"/>
  <c r="AF72" i="5" s="1"/>
  <c r="AE73" i="5"/>
  <c r="AF73" i="5" s="1"/>
  <c r="AE74" i="5"/>
  <c r="AF74" i="5" s="1"/>
  <c r="AE75" i="5"/>
  <c r="AE77" i="5"/>
  <c r="AF77" i="5" s="1"/>
  <c r="AE78" i="5"/>
  <c r="AF78" i="5" s="1"/>
  <c r="AE79" i="5"/>
  <c r="AE80" i="5"/>
  <c r="AF80" i="5" s="1"/>
  <c r="AE81" i="5"/>
  <c r="AF81" i="5" s="1"/>
  <c r="AE82" i="5"/>
  <c r="AF82" i="5" s="1"/>
  <c r="AE83" i="5"/>
  <c r="AE84" i="5"/>
  <c r="AF84" i="5" s="1"/>
  <c r="AE85" i="5"/>
  <c r="AF85" i="5" s="1"/>
  <c r="AE86" i="5"/>
  <c r="AF86" i="5" s="1"/>
  <c r="AE89" i="5"/>
  <c r="AF89" i="5" s="1"/>
  <c r="AE90" i="5"/>
  <c r="AF90" i="5" s="1"/>
  <c r="AE93" i="5"/>
  <c r="AF93" i="5" s="1"/>
  <c r="AE94" i="5"/>
  <c r="AF94" i="5" s="1"/>
  <c r="AE97" i="5"/>
  <c r="AF97" i="5" s="1"/>
  <c r="AE98" i="5"/>
  <c r="AF98" i="5" s="1"/>
  <c r="AE99" i="5"/>
  <c r="AE100" i="5"/>
  <c r="AF100" i="5" s="1"/>
  <c r="AE101" i="5"/>
  <c r="AF101" i="5" s="1"/>
  <c r="AE102" i="5"/>
  <c r="AF102" i="5" s="1"/>
  <c r="AE103" i="5"/>
  <c r="AE104" i="5"/>
  <c r="AF104" i="5" s="1"/>
  <c r="AE105" i="5"/>
  <c r="AF105" i="5" s="1"/>
  <c r="AE106" i="5"/>
  <c r="AF106" i="5" s="1"/>
  <c r="AE108" i="5"/>
  <c r="AF108" i="5" s="1"/>
  <c r="AE109" i="5"/>
  <c r="AF109" i="5" s="1"/>
  <c r="AE110" i="5"/>
  <c r="AF110" i="5" s="1"/>
  <c r="AE111" i="5"/>
  <c r="AE112" i="5"/>
  <c r="AF112" i="5" s="1"/>
  <c r="AE113" i="5"/>
  <c r="AF113" i="5" s="1"/>
  <c r="AE114" i="5"/>
  <c r="AF114" i="5" s="1"/>
  <c r="AE116" i="5"/>
  <c r="AF116" i="5" s="1"/>
  <c r="AE117" i="5"/>
  <c r="AF117" i="5" s="1"/>
  <c r="AE118" i="5"/>
  <c r="AF118" i="5" s="1"/>
  <c r="AE119" i="5"/>
  <c r="AE120" i="5"/>
  <c r="AF120" i="5" s="1"/>
  <c r="AE121" i="5"/>
  <c r="AF121" i="5" s="1"/>
  <c r="AE122" i="5"/>
  <c r="AF122" i="5" s="1"/>
  <c r="AE124" i="5"/>
  <c r="AF124" i="5" s="1"/>
  <c r="AE125" i="5"/>
  <c r="AF125" i="5" s="1"/>
  <c r="AE126" i="5"/>
  <c r="AF126" i="5" s="1"/>
  <c r="AE127" i="5"/>
  <c r="AE128" i="5"/>
  <c r="AF128" i="5" s="1"/>
  <c r="AE129" i="5"/>
  <c r="AF129" i="5" s="1"/>
  <c r="AE130" i="5"/>
  <c r="AF130" i="5" s="1"/>
  <c r="AE132" i="5"/>
  <c r="AF132" i="5" s="1"/>
  <c r="AE133" i="5"/>
  <c r="AF133" i="5" s="1"/>
  <c r="AE134" i="5"/>
  <c r="AF134" i="5" s="1"/>
  <c r="AE135" i="5"/>
  <c r="AE136" i="5"/>
  <c r="AF136" i="5" s="1"/>
  <c r="AE137" i="5"/>
  <c r="AF137" i="5" s="1"/>
  <c r="AE138" i="5"/>
  <c r="AF138" i="5" s="1"/>
  <c r="AE140" i="5"/>
  <c r="AF140" i="5" s="1"/>
  <c r="AE141" i="5"/>
  <c r="AF141" i="5" s="1"/>
  <c r="AE142" i="5"/>
  <c r="AF142" i="5" s="1"/>
  <c r="AE143" i="5"/>
  <c r="AE144" i="5"/>
  <c r="AF144" i="5" s="1"/>
  <c r="AE145" i="5"/>
  <c r="AF145" i="5" s="1"/>
  <c r="AE146" i="5"/>
  <c r="AF146" i="5" s="1"/>
  <c r="AE148" i="5"/>
  <c r="AF148" i="5" s="1"/>
  <c r="AE149" i="5"/>
  <c r="AF149" i="5" s="1"/>
  <c r="AE150" i="5"/>
  <c r="AF150" i="5" s="1"/>
  <c r="AE152" i="5"/>
  <c r="AF152" i="5" s="1"/>
  <c r="AE153" i="5"/>
  <c r="AF153" i="5" s="1"/>
  <c r="AE154" i="5"/>
  <c r="AF154" i="5" s="1"/>
  <c r="AE156" i="5"/>
  <c r="AF156" i="5" s="1"/>
  <c r="AE157" i="5"/>
  <c r="AF157" i="5" s="1"/>
  <c r="AE158" i="5"/>
  <c r="AF158" i="5" s="1"/>
  <c r="AE160" i="5"/>
  <c r="AF160" i="5" s="1"/>
  <c r="AE161" i="5"/>
  <c r="AF161" i="5" s="1"/>
  <c r="AE162" i="5"/>
  <c r="AF162" i="5" s="1"/>
  <c r="AE163" i="5"/>
  <c r="AE164" i="5"/>
  <c r="AF164" i="5" s="1"/>
  <c r="AE165" i="5"/>
  <c r="AF165" i="5" s="1"/>
  <c r="AE166" i="5"/>
  <c r="AF166" i="5" s="1"/>
  <c r="AE167" i="5"/>
  <c r="AE168" i="5"/>
  <c r="AF168" i="5" s="1"/>
  <c r="AE169" i="5"/>
  <c r="AF169" i="5" s="1"/>
  <c r="AE170" i="5"/>
  <c r="AF170" i="5" s="1"/>
  <c r="AE171" i="5"/>
  <c r="AM172" i="5"/>
  <c r="AN172" i="5" s="1"/>
  <c r="AE173" i="5"/>
  <c r="AF173" i="5" s="1"/>
  <c r="AE174" i="5"/>
  <c r="AF174" i="5" s="1"/>
  <c r="AE175" i="5"/>
  <c r="AM176" i="5"/>
  <c r="AN176" i="5" s="1"/>
  <c r="AE177" i="5"/>
  <c r="AF177" i="5" s="1"/>
  <c r="AE178" i="5"/>
  <c r="AF178" i="5" s="1"/>
  <c r="AE179" i="5"/>
  <c r="AM180" i="5"/>
  <c r="AN180" i="5" s="1"/>
  <c r="AE181" i="5"/>
  <c r="AF181" i="5" s="1"/>
  <c r="AE182" i="5"/>
  <c r="AF182" i="5" s="1"/>
  <c r="AE183" i="5"/>
  <c r="AE184" i="5"/>
  <c r="AF184" i="5" s="1"/>
  <c r="AE185" i="5"/>
  <c r="AF185" i="5" s="1"/>
  <c r="AE186" i="5"/>
  <c r="AF186" i="5" s="1"/>
  <c r="AE187" i="5"/>
  <c r="AM188" i="5"/>
  <c r="AN188" i="5" s="1"/>
  <c r="AE189" i="5"/>
  <c r="AF189" i="5" s="1"/>
  <c r="AE190" i="5"/>
  <c r="AF190" i="5" s="1"/>
  <c r="AM191" i="5"/>
  <c r="AN191" i="5" s="1"/>
  <c r="AE192" i="5"/>
  <c r="AF192" i="5" s="1"/>
  <c r="AE193" i="5"/>
  <c r="AF193" i="5" s="1"/>
  <c r="AE194" i="5"/>
  <c r="AF194" i="5" s="1"/>
  <c r="AE195" i="5"/>
  <c r="AE197" i="5"/>
  <c r="AF197" i="5" s="1"/>
  <c r="AE198" i="5"/>
  <c r="AF198" i="5" s="1"/>
  <c r="AE199" i="5"/>
  <c r="AE200" i="5"/>
  <c r="AF200" i="5" s="1"/>
  <c r="AE201" i="5"/>
  <c r="AF201" i="5" s="1"/>
  <c r="AE202" i="5"/>
  <c r="AF202" i="5" s="1"/>
  <c r="AE203" i="5"/>
  <c r="AO204" i="5"/>
  <c r="AP204" i="5" s="1"/>
  <c r="AE205" i="5"/>
  <c r="AF205" i="5" s="1"/>
  <c r="AE206" i="5"/>
  <c r="AF206" i="5" s="1"/>
  <c r="AM207" i="5"/>
  <c r="AN207" i="5" s="1"/>
  <c r="AE208" i="5"/>
  <c r="AF208" i="5" s="1"/>
  <c r="AE209" i="5"/>
  <c r="AF209" i="5" s="1"/>
  <c r="AE210" i="5"/>
  <c r="AF210" i="5" s="1"/>
  <c r="AE211" i="5"/>
  <c r="AK212" i="5"/>
  <c r="AL212" i="5" s="1"/>
  <c r="AE213" i="5"/>
  <c r="AF213" i="5" s="1"/>
  <c r="AE214" i="5"/>
  <c r="AF214" i="5" s="1"/>
  <c r="AM215" i="5"/>
  <c r="AN215" i="5" s="1"/>
  <c r="AE217" i="5"/>
  <c r="AF217" i="5" s="1"/>
  <c r="AE218" i="5"/>
  <c r="AF218" i="5" s="1"/>
  <c r="AM219" i="5"/>
  <c r="AN219" i="5" s="1"/>
  <c r="AM220" i="5"/>
  <c r="AN220" i="5" s="1"/>
  <c r="AE221" i="5"/>
  <c r="AF221" i="5" s="1"/>
  <c r="AE222" i="5"/>
  <c r="AF222" i="5" s="1"/>
  <c r="AM223" i="5"/>
  <c r="AN223" i="5" s="1"/>
  <c r="AO224" i="5"/>
  <c r="AP224" i="5" s="1"/>
  <c r="AE225" i="5"/>
  <c r="AF225" i="5" s="1"/>
  <c r="AE226" i="5"/>
  <c r="AF226" i="5" s="1"/>
  <c r="AM227" i="5"/>
  <c r="AN227" i="5" s="1"/>
  <c r="AE229" i="5"/>
  <c r="AF229" i="5" s="1"/>
  <c r="AE230" i="5"/>
  <c r="AF230" i="5" s="1"/>
  <c r="AE231" i="5"/>
  <c r="AM232" i="5"/>
  <c r="AN232" i="5" s="1"/>
  <c r="AE233" i="5"/>
  <c r="AF233" i="5" s="1"/>
  <c r="AE234" i="5"/>
  <c r="AF234" i="5" s="1"/>
  <c r="AE235" i="5"/>
  <c r="AK236" i="5"/>
  <c r="AL236" i="5" s="1"/>
  <c r="AE237" i="5"/>
  <c r="AF237" i="5" s="1"/>
  <c r="AE238" i="5"/>
  <c r="AF238" i="5" s="1"/>
  <c r="AE239" i="5"/>
  <c r="AK240" i="5"/>
  <c r="AL240" i="5" s="1"/>
  <c r="AE241" i="5"/>
  <c r="AF241" i="5" s="1"/>
  <c r="AE242" i="5"/>
  <c r="AF242" i="5" s="1"/>
  <c r="AO243" i="5"/>
  <c r="AP243" i="5" s="1"/>
  <c r="AK244" i="5"/>
  <c r="AL244" i="5" s="1"/>
  <c r="AE245" i="5"/>
  <c r="AF245" i="5" s="1"/>
  <c r="AE246" i="5"/>
  <c r="AF246" i="5" s="1"/>
  <c r="AE247" i="5"/>
  <c r="AM248" i="5"/>
  <c r="AN248" i="5" s="1"/>
  <c r="AE249" i="5"/>
  <c r="AF249" i="5" s="1"/>
  <c r="AE250" i="5"/>
  <c r="AF250" i="5" s="1"/>
  <c r="AE251" i="5"/>
  <c r="AE252" i="5"/>
  <c r="AF252" i="5" s="1"/>
  <c r="AE253" i="5"/>
  <c r="AF253" i="5" s="1"/>
  <c r="AE254" i="5"/>
  <c r="AF254" i="5" s="1"/>
  <c r="AK255" i="5"/>
  <c r="AL255" i="5" s="1"/>
  <c r="AO256" i="5"/>
  <c r="AP256" i="5" s="1"/>
  <c r="AE257" i="5"/>
  <c r="AF257" i="5" s="1"/>
  <c r="AE258" i="5"/>
  <c r="AF258" i="5" s="1"/>
  <c r="AK259" i="5"/>
  <c r="AL259" i="5" s="1"/>
  <c r="AE260" i="5"/>
  <c r="AF260" i="5" s="1"/>
  <c r="AE261" i="5"/>
  <c r="AF261" i="5" s="1"/>
  <c r="AE262" i="5"/>
  <c r="AF262" i="5" s="1"/>
  <c r="AO263" i="5"/>
  <c r="AP263" i="5" s="1"/>
  <c r="AM264" i="5"/>
  <c r="AN264" i="5" s="1"/>
  <c r="AM265" i="5"/>
  <c r="AN265" i="5" s="1"/>
  <c r="AE266" i="5"/>
  <c r="AF266" i="5" s="1"/>
  <c r="AE267" i="5"/>
  <c r="AM268" i="5"/>
  <c r="AN268" i="5" s="1"/>
  <c r="AE269" i="5"/>
  <c r="AF269" i="5" s="1"/>
  <c r="AE270" i="5"/>
  <c r="AF270" i="5" s="1"/>
  <c r="AO271" i="5"/>
  <c r="AP271" i="5" s="1"/>
  <c r="AM272" i="5"/>
  <c r="AN272" i="5" s="1"/>
  <c r="AE273" i="5"/>
  <c r="AF273" i="5" s="1"/>
  <c r="AE274" i="5"/>
  <c r="AF274" i="5" s="1"/>
  <c r="AM275" i="5"/>
  <c r="AN275" i="5" s="1"/>
  <c r="AK276" i="5"/>
  <c r="AL276" i="5" s="1"/>
  <c r="AE277" i="5"/>
  <c r="AF277" i="5" s="1"/>
  <c r="AE278" i="5"/>
  <c r="AF278" i="5" s="1"/>
  <c r="AE279" i="5"/>
  <c r="AM280" i="5"/>
  <c r="AN280" i="5" s="1"/>
  <c r="AE281" i="5"/>
  <c r="AF281" i="5" s="1"/>
  <c r="AE282" i="5"/>
  <c r="AF282" i="5" s="1"/>
  <c r="AM283" i="5"/>
  <c r="AN283" i="5" s="1"/>
  <c r="AM284" i="5"/>
  <c r="AN284" i="5" s="1"/>
  <c r="AM285" i="5"/>
  <c r="AN285" i="5" s="1"/>
  <c r="AK286" i="5"/>
  <c r="AL286" i="5" s="1"/>
  <c r="AO287" i="5"/>
  <c r="AP287" i="5" s="1"/>
  <c r="AK288" i="5"/>
  <c r="AL288" i="5" s="1"/>
  <c r="AO290" i="5"/>
  <c r="AP290" i="5" s="1"/>
  <c r="AK291" i="5"/>
  <c r="AL291" i="5" s="1"/>
  <c r="AK292" i="5"/>
  <c r="AL292" i="5" s="1"/>
  <c r="AO293" i="5"/>
  <c r="AP293" i="5" s="1"/>
  <c r="AK294" i="5"/>
  <c r="AL294" i="5" s="1"/>
  <c r="AO295" i="5"/>
  <c r="AP295" i="5" s="1"/>
  <c r="AO296" i="5"/>
  <c r="AP296" i="5" s="1"/>
  <c r="AK297" i="5"/>
  <c r="AL297" i="5" s="1"/>
  <c r="AO303" i="5"/>
  <c r="AP303" i="5" s="1"/>
  <c r="AM304" i="5"/>
  <c r="AN304" i="5" s="1"/>
  <c r="AO305" i="5"/>
  <c r="AP305" i="5" s="1"/>
  <c r="AO306" i="5"/>
  <c r="AP306" i="5" s="1"/>
  <c r="AM307" i="5"/>
  <c r="AN307" i="5" s="1"/>
  <c r="AO308" i="5"/>
  <c r="AP308" i="5" s="1"/>
  <c r="AM309" i="5"/>
  <c r="AN309" i="5" s="1"/>
  <c r="AO311" i="5"/>
  <c r="AP311" i="5" s="1"/>
  <c r="AM312" i="5"/>
  <c r="AN312" i="5" s="1"/>
  <c r="AM313" i="5"/>
  <c r="AN313" i="5" s="1"/>
  <c r="AO315" i="5"/>
  <c r="AP315" i="5" s="1"/>
  <c r="AM316" i="5"/>
  <c r="AN316" i="5" s="1"/>
  <c r="AK317" i="5"/>
  <c r="AL317" i="5" s="1"/>
  <c r="AM318" i="5"/>
  <c r="AN318" i="5" s="1"/>
  <c r="AK319" i="5"/>
  <c r="AL319" i="5" s="1"/>
  <c r="AM321" i="5"/>
  <c r="AN321" i="5" s="1"/>
  <c r="AK322" i="5"/>
  <c r="AL322" i="5" s="1"/>
  <c r="AM323" i="5"/>
  <c r="AN323" i="5" s="1"/>
  <c r="AO324" i="5"/>
  <c r="AP324" i="5" s="1"/>
  <c r="AK325" i="5"/>
  <c r="AL325" i="5" s="1"/>
  <c r="AM326" i="5"/>
  <c r="AN326" i="5" s="1"/>
  <c r="AM327" i="5"/>
  <c r="AN327" i="5" s="1"/>
  <c r="AM329" i="5"/>
  <c r="AN329" i="5" s="1"/>
  <c r="AO331" i="5"/>
  <c r="AP331" i="5" s="1"/>
  <c r="AM332" i="5"/>
  <c r="AN332" i="5" s="1"/>
  <c r="AK333" i="5"/>
  <c r="AL333" i="5" s="1"/>
  <c r="AK334" i="5"/>
  <c r="AL334" i="5" s="1"/>
  <c r="AO336" i="5"/>
  <c r="AP336" i="5" s="1"/>
  <c r="AK337" i="5"/>
  <c r="AL337" i="5" s="1"/>
  <c r="AM338" i="5"/>
  <c r="AN338" i="5" s="1"/>
  <c r="AO345" i="5"/>
  <c r="AP345" i="5" s="1"/>
  <c r="AM349" i="5"/>
  <c r="AN349" i="5" s="1"/>
  <c r="AM350" i="5"/>
  <c r="AN350" i="5" s="1"/>
  <c r="AO354" i="5"/>
  <c r="AP354" i="5" s="1"/>
  <c r="AK356" i="5"/>
  <c r="AL356" i="5" s="1"/>
  <c r="AO357" i="5"/>
  <c r="AP357" i="5" s="1"/>
  <c r="AM358" i="5"/>
  <c r="AN358" i="5" s="1"/>
  <c r="AO359" i="5"/>
  <c r="AP359" i="5" s="1"/>
  <c r="AM361" i="5"/>
  <c r="AN361" i="5" s="1"/>
  <c r="AO362" i="5"/>
  <c r="AP362" i="5" s="1"/>
  <c r="AO363" i="5"/>
  <c r="AP363" i="5" s="1"/>
  <c r="AO364" i="5"/>
  <c r="AP364" i="5" s="1"/>
  <c r="AO368" i="5"/>
  <c r="AP368" i="5" s="1"/>
  <c r="AO369" i="5"/>
  <c r="AP369" i="5" s="1"/>
  <c r="AK370" i="5"/>
  <c r="AL370" i="5" s="1"/>
  <c r="AO373" i="5"/>
  <c r="AP373" i="5" s="1"/>
  <c r="AO374" i="5"/>
  <c r="AP374" i="5" s="1"/>
  <c r="AK376" i="5"/>
  <c r="AL376" i="5" s="1"/>
  <c r="AO379" i="5"/>
  <c r="AP379" i="5" s="1"/>
  <c r="AO380" i="5"/>
  <c r="AP380" i="5" s="1"/>
  <c r="AK382" i="5"/>
  <c r="AL382" i="5" s="1"/>
  <c r="AO385" i="5"/>
  <c r="AP385" i="5" s="1"/>
  <c r="AM387" i="5"/>
  <c r="AN387" i="5" s="1"/>
  <c r="AM389" i="5"/>
  <c r="AN389" i="5" s="1"/>
  <c r="AO390" i="5"/>
  <c r="AP390" i="5" s="1"/>
  <c r="AK397" i="5"/>
  <c r="AL397" i="5" s="1"/>
  <c r="AK398" i="5"/>
  <c r="AL398" i="5" s="1"/>
  <c r="AO399" i="5"/>
  <c r="AP399" i="5" s="1"/>
  <c r="AK400" i="5"/>
  <c r="AL400" i="5" s="1"/>
  <c r="AO402" i="5"/>
  <c r="AP402" i="5" s="1"/>
  <c r="AO403" i="5"/>
  <c r="AP403" i="5" s="1"/>
  <c r="AO405" i="5"/>
  <c r="AP405" i="5" s="1"/>
  <c r="AT8" i="5"/>
  <c r="AT7" i="5"/>
  <c r="AW7" i="5"/>
  <c r="AO7" i="5"/>
  <c r="BL406" i="5"/>
  <c r="BH406" i="5"/>
  <c r="BG406" i="5"/>
  <c r="AT406" i="5"/>
  <c r="BL405" i="5"/>
  <c r="BH405" i="5"/>
  <c r="BG405" i="5"/>
  <c r="AT405" i="5"/>
  <c r="BL404" i="5"/>
  <c r="BH404" i="5"/>
  <c r="BG404" i="5"/>
  <c r="AT404" i="5"/>
  <c r="BL403" i="5"/>
  <c r="BH403" i="5"/>
  <c r="BG403" i="5"/>
  <c r="AY403" i="5"/>
  <c r="AW403" i="5"/>
  <c r="AT403" i="5"/>
  <c r="AA403" i="5"/>
  <c r="BL402" i="5"/>
  <c r="BH402" i="5"/>
  <c r="BG402" i="5"/>
  <c r="AT402" i="5"/>
  <c r="BL401" i="5"/>
  <c r="BH401" i="5"/>
  <c r="BG401" i="5"/>
  <c r="AT401" i="5"/>
  <c r="BL400" i="5"/>
  <c r="BH400" i="5"/>
  <c r="BG400" i="5"/>
  <c r="AT400" i="5"/>
  <c r="BL399" i="5"/>
  <c r="BH399" i="5"/>
  <c r="BG399" i="5"/>
  <c r="AY399" i="5"/>
  <c r="AW399" i="5"/>
  <c r="AT399" i="5"/>
  <c r="AA399" i="5"/>
  <c r="BL398" i="5"/>
  <c r="BH398" i="5"/>
  <c r="BG398" i="5"/>
  <c r="AT398" i="5"/>
  <c r="BL397" i="5"/>
  <c r="BH397" i="5"/>
  <c r="BG397" i="5"/>
  <c r="AT397" i="5"/>
  <c r="BL396" i="5"/>
  <c r="BH396" i="5"/>
  <c r="BG396" i="5"/>
  <c r="AT396" i="5"/>
  <c r="BL395" i="5"/>
  <c r="BH395" i="5"/>
  <c r="BG395" i="5"/>
  <c r="AY395" i="5"/>
  <c r="AW395" i="5"/>
  <c r="AT395" i="5"/>
  <c r="AA395" i="5"/>
  <c r="BL394" i="5"/>
  <c r="BH394" i="5"/>
  <c r="BG394" i="5"/>
  <c r="AT394" i="5"/>
  <c r="BL393" i="5"/>
  <c r="BH393" i="5"/>
  <c r="BG393" i="5"/>
  <c r="AT393" i="5"/>
  <c r="BL392" i="5"/>
  <c r="BH392" i="5"/>
  <c r="BG392" i="5"/>
  <c r="AT392" i="5"/>
  <c r="BL391" i="5"/>
  <c r="BH391" i="5"/>
  <c r="BG391" i="5"/>
  <c r="AY391" i="5"/>
  <c r="AW391" i="5"/>
  <c r="AT391" i="5"/>
  <c r="AA391" i="5"/>
  <c r="BL390" i="5"/>
  <c r="BH390" i="5"/>
  <c r="BG390" i="5"/>
  <c r="AT390" i="5"/>
  <c r="BL389" i="5"/>
  <c r="BH389" i="5"/>
  <c r="BG389" i="5"/>
  <c r="AT389" i="5"/>
  <c r="BL388" i="5"/>
  <c r="BH388" i="5"/>
  <c r="BG388" i="5"/>
  <c r="AT388" i="5"/>
  <c r="BL387" i="5"/>
  <c r="BH387" i="5"/>
  <c r="BG387" i="5"/>
  <c r="AY387" i="5"/>
  <c r="AW387" i="5"/>
  <c r="AT387" i="5"/>
  <c r="AA387" i="5"/>
  <c r="BL386" i="5"/>
  <c r="BH386" i="5"/>
  <c r="BG386" i="5"/>
  <c r="AT386" i="5"/>
  <c r="BL385" i="5"/>
  <c r="BH385" i="5"/>
  <c r="BG385" i="5"/>
  <c r="AT385" i="5"/>
  <c r="BL384" i="5"/>
  <c r="BH384" i="5"/>
  <c r="BG384" i="5"/>
  <c r="AT384" i="5"/>
  <c r="BL383" i="5"/>
  <c r="BH383" i="5"/>
  <c r="BG383" i="5"/>
  <c r="AY383" i="5"/>
  <c r="AW383" i="5"/>
  <c r="AT383" i="5"/>
  <c r="AA383" i="5"/>
  <c r="BL382" i="5"/>
  <c r="BH382" i="5"/>
  <c r="BG382" i="5"/>
  <c r="AT382" i="5"/>
  <c r="BL381" i="5"/>
  <c r="BH381" i="5"/>
  <c r="BG381" i="5"/>
  <c r="AT381" i="5"/>
  <c r="BL380" i="5"/>
  <c r="BH380" i="5"/>
  <c r="BG380" i="5"/>
  <c r="AT380" i="5"/>
  <c r="BL379" i="5"/>
  <c r="BH379" i="5"/>
  <c r="BG379" i="5"/>
  <c r="AY379" i="5"/>
  <c r="AW379" i="5"/>
  <c r="AT379" i="5"/>
  <c r="AA379" i="5"/>
  <c r="BL378" i="5"/>
  <c r="BH378" i="5"/>
  <c r="BG378" i="5"/>
  <c r="AT378" i="5"/>
  <c r="BL377" i="5"/>
  <c r="BH377" i="5"/>
  <c r="BG377" i="5"/>
  <c r="AT377" i="5"/>
  <c r="BL376" i="5"/>
  <c r="BH376" i="5"/>
  <c r="BG376" i="5"/>
  <c r="AT376" i="5"/>
  <c r="BL375" i="5"/>
  <c r="BH375" i="5"/>
  <c r="BG375" i="5"/>
  <c r="AY375" i="5"/>
  <c r="AW375" i="5"/>
  <c r="AT375" i="5"/>
  <c r="AA375" i="5"/>
  <c r="BL374" i="5"/>
  <c r="BH374" i="5"/>
  <c r="BG374" i="5"/>
  <c r="AT374" i="5"/>
  <c r="BL373" i="5"/>
  <c r="BH373" i="5"/>
  <c r="BG373" i="5"/>
  <c r="AT373" i="5"/>
  <c r="BL372" i="5"/>
  <c r="BH372" i="5"/>
  <c r="BG372" i="5"/>
  <c r="AT372" i="5"/>
  <c r="BL371" i="5"/>
  <c r="BH371" i="5"/>
  <c r="BG371" i="5"/>
  <c r="AY371" i="5"/>
  <c r="AW371" i="5"/>
  <c r="AT371" i="5"/>
  <c r="AA371" i="5"/>
  <c r="BL370" i="5"/>
  <c r="BH370" i="5"/>
  <c r="BG370" i="5"/>
  <c r="AT370" i="5"/>
  <c r="BL369" i="5"/>
  <c r="BH369" i="5"/>
  <c r="BG369" i="5"/>
  <c r="AT369" i="5"/>
  <c r="BL368" i="5"/>
  <c r="BH368" i="5"/>
  <c r="BG368" i="5"/>
  <c r="AT368" i="5"/>
  <c r="BL367" i="5"/>
  <c r="BH367" i="5"/>
  <c r="BG367" i="5"/>
  <c r="AY367" i="5"/>
  <c r="AW367" i="5"/>
  <c r="AT367" i="5"/>
  <c r="AA367" i="5"/>
  <c r="BL366" i="5"/>
  <c r="BH366" i="5"/>
  <c r="BG366" i="5"/>
  <c r="AT366" i="5"/>
  <c r="BL365" i="5"/>
  <c r="BH365" i="5"/>
  <c r="BG365" i="5"/>
  <c r="AT365" i="5"/>
  <c r="BL364" i="5"/>
  <c r="BH364" i="5"/>
  <c r="BG364" i="5"/>
  <c r="AT364" i="5"/>
  <c r="BL363" i="5"/>
  <c r="BH363" i="5"/>
  <c r="BG363" i="5"/>
  <c r="AY363" i="5"/>
  <c r="AW363" i="5"/>
  <c r="AT363" i="5"/>
  <c r="AA363" i="5"/>
  <c r="BL362" i="5"/>
  <c r="BH362" i="5"/>
  <c r="BG362" i="5"/>
  <c r="AT362" i="5"/>
  <c r="BL361" i="5"/>
  <c r="BH361" i="5"/>
  <c r="BG361" i="5"/>
  <c r="AT361" i="5"/>
  <c r="BL360" i="5"/>
  <c r="BH360" i="5"/>
  <c r="BG360" i="5"/>
  <c r="AT360" i="5"/>
  <c r="BL359" i="5"/>
  <c r="BH359" i="5"/>
  <c r="BG359" i="5"/>
  <c r="AY359" i="5"/>
  <c r="AW359" i="5"/>
  <c r="AT359" i="5"/>
  <c r="AA359" i="5"/>
  <c r="BL358" i="5"/>
  <c r="BH358" i="5"/>
  <c r="BG358" i="5"/>
  <c r="AT358" i="5"/>
  <c r="BL357" i="5"/>
  <c r="BH357" i="5"/>
  <c r="BG357" i="5"/>
  <c r="AT357" i="5"/>
  <c r="BL356" i="5"/>
  <c r="BH356" i="5"/>
  <c r="BG356" i="5"/>
  <c r="AT356" i="5"/>
  <c r="BL355" i="5"/>
  <c r="BH355" i="5"/>
  <c r="BG355" i="5"/>
  <c r="AY355" i="5"/>
  <c r="AW355" i="5"/>
  <c r="AT355" i="5"/>
  <c r="AA355" i="5"/>
  <c r="BL354" i="5"/>
  <c r="BH354" i="5"/>
  <c r="BG354" i="5"/>
  <c r="AT354" i="5"/>
  <c r="BL353" i="5"/>
  <c r="BH353" i="5"/>
  <c r="BG353" i="5"/>
  <c r="AT353" i="5"/>
  <c r="BL352" i="5"/>
  <c r="BH352" i="5"/>
  <c r="BG352" i="5"/>
  <c r="AT352" i="5"/>
  <c r="BL351" i="5"/>
  <c r="BH351" i="5"/>
  <c r="BG351" i="5"/>
  <c r="AY351" i="5"/>
  <c r="AW351" i="5"/>
  <c r="AT351" i="5"/>
  <c r="AA351" i="5"/>
  <c r="BL350" i="5"/>
  <c r="BH350" i="5"/>
  <c r="BG350" i="5"/>
  <c r="AT350" i="5"/>
  <c r="BL349" i="5"/>
  <c r="BH349" i="5"/>
  <c r="BG349" i="5"/>
  <c r="AT349" i="5"/>
  <c r="BL348" i="5"/>
  <c r="BH348" i="5"/>
  <c r="BG348" i="5"/>
  <c r="AT348" i="5"/>
  <c r="BL347" i="5"/>
  <c r="BH347" i="5"/>
  <c r="BG347" i="5"/>
  <c r="AY347" i="5"/>
  <c r="AW347" i="5"/>
  <c r="AT347" i="5"/>
  <c r="AA347" i="5"/>
  <c r="BL346" i="5"/>
  <c r="BH346" i="5"/>
  <c r="BG346" i="5"/>
  <c r="AT346" i="5"/>
  <c r="BL345" i="5"/>
  <c r="BH345" i="5"/>
  <c r="BG345" i="5"/>
  <c r="AT345" i="5"/>
  <c r="BL344" i="5"/>
  <c r="BH344" i="5"/>
  <c r="BG344" i="5"/>
  <c r="AT344" i="5"/>
  <c r="BL343" i="5"/>
  <c r="BH343" i="5"/>
  <c r="BG343" i="5"/>
  <c r="AY343" i="5"/>
  <c r="AW343" i="5"/>
  <c r="AT343" i="5"/>
  <c r="AA343" i="5"/>
  <c r="BL342" i="5"/>
  <c r="BH342" i="5"/>
  <c r="BG342" i="5"/>
  <c r="AT342" i="5"/>
  <c r="BL341" i="5"/>
  <c r="BH341" i="5"/>
  <c r="BG341" i="5"/>
  <c r="AT341" i="5"/>
  <c r="BL340" i="5"/>
  <c r="BH340" i="5"/>
  <c r="BG340" i="5"/>
  <c r="AT340" i="5"/>
  <c r="BL339" i="5"/>
  <c r="BH339" i="5"/>
  <c r="BG339" i="5"/>
  <c r="AY339" i="5"/>
  <c r="AW339" i="5"/>
  <c r="AT339" i="5"/>
  <c r="AA339" i="5"/>
  <c r="BL338" i="5"/>
  <c r="BH338" i="5"/>
  <c r="BG338" i="5"/>
  <c r="AT338" i="5"/>
  <c r="BL337" i="5"/>
  <c r="BH337" i="5"/>
  <c r="BG337" i="5"/>
  <c r="AT337" i="5"/>
  <c r="BL336" i="5"/>
  <c r="BH336" i="5"/>
  <c r="BG336" i="5"/>
  <c r="AT336" i="5"/>
  <c r="BL335" i="5"/>
  <c r="BH335" i="5"/>
  <c r="BG335" i="5"/>
  <c r="AY335" i="5"/>
  <c r="AW335" i="5"/>
  <c r="AT335" i="5"/>
  <c r="AA335" i="5"/>
  <c r="BL334" i="5"/>
  <c r="BH334" i="5"/>
  <c r="BG334" i="5"/>
  <c r="AT334" i="5"/>
  <c r="BL333" i="5"/>
  <c r="BH333" i="5"/>
  <c r="BG333" i="5"/>
  <c r="AT333" i="5"/>
  <c r="BL332" i="5"/>
  <c r="BH332" i="5"/>
  <c r="BG332" i="5"/>
  <c r="AT332" i="5"/>
  <c r="BL331" i="5"/>
  <c r="BH331" i="5"/>
  <c r="BG331" i="5"/>
  <c r="AY331" i="5"/>
  <c r="AW331" i="5"/>
  <c r="AT331" i="5"/>
  <c r="AA331" i="5"/>
  <c r="BL330" i="5"/>
  <c r="BH330" i="5"/>
  <c r="BG330" i="5"/>
  <c r="AT330" i="5"/>
  <c r="BL329" i="5"/>
  <c r="BH329" i="5"/>
  <c r="BG329" i="5"/>
  <c r="AT329" i="5"/>
  <c r="BL328" i="5"/>
  <c r="BH328" i="5"/>
  <c r="BG328" i="5"/>
  <c r="AT328" i="5"/>
  <c r="BL327" i="5"/>
  <c r="BH327" i="5"/>
  <c r="BG327" i="5"/>
  <c r="AY327" i="5"/>
  <c r="AW327" i="5"/>
  <c r="AT327" i="5"/>
  <c r="AA327" i="5"/>
  <c r="BL326" i="5"/>
  <c r="BH326" i="5"/>
  <c r="BG326" i="5"/>
  <c r="AT326" i="5"/>
  <c r="BL325" i="5"/>
  <c r="BH325" i="5"/>
  <c r="BG325" i="5"/>
  <c r="AT325" i="5"/>
  <c r="BL324" i="5"/>
  <c r="BH324" i="5"/>
  <c r="BG324" i="5"/>
  <c r="AT324" i="5"/>
  <c r="BL323" i="5"/>
  <c r="BH323" i="5"/>
  <c r="BG323" i="5"/>
  <c r="AY323" i="5"/>
  <c r="AW323" i="5"/>
  <c r="AT323" i="5"/>
  <c r="AA323" i="5"/>
  <c r="BL322" i="5"/>
  <c r="BH322" i="5"/>
  <c r="BG322" i="5"/>
  <c r="AT322" i="5"/>
  <c r="BL321" i="5"/>
  <c r="BH321" i="5"/>
  <c r="BG321" i="5"/>
  <c r="AT321" i="5"/>
  <c r="BL320" i="5"/>
  <c r="BH320" i="5"/>
  <c r="BG320" i="5"/>
  <c r="AT320" i="5"/>
  <c r="BL319" i="5"/>
  <c r="BH319" i="5"/>
  <c r="BG319" i="5"/>
  <c r="AY319" i="5"/>
  <c r="AW319" i="5"/>
  <c r="AT319" i="5"/>
  <c r="AA319" i="5"/>
  <c r="BL318" i="5"/>
  <c r="BH318" i="5"/>
  <c r="BG318" i="5"/>
  <c r="AT318" i="5"/>
  <c r="BL317" i="5"/>
  <c r="BH317" i="5"/>
  <c r="BG317" i="5"/>
  <c r="AT317" i="5"/>
  <c r="BL316" i="5"/>
  <c r="BH316" i="5"/>
  <c r="BG316" i="5"/>
  <c r="AT316" i="5"/>
  <c r="BL315" i="5"/>
  <c r="BH315" i="5"/>
  <c r="BG315" i="5"/>
  <c r="AY315" i="5"/>
  <c r="AW315" i="5"/>
  <c r="AT315" i="5"/>
  <c r="AA315" i="5"/>
  <c r="BL314" i="5"/>
  <c r="BH314" i="5"/>
  <c r="BG314" i="5"/>
  <c r="AT314" i="5"/>
  <c r="BL313" i="5"/>
  <c r="BH313" i="5"/>
  <c r="BG313" i="5"/>
  <c r="AT313" i="5"/>
  <c r="BL312" i="5"/>
  <c r="BH312" i="5"/>
  <c r="BG312" i="5"/>
  <c r="AT312" i="5"/>
  <c r="BL311" i="5"/>
  <c r="BH311" i="5"/>
  <c r="BG311" i="5"/>
  <c r="AY311" i="5"/>
  <c r="AW311" i="5"/>
  <c r="AT311" i="5"/>
  <c r="AA311" i="5"/>
  <c r="BL310" i="5"/>
  <c r="BH310" i="5"/>
  <c r="BG310" i="5"/>
  <c r="AT310" i="5"/>
  <c r="BL309" i="5"/>
  <c r="BH309" i="5"/>
  <c r="BG309" i="5"/>
  <c r="AT309" i="5"/>
  <c r="BL308" i="5"/>
  <c r="BH308" i="5"/>
  <c r="BG308" i="5"/>
  <c r="AT308" i="5"/>
  <c r="BL307" i="5"/>
  <c r="BH307" i="5"/>
  <c r="BG307" i="5"/>
  <c r="AY307" i="5"/>
  <c r="AW307" i="5"/>
  <c r="AT307" i="5"/>
  <c r="AA307" i="5"/>
  <c r="BL306" i="5"/>
  <c r="BH306" i="5"/>
  <c r="BG306" i="5"/>
  <c r="AT306" i="5"/>
  <c r="BL305" i="5"/>
  <c r="BH305" i="5"/>
  <c r="BG305" i="5"/>
  <c r="AT305" i="5"/>
  <c r="BL304" i="5"/>
  <c r="BH304" i="5"/>
  <c r="BG304" i="5"/>
  <c r="AT304" i="5"/>
  <c r="BL303" i="5"/>
  <c r="BH303" i="5"/>
  <c r="BG303" i="5"/>
  <c r="AY303" i="5"/>
  <c r="AW303" i="5"/>
  <c r="AT303" i="5"/>
  <c r="AA303" i="5"/>
  <c r="BL302" i="5"/>
  <c r="BH302" i="5"/>
  <c r="BG302" i="5"/>
  <c r="AT302" i="5"/>
  <c r="BL301" i="5"/>
  <c r="BH301" i="5"/>
  <c r="BG301" i="5"/>
  <c r="AT301" i="5"/>
  <c r="BL300" i="5"/>
  <c r="BH300" i="5"/>
  <c r="BG300" i="5"/>
  <c r="AT300" i="5"/>
  <c r="BL299" i="5"/>
  <c r="BH299" i="5"/>
  <c r="BG299" i="5"/>
  <c r="AY299" i="5"/>
  <c r="AW299" i="5"/>
  <c r="AT299" i="5"/>
  <c r="AA299" i="5"/>
  <c r="BL298" i="5"/>
  <c r="BH298" i="5"/>
  <c r="BG298" i="5"/>
  <c r="AT298" i="5"/>
  <c r="BL297" i="5"/>
  <c r="BH297" i="5"/>
  <c r="BG297" i="5"/>
  <c r="AT297" i="5"/>
  <c r="BL296" i="5"/>
  <c r="BH296" i="5"/>
  <c r="BG296" i="5"/>
  <c r="AT296" i="5"/>
  <c r="BL295" i="5"/>
  <c r="BH295" i="5"/>
  <c r="BG295" i="5"/>
  <c r="AY295" i="5"/>
  <c r="AW295" i="5"/>
  <c r="AT295" i="5"/>
  <c r="AA295" i="5"/>
  <c r="BL294" i="5"/>
  <c r="BH294" i="5"/>
  <c r="BG294" i="5"/>
  <c r="AT294" i="5"/>
  <c r="BL293" i="5"/>
  <c r="BH293" i="5"/>
  <c r="BG293" i="5"/>
  <c r="AT293" i="5"/>
  <c r="BL292" i="5"/>
  <c r="BH292" i="5"/>
  <c r="BG292" i="5"/>
  <c r="AT292" i="5"/>
  <c r="BL291" i="5"/>
  <c r="BH291" i="5"/>
  <c r="BG291" i="5"/>
  <c r="AY291" i="5"/>
  <c r="AW291" i="5"/>
  <c r="AT291" i="5"/>
  <c r="AA291" i="5"/>
  <c r="BL290" i="5"/>
  <c r="BH290" i="5"/>
  <c r="BG290" i="5"/>
  <c r="AT290" i="5"/>
  <c r="BL289" i="5"/>
  <c r="BH289" i="5"/>
  <c r="BG289" i="5"/>
  <c r="AT289" i="5"/>
  <c r="BL288" i="5"/>
  <c r="BH288" i="5"/>
  <c r="BG288" i="5"/>
  <c r="AT288" i="5"/>
  <c r="BL287" i="5"/>
  <c r="BH287" i="5"/>
  <c r="BG287" i="5"/>
  <c r="AY287" i="5"/>
  <c r="AW287" i="5"/>
  <c r="AT287" i="5"/>
  <c r="AA287" i="5"/>
  <c r="BL286" i="5"/>
  <c r="BH286" i="5"/>
  <c r="BG286" i="5"/>
  <c r="AT286" i="5"/>
  <c r="BL285" i="5"/>
  <c r="BH285" i="5"/>
  <c r="BG285" i="5"/>
  <c r="AT285" i="5"/>
  <c r="BL284" i="5"/>
  <c r="BH284" i="5"/>
  <c r="BG284" i="5"/>
  <c r="AT284" i="5"/>
  <c r="BL283" i="5"/>
  <c r="BH283" i="5"/>
  <c r="BG283" i="5"/>
  <c r="AY283" i="5"/>
  <c r="AW283" i="5"/>
  <c r="AT283" i="5"/>
  <c r="AA283" i="5"/>
  <c r="BL282" i="5"/>
  <c r="BH282" i="5"/>
  <c r="BG282" i="5"/>
  <c r="AT282" i="5"/>
  <c r="BL281" i="5"/>
  <c r="BH281" i="5"/>
  <c r="BG281" i="5"/>
  <c r="AT281" i="5"/>
  <c r="BL280" i="5"/>
  <c r="BH280" i="5"/>
  <c r="BG280" i="5"/>
  <c r="AT280" i="5"/>
  <c r="BL279" i="5"/>
  <c r="BH279" i="5"/>
  <c r="BG279" i="5"/>
  <c r="AW279" i="5"/>
  <c r="AT279" i="5"/>
  <c r="AA279" i="5"/>
  <c r="BL278" i="5"/>
  <c r="BH278" i="5"/>
  <c r="BG278" i="5"/>
  <c r="AT278" i="5"/>
  <c r="BL277" i="5"/>
  <c r="BH277" i="5"/>
  <c r="BG277" i="5"/>
  <c r="AT277" i="5"/>
  <c r="BL276" i="5"/>
  <c r="BH276" i="5"/>
  <c r="BG276" i="5"/>
  <c r="AT276" i="5"/>
  <c r="BL275" i="5"/>
  <c r="BH275" i="5"/>
  <c r="BG275" i="5"/>
  <c r="AW275" i="5"/>
  <c r="AT275" i="5"/>
  <c r="AA275" i="5"/>
  <c r="BL274" i="5"/>
  <c r="BH274" i="5"/>
  <c r="BG274" i="5"/>
  <c r="AT274" i="5"/>
  <c r="BL273" i="5"/>
  <c r="BH273" i="5"/>
  <c r="BG273" i="5"/>
  <c r="AT273" i="5"/>
  <c r="BL272" i="5"/>
  <c r="BH272" i="5"/>
  <c r="BG272" i="5"/>
  <c r="AT272" i="5"/>
  <c r="BL271" i="5"/>
  <c r="BH271" i="5"/>
  <c r="BG271" i="5"/>
  <c r="AW271" i="5"/>
  <c r="AT271" i="5"/>
  <c r="AA271" i="5"/>
  <c r="BL270" i="5"/>
  <c r="BH270" i="5"/>
  <c r="BG270" i="5"/>
  <c r="AT270" i="5"/>
  <c r="BL269" i="5"/>
  <c r="BH269" i="5"/>
  <c r="BG269" i="5"/>
  <c r="AT269" i="5"/>
  <c r="BL268" i="5"/>
  <c r="BH268" i="5"/>
  <c r="BG268" i="5"/>
  <c r="AT268" i="5"/>
  <c r="BL267" i="5"/>
  <c r="BH267" i="5"/>
  <c r="BG267" i="5"/>
  <c r="AW267" i="5"/>
  <c r="AT267" i="5"/>
  <c r="AA267" i="5"/>
  <c r="BL266" i="5"/>
  <c r="BH266" i="5"/>
  <c r="BG266" i="5"/>
  <c r="AT266" i="5"/>
  <c r="BL265" i="5"/>
  <c r="BH265" i="5"/>
  <c r="BG265" i="5"/>
  <c r="AT265" i="5"/>
  <c r="BL264" i="5"/>
  <c r="BH264" i="5"/>
  <c r="BG264" i="5"/>
  <c r="AT264" i="5"/>
  <c r="BL263" i="5"/>
  <c r="BH263" i="5"/>
  <c r="BG263" i="5"/>
  <c r="AW263" i="5"/>
  <c r="AT263" i="5"/>
  <c r="AA263" i="5"/>
  <c r="BL262" i="5"/>
  <c r="BH262" i="5"/>
  <c r="BG262" i="5"/>
  <c r="AT262" i="5"/>
  <c r="BL261" i="5"/>
  <c r="BH261" i="5"/>
  <c r="BG261" i="5"/>
  <c r="AT261" i="5"/>
  <c r="BL260" i="5"/>
  <c r="BH260" i="5"/>
  <c r="BG260" i="5"/>
  <c r="AT260" i="5"/>
  <c r="BL259" i="5"/>
  <c r="BH259" i="5"/>
  <c r="BG259" i="5"/>
  <c r="AW259" i="5"/>
  <c r="AT259" i="5"/>
  <c r="AA259" i="5"/>
  <c r="BL258" i="5"/>
  <c r="BH258" i="5"/>
  <c r="BG258" i="5"/>
  <c r="AT258" i="5"/>
  <c r="BL257" i="5"/>
  <c r="BH257" i="5"/>
  <c r="BG257" i="5"/>
  <c r="AT257" i="5"/>
  <c r="BL256" i="5"/>
  <c r="BH256" i="5"/>
  <c r="BG256" i="5"/>
  <c r="AT256" i="5"/>
  <c r="BL255" i="5"/>
  <c r="BH255" i="5"/>
  <c r="BG255" i="5"/>
  <c r="AW255" i="5"/>
  <c r="AT255" i="5"/>
  <c r="AA255" i="5"/>
  <c r="BL254" i="5"/>
  <c r="BH254" i="5"/>
  <c r="BG254" i="5"/>
  <c r="AT254" i="5"/>
  <c r="BL253" i="5"/>
  <c r="BH253" i="5"/>
  <c r="BG253" i="5"/>
  <c r="AT253" i="5"/>
  <c r="BL252" i="5"/>
  <c r="BH252" i="5"/>
  <c r="BG252" i="5"/>
  <c r="AT252" i="5"/>
  <c r="BL251" i="5"/>
  <c r="BH251" i="5"/>
  <c r="BG251" i="5"/>
  <c r="AW251" i="5"/>
  <c r="AT251" i="5"/>
  <c r="AA251" i="5"/>
  <c r="BL250" i="5"/>
  <c r="BH250" i="5"/>
  <c r="BG250" i="5"/>
  <c r="AT250" i="5"/>
  <c r="BL249" i="5"/>
  <c r="BH249" i="5"/>
  <c r="BG249" i="5"/>
  <c r="AT249" i="5"/>
  <c r="BL248" i="5"/>
  <c r="BH248" i="5"/>
  <c r="BG248" i="5"/>
  <c r="AT248" i="5"/>
  <c r="BL247" i="5"/>
  <c r="BH247" i="5"/>
  <c r="BG247" i="5"/>
  <c r="AW247" i="5"/>
  <c r="AT247" i="5"/>
  <c r="AA247" i="5"/>
  <c r="BL246" i="5"/>
  <c r="BH246" i="5"/>
  <c r="BG246" i="5"/>
  <c r="AT246" i="5"/>
  <c r="BL245" i="5"/>
  <c r="BH245" i="5"/>
  <c r="BG245" i="5"/>
  <c r="AT245" i="5"/>
  <c r="BL244" i="5"/>
  <c r="BH244" i="5"/>
  <c r="BG244" i="5"/>
  <c r="AT244" i="5"/>
  <c r="BL243" i="5"/>
  <c r="BH243" i="5"/>
  <c r="BG243" i="5"/>
  <c r="AW243" i="5"/>
  <c r="AT243" i="5"/>
  <c r="AA243" i="5"/>
  <c r="BL242" i="5"/>
  <c r="BH242" i="5"/>
  <c r="BG242" i="5"/>
  <c r="AT242" i="5"/>
  <c r="BL241" i="5"/>
  <c r="BH241" i="5"/>
  <c r="BG241" i="5"/>
  <c r="AT241" i="5"/>
  <c r="BL240" i="5"/>
  <c r="BH240" i="5"/>
  <c r="BG240" i="5"/>
  <c r="AT240" i="5"/>
  <c r="BL239" i="5"/>
  <c r="BH239" i="5"/>
  <c r="BG239" i="5"/>
  <c r="AW239" i="5"/>
  <c r="AT239" i="5"/>
  <c r="AA239" i="5"/>
  <c r="BL238" i="5"/>
  <c r="BH238" i="5"/>
  <c r="BG238" i="5"/>
  <c r="AT238" i="5"/>
  <c r="BL237" i="5"/>
  <c r="BH237" i="5"/>
  <c r="BG237" i="5"/>
  <c r="AT237" i="5"/>
  <c r="BL236" i="5"/>
  <c r="BH236" i="5"/>
  <c r="BG236" i="5"/>
  <c r="AT236" i="5"/>
  <c r="BL235" i="5"/>
  <c r="BH235" i="5"/>
  <c r="BG235" i="5"/>
  <c r="AW235" i="5"/>
  <c r="AT235" i="5"/>
  <c r="AA235" i="5"/>
  <c r="BL234" i="5"/>
  <c r="BH234" i="5"/>
  <c r="BG234" i="5"/>
  <c r="AT234" i="5"/>
  <c r="BL233" i="5"/>
  <c r="BH233" i="5"/>
  <c r="BG233" i="5"/>
  <c r="AT233" i="5"/>
  <c r="BL232" i="5"/>
  <c r="BH232" i="5"/>
  <c r="BG232" i="5"/>
  <c r="AT232" i="5"/>
  <c r="BL231" i="5"/>
  <c r="BH231" i="5"/>
  <c r="BG231" i="5"/>
  <c r="AW231" i="5"/>
  <c r="AT231" i="5"/>
  <c r="AA231" i="5"/>
  <c r="BL230" i="5"/>
  <c r="BH230" i="5"/>
  <c r="BG230" i="5"/>
  <c r="AT230" i="5"/>
  <c r="BL229" i="5"/>
  <c r="BH229" i="5"/>
  <c r="BG229" i="5"/>
  <c r="AT229" i="5"/>
  <c r="BL228" i="5"/>
  <c r="BH228" i="5"/>
  <c r="BG228" i="5"/>
  <c r="AT228" i="5"/>
  <c r="BL227" i="5"/>
  <c r="BH227" i="5"/>
  <c r="BG227" i="5"/>
  <c r="AW227" i="5"/>
  <c r="AT227" i="5"/>
  <c r="AA227" i="5"/>
  <c r="BL226" i="5"/>
  <c r="BH226" i="5"/>
  <c r="BG226" i="5"/>
  <c r="AT226" i="5"/>
  <c r="BL225" i="5"/>
  <c r="BH225" i="5"/>
  <c r="BG225" i="5"/>
  <c r="AT225" i="5"/>
  <c r="BL224" i="5"/>
  <c r="BH224" i="5"/>
  <c r="BG224" i="5"/>
  <c r="AT224" i="5"/>
  <c r="BL223" i="5"/>
  <c r="BH223" i="5"/>
  <c r="BG223" i="5"/>
  <c r="AW223" i="5"/>
  <c r="AT223" i="5"/>
  <c r="AA223" i="5"/>
  <c r="BL222" i="5"/>
  <c r="BH222" i="5"/>
  <c r="BG222" i="5"/>
  <c r="AT222" i="5"/>
  <c r="BL221" i="5"/>
  <c r="BH221" i="5"/>
  <c r="BG221" i="5"/>
  <c r="AT221" i="5"/>
  <c r="BL220" i="5"/>
  <c r="BH220" i="5"/>
  <c r="BG220" i="5"/>
  <c r="AT220" i="5"/>
  <c r="BL219" i="5"/>
  <c r="BH219" i="5"/>
  <c r="BG219" i="5"/>
  <c r="AW219" i="5"/>
  <c r="AT219" i="5"/>
  <c r="AA219" i="5"/>
  <c r="BL218" i="5"/>
  <c r="BH218" i="5"/>
  <c r="BG218" i="5"/>
  <c r="AT218" i="5"/>
  <c r="BL217" i="5"/>
  <c r="BH217" i="5"/>
  <c r="BG217" i="5"/>
  <c r="AT217" i="5"/>
  <c r="BL216" i="5"/>
  <c r="BH216" i="5"/>
  <c r="BG216" i="5"/>
  <c r="AT216" i="5"/>
  <c r="BL215" i="5"/>
  <c r="BH215" i="5"/>
  <c r="BG215" i="5"/>
  <c r="AW215" i="5"/>
  <c r="AT215" i="5"/>
  <c r="AA215" i="5"/>
  <c r="BL214" i="5"/>
  <c r="BH214" i="5"/>
  <c r="BG214" i="5"/>
  <c r="AT214" i="5"/>
  <c r="BL213" i="5"/>
  <c r="BH213" i="5"/>
  <c r="BG213" i="5"/>
  <c r="AT213" i="5"/>
  <c r="BL212" i="5"/>
  <c r="BH212" i="5"/>
  <c r="BG212" i="5"/>
  <c r="AT212" i="5"/>
  <c r="BL211" i="5"/>
  <c r="BH211" i="5"/>
  <c r="BG211" i="5"/>
  <c r="AW211" i="5"/>
  <c r="AT211" i="5"/>
  <c r="AA211" i="5"/>
  <c r="BL210" i="5"/>
  <c r="BH210" i="5"/>
  <c r="BG210" i="5"/>
  <c r="AT210" i="5"/>
  <c r="BL209" i="5"/>
  <c r="BH209" i="5"/>
  <c r="BG209" i="5"/>
  <c r="AT209" i="5"/>
  <c r="BL208" i="5"/>
  <c r="BH208" i="5"/>
  <c r="BG208" i="5"/>
  <c r="AT208" i="5"/>
  <c r="BL207" i="5"/>
  <c r="BH207" i="5"/>
  <c r="BG207" i="5"/>
  <c r="AW207" i="5"/>
  <c r="AT207" i="5"/>
  <c r="AA207" i="5"/>
  <c r="BL206" i="5"/>
  <c r="BH206" i="5"/>
  <c r="BG206" i="5"/>
  <c r="AT206" i="5"/>
  <c r="BL205" i="5"/>
  <c r="BH205" i="5"/>
  <c r="BG205" i="5"/>
  <c r="AT205" i="5"/>
  <c r="BL204" i="5"/>
  <c r="BH204" i="5"/>
  <c r="BG204" i="5"/>
  <c r="AT204" i="5"/>
  <c r="BL203" i="5"/>
  <c r="BH203" i="5"/>
  <c r="BG203" i="5"/>
  <c r="AW203" i="5"/>
  <c r="AT203" i="5"/>
  <c r="AA203" i="5"/>
  <c r="BL202" i="5"/>
  <c r="BH202" i="5"/>
  <c r="BG202" i="5"/>
  <c r="AT202" i="5"/>
  <c r="BL201" i="5"/>
  <c r="BH201" i="5"/>
  <c r="BG201" i="5"/>
  <c r="AT201" i="5"/>
  <c r="BL200" i="5"/>
  <c r="BH200" i="5"/>
  <c r="BG200" i="5"/>
  <c r="AT200" i="5"/>
  <c r="BL199" i="5"/>
  <c r="BH199" i="5"/>
  <c r="BG199" i="5"/>
  <c r="AW199" i="5"/>
  <c r="AT199" i="5"/>
  <c r="AA199" i="5"/>
  <c r="BL198" i="5"/>
  <c r="BH198" i="5"/>
  <c r="BG198" i="5"/>
  <c r="AT198" i="5"/>
  <c r="BL197" i="5"/>
  <c r="BH197" i="5"/>
  <c r="BG197" i="5"/>
  <c r="AT197" i="5"/>
  <c r="BL196" i="5"/>
  <c r="BH196" i="5"/>
  <c r="BG196" i="5"/>
  <c r="AT196" i="5"/>
  <c r="BL195" i="5"/>
  <c r="BH195" i="5"/>
  <c r="BG195" i="5"/>
  <c r="AW195" i="5"/>
  <c r="AT195" i="5"/>
  <c r="AA195" i="5"/>
  <c r="BL194" i="5"/>
  <c r="BH194" i="5"/>
  <c r="BG194" i="5"/>
  <c r="AT194" i="5"/>
  <c r="BL193" i="5"/>
  <c r="BH193" i="5"/>
  <c r="BG193" i="5"/>
  <c r="AT193" i="5"/>
  <c r="BL192" i="5"/>
  <c r="BH192" i="5"/>
  <c r="BG192" i="5"/>
  <c r="AT192" i="5"/>
  <c r="BL191" i="5"/>
  <c r="BH191" i="5"/>
  <c r="BG191" i="5"/>
  <c r="AW191" i="5"/>
  <c r="AT191" i="5"/>
  <c r="AA191" i="5"/>
  <c r="BL190" i="5"/>
  <c r="BH190" i="5"/>
  <c r="BG190" i="5"/>
  <c r="AT190" i="5"/>
  <c r="BL189" i="5"/>
  <c r="BH189" i="5"/>
  <c r="BG189" i="5"/>
  <c r="AT189" i="5"/>
  <c r="BL188" i="5"/>
  <c r="BH188" i="5"/>
  <c r="BG188" i="5"/>
  <c r="AT188" i="5"/>
  <c r="BL187" i="5"/>
  <c r="BH187" i="5"/>
  <c r="BG187" i="5"/>
  <c r="AW187" i="5"/>
  <c r="AT187" i="5"/>
  <c r="AA187" i="5"/>
  <c r="BL186" i="5"/>
  <c r="BH186" i="5"/>
  <c r="BG186" i="5"/>
  <c r="AT186" i="5"/>
  <c r="BL185" i="5"/>
  <c r="BH185" i="5"/>
  <c r="BG185" i="5"/>
  <c r="AT185" i="5"/>
  <c r="BL184" i="5"/>
  <c r="BH184" i="5"/>
  <c r="BG184" i="5"/>
  <c r="AT184" i="5"/>
  <c r="BL183" i="5"/>
  <c r="BH183" i="5"/>
  <c r="BG183" i="5"/>
  <c r="AW183" i="5"/>
  <c r="AT183" i="5"/>
  <c r="AA183" i="5"/>
  <c r="BL182" i="5"/>
  <c r="BH182" i="5"/>
  <c r="BG182" i="5"/>
  <c r="AT182" i="5"/>
  <c r="BL181" i="5"/>
  <c r="BH181" i="5"/>
  <c r="BG181" i="5"/>
  <c r="AT181" i="5"/>
  <c r="BL180" i="5"/>
  <c r="BH180" i="5"/>
  <c r="BG180" i="5"/>
  <c r="AT180" i="5"/>
  <c r="BL179" i="5"/>
  <c r="BH179" i="5"/>
  <c r="BG179" i="5"/>
  <c r="AW179" i="5"/>
  <c r="AT179" i="5"/>
  <c r="AA179" i="5"/>
  <c r="BL178" i="5"/>
  <c r="BH178" i="5"/>
  <c r="BG178" i="5"/>
  <c r="AT178" i="5"/>
  <c r="BL177" i="5"/>
  <c r="BH177" i="5"/>
  <c r="BG177" i="5"/>
  <c r="AT177" i="5"/>
  <c r="BL176" i="5"/>
  <c r="BH176" i="5"/>
  <c r="BG176" i="5"/>
  <c r="AT176" i="5"/>
  <c r="BL175" i="5"/>
  <c r="BH175" i="5"/>
  <c r="BG175" i="5"/>
  <c r="AW175" i="5"/>
  <c r="AT175" i="5"/>
  <c r="AA175" i="5"/>
  <c r="BL174" i="5"/>
  <c r="BH174" i="5"/>
  <c r="BG174" i="5"/>
  <c r="AT174" i="5"/>
  <c r="BL173" i="5"/>
  <c r="BH173" i="5"/>
  <c r="BG173" i="5"/>
  <c r="AT173" i="5"/>
  <c r="BL172" i="5"/>
  <c r="BH172" i="5"/>
  <c r="BG172" i="5"/>
  <c r="AT172" i="5"/>
  <c r="BL171" i="5"/>
  <c r="BH171" i="5"/>
  <c r="BG171" i="5"/>
  <c r="AW171" i="5"/>
  <c r="AT171" i="5"/>
  <c r="AA171" i="5"/>
  <c r="BL170" i="5"/>
  <c r="BH170" i="5"/>
  <c r="BG170" i="5"/>
  <c r="AT170" i="5"/>
  <c r="BL169" i="5"/>
  <c r="BH169" i="5"/>
  <c r="BG169" i="5"/>
  <c r="AT169" i="5"/>
  <c r="BL168" i="5"/>
  <c r="BH168" i="5"/>
  <c r="BG168" i="5"/>
  <c r="AT168" i="5"/>
  <c r="BL167" i="5"/>
  <c r="BH167" i="5"/>
  <c r="BG167" i="5"/>
  <c r="AW167" i="5"/>
  <c r="AT167" i="5"/>
  <c r="AA167" i="5"/>
  <c r="BL166" i="5"/>
  <c r="BH166" i="5"/>
  <c r="BG166" i="5"/>
  <c r="AT166" i="5"/>
  <c r="BL165" i="5"/>
  <c r="BH165" i="5"/>
  <c r="BG165" i="5"/>
  <c r="AT165" i="5"/>
  <c r="BL164" i="5"/>
  <c r="BH164" i="5"/>
  <c r="BG164" i="5"/>
  <c r="AT164" i="5"/>
  <c r="BL163" i="5"/>
  <c r="BH163" i="5"/>
  <c r="BG163" i="5"/>
  <c r="AW163" i="5"/>
  <c r="AT163" i="5"/>
  <c r="AA163" i="5"/>
  <c r="BL162" i="5"/>
  <c r="BH162" i="5"/>
  <c r="BG162" i="5"/>
  <c r="AT162" i="5"/>
  <c r="BL161" i="5"/>
  <c r="BH161" i="5"/>
  <c r="BG161" i="5"/>
  <c r="AT161" i="5"/>
  <c r="BL160" i="5"/>
  <c r="BH160" i="5"/>
  <c r="BG160" i="5"/>
  <c r="AT160" i="5"/>
  <c r="BL159" i="5"/>
  <c r="BH159" i="5"/>
  <c r="BG159" i="5"/>
  <c r="AW159" i="5"/>
  <c r="AT159" i="5"/>
  <c r="AA159" i="5"/>
  <c r="BL158" i="5"/>
  <c r="BH158" i="5"/>
  <c r="BG158" i="5"/>
  <c r="AT158" i="5"/>
  <c r="BL157" i="5"/>
  <c r="BH157" i="5"/>
  <c r="BG157" i="5"/>
  <c r="AT157" i="5"/>
  <c r="BL156" i="5"/>
  <c r="BH156" i="5"/>
  <c r="BG156" i="5"/>
  <c r="AT156" i="5"/>
  <c r="BL155" i="5"/>
  <c r="BH155" i="5"/>
  <c r="BG155" i="5"/>
  <c r="AW155" i="5"/>
  <c r="AT155" i="5"/>
  <c r="AA155" i="5"/>
  <c r="BL154" i="5"/>
  <c r="BH154" i="5"/>
  <c r="BG154" i="5"/>
  <c r="AT154" i="5"/>
  <c r="BL153" i="5"/>
  <c r="BH153" i="5"/>
  <c r="BG153" i="5"/>
  <c r="AT153" i="5"/>
  <c r="BL152" i="5"/>
  <c r="BH152" i="5"/>
  <c r="BG152" i="5"/>
  <c r="AT152" i="5"/>
  <c r="BL151" i="5"/>
  <c r="BH151" i="5"/>
  <c r="BG151" i="5"/>
  <c r="AW151" i="5"/>
  <c r="AT151" i="5"/>
  <c r="AA151" i="5"/>
  <c r="BL150" i="5"/>
  <c r="BH150" i="5"/>
  <c r="BG150" i="5"/>
  <c r="AT150" i="5"/>
  <c r="BL149" i="5"/>
  <c r="BH149" i="5"/>
  <c r="BG149" i="5"/>
  <c r="AT149" i="5"/>
  <c r="BL148" i="5"/>
  <c r="BH148" i="5"/>
  <c r="BG148" i="5"/>
  <c r="AT148" i="5"/>
  <c r="BL147" i="5"/>
  <c r="BH147" i="5"/>
  <c r="BG147" i="5"/>
  <c r="AW147" i="5"/>
  <c r="AT147" i="5"/>
  <c r="AA147" i="5"/>
  <c r="BL146" i="5"/>
  <c r="BH146" i="5"/>
  <c r="BG146" i="5"/>
  <c r="AT146" i="5"/>
  <c r="BL145" i="5"/>
  <c r="BH145" i="5"/>
  <c r="BG145" i="5"/>
  <c r="AT145" i="5"/>
  <c r="BL144" i="5"/>
  <c r="BH144" i="5"/>
  <c r="BG144" i="5"/>
  <c r="AT144" i="5"/>
  <c r="BL143" i="5"/>
  <c r="BH143" i="5"/>
  <c r="BG143" i="5"/>
  <c r="AW143" i="5"/>
  <c r="AT143" i="5"/>
  <c r="AA143" i="5"/>
  <c r="BL142" i="5"/>
  <c r="BH142" i="5"/>
  <c r="BG142" i="5"/>
  <c r="AT142" i="5"/>
  <c r="BL141" i="5"/>
  <c r="BH141" i="5"/>
  <c r="BG141" i="5"/>
  <c r="AT141" i="5"/>
  <c r="BL140" i="5"/>
  <c r="BH140" i="5"/>
  <c r="BG140" i="5"/>
  <c r="AT140" i="5"/>
  <c r="BL139" i="5"/>
  <c r="BH139" i="5"/>
  <c r="BG139" i="5"/>
  <c r="AW139" i="5"/>
  <c r="AT139" i="5"/>
  <c r="AA139" i="5"/>
  <c r="BL138" i="5"/>
  <c r="BH138" i="5"/>
  <c r="BG138" i="5"/>
  <c r="AT138" i="5"/>
  <c r="BL137" i="5"/>
  <c r="BH137" i="5"/>
  <c r="BG137" i="5"/>
  <c r="AT137" i="5"/>
  <c r="BL136" i="5"/>
  <c r="BH136" i="5"/>
  <c r="BG136" i="5"/>
  <c r="AT136" i="5"/>
  <c r="BL135" i="5"/>
  <c r="BH135" i="5"/>
  <c r="BG135" i="5"/>
  <c r="AW135" i="5"/>
  <c r="AT135" i="5"/>
  <c r="AA135" i="5"/>
  <c r="BL134" i="5"/>
  <c r="BH134" i="5"/>
  <c r="BG134" i="5"/>
  <c r="AT134" i="5"/>
  <c r="BL133" i="5"/>
  <c r="BH133" i="5"/>
  <c r="BG133" i="5"/>
  <c r="AT133" i="5"/>
  <c r="BL132" i="5"/>
  <c r="BH132" i="5"/>
  <c r="BG132" i="5"/>
  <c r="AT132" i="5"/>
  <c r="BL131" i="5"/>
  <c r="BH131" i="5"/>
  <c r="BG131" i="5"/>
  <c r="AW131" i="5"/>
  <c r="AT131" i="5"/>
  <c r="AA131" i="5"/>
  <c r="BL130" i="5"/>
  <c r="BH130" i="5"/>
  <c r="BG130" i="5"/>
  <c r="AT130" i="5"/>
  <c r="BL129" i="5"/>
  <c r="BH129" i="5"/>
  <c r="BG129" i="5"/>
  <c r="AT129" i="5"/>
  <c r="BL128" i="5"/>
  <c r="BH128" i="5"/>
  <c r="BG128" i="5"/>
  <c r="AT128" i="5"/>
  <c r="BL127" i="5"/>
  <c r="BH127" i="5"/>
  <c r="BG127" i="5"/>
  <c r="AW127" i="5"/>
  <c r="AT127" i="5"/>
  <c r="AA127" i="5"/>
  <c r="BL126" i="5"/>
  <c r="BH126" i="5"/>
  <c r="BG126" i="5"/>
  <c r="AT126" i="5"/>
  <c r="BL125" i="5"/>
  <c r="BH125" i="5"/>
  <c r="BG125" i="5"/>
  <c r="AT125" i="5"/>
  <c r="BL124" i="5"/>
  <c r="BH124" i="5"/>
  <c r="BG124" i="5"/>
  <c r="AT124" i="5"/>
  <c r="BL123" i="5"/>
  <c r="BH123" i="5"/>
  <c r="BG123" i="5"/>
  <c r="AW123" i="5"/>
  <c r="AT123" i="5"/>
  <c r="AA123" i="5"/>
  <c r="BL122" i="5"/>
  <c r="BH122" i="5"/>
  <c r="BG122" i="5"/>
  <c r="AT122" i="5"/>
  <c r="BL121" i="5"/>
  <c r="BH121" i="5"/>
  <c r="BG121" i="5"/>
  <c r="AT121" i="5"/>
  <c r="BL120" i="5"/>
  <c r="BH120" i="5"/>
  <c r="BG120" i="5"/>
  <c r="AT120" i="5"/>
  <c r="BL119" i="5"/>
  <c r="BH119" i="5"/>
  <c r="BG119" i="5"/>
  <c r="AW119" i="5"/>
  <c r="AT119" i="5"/>
  <c r="AA119" i="5"/>
  <c r="BL118" i="5"/>
  <c r="BH118" i="5"/>
  <c r="BG118" i="5"/>
  <c r="AT118" i="5"/>
  <c r="BL117" i="5"/>
  <c r="BH117" i="5"/>
  <c r="BG117" i="5"/>
  <c r="AT117" i="5"/>
  <c r="BL116" i="5"/>
  <c r="BH116" i="5"/>
  <c r="BG116" i="5"/>
  <c r="AT116" i="5"/>
  <c r="BL115" i="5"/>
  <c r="BH115" i="5"/>
  <c r="BG115" i="5"/>
  <c r="AW115" i="5"/>
  <c r="AT115" i="5"/>
  <c r="AA115" i="5"/>
  <c r="BL114" i="5"/>
  <c r="BH114" i="5"/>
  <c r="BG114" i="5"/>
  <c r="AT114" i="5"/>
  <c r="BL113" i="5"/>
  <c r="BH113" i="5"/>
  <c r="BG113" i="5"/>
  <c r="AT113" i="5"/>
  <c r="BL112" i="5"/>
  <c r="BH112" i="5"/>
  <c r="BG112" i="5"/>
  <c r="AT112" i="5"/>
  <c r="BL111" i="5"/>
  <c r="BH111" i="5"/>
  <c r="BG111" i="5"/>
  <c r="AW111" i="5"/>
  <c r="AT111" i="5"/>
  <c r="AA111" i="5"/>
  <c r="BL110" i="5"/>
  <c r="BH110" i="5"/>
  <c r="BG110" i="5"/>
  <c r="AT110" i="5"/>
  <c r="BL109" i="5"/>
  <c r="BH109" i="5"/>
  <c r="BG109" i="5"/>
  <c r="AT109" i="5"/>
  <c r="BL108" i="5"/>
  <c r="BH108" i="5"/>
  <c r="BG108" i="5"/>
  <c r="AT108" i="5"/>
  <c r="BL107" i="5"/>
  <c r="BH107" i="5"/>
  <c r="BG107" i="5"/>
  <c r="AW107" i="5"/>
  <c r="AT107" i="5"/>
  <c r="AA107" i="5"/>
  <c r="BL106" i="5"/>
  <c r="BH106" i="5"/>
  <c r="BG106" i="5"/>
  <c r="AT106" i="5"/>
  <c r="BL105" i="5"/>
  <c r="BH105" i="5"/>
  <c r="BG105" i="5"/>
  <c r="AT105" i="5"/>
  <c r="BL104" i="5"/>
  <c r="BH104" i="5"/>
  <c r="BG104" i="5"/>
  <c r="AT104" i="5"/>
  <c r="BL103" i="5"/>
  <c r="BH103" i="5"/>
  <c r="BG103" i="5"/>
  <c r="AW103" i="5"/>
  <c r="AT103" i="5"/>
  <c r="AA103" i="5"/>
  <c r="BL102" i="5"/>
  <c r="BH102" i="5"/>
  <c r="BG102" i="5"/>
  <c r="AT102" i="5"/>
  <c r="BL101" i="5"/>
  <c r="BH101" i="5"/>
  <c r="BG101" i="5"/>
  <c r="AT101" i="5"/>
  <c r="BL100" i="5"/>
  <c r="BH100" i="5"/>
  <c r="BG100" i="5"/>
  <c r="AT100" i="5"/>
  <c r="BL99" i="5"/>
  <c r="BH99" i="5"/>
  <c r="BG99" i="5"/>
  <c r="AW99" i="5"/>
  <c r="AT99" i="5"/>
  <c r="AA99" i="5"/>
  <c r="BL98" i="5"/>
  <c r="BH98" i="5"/>
  <c r="BG98" i="5"/>
  <c r="AT98" i="5"/>
  <c r="BL97" i="5"/>
  <c r="BH97" i="5"/>
  <c r="BG97" i="5"/>
  <c r="AT97" i="5"/>
  <c r="BL96" i="5"/>
  <c r="BH96" i="5"/>
  <c r="BG96" i="5"/>
  <c r="AT96" i="5"/>
  <c r="BL95" i="5"/>
  <c r="BH95" i="5"/>
  <c r="BG95" i="5"/>
  <c r="AW95" i="5"/>
  <c r="AT95" i="5"/>
  <c r="AA95" i="5"/>
  <c r="BL94" i="5"/>
  <c r="BH94" i="5"/>
  <c r="BG94" i="5"/>
  <c r="AT94" i="5"/>
  <c r="BL93" i="5"/>
  <c r="BH93" i="5"/>
  <c r="BG93" i="5"/>
  <c r="AT93" i="5"/>
  <c r="BL92" i="5"/>
  <c r="BH92" i="5"/>
  <c r="BG92" i="5"/>
  <c r="AT92" i="5"/>
  <c r="BL91" i="5"/>
  <c r="BH91" i="5"/>
  <c r="BG91" i="5"/>
  <c r="AW91" i="5"/>
  <c r="AT91" i="5"/>
  <c r="AA91" i="5"/>
  <c r="BL90" i="5"/>
  <c r="BH90" i="5"/>
  <c r="BG90" i="5"/>
  <c r="AT90" i="5"/>
  <c r="BL89" i="5"/>
  <c r="BH89" i="5"/>
  <c r="BG89" i="5"/>
  <c r="AT89" i="5"/>
  <c r="BL88" i="5"/>
  <c r="BH88" i="5"/>
  <c r="BG88" i="5"/>
  <c r="AT88" i="5"/>
  <c r="BL87" i="5"/>
  <c r="BH87" i="5"/>
  <c r="BG87" i="5"/>
  <c r="AW87" i="5"/>
  <c r="AT87" i="5"/>
  <c r="AA87" i="5"/>
  <c r="BL86" i="5"/>
  <c r="BH86" i="5"/>
  <c r="BG86" i="5"/>
  <c r="AT86" i="5"/>
  <c r="BL85" i="5"/>
  <c r="BH85" i="5"/>
  <c r="BG85" i="5"/>
  <c r="AT85" i="5"/>
  <c r="BL84" i="5"/>
  <c r="BH84" i="5"/>
  <c r="BG84" i="5"/>
  <c r="AT84" i="5"/>
  <c r="BL83" i="5"/>
  <c r="BH83" i="5"/>
  <c r="BG83" i="5"/>
  <c r="AW83" i="5"/>
  <c r="AT83" i="5"/>
  <c r="AA83" i="5"/>
  <c r="BL82" i="5"/>
  <c r="BH82" i="5"/>
  <c r="BG82" i="5"/>
  <c r="AT82" i="5"/>
  <c r="BL81" i="5"/>
  <c r="BH81" i="5"/>
  <c r="BG81" i="5"/>
  <c r="AT81" i="5"/>
  <c r="BL80" i="5"/>
  <c r="BH80" i="5"/>
  <c r="BG80" i="5"/>
  <c r="AT80" i="5"/>
  <c r="BL79" i="5"/>
  <c r="BH79" i="5"/>
  <c r="BG79" i="5"/>
  <c r="AW79" i="5"/>
  <c r="AT79" i="5"/>
  <c r="AM79" i="5"/>
  <c r="AN79" i="5" s="1"/>
  <c r="AA79" i="5"/>
  <c r="BL78" i="5"/>
  <c r="BH78" i="5"/>
  <c r="BG78" i="5"/>
  <c r="AT78" i="5"/>
  <c r="BL77" i="5"/>
  <c r="BH77" i="5"/>
  <c r="BG77" i="5"/>
  <c r="AT77" i="5"/>
  <c r="BL76" i="5"/>
  <c r="BH76" i="5"/>
  <c r="BG76" i="5"/>
  <c r="AT76" i="5"/>
  <c r="BL75" i="5"/>
  <c r="BH75" i="5"/>
  <c r="BG75" i="5"/>
  <c r="AW75" i="5"/>
  <c r="AT75" i="5"/>
  <c r="AA75" i="5"/>
  <c r="BL74" i="5"/>
  <c r="BH74" i="5"/>
  <c r="BG74" i="5"/>
  <c r="AT74" i="5"/>
  <c r="BL73" i="5"/>
  <c r="BH73" i="5"/>
  <c r="BG73" i="5"/>
  <c r="AT73" i="5"/>
  <c r="BL72" i="5"/>
  <c r="BH72" i="5"/>
  <c r="BG72" i="5"/>
  <c r="AT72" i="5"/>
  <c r="BL71" i="5"/>
  <c r="BH71" i="5"/>
  <c r="BG71" i="5"/>
  <c r="AW71" i="5"/>
  <c r="AT71" i="5"/>
  <c r="AA71" i="5"/>
  <c r="BL70" i="5"/>
  <c r="BH70" i="5"/>
  <c r="BG70" i="5"/>
  <c r="AT70" i="5"/>
  <c r="BL69" i="5"/>
  <c r="BH69" i="5"/>
  <c r="BG69" i="5"/>
  <c r="AT69" i="5"/>
  <c r="BL68" i="5"/>
  <c r="BH68" i="5"/>
  <c r="BG68" i="5"/>
  <c r="AT68" i="5"/>
  <c r="AM68" i="5"/>
  <c r="AN68" i="5" s="1"/>
  <c r="BL67" i="5"/>
  <c r="BH67" i="5"/>
  <c r="BG67" i="5"/>
  <c r="AW67" i="5"/>
  <c r="AT67" i="5"/>
  <c r="AA67" i="5"/>
  <c r="BL66" i="5"/>
  <c r="BH66" i="5"/>
  <c r="BG66" i="5"/>
  <c r="AT66" i="5"/>
  <c r="BL65" i="5"/>
  <c r="BH65" i="5"/>
  <c r="BG65" i="5"/>
  <c r="AT65" i="5"/>
  <c r="BL64" i="5"/>
  <c r="BH64" i="5"/>
  <c r="BG64" i="5"/>
  <c r="AT64" i="5"/>
  <c r="BH63" i="5"/>
  <c r="BG63" i="5"/>
  <c r="AW63" i="5"/>
  <c r="AT63" i="5"/>
  <c r="AA63" i="5"/>
  <c r="BL62" i="5"/>
  <c r="BH62" i="5"/>
  <c r="BG62" i="5"/>
  <c r="AT62" i="5"/>
  <c r="BL61" i="5"/>
  <c r="BH61" i="5"/>
  <c r="BG61" i="5"/>
  <c r="AT61" i="5"/>
  <c r="BL60" i="5"/>
  <c r="BH60" i="5"/>
  <c r="BG60" i="5"/>
  <c r="AT60" i="5"/>
  <c r="BH59" i="5"/>
  <c r="BG59" i="5"/>
  <c r="AW59" i="5"/>
  <c r="AT59" i="5"/>
  <c r="AA59" i="5"/>
  <c r="BL58" i="5"/>
  <c r="BH58" i="5"/>
  <c r="BG58" i="5"/>
  <c r="AT58" i="5"/>
  <c r="BL57" i="5"/>
  <c r="BH57" i="5"/>
  <c r="BG57" i="5"/>
  <c r="AT57" i="5"/>
  <c r="BL56" i="5"/>
  <c r="BH56" i="5"/>
  <c r="BG56" i="5"/>
  <c r="AT56" i="5"/>
  <c r="BH55" i="5"/>
  <c r="BG55" i="5"/>
  <c r="AW55" i="5"/>
  <c r="AT55" i="5"/>
  <c r="AA55" i="5"/>
  <c r="BL54" i="5"/>
  <c r="BH54" i="5"/>
  <c r="BG54" i="5"/>
  <c r="AT54" i="5"/>
  <c r="BL53" i="5"/>
  <c r="BH53" i="5"/>
  <c r="BG53" i="5"/>
  <c r="AT53" i="5"/>
  <c r="BL52" i="5"/>
  <c r="BH52" i="5"/>
  <c r="BG52" i="5"/>
  <c r="AT52" i="5"/>
  <c r="BH51" i="5"/>
  <c r="BG51" i="5"/>
  <c r="AW51" i="5"/>
  <c r="AT51" i="5"/>
  <c r="AA51" i="5"/>
  <c r="BL50" i="5"/>
  <c r="BH50" i="5"/>
  <c r="BG50" i="5"/>
  <c r="AT50" i="5"/>
  <c r="BL49" i="5"/>
  <c r="BH49" i="5"/>
  <c r="BG49" i="5"/>
  <c r="AT49" i="5"/>
  <c r="BL48" i="5"/>
  <c r="BH48" i="5"/>
  <c r="BG48" i="5"/>
  <c r="AT48" i="5"/>
  <c r="BH47" i="5"/>
  <c r="BG47" i="5"/>
  <c r="AW47" i="5"/>
  <c r="AT47" i="5"/>
  <c r="AA47" i="5"/>
  <c r="BL46" i="5"/>
  <c r="BH46" i="5"/>
  <c r="BG46" i="5"/>
  <c r="AT46" i="5"/>
  <c r="BL45" i="5"/>
  <c r="BH45" i="5"/>
  <c r="BG45" i="5"/>
  <c r="AT45" i="5"/>
  <c r="BL44" i="5"/>
  <c r="BH44" i="5"/>
  <c r="BG44" i="5"/>
  <c r="AT44" i="5"/>
  <c r="BH43" i="5"/>
  <c r="BG43" i="5"/>
  <c r="AW43" i="5"/>
  <c r="AT43" i="5"/>
  <c r="AA43" i="5"/>
  <c r="BL42" i="5"/>
  <c r="BH42" i="5"/>
  <c r="BG42" i="5"/>
  <c r="AT42" i="5"/>
  <c r="BL41" i="5"/>
  <c r="BH41" i="5"/>
  <c r="BG41" i="5"/>
  <c r="AT41" i="5"/>
  <c r="BL40" i="5"/>
  <c r="BH40" i="5"/>
  <c r="BG40" i="5"/>
  <c r="AT40" i="5"/>
  <c r="BH39" i="5"/>
  <c r="BG39" i="5"/>
  <c r="AW39" i="5"/>
  <c r="AT39" i="5"/>
  <c r="AO39" i="5"/>
  <c r="AA39" i="5"/>
  <c r="BL38" i="5"/>
  <c r="BH38" i="5"/>
  <c r="BG38" i="5"/>
  <c r="AT38" i="5"/>
  <c r="BL37" i="5"/>
  <c r="BH37" i="5"/>
  <c r="BG37" i="5"/>
  <c r="AT37" i="5"/>
  <c r="BL36" i="5"/>
  <c r="BH36" i="5"/>
  <c r="BG36" i="5"/>
  <c r="AT36" i="5"/>
  <c r="BH35" i="5"/>
  <c r="BG35" i="5"/>
  <c r="AW35" i="5"/>
  <c r="AT35" i="5"/>
  <c r="AM35" i="5"/>
  <c r="AN35" i="5" s="1"/>
  <c r="AA35" i="5"/>
  <c r="BL34" i="5"/>
  <c r="BH34" i="5"/>
  <c r="BG34" i="5"/>
  <c r="AT34" i="5"/>
  <c r="BL33" i="5"/>
  <c r="BH33" i="5"/>
  <c r="BG33" i="5"/>
  <c r="AT33" i="5"/>
  <c r="BL32" i="5"/>
  <c r="BH32" i="5"/>
  <c r="BG32" i="5"/>
  <c r="AT32" i="5"/>
  <c r="BH31" i="5"/>
  <c r="BG31" i="5"/>
  <c r="AW31" i="5"/>
  <c r="AT31" i="5"/>
  <c r="AA31" i="5"/>
  <c r="BL30" i="5"/>
  <c r="BH30" i="5"/>
  <c r="BG30" i="5"/>
  <c r="AT30" i="5"/>
  <c r="BL29" i="5"/>
  <c r="BH29" i="5"/>
  <c r="BG29" i="5"/>
  <c r="AT29" i="5"/>
  <c r="BL28" i="5"/>
  <c r="BH28" i="5"/>
  <c r="BG28" i="5"/>
  <c r="AT28" i="5"/>
  <c r="BH27" i="5"/>
  <c r="BG27" i="5"/>
  <c r="AW27" i="5"/>
  <c r="AT27" i="5"/>
  <c r="AA27" i="5"/>
  <c r="BL26" i="5"/>
  <c r="BH26" i="5"/>
  <c r="BG26" i="5"/>
  <c r="AT26" i="5"/>
  <c r="BL25" i="5"/>
  <c r="BH25" i="5"/>
  <c r="BG25" i="5"/>
  <c r="AT25" i="5"/>
  <c r="AM25" i="5"/>
  <c r="AN25" i="5" s="1"/>
  <c r="BL24" i="5"/>
  <c r="BH24" i="5"/>
  <c r="BG24" i="5"/>
  <c r="AT24" i="5"/>
  <c r="BH23" i="5"/>
  <c r="BG23" i="5"/>
  <c r="AW23" i="5"/>
  <c r="AT23" i="5"/>
  <c r="AA23" i="5"/>
  <c r="BL22" i="5"/>
  <c r="BH22" i="5"/>
  <c r="BG22" i="5"/>
  <c r="AT22" i="5"/>
  <c r="BL21" i="5"/>
  <c r="BH21" i="5"/>
  <c r="BG21" i="5"/>
  <c r="AT21" i="5"/>
  <c r="BL20" i="5"/>
  <c r="BH20" i="5"/>
  <c r="BG20" i="5"/>
  <c r="AT20" i="5"/>
  <c r="BH19" i="5"/>
  <c r="BG19" i="5"/>
  <c r="AW19" i="5"/>
  <c r="AT19" i="5"/>
  <c r="AA19" i="5"/>
  <c r="BL18" i="5"/>
  <c r="BH18" i="5"/>
  <c r="BG18" i="5"/>
  <c r="AT18" i="5"/>
  <c r="BH17" i="5"/>
  <c r="BG17" i="5"/>
  <c r="AT17" i="5"/>
  <c r="BH16" i="5"/>
  <c r="BG16" i="5"/>
  <c r="AT16" i="5"/>
  <c r="BH15" i="5"/>
  <c r="BG15" i="5"/>
  <c r="AW15" i="5"/>
  <c r="AT15" i="5"/>
  <c r="AA15" i="5"/>
  <c r="BH14" i="5"/>
  <c r="BG14" i="5"/>
  <c r="AT14" i="5"/>
  <c r="BH13" i="5"/>
  <c r="BG13" i="5"/>
  <c r="AT13" i="5"/>
  <c r="BH12" i="5"/>
  <c r="BG12" i="5"/>
  <c r="AT12" i="5"/>
  <c r="BH11" i="5"/>
  <c r="BG11" i="5"/>
  <c r="AW11" i="5"/>
  <c r="AT11" i="5"/>
  <c r="AA11" i="5"/>
  <c r="BG10" i="5"/>
  <c r="AT10" i="5"/>
  <c r="BG9" i="5"/>
  <c r="AT9" i="5"/>
  <c r="BG8" i="5"/>
  <c r="AA7" i="5"/>
  <c r="AH27" i="6" l="1"/>
  <c r="V27" i="6"/>
  <c r="BA167" i="6"/>
  <c r="BA131" i="6"/>
  <c r="AP7" i="5"/>
  <c r="AM69" i="5"/>
  <c r="AN69" i="5" s="1"/>
  <c r="AM199" i="5"/>
  <c r="AN199" i="5" s="1"/>
  <c r="AO255" i="5"/>
  <c r="AP255" i="5" s="1"/>
  <c r="AM98" i="5"/>
  <c r="AN98" i="5" s="1"/>
  <c r="AM102" i="5"/>
  <c r="AN102" i="5" s="1"/>
  <c r="AK242" i="5"/>
  <c r="AL242" i="5" s="1"/>
  <c r="AM246" i="5"/>
  <c r="AN246" i="5" s="1"/>
  <c r="AM250" i="5"/>
  <c r="AN250" i="5" s="1"/>
  <c r="AK254" i="5"/>
  <c r="AL254" i="5" s="1"/>
  <c r="AO202" i="5"/>
  <c r="AP202" i="5" s="1"/>
  <c r="AM206" i="5"/>
  <c r="AN206" i="5" s="1"/>
  <c r="AK210" i="5"/>
  <c r="AL210" i="5" s="1"/>
  <c r="AK214" i="5"/>
  <c r="AL214" i="5" s="1"/>
  <c r="AM218" i="5"/>
  <c r="AN218" i="5" s="1"/>
  <c r="AM26" i="5"/>
  <c r="AN26" i="5" s="1"/>
  <c r="AM34" i="5"/>
  <c r="AN34" i="5" s="1"/>
  <c r="AK218" i="5"/>
  <c r="AL218" i="5" s="1"/>
  <c r="AK282" i="5"/>
  <c r="AL282" i="5" s="1"/>
  <c r="AM170" i="5"/>
  <c r="AN170" i="5" s="1"/>
  <c r="AM38" i="5"/>
  <c r="AN38" i="5" s="1"/>
  <c r="AM50" i="5"/>
  <c r="AN50" i="5" s="1"/>
  <c r="AM82" i="5"/>
  <c r="AN82" i="5" s="1"/>
  <c r="AM86" i="5"/>
  <c r="AN86" i="5" s="1"/>
  <c r="AK162" i="5"/>
  <c r="AL162" i="5" s="1"/>
  <c r="AM270" i="5"/>
  <c r="AN270" i="5" s="1"/>
  <c r="AM274" i="5"/>
  <c r="AN274" i="5" s="1"/>
  <c r="AM42" i="5"/>
  <c r="AN42" i="5" s="1"/>
  <c r="AO50" i="5"/>
  <c r="AP50" i="5" s="1"/>
  <c r="AM54" i="5"/>
  <c r="AN54" i="5" s="1"/>
  <c r="AM58" i="5"/>
  <c r="AN58" i="5" s="1"/>
  <c r="AK62" i="5"/>
  <c r="AL62" i="5" s="1"/>
  <c r="AK182" i="5"/>
  <c r="AL182" i="5" s="1"/>
  <c r="AM257" i="5"/>
  <c r="AN257" i="5" s="1"/>
  <c r="U395" i="6"/>
  <c r="BB395" i="6" s="1"/>
  <c r="AM101" i="5"/>
  <c r="AN101" i="5" s="1"/>
  <c r="AV367" i="6"/>
  <c r="AO41" i="5"/>
  <c r="AP41" i="5" s="1"/>
  <c r="AM85" i="5"/>
  <c r="AN85" i="5" s="1"/>
  <c r="AK197" i="5"/>
  <c r="AL197" i="5" s="1"/>
  <c r="AK349" i="5"/>
  <c r="AL349" i="5" s="1"/>
  <c r="AM37" i="5"/>
  <c r="AM21" i="5"/>
  <c r="AN21" i="5" s="1"/>
  <c r="AM29" i="5"/>
  <c r="AN29" i="5" s="1"/>
  <c r="AM33" i="5"/>
  <c r="AN33" i="5" s="1"/>
  <c r="AO57" i="5"/>
  <c r="AP57" i="5" s="1"/>
  <c r="AK169" i="5"/>
  <c r="AL169" i="5" s="1"/>
  <c r="AM221" i="5"/>
  <c r="AN221" i="5" s="1"/>
  <c r="AO241" i="5"/>
  <c r="AP241" i="5" s="1"/>
  <c r="AM57" i="5"/>
  <c r="AN57" i="5" s="1"/>
  <c r="AM89" i="5"/>
  <c r="AN89" i="5" s="1"/>
  <c r="AO33" i="5"/>
  <c r="AP33" i="5" s="1"/>
  <c r="AM41" i="5"/>
  <c r="AN41" i="5" s="1"/>
  <c r="AM65" i="5"/>
  <c r="AN65" i="5" s="1"/>
  <c r="AM77" i="5"/>
  <c r="AN77" i="5" s="1"/>
  <c r="AK173" i="5"/>
  <c r="AL173" i="5" s="1"/>
  <c r="AK177" i="5"/>
  <c r="AL177" i="5" s="1"/>
  <c r="AO222" i="5"/>
  <c r="AP222" i="5" s="1"/>
  <c r="AM226" i="5"/>
  <c r="AN226" i="5" s="1"/>
  <c r="AM258" i="5"/>
  <c r="AN258" i="5" s="1"/>
  <c r="AK262" i="5"/>
  <c r="AL262" i="5" s="1"/>
  <c r="AV387" i="6"/>
  <c r="AM190" i="5"/>
  <c r="AN190" i="5" s="1"/>
  <c r="AM198" i="5"/>
  <c r="AN198" i="5" s="1"/>
  <c r="AK226" i="5"/>
  <c r="AL226" i="5" s="1"/>
  <c r="AK230" i="5"/>
  <c r="AL230" i="5" s="1"/>
  <c r="AM234" i="5"/>
  <c r="AN234" i="5" s="1"/>
  <c r="AO238" i="5"/>
  <c r="AP238" i="5" s="1"/>
  <c r="BA395" i="6"/>
  <c r="BA123" i="6"/>
  <c r="BA147" i="6"/>
  <c r="BA179" i="6"/>
  <c r="BA91" i="6"/>
  <c r="BA143" i="6"/>
  <c r="BA163" i="6"/>
  <c r="BA259" i="6"/>
  <c r="BA83" i="6"/>
  <c r="BA107" i="6"/>
  <c r="BA159" i="6"/>
  <c r="BA299" i="6"/>
  <c r="BA315" i="6"/>
  <c r="BA339" i="6"/>
  <c r="BA359" i="6"/>
  <c r="BA379" i="6"/>
  <c r="BA391" i="6"/>
  <c r="BA399" i="6"/>
  <c r="T299" i="6"/>
  <c r="U343" i="6"/>
  <c r="BB343" i="6" s="1"/>
  <c r="AV275" i="6"/>
  <c r="AV307" i="6"/>
  <c r="BA199" i="6"/>
  <c r="U91" i="6"/>
  <c r="BB91" i="6" s="1"/>
  <c r="AV115" i="6"/>
  <c r="U183" i="6"/>
  <c r="BB183" i="6" s="1"/>
  <c r="BA235" i="6"/>
  <c r="AV263" i="6"/>
  <c r="U355" i="6"/>
  <c r="BB355" i="6" s="1"/>
  <c r="AV139" i="6"/>
  <c r="BA171" i="6"/>
  <c r="AV175" i="6"/>
  <c r="BA247" i="6"/>
  <c r="AO229" i="5"/>
  <c r="AP229" i="5" s="1"/>
  <c r="AK265" i="5"/>
  <c r="AL265" i="5" s="1"/>
  <c r="AM273" i="5"/>
  <c r="AN273" i="5" s="1"/>
  <c r="AM317" i="5"/>
  <c r="AN317" i="5" s="1"/>
  <c r="AK345" i="5"/>
  <c r="AL345" i="5" s="1"/>
  <c r="AK403" i="6"/>
  <c r="AL403" i="6" s="1"/>
  <c r="AI403" i="6"/>
  <c r="AJ403" i="6" s="1"/>
  <c r="AO403" i="6"/>
  <c r="AP403" i="6" s="1"/>
  <c r="AO399" i="6"/>
  <c r="AP399" i="6" s="1"/>
  <c r="AI399" i="6"/>
  <c r="AJ399" i="6" s="1"/>
  <c r="AK399" i="6"/>
  <c r="AL399" i="6" s="1"/>
  <c r="AO395" i="6"/>
  <c r="AP395" i="6" s="1"/>
  <c r="AI395" i="6"/>
  <c r="AJ395" i="6" s="1"/>
  <c r="AK395" i="6"/>
  <c r="AL395" i="6" s="1"/>
  <c r="AI391" i="6"/>
  <c r="AJ391" i="6" s="1"/>
  <c r="AO391" i="6"/>
  <c r="AP391" i="6" s="1"/>
  <c r="AK391" i="6"/>
  <c r="AL391" i="6" s="1"/>
  <c r="AK387" i="6"/>
  <c r="AL387" i="6" s="1"/>
  <c r="AO387" i="6"/>
  <c r="AP387" i="6" s="1"/>
  <c r="AI387" i="6"/>
  <c r="AJ387" i="6" s="1"/>
  <c r="AI383" i="6"/>
  <c r="AJ383" i="6" s="1"/>
  <c r="AK383" i="6"/>
  <c r="AL383" i="6" s="1"/>
  <c r="AO383" i="6"/>
  <c r="AP383" i="6" s="1"/>
  <c r="AO379" i="6"/>
  <c r="AP379" i="6" s="1"/>
  <c r="AI379" i="6"/>
  <c r="AJ379" i="6" s="1"/>
  <c r="AK379" i="6"/>
  <c r="AL379" i="6" s="1"/>
  <c r="AK375" i="6"/>
  <c r="AL375" i="6" s="1"/>
  <c r="AO375" i="6"/>
  <c r="AP375" i="6" s="1"/>
  <c r="AI375" i="6"/>
  <c r="AJ375" i="6" s="1"/>
  <c r="AO371" i="6"/>
  <c r="AP371" i="6" s="1"/>
  <c r="AK371" i="6"/>
  <c r="AL371" i="6" s="1"/>
  <c r="AI371" i="6"/>
  <c r="AJ371" i="6" s="1"/>
  <c r="AI367" i="6"/>
  <c r="AJ367" i="6" s="1"/>
  <c r="AK367" i="6"/>
  <c r="AL367" i="6" s="1"/>
  <c r="AO367" i="6"/>
  <c r="AP367" i="6" s="1"/>
  <c r="AK363" i="6"/>
  <c r="AL363" i="6" s="1"/>
  <c r="AI363" i="6"/>
  <c r="AJ363" i="6" s="1"/>
  <c r="AO363" i="6"/>
  <c r="AP363" i="6" s="1"/>
  <c r="AI359" i="6"/>
  <c r="AJ359" i="6" s="1"/>
  <c r="AK359" i="6"/>
  <c r="AL359" i="6" s="1"/>
  <c r="AO359" i="6"/>
  <c r="AP359" i="6" s="1"/>
  <c r="AK355" i="6"/>
  <c r="AL355" i="6" s="1"/>
  <c r="AO355" i="6"/>
  <c r="AP355" i="6" s="1"/>
  <c r="AI355" i="6"/>
  <c r="AJ355" i="6" s="1"/>
  <c r="AI351" i="6"/>
  <c r="AJ351" i="6" s="1"/>
  <c r="AO351" i="6"/>
  <c r="AP351" i="6" s="1"/>
  <c r="AK351" i="6"/>
  <c r="AL351" i="6" s="1"/>
  <c r="AI347" i="6"/>
  <c r="AJ347" i="6" s="1"/>
  <c r="AO347" i="6"/>
  <c r="AP347" i="6" s="1"/>
  <c r="AK347" i="6"/>
  <c r="AL347" i="6" s="1"/>
  <c r="AO343" i="6"/>
  <c r="AP343" i="6" s="1"/>
  <c r="AK343" i="6"/>
  <c r="AL343" i="6" s="1"/>
  <c r="AI343" i="6"/>
  <c r="AJ343" i="6" s="1"/>
  <c r="AI339" i="6"/>
  <c r="AJ339" i="6" s="1"/>
  <c r="AO339" i="6"/>
  <c r="AP339" i="6" s="1"/>
  <c r="AK339" i="6"/>
  <c r="AL339" i="6" s="1"/>
  <c r="AO335" i="6"/>
  <c r="AP335" i="6" s="1"/>
  <c r="AK335" i="6"/>
  <c r="AL335" i="6" s="1"/>
  <c r="AI335" i="6"/>
  <c r="AJ335" i="6" s="1"/>
  <c r="AI331" i="6"/>
  <c r="AJ331" i="6" s="1"/>
  <c r="AK331" i="6"/>
  <c r="AL331" i="6" s="1"/>
  <c r="AO331" i="6"/>
  <c r="AP331" i="6" s="1"/>
  <c r="AO327" i="6"/>
  <c r="AP327" i="6" s="1"/>
  <c r="AK327" i="6"/>
  <c r="AL327" i="6" s="1"/>
  <c r="AI327" i="6"/>
  <c r="AJ327" i="6" s="1"/>
  <c r="AO323" i="6"/>
  <c r="AP323" i="6" s="1"/>
  <c r="AK323" i="6"/>
  <c r="AL323" i="6" s="1"/>
  <c r="AI323" i="6"/>
  <c r="AJ323" i="6" s="1"/>
  <c r="AI319" i="6"/>
  <c r="AJ319" i="6" s="1"/>
  <c r="AK319" i="6"/>
  <c r="AL319" i="6" s="1"/>
  <c r="AO319" i="6"/>
  <c r="AP319" i="6" s="1"/>
  <c r="AK315" i="6"/>
  <c r="AL315" i="6" s="1"/>
  <c r="AO315" i="6"/>
  <c r="AP315" i="6" s="1"/>
  <c r="AI315" i="6"/>
  <c r="AJ315" i="6" s="1"/>
  <c r="AI311" i="6"/>
  <c r="AJ311" i="6" s="1"/>
  <c r="AO311" i="6"/>
  <c r="AP311" i="6" s="1"/>
  <c r="AK311" i="6"/>
  <c r="AL311" i="6" s="1"/>
  <c r="AK307" i="6"/>
  <c r="AL307" i="6" s="1"/>
  <c r="AI307" i="6"/>
  <c r="AJ307" i="6" s="1"/>
  <c r="AO307" i="6"/>
  <c r="AP307" i="6" s="1"/>
  <c r="AI303" i="6"/>
  <c r="AJ303" i="6" s="1"/>
  <c r="AK303" i="6"/>
  <c r="AL303" i="6" s="1"/>
  <c r="AO303" i="6"/>
  <c r="AP303" i="6" s="1"/>
  <c r="AK299" i="6"/>
  <c r="AL299" i="6" s="1"/>
  <c r="AO299" i="6"/>
  <c r="AP299" i="6" s="1"/>
  <c r="AI299" i="6"/>
  <c r="AJ299" i="6" s="1"/>
  <c r="AI295" i="6"/>
  <c r="AJ295" i="6" s="1"/>
  <c r="AK295" i="6"/>
  <c r="AL295" i="6" s="1"/>
  <c r="AO295" i="6"/>
  <c r="AP295" i="6" s="1"/>
  <c r="AK291" i="6"/>
  <c r="AL291" i="6" s="1"/>
  <c r="AO291" i="6"/>
  <c r="AP291" i="6" s="1"/>
  <c r="AI291" i="6"/>
  <c r="AJ291" i="6" s="1"/>
  <c r="AO287" i="6"/>
  <c r="AP287" i="6" s="1"/>
  <c r="AI287" i="6"/>
  <c r="AJ287" i="6" s="1"/>
  <c r="AK287" i="6"/>
  <c r="AL287" i="6" s="1"/>
  <c r="AO283" i="6"/>
  <c r="AP283" i="6" s="1"/>
  <c r="AK283" i="6"/>
  <c r="AL283" i="6" s="1"/>
  <c r="AI283" i="6"/>
  <c r="AJ283" i="6" s="1"/>
  <c r="AI279" i="6"/>
  <c r="AJ279" i="6" s="1"/>
  <c r="AK279" i="6"/>
  <c r="AL279" i="6" s="1"/>
  <c r="AO279" i="6"/>
  <c r="AP279" i="6" s="1"/>
  <c r="AI275" i="6"/>
  <c r="AJ275" i="6" s="1"/>
  <c r="AK275" i="6"/>
  <c r="AL275" i="6" s="1"/>
  <c r="AO275" i="6"/>
  <c r="AP275" i="6" s="1"/>
  <c r="AK271" i="6"/>
  <c r="AL271" i="6" s="1"/>
  <c r="AO271" i="6"/>
  <c r="AP271" i="6" s="1"/>
  <c r="AI271" i="6"/>
  <c r="AJ271" i="6" s="1"/>
  <c r="AO267" i="6"/>
  <c r="AP267" i="6" s="1"/>
  <c r="AI267" i="6"/>
  <c r="AJ267" i="6" s="1"/>
  <c r="AK267" i="6"/>
  <c r="AL267" i="6" s="1"/>
  <c r="AO263" i="6"/>
  <c r="AP263" i="6" s="1"/>
  <c r="AK263" i="6"/>
  <c r="AL263" i="6" s="1"/>
  <c r="AI263" i="6"/>
  <c r="AJ263" i="6" s="1"/>
  <c r="AI259" i="6"/>
  <c r="AJ259" i="6" s="1"/>
  <c r="AK259" i="6"/>
  <c r="AL259" i="6" s="1"/>
  <c r="AO259" i="6"/>
  <c r="AP259" i="6" s="1"/>
  <c r="AO255" i="6"/>
  <c r="AP255" i="6" s="1"/>
  <c r="AK255" i="6"/>
  <c r="AL255" i="6" s="1"/>
  <c r="AI255" i="6"/>
  <c r="AJ255" i="6" s="1"/>
  <c r="AI251" i="6"/>
  <c r="AJ251" i="6" s="1"/>
  <c r="AK251" i="6"/>
  <c r="AL251" i="6" s="1"/>
  <c r="AO251" i="6"/>
  <c r="AP251" i="6" s="1"/>
  <c r="AO247" i="6"/>
  <c r="AP247" i="6" s="1"/>
  <c r="AI247" i="6"/>
  <c r="AJ247" i="6" s="1"/>
  <c r="AK247" i="6"/>
  <c r="AL247" i="6" s="1"/>
  <c r="AO243" i="6"/>
  <c r="AP243" i="6" s="1"/>
  <c r="AK243" i="6"/>
  <c r="AL243" i="6" s="1"/>
  <c r="AI243" i="6"/>
  <c r="AJ243" i="6" s="1"/>
  <c r="AO239" i="6"/>
  <c r="AP239" i="6" s="1"/>
  <c r="AK239" i="6"/>
  <c r="AL239" i="6" s="1"/>
  <c r="AI239" i="6"/>
  <c r="AJ239" i="6" s="1"/>
  <c r="AI235" i="6"/>
  <c r="AJ235" i="6" s="1"/>
  <c r="AO235" i="6"/>
  <c r="AP235" i="6" s="1"/>
  <c r="AK235" i="6"/>
  <c r="AL235" i="6" s="1"/>
  <c r="AI231" i="6"/>
  <c r="AJ231" i="6" s="1"/>
  <c r="AK231" i="6"/>
  <c r="AL231" i="6" s="1"/>
  <c r="AO231" i="6"/>
  <c r="AP231" i="6" s="1"/>
  <c r="AK227" i="6"/>
  <c r="AL227" i="6" s="1"/>
  <c r="AO227" i="6"/>
  <c r="AP227" i="6" s="1"/>
  <c r="AI227" i="6"/>
  <c r="AJ227" i="6" s="1"/>
  <c r="AO223" i="6"/>
  <c r="AP223" i="6" s="1"/>
  <c r="AK223" i="6"/>
  <c r="AL223" i="6" s="1"/>
  <c r="AI223" i="6"/>
  <c r="AJ223" i="6" s="1"/>
  <c r="AK219" i="6"/>
  <c r="AL219" i="6" s="1"/>
  <c r="AI219" i="6"/>
  <c r="AJ219" i="6" s="1"/>
  <c r="AO219" i="6"/>
  <c r="AP219" i="6" s="1"/>
  <c r="AO215" i="6"/>
  <c r="AP215" i="6" s="1"/>
  <c r="AI215" i="6"/>
  <c r="AJ215" i="6" s="1"/>
  <c r="AK215" i="6"/>
  <c r="AL215" i="6" s="1"/>
  <c r="AI211" i="6"/>
  <c r="AJ211" i="6" s="1"/>
  <c r="AK211" i="6"/>
  <c r="AL211" i="6" s="1"/>
  <c r="AO211" i="6"/>
  <c r="AP211" i="6" s="1"/>
  <c r="AI207" i="6"/>
  <c r="AJ207" i="6" s="1"/>
  <c r="AK207" i="6"/>
  <c r="AL207" i="6" s="1"/>
  <c r="AO207" i="6"/>
  <c r="AP207" i="6" s="1"/>
  <c r="AK203" i="6"/>
  <c r="AL203" i="6" s="1"/>
  <c r="AI203" i="6"/>
  <c r="AJ203" i="6" s="1"/>
  <c r="AO203" i="6"/>
  <c r="AP203" i="6" s="1"/>
  <c r="AK199" i="6"/>
  <c r="AL199" i="6" s="1"/>
  <c r="AI199" i="6"/>
  <c r="AJ199" i="6" s="1"/>
  <c r="AO199" i="6"/>
  <c r="AP199" i="6" s="1"/>
  <c r="AK195" i="6"/>
  <c r="AL195" i="6" s="1"/>
  <c r="AO195" i="6"/>
  <c r="AP195" i="6" s="1"/>
  <c r="AI195" i="6"/>
  <c r="AJ195" i="6" s="1"/>
  <c r="AI191" i="6"/>
  <c r="AJ191" i="6" s="1"/>
  <c r="AK191" i="6"/>
  <c r="AL191" i="6" s="1"/>
  <c r="AO191" i="6"/>
  <c r="AP191" i="6" s="1"/>
  <c r="AK187" i="6"/>
  <c r="AL187" i="6" s="1"/>
  <c r="AI187" i="6"/>
  <c r="AJ187" i="6" s="1"/>
  <c r="AO187" i="6"/>
  <c r="AP187" i="6" s="1"/>
  <c r="AO183" i="6"/>
  <c r="AP183" i="6" s="1"/>
  <c r="AI183" i="6"/>
  <c r="AJ183" i="6" s="1"/>
  <c r="AK183" i="6"/>
  <c r="AL183" i="6" s="1"/>
  <c r="AK179" i="6"/>
  <c r="AL179" i="6" s="1"/>
  <c r="AO179" i="6"/>
  <c r="AP179" i="6" s="1"/>
  <c r="AI179" i="6"/>
  <c r="AJ179" i="6" s="1"/>
  <c r="AI175" i="6"/>
  <c r="AJ175" i="6" s="1"/>
  <c r="AK175" i="6"/>
  <c r="AL175" i="6" s="1"/>
  <c r="AO175" i="6"/>
  <c r="AP175" i="6" s="1"/>
  <c r="AK171" i="6"/>
  <c r="AL171" i="6" s="1"/>
  <c r="AI171" i="6"/>
  <c r="AJ171" i="6" s="1"/>
  <c r="AO171" i="6"/>
  <c r="AP171" i="6" s="1"/>
  <c r="AO167" i="6"/>
  <c r="AP167" i="6" s="1"/>
  <c r="AK167" i="6"/>
  <c r="AL167" i="6" s="1"/>
  <c r="AI167" i="6"/>
  <c r="AJ167" i="6" s="1"/>
  <c r="AI163" i="6"/>
  <c r="AJ163" i="6" s="1"/>
  <c r="AK163" i="6"/>
  <c r="AL163" i="6" s="1"/>
  <c r="AO163" i="6"/>
  <c r="AP163" i="6" s="1"/>
  <c r="AI159" i="6"/>
  <c r="AJ159" i="6" s="1"/>
  <c r="AK159" i="6"/>
  <c r="AL159" i="6" s="1"/>
  <c r="AO159" i="6"/>
  <c r="AP159" i="6" s="1"/>
  <c r="AK155" i="6"/>
  <c r="AL155" i="6" s="1"/>
  <c r="AO155" i="6"/>
  <c r="AP155" i="6" s="1"/>
  <c r="AI155" i="6"/>
  <c r="AJ155" i="6" s="1"/>
  <c r="AO151" i="6"/>
  <c r="AP151" i="6" s="1"/>
  <c r="AI151" i="6"/>
  <c r="AJ151" i="6" s="1"/>
  <c r="AK151" i="6"/>
  <c r="AL151" i="6" s="1"/>
  <c r="AI147" i="6"/>
  <c r="AJ147" i="6" s="1"/>
  <c r="AK147" i="6"/>
  <c r="AL147" i="6" s="1"/>
  <c r="AO147" i="6"/>
  <c r="AP147" i="6" s="1"/>
  <c r="AI143" i="6"/>
  <c r="AJ143" i="6" s="1"/>
  <c r="AO143" i="6"/>
  <c r="AP143" i="6" s="1"/>
  <c r="AK143" i="6"/>
  <c r="AL143" i="6" s="1"/>
  <c r="AK139" i="6"/>
  <c r="AL139" i="6" s="1"/>
  <c r="AI139" i="6"/>
  <c r="AJ139" i="6" s="1"/>
  <c r="AO139" i="6"/>
  <c r="AP139" i="6" s="1"/>
  <c r="AO135" i="6"/>
  <c r="AP135" i="6" s="1"/>
  <c r="AI135" i="6"/>
  <c r="AJ135" i="6" s="1"/>
  <c r="AK135" i="6"/>
  <c r="AL135" i="6" s="1"/>
  <c r="AO131" i="6"/>
  <c r="AP131" i="6" s="1"/>
  <c r="AI131" i="6"/>
  <c r="AJ131" i="6" s="1"/>
  <c r="AK131" i="6"/>
  <c r="AL131" i="6" s="1"/>
  <c r="AI127" i="6"/>
  <c r="AJ127" i="6" s="1"/>
  <c r="AK127" i="6"/>
  <c r="AL127" i="6" s="1"/>
  <c r="AO127" i="6"/>
  <c r="AP127" i="6" s="1"/>
  <c r="AK123" i="6"/>
  <c r="AL123" i="6" s="1"/>
  <c r="AI123" i="6"/>
  <c r="AJ123" i="6" s="1"/>
  <c r="AO123" i="6"/>
  <c r="AP123" i="6" s="1"/>
  <c r="AO119" i="6"/>
  <c r="AP119" i="6" s="1"/>
  <c r="AI119" i="6"/>
  <c r="AJ119" i="6" s="1"/>
  <c r="AK119" i="6"/>
  <c r="AL119" i="6" s="1"/>
  <c r="AK115" i="6"/>
  <c r="AL115" i="6" s="1"/>
  <c r="AO115" i="6"/>
  <c r="AP115" i="6" s="1"/>
  <c r="AI115" i="6"/>
  <c r="AJ115" i="6" s="1"/>
  <c r="AI111" i="6"/>
  <c r="AJ111" i="6" s="1"/>
  <c r="AK111" i="6"/>
  <c r="AL111" i="6" s="1"/>
  <c r="AO111" i="6"/>
  <c r="AP111" i="6" s="1"/>
  <c r="AK107" i="6"/>
  <c r="AL107" i="6" s="1"/>
  <c r="AI107" i="6"/>
  <c r="AJ107" i="6" s="1"/>
  <c r="AO107" i="6"/>
  <c r="AP107" i="6" s="1"/>
  <c r="AO103" i="6"/>
  <c r="AP103" i="6" s="1"/>
  <c r="AK103" i="6"/>
  <c r="AL103" i="6" s="1"/>
  <c r="AI103" i="6"/>
  <c r="AJ103" i="6" s="1"/>
  <c r="AI99" i="6"/>
  <c r="AJ99" i="6" s="1"/>
  <c r="AK99" i="6"/>
  <c r="AL99" i="6" s="1"/>
  <c r="AO99" i="6"/>
  <c r="AP99" i="6" s="1"/>
  <c r="AI95" i="6"/>
  <c r="AJ95" i="6" s="1"/>
  <c r="AK95" i="6"/>
  <c r="AL95" i="6" s="1"/>
  <c r="AO95" i="6"/>
  <c r="AP95" i="6" s="1"/>
  <c r="AK91" i="6"/>
  <c r="AL91" i="6" s="1"/>
  <c r="AO91" i="6"/>
  <c r="AP91" i="6" s="1"/>
  <c r="AI91" i="6"/>
  <c r="AJ91" i="6" s="1"/>
  <c r="AO87" i="6"/>
  <c r="AP87" i="6" s="1"/>
  <c r="AI87" i="6"/>
  <c r="AJ87" i="6" s="1"/>
  <c r="AK87" i="6"/>
  <c r="AL87" i="6" s="1"/>
  <c r="AI83" i="6"/>
  <c r="AJ83" i="6" s="1"/>
  <c r="AK83" i="6"/>
  <c r="AL83" i="6" s="1"/>
  <c r="AO83" i="6"/>
  <c r="AP83" i="6" s="1"/>
  <c r="T107" i="6"/>
  <c r="T283" i="6"/>
  <c r="T315" i="6"/>
  <c r="AI406" i="6"/>
  <c r="AJ406" i="6" s="1"/>
  <c r="AK406" i="6"/>
  <c r="AL406" i="6" s="1"/>
  <c r="AO406" i="6"/>
  <c r="AP406" i="6" s="1"/>
  <c r="AO402" i="6"/>
  <c r="AP402" i="6" s="1"/>
  <c r="AI402" i="6"/>
  <c r="AJ402" i="6" s="1"/>
  <c r="AK402" i="6"/>
  <c r="AL402" i="6" s="1"/>
  <c r="AI398" i="6"/>
  <c r="AJ398" i="6" s="1"/>
  <c r="AK398" i="6"/>
  <c r="AL398" i="6" s="1"/>
  <c r="AO398" i="6"/>
  <c r="AP398" i="6" s="1"/>
  <c r="AI394" i="6"/>
  <c r="AJ394" i="6" s="1"/>
  <c r="AK394" i="6"/>
  <c r="AL394" i="6" s="1"/>
  <c r="AO394" i="6"/>
  <c r="AP394" i="6" s="1"/>
  <c r="AI390" i="6"/>
  <c r="AJ390" i="6" s="1"/>
  <c r="AO390" i="6"/>
  <c r="AP390" i="6" s="1"/>
  <c r="AK390" i="6"/>
  <c r="AL390" i="6" s="1"/>
  <c r="AI386" i="6"/>
  <c r="AJ386" i="6" s="1"/>
  <c r="AK386" i="6"/>
  <c r="AL386" i="6" s="1"/>
  <c r="AO386" i="6"/>
  <c r="AP386" i="6" s="1"/>
  <c r="AI382" i="6"/>
  <c r="AJ382" i="6" s="1"/>
  <c r="AK382" i="6"/>
  <c r="AL382" i="6" s="1"/>
  <c r="AO382" i="6"/>
  <c r="AP382" i="6" s="1"/>
  <c r="AK378" i="6"/>
  <c r="AL378" i="6" s="1"/>
  <c r="AO378" i="6"/>
  <c r="AP378" i="6" s="1"/>
  <c r="AI378" i="6"/>
  <c r="AJ378" i="6" s="1"/>
  <c r="AK374" i="6"/>
  <c r="AL374" i="6" s="1"/>
  <c r="AI374" i="6"/>
  <c r="AJ374" i="6" s="1"/>
  <c r="AO374" i="6"/>
  <c r="AP374" i="6" s="1"/>
  <c r="AO370" i="6"/>
  <c r="AP370" i="6" s="1"/>
  <c r="AK370" i="6"/>
  <c r="AL370" i="6" s="1"/>
  <c r="AI370" i="6"/>
  <c r="AJ370" i="6" s="1"/>
  <c r="AK366" i="6"/>
  <c r="AL366" i="6" s="1"/>
  <c r="AI366" i="6"/>
  <c r="AJ366" i="6" s="1"/>
  <c r="AO366" i="6"/>
  <c r="AP366" i="6" s="1"/>
  <c r="AK362" i="6"/>
  <c r="AL362" i="6" s="1"/>
  <c r="AI362" i="6"/>
  <c r="AJ362" i="6" s="1"/>
  <c r="AO362" i="6"/>
  <c r="AP362" i="6" s="1"/>
  <c r="AI358" i="6"/>
  <c r="AJ358" i="6" s="1"/>
  <c r="AO358" i="6"/>
  <c r="AP358" i="6" s="1"/>
  <c r="AK358" i="6"/>
  <c r="AL358" i="6" s="1"/>
  <c r="AK354" i="6"/>
  <c r="AL354" i="6" s="1"/>
  <c r="AI354" i="6"/>
  <c r="AJ354" i="6" s="1"/>
  <c r="AO354" i="6"/>
  <c r="AP354" i="6" s="1"/>
  <c r="AO350" i="6"/>
  <c r="AP350" i="6" s="1"/>
  <c r="AI350" i="6"/>
  <c r="AJ350" i="6" s="1"/>
  <c r="AK350" i="6"/>
  <c r="AL350" i="6" s="1"/>
  <c r="AI346" i="6"/>
  <c r="AJ346" i="6" s="1"/>
  <c r="AK346" i="6"/>
  <c r="AL346" i="6" s="1"/>
  <c r="AO346" i="6"/>
  <c r="AP346" i="6" s="1"/>
  <c r="AO342" i="6"/>
  <c r="AP342" i="6" s="1"/>
  <c r="AK342" i="6"/>
  <c r="AL342" i="6" s="1"/>
  <c r="AI342" i="6"/>
  <c r="AJ342" i="6" s="1"/>
  <c r="AK338" i="6"/>
  <c r="AL338" i="6" s="1"/>
  <c r="AI338" i="6"/>
  <c r="AJ338" i="6" s="1"/>
  <c r="AO338" i="6"/>
  <c r="AP338" i="6" s="1"/>
  <c r="AK334" i="6"/>
  <c r="AL334" i="6" s="1"/>
  <c r="AI334" i="6"/>
  <c r="AJ334" i="6" s="1"/>
  <c r="AO334" i="6"/>
  <c r="AP334" i="6" s="1"/>
  <c r="AI330" i="6"/>
  <c r="AJ330" i="6" s="1"/>
  <c r="AO330" i="6"/>
  <c r="AP330" i="6" s="1"/>
  <c r="AK330" i="6"/>
  <c r="AL330" i="6" s="1"/>
  <c r="AK326" i="6"/>
  <c r="AL326" i="6" s="1"/>
  <c r="AO326" i="6"/>
  <c r="AP326" i="6" s="1"/>
  <c r="AI326" i="6"/>
  <c r="AJ326" i="6" s="1"/>
  <c r="AK322" i="6"/>
  <c r="AL322" i="6" s="1"/>
  <c r="AI322" i="6"/>
  <c r="AJ322" i="6" s="1"/>
  <c r="AO322" i="6"/>
  <c r="AP322" i="6" s="1"/>
  <c r="AO318" i="6"/>
  <c r="AP318" i="6" s="1"/>
  <c r="AK318" i="6"/>
  <c r="AL318" i="6" s="1"/>
  <c r="AI318" i="6"/>
  <c r="AJ318" i="6" s="1"/>
  <c r="AO314" i="6"/>
  <c r="AP314" i="6" s="1"/>
  <c r="AI314" i="6"/>
  <c r="AJ314" i="6" s="1"/>
  <c r="AK314" i="6"/>
  <c r="AL314" i="6" s="1"/>
  <c r="AK310" i="6"/>
  <c r="AL310" i="6" s="1"/>
  <c r="AO310" i="6"/>
  <c r="AP310" i="6" s="1"/>
  <c r="AI310" i="6"/>
  <c r="AJ310" i="6" s="1"/>
  <c r="AI306" i="6"/>
  <c r="AJ306" i="6" s="1"/>
  <c r="AO306" i="6"/>
  <c r="AP306" i="6" s="1"/>
  <c r="AK306" i="6"/>
  <c r="AL306" i="6" s="1"/>
  <c r="AO302" i="6"/>
  <c r="AP302" i="6" s="1"/>
  <c r="AK302" i="6"/>
  <c r="AL302" i="6" s="1"/>
  <c r="AI302" i="6"/>
  <c r="AJ302" i="6" s="1"/>
  <c r="AI298" i="6"/>
  <c r="AJ298" i="6" s="1"/>
  <c r="AK298" i="6"/>
  <c r="AL298" i="6" s="1"/>
  <c r="AO298" i="6"/>
  <c r="AP298" i="6" s="1"/>
  <c r="AO294" i="6"/>
  <c r="AP294" i="6" s="1"/>
  <c r="AI294" i="6"/>
  <c r="AJ294" i="6" s="1"/>
  <c r="AK294" i="6"/>
  <c r="AL294" i="6" s="1"/>
  <c r="AI290" i="6"/>
  <c r="AJ290" i="6" s="1"/>
  <c r="AK290" i="6"/>
  <c r="AL290" i="6" s="1"/>
  <c r="AO290" i="6"/>
  <c r="AP290" i="6" s="1"/>
  <c r="AK286" i="6"/>
  <c r="AL286" i="6" s="1"/>
  <c r="AO286" i="6"/>
  <c r="AP286" i="6" s="1"/>
  <c r="AI286" i="6"/>
  <c r="AJ286" i="6" s="1"/>
  <c r="AK282" i="6"/>
  <c r="AL282" i="6" s="1"/>
  <c r="AI282" i="6"/>
  <c r="AJ282" i="6" s="1"/>
  <c r="AO282" i="6"/>
  <c r="AP282" i="6" s="1"/>
  <c r="AO278" i="6"/>
  <c r="AP278" i="6" s="1"/>
  <c r="AK278" i="6"/>
  <c r="AL278" i="6" s="1"/>
  <c r="AI278" i="6"/>
  <c r="AJ278" i="6" s="1"/>
  <c r="AI274" i="6"/>
  <c r="AJ274" i="6" s="1"/>
  <c r="AO274" i="6"/>
  <c r="AP274" i="6" s="1"/>
  <c r="AK274" i="6"/>
  <c r="AL274" i="6" s="1"/>
  <c r="AK270" i="6"/>
  <c r="AL270" i="6" s="1"/>
  <c r="AO270" i="6"/>
  <c r="AP270" i="6" s="1"/>
  <c r="AI270" i="6"/>
  <c r="AJ270" i="6" s="1"/>
  <c r="AK266" i="6"/>
  <c r="AL266" i="6" s="1"/>
  <c r="AO266" i="6"/>
  <c r="AP266" i="6" s="1"/>
  <c r="AI266" i="6"/>
  <c r="AJ266" i="6" s="1"/>
  <c r="AO262" i="6"/>
  <c r="AP262" i="6" s="1"/>
  <c r="AI262" i="6"/>
  <c r="AJ262" i="6" s="1"/>
  <c r="AK262" i="6"/>
  <c r="AL262" i="6" s="1"/>
  <c r="AO258" i="6"/>
  <c r="AP258" i="6" s="1"/>
  <c r="AK258" i="6"/>
  <c r="AL258" i="6" s="1"/>
  <c r="AI258" i="6"/>
  <c r="AJ258" i="6" s="1"/>
  <c r="AK254" i="6"/>
  <c r="AL254" i="6" s="1"/>
  <c r="AO254" i="6"/>
  <c r="AP254" i="6" s="1"/>
  <c r="AI254" i="6"/>
  <c r="AJ254" i="6" s="1"/>
  <c r="AO250" i="6"/>
  <c r="AP250" i="6" s="1"/>
  <c r="AK250" i="6"/>
  <c r="AL250" i="6" s="1"/>
  <c r="AI250" i="6"/>
  <c r="AJ250" i="6" s="1"/>
  <c r="AK246" i="6"/>
  <c r="AL246" i="6" s="1"/>
  <c r="AO246" i="6"/>
  <c r="AP246" i="6" s="1"/>
  <c r="AI246" i="6"/>
  <c r="AJ246" i="6" s="1"/>
  <c r="AO242" i="6"/>
  <c r="AP242" i="6" s="1"/>
  <c r="AI242" i="6"/>
  <c r="AJ242" i="6" s="1"/>
  <c r="AK242" i="6"/>
  <c r="AL242" i="6" s="1"/>
  <c r="AO238" i="6"/>
  <c r="AP238" i="6" s="1"/>
  <c r="AI238" i="6"/>
  <c r="AJ238" i="6" s="1"/>
  <c r="AK238" i="6"/>
  <c r="AL238" i="6" s="1"/>
  <c r="AO234" i="6"/>
  <c r="AP234" i="6" s="1"/>
  <c r="AK234" i="6"/>
  <c r="AL234" i="6" s="1"/>
  <c r="AI234" i="6"/>
  <c r="AJ234" i="6" s="1"/>
  <c r="AO230" i="6"/>
  <c r="AP230" i="6" s="1"/>
  <c r="AI230" i="6"/>
  <c r="AJ230" i="6" s="1"/>
  <c r="AK230" i="6"/>
  <c r="AL230" i="6" s="1"/>
  <c r="AI226" i="6"/>
  <c r="AJ226" i="6" s="1"/>
  <c r="AK226" i="6"/>
  <c r="AL226" i="6" s="1"/>
  <c r="AO226" i="6"/>
  <c r="AP226" i="6" s="1"/>
  <c r="AO222" i="6"/>
  <c r="AP222" i="6" s="1"/>
  <c r="AI222" i="6"/>
  <c r="AJ222" i="6" s="1"/>
  <c r="AK222" i="6"/>
  <c r="AL222" i="6" s="1"/>
  <c r="AO218" i="6"/>
  <c r="AP218" i="6" s="1"/>
  <c r="AI218" i="6"/>
  <c r="AJ218" i="6" s="1"/>
  <c r="AK218" i="6"/>
  <c r="AL218" i="6" s="1"/>
  <c r="AO214" i="6"/>
  <c r="AP214" i="6" s="1"/>
  <c r="AI214" i="6"/>
  <c r="AJ214" i="6" s="1"/>
  <c r="AK214" i="6"/>
  <c r="AL214" i="6" s="1"/>
  <c r="AO210" i="6"/>
  <c r="AP210" i="6" s="1"/>
  <c r="AI210" i="6"/>
  <c r="AJ210" i="6" s="1"/>
  <c r="AK210" i="6"/>
  <c r="AL210" i="6" s="1"/>
  <c r="AI206" i="6"/>
  <c r="AJ206" i="6" s="1"/>
  <c r="AK206" i="6"/>
  <c r="AL206" i="6" s="1"/>
  <c r="AO206" i="6"/>
  <c r="AP206" i="6" s="1"/>
  <c r="AI202" i="6"/>
  <c r="AJ202" i="6" s="1"/>
  <c r="AK202" i="6"/>
  <c r="AL202" i="6" s="1"/>
  <c r="AO202" i="6"/>
  <c r="AP202" i="6" s="1"/>
  <c r="AI198" i="6"/>
  <c r="AJ198" i="6" s="1"/>
  <c r="AO198" i="6"/>
  <c r="AP198" i="6" s="1"/>
  <c r="AK198" i="6"/>
  <c r="AL198" i="6" s="1"/>
  <c r="AI194" i="6"/>
  <c r="AJ194" i="6" s="1"/>
  <c r="AK194" i="6"/>
  <c r="AL194" i="6" s="1"/>
  <c r="AO194" i="6"/>
  <c r="AP194" i="6" s="1"/>
  <c r="AK190" i="6"/>
  <c r="AL190" i="6" s="1"/>
  <c r="AO190" i="6"/>
  <c r="AP190" i="6" s="1"/>
  <c r="AI190" i="6"/>
  <c r="AJ190" i="6" s="1"/>
  <c r="AO186" i="6"/>
  <c r="AP186" i="6" s="1"/>
  <c r="AK186" i="6"/>
  <c r="AL186" i="6" s="1"/>
  <c r="AI186" i="6"/>
  <c r="AJ186" i="6" s="1"/>
  <c r="AO182" i="6"/>
  <c r="AP182" i="6" s="1"/>
  <c r="AI182" i="6"/>
  <c r="AJ182" i="6" s="1"/>
  <c r="AK182" i="6"/>
  <c r="AL182" i="6" s="1"/>
  <c r="AO178" i="6"/>
  <c r="AP178" i="6" s="1"/>
  <c r="AK178" i="6"/>
  <c r="AL178" i="6" s="1"/>
  <c r="AI178" i="6"/>
  <c r="AJ178" i="6" s="1"/>
  <c r="AO174" i="6"/>
  <c r="AP174" i="6" s="1"/>
  <c r="AK174" i="6"/>
  <c r="AL174" i="6" s="1"/>
  <c r="AI174" i="6"/>
  <c r="AJ174" i="6" s="1"/>
  <c r="AO170" i="6"/>
  <c r="AP170" i="6" s="1"/>
  <c r="AI170" i="6"/>
  <c r="AJ170" i="6" s="1"/>
  <c r="AK170" i="6"/>
  <c r="AL170" i="6" s="1"/>
  <c r="AO166" i="6"/>
  <c r="AP166" i="6" s="1"/>
  <c r="AI166" i="6"/>
  <c r="AJ166" i="6" s="1"/>
  <c r="AK166" i="6"/>
  <c r="AL166" i="6" s="1"/>
  <c r="AO162" i="6"/>
  <c r="AP162" i="6" s="1"/>
  <c r="AK162" i="6"/>
  <c r="AL162" i="6" s="1"/>
  <c r="AI162" i="6"/>
  <c r="AJ162" i="6" s="1"/>
  <c r="AO158" i="6"/>
  <c r="AP158" i="6" s="1"/>
  <c r="AI158" i="6"/>
  <c r="AJ158" i="6" s="1"/>
  <c r="AK158" i="6"/>
  <c r="AL158" i="6" s="1"/>
  <c r="AO154" i="6"/>
  <c r="AP154" i="6" s="1"/>
  <c r="AI154" i="6"/>
  <c r="AJ154" i="6" s="1"/>
  <c r="AK154" i="6"/>
  <c r="AL154" i="6" s="1"/>
  <c r="AO150" i="6"/>
  <c r="AP150" i="6" s="1"/>
  <c r="AI150" i="6"/>
  <c r="AJ150" i="6" s="1"/>
  <c r="AK150" i="6"/>
  <c r="AL150" i="6" s="1"/>
  <c r="AO146" i="6"/>
  <c r="AP146" i="6" s="1"/>
  <c r="AK146" i="6"/>
  <c r="AL146" i="6" s="1"/>
  <c r="AI146" i="6"/>
  <c r="AJ146" i="6" s="1"/>
  <c r="AO142" i="6"/>
  <c r="AP142" i="6" s="1"/>
  <c r="AI142" i="6"/>
  <c r="AJ142" i="6" s="1"/>
  <c r="AK142" i="6"/>
  <c r="AL142" i="6" s="1"/>
  <c r="AO138" i="6"/>
  <c r="AP138" i="6" s="1"/>
  <c r="AI138" i="6"/>
  <c r="AJ138" i="6" s="1"/>
  <c r="AK138" i="6"/>
  <c r="AL138" i="6" s="1"/>
  <c r="AO134" i="6"/>
  <c r="AP134" i="6" s="1"/>
  <c r="AI134" i="6"/>
  <c r="AJ134" i="6" s="1"/>
  <c r="AK134" i="6"/>
  <c r="AL134" i="6" s="1"/>
  <c r="AO130" i="6"/>
  <c r="AP130" i="6" s="1"/>
  <c r="AK130" i="6"/>
  <c r="AL130" i="6" s="1"/>
  <c r="AI130" i="6"/>
  <c r="AJ130" i="6" s="1"/>
  <c r="AO126" i="6"/>
  <c r="AP126" i="6" s="1"/>
  <c r="AI126" i="6"/>
  <c r="AJ126" i="6" s="1"/>
  <c r="AK126" i="6"/>
  <c r="AL126" i="6" s="1"/>
  <c r="AO122" i="6"/>
  <c r="AP122" i="6" s="1"/>
  <c r="AK122" i="6"/>
  <c r="AL122" i="6" s="1"/>
  <c r="AI122" i="6"/>
  <c r="AJ122" i="6" s="1"/>
  <c r="AO118" i="6"/>
  <c r="AP118" i="6" s="1"/>
  <c r="AI118" i="6"/>
  <c r="AJ118" i="6" s="1"/>
  <c r="AK118" i="6"/>
  <c r="AL118" i="6" s="1"/>
  <c r="AO114" i="6"/>
  <c r="AP114" i="6" s="1"/>
  <c r="AK114" i="6"/>
  <c r="AL114" i="6" s="1"/>
  <c r="AI114" i="6"/>
  <c r="AJ114" i="6" s="1"/>
  <c r="AO110" i="6"/>
  <c r="AP110" i="6" s="1"/>
  <c r="AK110" i="6"/>
  <c r="AL110" i="6" s="1"/>
  <c r="AI110" i="6"/>
  <c r="AJ110" i="6" s="1"/>
  <c r="AO106" i="6"/>
  <c r="AP106" i="6" s="1"/>
  <c r="AI106" i="6"/>
  <c r="AJ106" i="6" s="1"/>
  <c r="AK106" i="6"/>
  <c r="AL106" i="6" s="1"/>
  <c r="AO102" i="6"/>
  <c r="AP102" i="6" s="1"/>
  <c r="AI102" i="6"/>
  <c r="AJ102" i="6" s="1"/>
  <c r="AK102" i="6"/>
  <c r="AL102" i="6" s="1"/>
  <c r="AO98" i="6"/>
  <c r="AP98" i="6" s="1"/>
  <c r="AK98" i="6"/>
  <c r="AL98" i="6" s="1"/>
  <c r="AI98" i="6"/>
  <c r="AJ98" i="6" s="1"/>
  <c r="AO94" i="6"/>
  <c r="AP94" i="6" s="1"/>
  <c r="AI94" i="6"/>
  <c r="AJ94" i="6" s="1"/>
  <c r="AK94" i="6"/>
  <c r="AL94" i="6" s="1"/>
  <c r="AO90" i="6"/>
  <c r="AP90" i="6" s="1"/>
  <c r="AI90" i="6"/>
  <c r="AJ90" i="6" s="1"/>
  <c r="AK90" i="6"/>
  <c r="AL90" i="6" s="1"/>
  <c r="AO86" i="6"/>
  <c r="AP86" i="6" s="1"/>
  <c r="AI86" i="6"/>
  <c r="AJ86" i="6" s="1"/>
  <c r="AK86" i="6"/>
  <c r="AL86" i="6" s="1"/>
  <c r="AM184" i="5"/>
  <c r="AN184" i="5" s="1"/>
  <c r="AM28" i="5"/>
  <c r="AN28" i="5" s="1"/>
  <c r="AO143" i="5"/>
  <c r="AP143" i="5" s="1"/>
  <c r="AM203" i="5"/>
  <c r="AN203" i="5" s="1"/>
  <c r="T115" i="6"/>
  <c r="AV119" i="6"/>
  <c r="AV127" i="6"/>
  <c r="AV135" i="6"/>
  <c r="T147" i="6"/>
  <c r="BA183" i="6"/>
  <c r="AV187" i="6"/>
  <c r="T203" i="6"/>
  <c r="T267" i="6"/>
  <c r="U379" i="6"/>
  <c r="BB379" i="6" s="1"/>
  <c r="AV391" i="6"/>
  <c r="AV395" i="6"/>
  <c r="AO405" i="6"/>
  <c r="AP405" i="6" s="1"/>
  <c r="AI405" i="6"/>
  <c r="AJ405" i="6" s="1"/>
  <c r="AK405" i="6"/>
  <c r="AL405" i="6" s="1"/>
  <c r="AK401" i="6"/>
  <c r="AL401" i="6" s="1"/>
  <c r="AI401" i="6"/>
  <c r="AJ401" i="6" s="1"/>
  <c r="AO401" i="6"/>
  <c r="AP401" i="6" s="1"/>
  <c r="AI397" i="6"/>
  <c r="AJ397" i="6" s="1"/>
  <c r="AK397" i="6"/>
  <c r="AL397" i="6" s="1"/>
  <c r="AO397" i="6"/>
  <c r="AP397" i="6" s="1"/>
  <c r="AK393" i="6"/>
  <c r="AL393" i="6" s="1"/>
  <c r="AO393" i="6"/>
  <c r="AP393" i="6" s="1"/>
  <c r="AI393" i="6"/>
  <c r="AJ393" i="6" s="1"/>
  <c r="AI389" i="6"/>
  <c r="AJ389" i="6" s="1"/>
  <c r="AK389" i="6"/>
  <c r="AL389" i="6" s="1"/>
  <c r="AO389" i="6"/>
  <c r="AP389" i="6" s="1"/>
  <c r="AK385" i="6"/>
  <c r="AL385" i="6" s="1"/>
  <c r="AI385" i="6"/>
  <c r="AJ385" i="6" s="1"/>
  <c r="AO385" i="6"/>
  <c r="AP385" i="6" s="1"/>
  <c r="AK381" i="6"/>
  <c r="AL381" i="6" s="1"/>
  <c r="AO381" i="6"/>
  <c r="AP381" i="6" s="1"/>
  <c r="AI381" i="6"/>
  <c r="AJ381" i="6" s="1"/>
  <c r="AK377" i="6"/>
  <c r="AL377" i="6" s="1"/>
  <c r="AI377" i="6"/>
  <c r="AJ377" i="6" s="1"/>
  <c r="AO377" i="6"/>
  <c r="AP377" i="6" s="1"/>
  <c r="AI373" i="6"/>
  <c r="AJ373" i="6" s="1"/>
  <c r="AK373" i="6"/>
  <c r="AL373" i="6" s="1"/>
  <c r="AO373" i="6"/>
  <c r="AP373" i="6" s="1"/>
  <c r="AK369" i="6"/>
  <c r="AL369" i="6" s="1"/>
  <c r="AO369" i="6"/>
  <c r="AP369" i="6" s="1"/>
  <c r="AI369" i="6"/>
  <c r="AJ369" i="6" s="1"/>
  <c r="AO365" i="6"/>
  <c r="AP365" i="6" s="1"/>
  <c r="AK365" i="6"/>
  <c r="AL365" i="6" s="1"/>
  <c r="AI365" i="6"/>
  <c r="AJ365" i="6" s="1"/>
  <c r="AI361" i="6"/>
  <c r="AJ361" i="6" s="1"/>
  <c r="AO361" i="6"/>
  <c r="AP361" i="6" s="1"/>
  <c r="AK361" i="6"/>
  <c r="AL361" i="6" s="1"/>
  <c r="AK357" i="6"/>
  <c r="AL357" i="6" s="1"/>
  <c r="AI357" i="6"/>
  <c r="AJ357" i="6" s="1"/>
  <c r="AO357" i="6"/>
  <c r="AP357" i="6" s="1"/>
  <c r="AI353" i="6"/>
  <c r="AJ353" i="6" s="1"/>
  <c r="AK353" i="6"/>
  <c r="AL353" i="6" s="1"/>
  <c r="AO353" i="6"/>
  <c r="AP353" i="6" s="1"/>
  <c r="AK349" i="6"/>
  <c r="AL349" i="6" s="1"/>
  <c r="AI349" i="6"/>
  <c r="AJ349" i="6" s="1"/>
  <c r="AO349" i="6"/>
  <c r="AP349" i="6" s="1"/>
  <c r="AK345" i="6"/>
  <c r="AL345" i="6" s="1"/>
  <c r="AI345" i="6"/>
  <c r="AJ345" i="6" s="1"/>
  <c r="AO345" i="6"/>
  <c r="AP345" i="6" s="1"/>
  <c r="AK341" i="6"/>
  <c r="AL341" i="6" s="1"/>
  <c r="AO341" i="6"/>
  <c r="AP341" i="6" s="1"/>
  <c r="AI341" i="6"/>
  <c r="AJ341" i="6" s="1"/>
  <c r="AI337" i="6"/>
  <c r="AJ337" i="6" s="1"/>
  <c r="AO337" i="6"/>
  <c r="AP337" i="6" s="1"/>
  <c r="AK337" i="6"/>
  <c r="AL337" i="6" s="1"/>
  <c r="AK333" i="6"/>
  <c r="AL333" i="6" s="1"/>
  <c r="AI333" i="6"/>
  <c r="AJ333" i="6" s="1"/>
  <c r="AO333" i="6"/>
  <c r="AP333" i="6" s="1"/>
  <c r="AI329" i="6"/>
  <c r="AJ329" i="6" s="1"/>
  <c r="AK329" i="6"/>
  <c r="AL329" i="6" s="1"/>
  <c r="AO329" i="6"/>
  <c r="AP329" i="6" s="1"/>
  <c r="AK325" i="6"/>
  <c r="AL325" i="6" s="1"/>
  <c r="AO325" i="6"/>
  <c r="AP325" i="6" s="1"/>
  <c r="AI325" i="6"/>
  <c r="AJ325" i="6" s="1"/>
  <c r="AI321" i="6"/>
  <c r="AJ321" i="6" s="1"/>
  <c r="AO321" i="6"/>
  <c r="AP321" i="6" s="1"/>
  <c r="AK321" i="6"/>
  <c r="AL321" i="6" s="1"/>
  <c r="AK317" i="6"/>
  <c r="AL317" i="6" s="1"/>
  <c r="AI317" i="6"/>
  <c r="AJ317" i="6" s="1"/>
  <c r="AO317" i="6"/>
  <c r="AP317" i="6" s="1"/>
  <c r="AO313" i="6"/>
  <c r="AP313" i="6" s="1"/>
  <c r="AK313" i="6"/>
  <c r="AL313" i="6" s="1"/>
  <c r="AI313" i="6"/>
  <c r="AJ313" i="6" s="1"/>
  <c r="AO309" i="6"/>
  <c r="AP309" i="6" s="1"/>
  <c r="AI309" i="6"/>
  <c r="AJ309" i="6" s="1"/>
  <c r="AK309" i="6"/>
  <c r="AL309" i="6" s="1"/>
  <c r="AI305" i="6"/>
  <c r="AJ305" i="6" s="1"/>
  <c r="AO305" i="6"/>
  <c r="AP305" i="6" s="1"/>
  <c r="AK305" i="6"/>
  <c r="AL305" i="6" s="1"/>
  <c r="AO301" i="6"/>
  <c r="AP301" i="6" s="1"/>
  <c r="AI301" i="6"/>
  <c r="AJ301" i="6" s="1"/>
  <c r="AK301" i="6"/>
  <c r="AL301" i="6" s="1"/>
  <c r="AK297" i="6"/>
  <c r="AL297" i="6" s="1"/>
  <c r="AI297" i="6"/>
  <c r="AJ297" i="6" s="1"/>
  <c r="AO297" i="6"/>
  <c r="AP297" i="6" s="1"/>
  <c r="AO293" i="6"/>
  <c r="AP293" i="6" s="1"/>
  <c r="AK293" i="6"/>
  <c r="AL293" i="6" s="1"/>
  <c r="AI293" i="6"/>
  <c r="AJ293" i="6" s="1"/>
  <c r="AI289" i="6"/>
  <c r="AJ289" i="6" s="1"/>
  <c r="AO289" i="6"/>
  <c r="AP289" i="6" s="1"/>
  <c r="AK289" i="6"/>
  <c r="AL289" i="6" s="1"/>
  <c r="AI285" i="6"/>
  <c r="AJ285" i="6" s="1"/>
  <c r="AK285" i="6"/>
  <c r="AL285" i="6" s="1"/>
  <c r="AO285" i="6"/>
  <c r="AP285" i="6" s="1"/>
  <c r="AK281" i="6"/>
  <c r="AL281" i="6" s="1"/>
  <c r="AO281" i="6"/>
  <c r="AP281" i="6" s="1"/>
  <c r="AI281" i="6"/>
  <c r="AJ281" i="6" s="1"/>
  <c r="AO277" i="6"/>
  <c r="AP277" i="6" s="1"/>
  <c r="AI277" i="6"/>
  <c r="AJ277" i="6" s="1"/>
  <c r="AK277" i="6"/>
  <c r="AL277" i="6" s="1"/>
  <c r="AO273" i="6"/>
  <c r="AP273" i="6" s="1"/>
  <c r="AK273" i="6"/>
  <c r="AL273" i="6" s="1"/>
  <c r="AI273" i="6"/>
  <c r="AJ273" i="6" s="1"/>
  <c r="AI269" i="6"/>
  <c r="AJ269" i="6" s="1"/>
  <c r="AK269" i="6"/>
  <c r="AL269" i="6" s="1"/>
  <c r="AO269" i="6"/>
  <c r="AP269" i="6" s="1"/>
  <c r="AI265" i="6"/>
  <c r="AJ265" i="6" s="1"/>
  <c r="AK265" i="6"/>
  <c r="AL265" i="6" s="1"/>
  <c r="AO265" i="6"/>
  <c r="AP265" i="6" s="1"/>
  <c r="AK261" i="6"/>
  <c r="AL261" i="6" s="1"/>
  <c r="AO261" i="6"/>
  <c r="AP261" i="6" s="1"/>
  <c r="AI261" i="6"/>
  <c r="AJ261" i="6" s="1"/>
  <c r="AO257" i="6"/>
  <c r="AP257" i="6" s="1"/>
  <c r="AI257" i="6"/>
  <c r="AJ257" i="6" s="1"/>
  <c r="AK257" i="6"/>
  <c r="AL257" i="6" s="1"/>
  <c r="AK253" i="6"/>
  <c r="AL253" i="6" s="1"/>
  <c r="AI253" i="6"/>
  <c r="AJ253" i="6" s="1"/>
  <c r="AO253" i="6"/>
  <c r="AP253" i="6" s="1"/>
  <c r="AO249" i="6"/>
  <c r="AP249" i="6" s="1"/>
  <c r="AK249" i="6"/>
  <c r="AL249" i="6" s="1"/>
  <c r="AI249" i="6"/>
  <c r="AJ249" i="6" s="1"/>
  <c r="AI245" i="6"/>
  <c r="AJ245" i="6" s="1"/>
  <c r="AK245" i="6"/>
  <c r="AL245" i="6" s="1"/>
  <c r="AO245" i="6"/>
  <c r="AP245" i="6" s="1"/>
  <c r="AK241" i="6"/>
  <c r="AL241" i="6" s="1"/>
  <c r="AO241" i="6"/>
  <c r="AP241" i="6" s="1"/>
  <c r="AI241" i="6"/>
  <c r="AJ241" i="6" s="1"/>
  <c r="AK237" i="6"/>
  <c r="AL237" i="6" s="1"/>
  <c r="AO237" i="6"/>
  <c r="AP237" i="6" s="1"/>
  <c r="AI237" i="6"/>
  <c r="AJ237" i="6" s="1"/>
  <c r="AK233" i="6"/>
  <c r="AL233" i="6" s="1"/>
  <c r="AI233" i="6"/>
  <c r="AJ233" i="6" s="1"/>
  <c r="AO233" i="6"/>
  <c r="AP233" i="6" s="1"/>
  <c r="AO229" i="6"/>
  <c r="AP229" i="6" s="1"/>
  <c r="AK229" i="6"/>
  <c r="AL229" i="6" s="1"/>
  <c r="AI229" i="6"/>
  <c r="AJ229" i="6" s="1"/>
  <c r="AI225" i="6"/>
  <c r="AJ225" i="6" s="1"/>
  <c r="AK225" i="6"/>
  <c r="AL225" i="6" s="1"/>
  <c r="AO225" i="6"/>
  <c r="AP225" i="6" s="1"/>
  <c r="AO221" i="6"/>
  <c r="AP221" i="6" s="1"/>
  <c r="AK221" i="6"/>
  <c r="AL221" i="6" s="1"/>
  <c r="AI221" i="6"/>
  <c r="AJ221" i="6" s="1"/>
  <c r="AI217" i="6"/>
  <c r="AJ217" i="6" s="1"/>
  <c r="AK217" i="6"/>
  <c r="AL217" i="6" s="1"/>
  <c r="AO217" i="6"/>
  <c r="AP217" i="6" s="1"/>
  <c r="AK213" i="6"/>
  <c r="AL213" i="6" s="1"/>
  <c r="AI213" i="6"/>
  <c r="AJ213" i="6" s="1"/>
  <c r="AO213" i="6"/>
  <c r="AP213" i="6" s="1"/>
  <c r="AO209" i="6"/>
  <c r="AP209" i="6" s="1"/>
  <c r="AI209" i="6"/>
  <c r="AJ209" i="6" s="1"/>
  <c r="AK209" i="6"/>
  <c r="AL209" i="6" s="1"/>
  <c r="AO205" i="6"/>
  <c r="AP205" i="6" s="1"/>
  <c r="AI205" i="6"/>
  <c r="AJ205" i="6" s="1"/>
  <c r="AK205" i="6"/>
  <c r="AL205" i="6" s="1"/>
  <c r="AI201" i="6"/>
  <c r="AJ201" i="6" s="1"/>
  <c r="AK201" i="6"/>
  <c r="AL201" i="6" s="1"/>
  <c r="AO201" i="6"/>
  <c r="AP201" i="6" s="1"/>
  <c r="AI197" i="6"/>
  <c r="AJ197" i="6" s="1"/>
  <c r="AK197" i="6"/>
  <c r="AL197" i="6" s="1"/>
  <c r="AO197" i="6"/>
  <c r="AP197" i="6" s="1"/>
  <c r="AO193" i="6"/>
  <c r="AP193" i="6" s="1"/>
  <c r="AI193" i="6"/>
  <c r="AJ193" i="6" s="1"/>
  <c r="AK193" i="6"/>
  <c r="AL193" i="6" s="1"/>
  <c r="AI189" i="6"/>
  <c r="AJ189" i="6" s="1"/>
  <c r="AK189" i="6"/>
  <c r="AL189" i="6" s="1"/>
  <c r="AO189" i="6"/>
  <c r="AP189" i="6" s="1"/>
  <c r="AK185" i="6"/>
  <c r="AL185" i="6" s="1"/>
  <c r="AO185" i="6"/>
  <c r="AP185" i="6" s="1"/>
  <c r="AI185" i="6"/>
  <c r="AJ185" i="6" s="1"/>
  <c r="AK181" i="6"/>
  <c r="AL181" i="6" s="1"/>
  <c r="AO181" i="6"/>
  <c r="AP181" i="6" s="1"/>
  <c r="AI181" i="6"/>
  <c r="AJ181" i="6" s="1"/>
  <c r="AK177" i="6"/>
  <c r="AL177" i="6" s="1"/>
  <c r="AI177" i="6"/>
  <c r="AJ177" i="6" s="1"/>
  <c r="AO177" i="6"/>
  <c r="AP177" i="6" s="1"/>
  <c r="AK173" i="6"/>
  <c r="AL173" i="6" s="1"/>
  <c r="AI173" i="6"/>
  <c r="AJ173" i="6" s="1"/>
  <c r="AO173" i="6"/>
  <c r="AP173" i="6" s="1"/>
  <c r="AK169" i="6"/>
  <c r="AL169" i="6" s="1"/>
  <c r="AO169" i="6"/>
  <c r="AP169" i="6" s="1"/>
  <c r="AI169" i="6"/>
  <c r="AJ169" i="6" s="1"/>
  <c r="AK165" i="6"/>
  <c r="AL165" i="6" s="1"/>
  <c r="AI165" i="6"/>
  <c r="AJ165" i="6" s="1"/>
  <c r="AO165" i="6"/>
  <c r="AP165" i="6" s="1"/>
  <c r="AK161" i="6"/>
  <c r="AL161" i="6" s="1"/>
  <c r="AI161" i="6"/>
  <c r="AJ161" i="6" s="1"/>
  <c r="AO161" i="6"/>
  <c r="AP161" i="6" s="1"/>
  <c r="AK157" i="6"/>
  <c r="AL157" i="6" s="1"/>
  <c r="AI157" i="6"/>
  <c r="AJ157" i="6" s="1"/>
  <c r="AO157" i="6"/>
  <c r="AP157" i="6" s="1"/>
  <c r="AK153" i="6"/>
  <c r="AL153" i="6" s="1"/>
  <c r="AO153" i="6"/>
  <c r="AP153" i="6" s="1"/>
  <c r="AI153" i="6"/>
  <c r="AJ153" i="6" s="1"/>
  <c r="AK149" i="6"/>
  <c r="AL149" i="6" s="1"/>
  <c r="AI149" i="6"/>
  <c r="AJ149" i="6" s="1"/>
  <c r="AO149" i="6"/>
  <c r="AP149" i="6" s="1"/>
  <c r="AK145" i="6"/>
  <c r="AL145" i="6" s="1"/>
  <c r="AI145" i="6"/>
  <c r="AJ145" i="6" s="1"/>
  <c r="AO145" i="6"/>
  <c r="AP145" i="6" s="1"/>
  <c r="AK141" i="6"/>
  <c r="AL141" i="6" s="1"/>
  <c r="AI141" i="6"/>
  <c r="AJ141" i="6" s="1"/>
  <c r="AO141" i="6"/>
  <c r="AP141" i="6" s="1"/>
  <c r="AK137" i="6"/>
  <c r="AL137" i="6" s="1"/>
  <c r="AO137" i="6"/>
  <c r="AP137" i="6" s="1"/>
  <c r="AI137" i="6"/>
  <c r="AJ137" i="6" s="1"/>
  <c r="AK133" i="6"/>
  <c r="AL133" i="6" s="1"/>
  <c r="AI133" i="6"/>
  <c r="AJ133" i="6" s="1"/>
  <c r="AO133" i="6"/>
  <c r="AP133" i="6" s="1"/>
  <c r="AK129" i="6"/>
  <c r="AL129" i="6" s="1"/>
  <c r="AO129" i="6"/>
  <c r="AP129" i="6" s="1"/>
  <c r="AI129" i="6"/>
  <c r="AJ129" i="6" s="1"/>
  <c r="AK125" i="6"/>
  <c r="AL125" i="6" s="1"/>
  <c r="AI125" i="6"/>
  <c r="AJ125" i="6" s="1"/>
  <c r="AO125" i="6"/>
  <c r="AP125" i="6" s="1"/>
  <c r="AK121" i="6"/>
  <c r="AL121" i="6" s="1"/>
  <c r="AO121" i="6"/>
  <c r="AP121" i="6" s="1"/>
  <c r="AI121" i="6"/>
  <c r="AJ121" i="6" s="1"/>
  <c r="AK117" i="6"/>
  <c r="AL117" i="6" s="1"/>
  <c r="AO117" i="6"/>
  <c r="AP117" i="6" s="1"/>
  <c r="AI117" i="6"/>
  <c r="AJ117" i="6" s="1"/>
  <c r="AK113" i="6"/>
  <c r="AL113" i="6" s="1"/>
  <c r="AI113" i="6"/>
  <c r="AJ113" i="6" s="1"/>
  <c r="AO113" i="6"/>
  <c r="AP113" i="6" s="1"/>
  <c r="AK109" i="6"/>
  <c r="AL109" i="6" s="1"/>
  <c r="AI109" i="6"/>
  <c r="AJ109" i="6" s="1"/>
  <c r="AO109" i="6"/>
  <c r="AP109" i="6" s="1"/>
  <c r="AK105" i="6"/>
  <c r="AL105" i="6" s="1"/>
  <c r="AO105" i="6"/>
  <c r="AP105" i="6" s="1"/>
  <c r="AI105" i="6"/>
  <c r="AJ105" i="6" s="1"/>
  <c r="AK101" i="6"/>
  <c r="AL101" i="6" s="1"/>
  <c r="AI101" i="6"/>
  <c r="AJ101" i="6" s="1"/>
  <c r="AO101" i="6"/>
  <c r="AP101" i="6" s="1"/>
  <c r="AK97" i="6"/>
  <c r="AL97" i="6" s="1"/>
  <c r="AI97" i="6"/>
  <c r="AJ97" i="6" s="1"/>
  <c r="AO97" i="6"/>
  <c r="AP97" i="6" s="1"/>
  <c r="AK93" i="6"/>
  <c r="AL93" i="6" s="1"/>
  <c r="AI93" i="6"/>
  <c r="AJ93" i="6" s="1"/>
  <c r="AO93" i="6"/>
  <c r="AP93" i="6" s="1"/>
  <c r="AK89" i="6"/>
  <c r="AL89" i="6" s="1"/>
  <c r="AO89" i="6"/>
  <c r="AP89" i="6" s="1"/>
  <c r="AI89" i="6"/>
  <c r="AJ89" i="6" s="1"/>
  <c r="AK85" i="6"/>
  <c r="AL85" i="6" s="1"/>
  <c r="AI85" i="6"/>
  <c r="AJ85" i="6" s="1"/>
  <c r="AO85" i="6"/>
  <c r="AP85" i="6" s="1"/>
  <c r="AO288" i="5"/>
  <c r="AP288" i="5" s="1"/>
  <c r="AO24" i="5"/>
  <c r="AP24" i="5" s="1"/>
  <c r="AM187" i="5"/>
  <c r="AN187" i="5" s="1"/>
  <c r="AM195" i="5"/>
  <c r="AN195" i="5" s="1"/>
  <c r="AM211" i="5"/>
  <c r="AN211" i="5" s="1"/>
  <c r="AK263" i="5"/>
  <c r="AL263" i="5" s="1"/>
  <c r="AO323" i="5"/>
  <c r="AP323" i="5" s="1"/>
  <c r="U71" i="6"/>
  <c r="BB71" i="6" s="1"/>
  <c r="BA151" i="6"/>
  <c r="U303" i="6"/>
  <c r="BB303" i="6" s="1"/>
  <c r="U383" i="6"/>
  <c r="BB383" i="6" s="1"/>
  <c r="AO404" i="6"/>
  <c r="AP404" i="6" s="1"/>
  <c r="AI404" i="6"/>
  <c r="AJ404" i="6" s="1"/>
  <c r="AK404" i="6"/>
  <c r="AL404" i="6" s="1"/>
  <c r="AK400" i="6"/>
  <c r="AL400" i="6" s="1"/>
  <c r="AI400" i="6"/>
  <c r="AJ400" i="6" s="1"/>
  <c r="AO400" i="6"/>
  <c r="AP400" i="6" s="1"/>
  <c r="AO396" i="6"/>
  <c r="AP396" i="6" s="1"/>
  <c r="AI396" i="6"/>
  <c r="AJ396" i="6" s="1"/>
  <c r="AK396" i="6"/>
  <c r="AL396" i="6" s="1"/>
  <c r="AI392" i="6"/>
  <c r="AJ392" i="6" s="1"/>
  <c r="AK392" i="6"/>
  <c r="AL392" i="6" s="1"/>
  <c r="AO392" i="6"/>
  <c r="AP392" i="6" s="1"/>
  <c r="AO388" i="6"/>
  <c r="AP388" i="6" s="1"/>
  <c r="AI388" i="6"/>
  <c r="AJ388" i="6" s="1"/>
  <c r="AK388" i="6"/>
  <c r="AL388" i="6" s="1"/>
  <c r="AK384" i="6"/>
  <c r="AL384" i="6" s="1"/>
  <c r="AO384" i="6"/>
  <c r="AP384" i="6" s="1"/>
  <c r="AI384" i="6"/>
  <c r="AJ384" i="6" s="1"/>
  <c r="AI380" i="6"/>
  <c r="AJ380" i="6" s="1"/>
  <c r="AK380" i="6"/>
  <c r="AL380" i="6" s="1"/>
  <c r="AO380" i="6"/>
  <c r="AP380" i="6" s="1"/>
  <c r="AK376" i="6"/>
  <c r="AL376" i="6" s="1"/>
  <c r="AI376" i="6"/>
  <c r="AJ376" i="6" s="1"/>
  <c r="AO376" i="6"/>
  <c r="AP376" i="6" s="1"/>
  <c r="AO372" i="6"/>
  <c r="AP372" i="6" s="1"/>
  <c r="AI372" i="6"/>
  <c r="AJ372" i="6" s="1"/>
  <c r="AK372" i="6"/>
  <c r="AL372" i="6" s="1"/>
  <c r="AK368" i="6"/>
  <c r="AL368" i="6" s="1"/>
  <c r="AI368" i="6"/>
  <c r="AJ368" i="6" s="1"/>
  <c r="AO368" i="6"/>
  <c r="AP368" i="6" s="1"/>
  <c r="AO364" i="6"/>
  <c r="AP364" i="6" s="1"/>
  <c r="AI364" i="6"/>
  <c r="AJ364" i="6" s="1"/>
  <c r="AK364" i="6"/>
  <c r="AL364" i="6" s="1"/>
  <c r="AI360" i="6"/>
  <c r="AJ360" i="6" s="1"/>
  <c r="AK360" i="6"/>
  <c r="AL360" i="6" s="1"/>
  <c r="AO360" i="6"/>
  <c r="AP360" i="6" s="1"/>
  <c r="AO356" i="6"/>
  <c r="AP356" i="6" s="1"/>
  <c r="AK356" i="6"/>
  <c r="AL356" i="6" s="1"/>
  <c r="AI356" i="6"/>
  <c r="AJ356" i="6" s="1"/>
  <c r="AI352" i="6"/>
  <c r="AJ352" i="6" s="1"/>
  <c r="AO352" i="6"/>
  <c r="AP352" i="6" s="1"/>
  <c r="AK352" i="6"/>
  <c r="AL352" i="6" s="1"/>
  <c r="AK348" i="6"/>
  <c r="AL348" i="6" s="1"/>
  <c r="AO348" i="6"/>
  <c r="AP348" i="6" s="1"/>
  <c r="AI348" i="6"/>
  <c r="AJ348" i="6" s="1"/>
  <c r="AO344" i="6"/>
  <c r="AP344" i="6" s="1"/>
  <c r="AI344" i="6"/>
  <c r="AJ344" i="6" s="1"/>
  <c r="AK344" i="6"/>
  <c r="AL344" i="6" s="1"/>
  <c r="AI340" i="6"/>
  <c r="AJ340" i="6" s="1"/>
  <c r="AO340" i="6"/>
  <c r="AP340" i="6" s="1"/>
  <c r="AK340" i="6"/>
  <c r="AL340" i="6" s="1"/>
  <c r="AO336" i="6"/>
  <c r="AP336" i="6" s="1"/>
  <c r="AI336" i="6"/>
  <c r="AJ336" i="6" s="1"/>
  <c r="AK336" i="6"/>
  <c r="AL336" i="6" s="1"/>
  <c r="AI332" i="6"/>
  <c r="AJ332" i="6" s="1"/>
  <c r="AK332" i="6"/>
  <c r="AL332" i="6" s="1"/>
  <c r="AO332" i="6"/>
  <c r="AP332" i="6" s="1"/>
  <c r="AI328" i="6"/>
  <c r="AJ328" i="6" s="1"/>
  <c r="AO328" i="6"/>
  <c r="AP328" i="6" s="1"/>
  <c r="AK328" i="6"/>
  <c r="AL328" i="6" s="1"/>
  <c r="AO324" i="6"/>
  <c r="AP324" i="6" s="1"/>
  <c r="AI324" i="6"/>
  <c r="AJ324" i="6" s="1"/>
  <c r="AK324" i="6"/>
  <c r="AL324" i="6" s="1"/>
  <c r="AI320" i="6"/>
  <c r="AJ320" i="6" s="1"/>
  <c r="AK320" i="6"/>
  <c r="AL320" i="6" s="1"/>
  <c r="AO320" i="6"/>
  <c r="AP320" i="6" s="1"/>
  <c r="AI316" i="6"/>
  <c r="AJ316" i="6" s="1"/>
  <c r="AO316" i="6"/>
  <c r="AP316" i="6" s="1"/>
  <c r="AK316" i="6"/>
  <c r="AL316" i="6" s="1"/>
  <c r="AK312" i="6"/>
  <c r="AL312" i="6" s="1"/>
  <c r="AI312" i="6"/>
  <c r="AJ312" i="6" s="1"/>
  <c r="AO312" i="6"/>
  <c r="AP312" i="6" s="1"/>
  <c r="AK308" i="6"/>
  <c r="AL308" i="6" s="1"/>
  <c r="AO308" i="6"/>
  <c r="AP308" i="6" s="1"/>
  <c r="AI308" i="6"/>
  <c r="AJ308" i="6" s="1"/>
  <c r="AI304" i="6"/>
  <c r="AJ304" i="6" s="1"/>
  <c r="AK304" i="6"/>
  <c r="AL304" i="6" s="1"/>
  <c r="AO304" i="6"/>
  <c r="AP304" i="6" s="1"/>
  <c r="AK300" i="6"/>
  <c r="AL300" i="6" s="1"/>
  <c r="AO300" i="6"/>
  <c r="AP300" i="6" s="1"/>
  <c r="AI300" i="6"/>
  <c r="AJ300" i="6" s="1"/>
  <c r="AI296" i="6"/>
  <c r="AJ296" i="6" s="1"/>
  <c r="AO296" i="6"/>
  <c r="AP296" i="6" s="1"/>
  <c r="AK296" i="6"/>
  <c r="AL296" i="6" s="1"/>
  <c r="AK292" i="6"/>
  <c r="AL292" i="6" s="1"/>
  <c r="AI292" i="6"/>
  <c r="AJ292" i="6" s="1"/>
  <c r="AO292" i="6"/>
  <c r="AP292" i="6" s="1"/>
  <c r="AO288" i="6"/>
  <c r="AP288" i="6" s="1"/>
  <c r="AK288" i="6"/>
  <c r="AL288" i="6" s="1"/>
  <c r="AI288" i="6"/>
  <c r="AJ288" i="6" s="1"/>
  <c r="AI284" i="6"/>
  <c r="AJ284" i="6" s="1"/>
  <c r="AO284" i="6"/>
  <c r="AP284" i="6" s="1"/>
  <c r="AK284" i="6"/>
  <c r="AL284" i="6" s="1"/>
  <c r="AI280" i="6"/>
  <c r="AJ280" i="6" s="1"/>
  <c r="AK280" i="6"/>
  <c r="AL280" i="6" s="1"/>
  <c r="AO280" i="6"/>
  <c r="AP280" i="6" s="1"/>
  <c r="AK276" i="6"/>
  <c r="AL276" i="6" s="1"/>
  <c r="AO276" i="6"/>
  <c r="AP276" i="6" s="1"/>
  <c r="AI276" i="6"/>
  <c r="AJ276" i="6" s="1"/>
  <c r="AO272" i="6"/>
  <c r="AP272" i="6" s="1"/>
  <c r="AI272" i="6"/>
  <c r="AJ272" i="6" s="1"/>
  <c r="AK272" i="6"/>
  <c r="AL272" i="6" s="1"/>
  <c r="AO268" i="6"/>
  <c r="AP268" i="6" s="1"/>
  <c r="AK268" i="6"/>
  <c r="AL268" i="6" s="1"/>
  <c r="AI268" i="6"/>
  <c r="AJ268" i="6" s="1"/>
  <c r="AI264" i="6"/>
  <c r="AJ264" i="6" s="1"/>
  <c r="AO264" i="6"/>
  <c r="AP264" i="6" s="1"/>
  <c r="AK264" i="6"/>
  <c r="AL264" i="6" s="1"/>
  <c r="AI260" i="6"/>
  <c r="AJ260" i="6" s="1"/>
  <c r="AK260" i="6"/>
  <c r="AL260" i="6" s="1"/>
  <c r="AO260" i="6"/>
  <c r="AP260" i="6" s="1"/>
  <c r="AK256" i="6"/>
  <c r="AL256" i="6" s="1"/>
  <c r="AI256" i="6"/>
  <c r="AJ256" i="6" s="1"/>
  <c r="AO256" i="6"/>
  <c r="AP256" i="6" s="1"/>
  <c r="AI252" i="6"/>
  <c r="AJ252" i="6" s="1"/>
  <c r="AO252" i="6"/>
  <c r="AP252" i="6" s="1"/>
  <c r="AK252" i="6"/>
  <c r="AL252" i="6" s="1"/>
  <c r="AO248" i="6"/>
  <c r="AP248" i="6" s="1"/>
  <c r="AI248" i="6"/>
  <c r="AJ248" i="6" s="1"/>
  <c r="AK248" i="6"/>
  <c r="AL248" i="6" s="1"/>
  <c r="AO244" i="6"/>
  <c r="AP244" i="6" s="1"/>
  <c r="AK244" i="6"/>
  <c r="AL244" i="6" s="1"/>
  <c r="AI244" i="6"/>
  <c r="AJ244" i="6" s="1"/>
  <c r="AI240" i="6"/>
  <c r="AJ240" i="6" s="1"/>
  <c r="AK240" i="6"/>
  <c r="AL240" i="6" s="1"/>
  <c r="AO240" i="6"/>
  <c r="AP240" i="6" s="1"/>
  <c r="AI236" i="6"/>
  <c r="AJ236" i="6" s="1"/>
  <c r="AK236" i="6"/>
  <c r="AL236" i="6" s="1"/>
  <c r="AO236" i="6"/>
  <c r="AP236" i="6" s="1"/>
  <c r="AI232" i="6"/>
  <c r="AJ232" i="6" s="1"/>
  <c r="AO232" i="6"/>
  <c r="AP232" i="6" s="1"/>
  <c r="AK232" i="6"/>
  <c r="AL232" i="6" s="1"/>
  <c r="AK228" i="6"/>
  <c r="AL228" i="6" s="1"/>
  <c r="AI228" i="6"/>
  <c r="AJ228" i="6" s="1"/>
  <c r="AO228" i="6"/>
  <c r="AP228" i="6" s="1"/>
  <c r="AO224" i="6"/>
  <c r="AP224" i="6" s="1"/>
  <c r="AK224" i="6"/>
  <c r="AL224" i="6" s="1"/>
  <c r="AI224" i="6"/>
  <c r="AJ224" i="6" s="1"/>
  <c r="AK220" i="6"/>
  <c r="AL220" i="6" s="1"/>
  <c r="AO220" i="6"/>
  <c r="AP220" i="6" s="1"/>
  <c r="AI220" i="6"/>
  <c r="AJ220" i="6" s="1"/>
  <c r="AI216" i="6"/>
  <c r="AJ216" i="6" s="1"/>
  <c r="AK216" i="6"/>
  <c r="AL216" i="6" s="1"/>
  <c r="AO216" i="6"/>
  <c r="AP216" i="6" s="1"/>
  <c r="AK212" i="6"/>
  <c r="AL212" i="6" s="1"/>
  <c r="AO212" i="6"/>
  <c r="AP212" i="6" s="1"/>
  <c r="AI212" i="6"/>
  <c r="AJ212" i="6" s="1"/>
  <c r="AK208" i="6"/>
  <c r="AL208" i="6" s="1"/>
  <c r="AI208" i="6"/>
  <c r="AJ208" i="6" s="1"/>
  <c r="AO208" i="6"/>
  <c r="AP208" i="6" s="1"/>
  <c r="AO204" i="6"/>
  <c r="AP204" i="6" s="1"/>
  <c r="AI204" i="6"/>
  <c r="AJ204" i="6" s="1"/>
  <c r="AK204" i="6"/>
  <c r="AL204" i="6" s="1"/>
  <c r="AO200" i="6"/>
  <c r="AP200" i="6" s="1"/>
  <c r="AK200" i="6"/>
  <c r="AL200" i="6" s="1"/>
  <c r="AI200" i="6"/>
  <c r="AJ200" i="6" s="1"/>
  <c r="AI196" i="6"/>
  <c r="AJ196" i="6" s="1"/>
  <c r="AK196" i="6"/>
  <c r="AL196" i="6" s="1"/>
  <c r="AO196" i="6"/>
  <c r="AP196" i="6" s="1"/>
  <c r="AO192" i="6"/>
  <c r="AP192" i="6" s="1"/>
  <c r="AI192" i="6"/>
  <c r="AJ192" i="6" s="1"/>
  <c r="AK192" i="6"/>
  <c r="AL192" i="6" s="1"/>
  <c r="AI188" i="6"/>
  <c r="AJ188" i="6" s="1"/>
  <c r="AO188" i="6"/>
  <c r="AP188" i="6" s="1"/>
  <c r="AK188" i="6"/>
  <c r="AL188" i="6" s="1"/>
  <c r="AI184" i="6"/>
  <c r="AJ184" i="6" s="1"/>
  <c r="AK184" i="6"/>
  <c r="AL184" i="6" s="1"/>
  <c r="AO184" i="6"/>
  <c r="AP184" i="6" s="1"/>
  <c r="AI180" i="6"/>
  <c r="AJ180" i="6" s="1"/>
  <c r="AK180" i="6"/>
  <c r="AL180" i="6" s="1"/>
  <c r="AO180" i="6"/>
  <c r="AP180" i="6" s="1"/>
  <c r="AI176" i="6"/>
  <c r="AJ176" i="6" s="1"/>
  <c r="AO176" i="6"/>
  <c r="AP176" i="6" s="1"/>
  <c r="AK176" i="6"/>
  <c r="AL176" i="6" s="1"/>
  <c r="AI172" i="6"/>
  <c r="AJ172" i="6" s="1"/>
  <c r="AK172" i="6"/>
  <c r="AL172" i="6" s="1"/>
  <c r="AO172" i="6"/>
  <c r="AP172" i="6" s="1"/>
  <c r="AI168" i="6"/>
  <c r="AJ168" i="6" s="1"/>
  <c r="AK168" i="6"/>
  <c r="AL168" i="6" s="1"/>
  <c r="AO168" i="6"/>
  <c r="AP168" i="6" s="1"/>
  <c r="AI164" i="6"/>
  <c r="AJ164" i="6" s="1"/>
  <c r="AK164" i="6"/>
  <c r="AL164" i="6" s="1"/>
  <c r="AO164" i="6"/>
  <c r="AP164" i="6" s="1"/>
  <c r="AI160" i="6"/>
  <c r="AJ160" i="6" s="1"/>
  <c r="AO160" i="6"/>
  <c r="AP160" i="6" s="1"/>
  <c r="AK160" i="6"/>
  <c r="AL160" i="6" s="1"/>
  <c r="AI156" i="6"/>
  <c r="AJ156" i="6" s="1"/>
  <c r="AK156" i="6"/>
  <c r="AL156" i="6" s="1"/>
  <c r="AO156" i="6"/>
  <c r="AP156" i="6" s="1"/>
  <c r="AI152" i="6"/>
  <c r="AJ152" i="6" s="1"/>
  <c r="AK152" i="6"/>
  <c r="AL152" i="6" s="1"/>
  <c r="AO152" i="6"/>
  <c r="AP152" i="6" s="1"/>
  <c r="AI148" i="6"/>
  <c r="AJ148" i="6" s="1"/>
  <c r="AK148" i="6"/>
  <c r="AL148" i="6" s="1"/>
  <c r="AO148" i="6"/>
  <c r="AP148" i="6" s="1"/>
  <c r="AI144" i="6"/>
  <c r="AJ144" i="6" s="1"/>
  <c r="AO144" i="6"/>
  <c r="AP144" i="6" s="1"/>
  <c r="AK144" i="6"/>
  <c r="AL144" i="6" s="1"/>
  <c r="AI140" i="6"/>
  <c r="AJ140" i="6" s="1"/>
  <c r="AK140" i="6"/>
  <c r="AL140" i="6" s="1"/>
  <c r="AO140" i="6"/>
  <c r="AP140" i="6" s="1"/>
  <c r="AI136" i="6"/>
  <c r="AJ136" i="6" s="1"/>
  <c r="AO136" i="6"/>
  <c r="AP136" i="6" s="1"/>
  <c r="AK136" i="6"/>
  <c r="AL136" i="6" s="1"/>
  <c r="AI132" i="6"/>
  <c r="AJ132" i="6" s="1"/>
  <c r="AK132" i="6"/>
  <c r="AL132" i="6" s="1"/>
  <c r="AO132" i="6"/>
  <c r="AP132" i="6" s="1"/>
  <c r="AI128" i="6"/>
  <c r="AJ128" i="6" s="1"/>
  <c r="AO128" i="6"/>
  <c r="AP128" i="6" s="1"/>
  <c r="AK128" i="6"/>
  <c r="AL128" i="6" s="1"/>
  <c r="AI124" i="6"/>
  <c r="AJ124" i="6" s="1"/>
  <c r="AO124" i="6"/>
  <c r="AP124" i="6" s="1"/>
  <c r="AK124" i="6"/>
  <c r="AL124" i="6" s="1"/>
  <c r="AI120" i="6"/>
  <c r="AJ120" i="6" s="1"/>
  <c r="AK120" i="6"/>
  <c r="AL120" i="6" s="1"/>
  <c r="AO120" i="6"/>
  <c r="AP120" i="6" s="1"/>
  <c r="AI116" i="6"/>
  <c r="AJ116" i="6" s="1"/>
  <c r="AK116" i="6"/>
  <c r="AL116" i="6" s="1"/>
  <c r="AO116" i="6"/>
  <c r="AP116" i="6" s="1"/>
  <c r="AI112" i="6"/>
  <c r="AJ112" i="6" s="1"/>
  <c r="AO112" i="6"/>
  <c r="AP112" i="6" s="1"/>
  <c r="AK112" i="6"/>
  <c r="AL112" i="6" s="1"/>
  <c r="AI108" i="6"/>
  <c r="AJ108" i="6" s="1"/>
  <c r="AK108" i="6"/>
  <c r="AL108" i="6" s="1"/>
  <c r="AO108" i="6"/>
  <c r="AP108" i="6" s="1"/>
  <c r="AI104" i="6"/>
  <c r="AJ104" i="6" s="1"/>
  <c r="AK104" i="6"/>
  <c r="AL104" i="6" s="1"/>
  <c r="AO104" i="6"/>
  <c r="AP104" i="6" s="1"/>
  <c r="AI100" i="6"/>
  <c r="AJ100" i="6" s="1"/>
  <c r="AK100" i="6"/>
  <c r="AL100" i="6" s="1"/>
  <c r="AO100" i="6"/>
  <c r="AP100" i="6" s="1"/>
  <c r="AI96" i="6"/>
  <c r="AJ96" i="6" s="1"/>
  <c r="AO96" i="6"/>
  <c r="AP96" i="6" s="1"/>
  <c r="AK96" i="6"/>
  <c r="AL96" i="6" s="1"/>
  <c r="AI92" i="6"/>
  <c r="AJ92" i="6" s="1"/>
  <c r="AK92" i="6"/>
  <c r="AL92" i="6" s="1"/>
  <c r="AO92" i="6"/>
  <c r="AP92" i="6" s="1"/>
  <c r="AI88" i="6"/>
  <c r="AJ88" i="6" s="1"/>
  <c r="AK88" i="6"/>
  <c r="AL88" i="6" s="1"/>
  <c r="AO88" i="6"/>
  <c r="AP88" i="6" s="1"/>
  <c r="AI84" i="6"/>
  <c r="AJ84" i="6" s="1"/>
  <c r="AK84" i="6"/>
  <c r="AL84" i="6" s="1"/>
  <c r="AO84" i="6"/>
  <c r="AP84" i="6" s="1"/>
  <c r="AK373" i="5"/>
  <c r="AL373" i="5" s="1"/>
  <c r="BA23" i="6"/>
  <c r="AV15" i="6"/>
  <c r="BL11" i="6"/>
  <c r="AV191" i="6"/>
  <c r="BA203" i="6"/>
  <c r="T211" i="6"/>
  <c r="T219" i="6"/>
  <c r="AV227" i="6"/>
  <c r="AV239" i="6"/>
  <c r="AV251" i="6"/>
  <c r="AV295" i="6"/>
  <c r="BA331" i="6"/>
  <c r="BA95" i="6"/>
  <c r="BA119" i="6"/>
  <c r="T131" i="6"/>
  <c r="BA135" i="6"/>
  <c r="BA327" i="6"/>
  <c r="T339" i="6"/>
  <c r="T83" i="6"/>
  <c r="AV155" i="6"/>
  <c r="BA263" i="6"/>
  <c r="AV299" i="6"/>
  <c r="U319" i="6"/>
  <c r="BB319" i="6" s="1"/>
  <c r="AV339" i="6"/>
  <c r="BA99" i="6"/>
  <c r="U135" i="6"/>
  <c r="BB135" i="6" s="1"/>
  <c r="AV151" i="6"/>
  <c r="U163" i="6"/>
  <c r="BB163" i="6" s="1"/>
  <c r="AV179" i="6"/>
  <c r="BA195" i="6"/>
  <c r="T227" i="6"/>
  <c r="AV311" i="6"/>
  <c r="AV331" i="6"/>
  <c r="AV359" i="6"/>
  <c r="AQ113" i="6"/>
  <c r="AR113" i="6" s="1"/>
  <c r="AM113" i="6"/>
  <c r="AN113" i="6" s="1"/>
  <c r="AQ129" i="6"/>
  <c r="AR129" i="6" s="1"/>
  <c r="AM129" i="6"/>
  <c r="AN129" i="6" s="1"/>
  <c r="Z220" i="6"/>
  <c r="BD220" i="6" s="1"/>
  <c r="AM220" i="6"/>
  <c r="AN220" i="6" s="1"/>
  <c r="AQ220" i="6"/>
  <c r="AR220" i="6" s="1"/>
  <c r="Z247" i="6"/>
  <c r="BD247" i="6" s="1"/>
  <c r="AQ247" i="6"/>
  <c r="AR247" i="6" s="1"/>
  <c r="AM247" i="6"/>
  <c r="AN247" i="6" s="1"/>
  <c r="AQ251" i="6"/>
  <c r="AR251" i="6" s="1"/>
  <c r="AM251" i="6"/>
  <c r="AN251" i="6" s="1"/>
  <c r="AQ264" i="6"/>
  <c r="AR264" i="6" s="1"/>
  <c r="AM264" i="6"/>
  <c r="AN264" i="6" s="1"/>
  <c r="AM377" i="6"/>
  <c r="AN377" i="6" s="1"/>
  <c r="AQ377" i="6"/>
  <c r="AR377" i="6" s="1"/>
  <c r="T55" i="6"/>
  <c r="AV83" i="6"/>
  <c r="AQ84" i="6"/>
  <c r="AR84" i="6" s="1"/>
  <c r="AM84" i="6"/>
  <c r="AN84" i="6" s="1"/>
  <c r="AM90" i="6"/>
  <c r="AN90" i="6" s="1"/>
  <c r="AQ90" i="6"/>
  <c r="AR90" i="6" s="1"/>
  <c r="AV91" i="6"/>
  <c r="AQ92" i="6"/>
  <c r="AR92" i="6" s="1"/>
  <c r="AM92" i="6"/>
  <c r="AN92" i="6" s="1"/>
  <c r="AQ93" i="6"/>
  <c r="AR93" i="6" s="1"/>
  <c r="AM93" i="6"/>
  <c r="AN93" i="6" s="1"/>
  <c r="AM94" i="6"/>
  <c r="AN94" i="6" s="1"/>
  <c r="AQ94" i="6"/>
  <c r="AR94" i="6" s="1"/>
  <c r="AM95" i="6"/>
  <c r="AN95" i="6" s="1"/>
  <c r="AQ95" i="6"/>
  <c r="AR95" i="6" s="1"/>
  <c r="AQ96" i="6"/>
  <c r="AR96" i="6" s="1"/>
  <c r="AM96" i="6"/>
  <c r="AN96" i="6" s="1"/>
  <c r="T99" i="6"/>
  <c r="AM106" i="6"/>
  <c r="AN106" i="6" s="1"/>
  <c r="AQ106" i="6"/>
  <c r="AR106" i="6" s="1"/>
  <c r="Z113" i="6"/>
  <c r="BD113" i="6" s="1"/>
  <c r="AM114" i="6"/>
  <c r="AN114" i="6" s="1"/>
  <c r="AQ114" i="6"/>
  <c r="AR114" i="6" s="1"/>
  <c r="AM115" i="6"/>
  <c r="AN115" i="6" s="1"/>
  <c r="AQ115" i="6"/>
  <c r="AR115" i="6" s="1"/>
  <c r="AV123" i="6"/>
  <c r="Z129" i="6"/>
  <c r="BD129" i="6" s="1"/>
  <c r="AM130" i="6"/>
  <c r="AN130" i="6" s="1"/>
  <c r="AQ130" i="6"/>
  <c r="AR130" i="6" s="1"/>
  <c r="Z133" i="6"/>
  <c r="BD133" i="6" s="1"/>
  <c r="AQ133" i="6"/>
  <c r="AR133" i="6" s="1"/>
  <c r="AM133" i="6"/>
  <c r="AN133" i="6" s="1"/>
  <c r="Z134" i="6"/>
  <c r="BD134" i="6" s="1"/>
  <c r="AM134" i="6"/>
  <c r="AN134" i="6" s="1"/>
  <c r="AQ134" i="6"/>
  <c r="AR134" i="6" s="1"/>
  <c r="AM135" i="6"/>
  <c r="AN135" i="6" s="1"/>
  <c r="AQ135" i="6"/>
  <c r="AR135" i="6" s="1"/>
  <c r="Z136" i="6"/>
  <c r="BD136" i="6" s="1"/>
  <c r="AQ136" i="6"/>
  <c r="AR136" i="6" s="1"/>
  <c r="AM136" i="6"/>
  <c r="AN136" i="6" s="1"/>
  <c r="Z137" i="6"/>
  <c r="BD137" i="6" s="1"/>
  <c r="AQ137" i="6"/>
  <c r="AR137" i="6" s="1"/>
  <c r="AM137" i="6"/>
  <c r="AN137" i="6" s="1"/>
  <c r="Z138" i="6"/>
  <c r="BD138" i="6" s="1"/>
  <c r="AM138" i="6"/>
  <c r="AN138" i="6" s="1"/>
  <c r="AQ138" i="6"/>
  <c r="AR138" i="6" s="1"/>
  <c r="AM155" i="6"/>
  <c r="AN155" i="6" s="1"/>
  <c r="AQ155" i="6"/>
  <c r="AR155" i="6" s="1"/>
  <c r="Z159" i="6"/>
  <c r="BD159" i="6" s="1"/>
  <c r="AM159" i="6"/>
  <c r="AN159" i="6" s="1"/>
  <c r="AQ159" i="6"/>
  <c r="AR159" i="6" s="1"/>
  <c r="AQ160" i="6"/>
  <c r="AR160" i="6" s="1"/>
  <c r="AM160" i="6"/>
  <c r="AN160" i="6" s="1"/>
  <c r="U167" i="6"/>
  <c r="BB167" i="6" s="1"/>
  <c r="AV167" i="6"/>
  <c r="AQ168" i="6"/>
  <c r="AR168" i="6" s="1"/>
  <c r="AM168" i="6"/>
  <c r="AN168" i="6" s="1"/>
  <c r="T171" i="6"/>
  <c r="AQ172" i="6"/>
  <c r="AR172" i="6" s="1"/>
  <c r="AM172" i="6"/>
  <c r="AN172" i="6" s="1"/>
  <c r="Z175" i="6"/>
  <c r="BD175" i="6" s="1"/>
  <c r="AM175" i="6"/>
  <c r="AN175" i="6" s="1"/>
  <c r="AQ175" i="6"/>
  <c r="AR175" i="6" s="1"/>
  <c r="BA175" i="6"/>
  <c r="AQ176" i="6"/>
  <c r="AR176" i="6" s="1"/>
  <c r="AM176" i="6"/>
  <c r="AN176" i="6" s="1"/>
  <c r="T179" i="6"/>
  <c r="AQ181" i="6"/>
  <c r="AR181" i="6" s="1"/>
  <c r="AM181" i="6"/>
  <c r="AN181" i="6" s="1"/>
  <c r="Z183" i="6"/>
  <c r="BD183" i="6" s="1"/>
  <c r="AM183" i="6"/>
  <c r="AN183" i="6" s="1"/>
  <c r="AQ183" i="6"/>
  <c r="AR183" i="6" s="1"/>
  <c r="AQ184" i="6"/>
  <c r="AR184" i="6" s="1"/>
  <c r="AM184" i="6"/>
  <c r="AN184" i="6" s="1"/>
  <c r="T187" i="6"/>
  <c r="Z190" i="6"/>
  <c r="BD190" i="6" s="1"/>
  <c r="AQ190" i="6"/>
  <c r="AR190" i="6" s="1"/>
  <c r="AM190" i="6"/>
  <c r="AN190" i="6" s="1"/>
  <c r="Z191" i="6"/>
  <c r="BD191" i="6" s="1"/>
  <c r="AQ191" i="6"/>
  <c r="AR191" i="6" s="1"/>
  <c r="AM191" i="6"/>
  <c r="AN191" i="6" s="1"/>
  <c r="BA191" i="6"/>
  <c r="AQ192" i="6"/>
  <c r="AR192" i="6" s="1"/>
  <c r="AM192" i="6"/>
  <c r="AN192" i="6" s="1"/>
  <c r="T195" i="6"/>
  <c r="AQ201" i="6"/>
  <c r="AR201" i="6" s="1"/>
  <c r="AM201" i="6"/>
  <c r="AN201" i="6" s="1"/>
  <c r="Z204" i="6"/>
  <c r="BD204" i="6" s="1"/>
  <c r="AQ204" i="6"/>
  <c r="AR204" i="6" s="1"/>
  <c r="AM204" i="6"/>
  <c r="AN204" i="6" s="1"/>
  <c r="AQ210" i="6"/>
  <c r="AR210" i="6" s="1"/>
  <c r="AM210" i="6"/>
  <c r="AN210" i="6" s="1"/>
  <c r="AM211" i="6"/>
  <c r="AN211" i="6" s="1"/>
  <c r="AQ211" i="6"/>
  <c r="AR211" i="6" s="1"/>
  <c r="AV211" i="6"/>
  <c r="AM218" i="6"/>
  <c r="AN218" i="6" s="1"/>
  <c r="AQ218" i="6"/>
  <c r="AR218" i="6" s="1"/>
  <c r="AM219" i="6"/>
  <c r="AN219" i="6" s="1"/>
  <c r="AQ219" i="6"/>
  <c r="AR219" i="6" s="1"/>
  <c r="AV219" i="6"/>
  <c r="AV223" i="6"/>
  <c r="Z231" i="6"/>
  <c r="BD231" i="6" s="1"/>
  <c r="AQ231" i="6"/>
  <c r="AR231" i="6" s="1"/>
  <c r="AM231" i="6"/>
  <c r="AN231" i="6" s="1"/>
  <c r="BA231" i="6"/>
  <c r="AQ232" i="6"/>
  <c r="AR232" i="6" s="1"/>
  <c r="AM232" i="6"/>
  <c r="AN232" i="6" s="1"/>
  <c r="T235" i="6"/>
  <c r="Z236" i="6"/>
  <c r="BD236" i="6" s="1"/>
  <c r="AM236" i="6"/>
  <c r="AN236" i="6" s="1"/>
  <c r="AQ236" i="6"/>
  <c r="AR236" i="6" s="1"/>
  <c r="AQ239" i="6"/>
  <c r="AR239" i="6" s="1"/>
  <c r="AM239" i="6"/>
  <c r="AN239" i="6" s="1"/>
  <c r="BA239" i="6"/>
  <c r="AM240" i="6"/>
  <c r="AN240" i="6" s="1"/>
  <c r="AQ240" i="6"/>
  <c r="AR240" i="6" s="1"/>
  <c r="T243" i="6"/>
  <c r="BA243" i="6"/>
  <c r="AM249" i="6"/>
  <c r="AN249" i="6" s="1"/>
  <c r="AQ249" i="6"/>
  <c r="AR249" i="6" s="1"/>
  <c r="T251" i="6"/>
  <c r="Z251" i="6"/>
  <c r="BD251" i="6" s="1"/>
  <c r="Z260" i="6"/>
  <c r="BD260" i="6" s="1"/>
  <c r="AM260" i="6"/>
  <c r="AN260" i="6" s="1"/>
  <c r="AQ260" i="6"/>
  <c r="AR260" i="6" s="1"/>
  <c r="Z261" i="6"/>
  <c r="BD261" i="6" s="1"/>
  <c r="AM261" i="6"/>
  <c r="AN261" i="6" s="1"/>
  <c r="AQ261" i="6"/>
  <c r="AR261" i="6" s="1"/>
  <c r="Z262" i="6"/>
  <c r="BD262" i="6" s="1"/>
  <c r="AQ262" i="6"/>
  <c r="AR262" i="6" s="1"/>
  <c r="AM262" i="6"/>
  <c r="AN262" i="6" s="1"/>
  <c r="Z264" i="6"/>
  <c r="BD264" i="6" s="1"/>
  <c r="AM265" i="6"/>
  <c r="AN265" i="6" s="1"/>
  <c r="AQ265" i="6"/>
  <c r="AR265" i="6" s="1"/>
  <c r="BA267" i="6"/>
  <c r="Z271" i="6"/>
  <c r="BD271" i="6" s="1"/>
  <c r="AQ271" i="6"/>
  <c r="AR271" i="6" s="1"/>
  <c r="AM271" i="6"/>
  <c r="AN271" i="6" s="1"/>
  <c r="BA271" i="6"/>
  <c r="AM272" i="6"/>
  <c r="AN272" i="6" s="1"/>
  <c r="AQ272" i="6"/>
  <c r="AR272" i="6" s="1"/>
  <c r="Z277" i="6"/>
  <c r="BD277" i="6" s="1"/>
  <c r="AM277" i="6"/>
  <c r="AN277" i="6" s="1"/>
  <c r="AQ277" i="6"/>
  <c r="AR277" i="6" s="1"/>
  <c r="AV279" i="6"/>
  <c r="BA279" i="6"/>
  <c r="AM283" i="6"/>
  <c r="AN283" i="6" s="1"/>
  <c r="AQ283" i="6"/>
  <c r="AR283" i="6" s="1"/>
  <c r="AV283" i="6"/>
  <c r="AM290" i="6"/>
  <c r="AN290" i="6" s="1"/>
  <c r="AQ290" i="6"/>
  <c r="AR290" i="6" s="1"/>
  <c r="AM292" i="6"/>
  <c r="AN292" i="6" s="1"/>
  <c r="AQ292" i="6"/>
  <c r="AR292" i="6" s="1"/>
  <c r="Z301" i="6"/>
  <c r="BD301" i="6" s="1"/>
  <c r="AM301" i="6"/>
  <c r="AN301" i="6" s="1"/>
  <c r="AQ301" i="6"/>
  <c r="AR301" i="6" s="1"/>
  <c r="Z302" i="6"/>
  <c r="BD302" i="6" s="1"/>
  <c r="AQ302" i="6"/>
  <c r="AR302" i="6" s="1"/>
  <c r="AM302" i="6"/>
  <c r="AN302" i="6" s="1"/>
  <c r="AQ307" i="6"/>
  <c r="AR307" i="6" s="1"/>
  <c r="AM307" i="6"/>
  <c r="AN307" i="6" s="1"/>
  <c r="BA311" i="6"/>
  <c r="AM315" i="6"/>
  <c r="AN315" i="6" s="1"/>
  <c r="AQ315" i="6"/>
  <c r="AR315" i="6" s="1"/>
  <c r="Z319" i="6"/>
  <c r="BD319" i="6" s="1"/>
  <c r="AM319" i="6"/>
  <c r="AN319" i="6" s="1"/>
  <c r="AQ319" i="6"/>
  <c r="AR319" i="6" s="1"/>
  <c r="BA319" i="6"/>
  <c r="Z320" i="6"/>
  <c r="BD320" i="6" s="1"/>
  <c r="AM320" i="6"/>
  <c r="AN320" i="6" s="1"/>
  <c r="AQ320" i="6"/>
  <c r="AR320" i="6" s="1"/>
  <c r="Z321" i="6"/>
  <c r="BD321" i="6" s="1"/>
  <c r="AQ321" i="6"/>
  <c r="AR321" i="6" s="1"/>
  <c r="AM321" i="6"/>
  <c r="AN321" i="6" s="1"/>
  <c r="AQ322" i="6"/>
  <c r="AR322" i="6" s="1"/>
  <c r="AM322" i="6"/>
  <c r="AN322" i="6" s="1"/>
  <c r="Z327" i="6"/>
  <c r="BD327" i="6" s="1"/>
  <c r="AQ327" i="6"/>
  <c r="AR327" i="6" s="1"/>
  <c r="AM327" i="6"/>
  <c r="AN327" i="6" s="1"/>
  <c r="AM328" i="6"/>
  <c r="AN328" i="6" s="1"/>
  <c r="AQ328" i="6"/>
  <c r="AR328" i="6" s="1"/>
  <c r="U331" i="6"/>
  <c r="BB331" i="6" s="1"/>
  <c r="Z332" i="6"/>
  <c r="BD332" i="6" s="1"/>
  <c r="AQ332" i="6"/>
  <c r="AR332" i="6" s="1"/>
  <c r="AM332" i="6"/>
  <c r="AN332" i="6" s="1"/>
  <c r="Z333" i="6"/>
  <c r="BD333" i="6" s="1"/>
  <c r="AQ333" i="6"/>
  <c r="AR333" i="6" s="1"/>
  <c r="AM333" i="6"/>
  <c r="AN333" i="6" s="1"/>
  <c r="Z334" i="6"/>
  <c r="BD334" i="6" s="1"/>
  <c r="AM334" i="6"/>
  <c r="AN334" i="6" s="1"/>
  <c r="AQ334" i="6"/>
  <c r="AR334" i="6" s="1"/>
  <c r="AQ335" i="6"/>
  <c r="AR335" i="6" s="1"/>
  <c r="AM335" i="6"/>
  <c r="AN335" i="6" s="1"/>
  <c r="AM338" i="6"/>
  <c r="AN338" i="6" s="1"/>
  <c r="AQ338" i="6"/>
  <c r="AR338" i="6" s="1"/>
  <c r="AQ343" i="6"/>
  <c r="AR343" i="6" s="1"/>
  <c r="AM343" i="6"/>
  <c r="AN343" i="6" s="1"/>
  <c r="BA343" i="6"/>
  <c r="Z344" i="6"/>
  <c r="BD344" i="6" s="1"/>
  <c r="AQ344" i="6"/>
  <c r="AR344" i="6" s="1"/>
  <c r="AM344" i="6"/>
  <c r="AN344" i="6" s="1"/>
  <c r="Z345" i="6"/>
  <c r="BD345" i="6" s="1"/>
  <c r="AM345" i="6"/>
  <c r="AN345" i="6" s="1"/>
  <c r="AQ345" i="6"/>
  <c r="AR345" i="6" s="1"/>
  <c r="Z346" i="6"/>
  <c r="BD346" i="6" s="1"/>
  <c r="AM346" i="6"/>
  <c r="AN346" i="6" s="1"/>
  <c r="AQ346" i="6"/>
  <c r="AR346" i="6" s="1"/>
  <c r="BA347" i="6"/>
  <c r="AQ348" i="6"/>
  <c r="AR348" i="6" s="1"/>
  <c r="AM348" i="6"/>
  <c r="AN348" i="6" s="1"/>
  <c r="AQ349" i="6"/>
  <c r="AR349" i="6" s="1"/>
  <c r="AM349" i="6"/>
  <c r="AN349" i="6" s="1"/>
  <c r="BA351" i="6"/>
  <c r="AQ352" i="6"/>
  <c r="AR352" i="6" s="1"/>
  <c r="AM352" i="6"/>
  <c r="AN352" i="6" s="1"/>
  <c r="Z355" i="6"/>
  <c r="BD355" i="6" s="1"/>
  <c r="AQ355" i="6"/>
  <c r="AR355" i="6" s="1"/>
  <c r="AM355" i="6"/>
  <c r="AN355" i="6" s="1"/>
  <c r="AQ356" i="6"/>
  <c r="AR356" i="6" s="1"/>
  <c r="AM356" i="6"/>
  <c r="AN356" i="6" s="1"/>
  <c r="T359" i="6"/>
  <c r="U363" i="6"/>
  <c r="BB363" i="6" s="1"/>
  <c r="AQ367" i="6"/>
  <c r="AR367" i="6" s="1"/>
  <c r="AM367" i="6"/>
  <c r="AN367" i="6" s="1"/>
  <c r="Z377" i="6"/>
  <c r="BD377" i="6" s="1"/>
  <c r="AM378" i="6"/>
  <c r="AN378" i="6" s="1"/>
  <c r="AQ378" i="6"/>
  <c r="AR378" i="6" s="1"/>
  <c r="AV379" i="6"/>
  <c r="Z380" i="6"/>
  <c r="BD380" i="6" s="1"/>
  <c r="AQ380" i="6"/>
  <c r="AR380" i="6" s="1"/>
  <c r="AM380" i="6"/>
  <c r="AN380" i="6" s="1"/>
  <c r="Z381" i="6"/>
  <c r="BD381" i="6" s="1"/>
  <c r="AQ381" i="6"/>
  <c r="AR381" i="6" s="1"/>
  <c r="AM381" i="6"/>
  <c r="AN381" i="6" s="1"/>
  <c r="AQ387" i="6"/>
  <c r="AR387" i="6" s="1"/>
  <c r="AM387" i="6"/>
  <c r="AN387" i="6" s="1"/>
  <c r="AM390" i="6"/>
  <c r="AN390" i="6" s="1"/>
  <c r="AQ390" i="6"/>
  <c r="AR390" i="6" s="1"/>
  <c r="AQ392" i="6"/>
  <c r="AR392" i="6" s="1"/>
  <c r="AM392" i="6"/>
  <c r="AN392" i="6" s="1"/>
  <c r="AM394" i="6"/>
  <c r="AN394" i="6" s="1"/>
  <c r="AQ394" i="6"/>
  <c r="AR394" i="6" s="1"/>
  <c r="AQ396" i="6"/>
  <c r="AR396" i="6" s="1"/>
  <c r="AM396" i="6"/>
  <c r="AN396" i="6" s="1"/>
  <c r="T399" i="6"/>
  <c r="AQ399" i="6"/>
  <c r="AR399" i="6" s="1"/>
  <c r="AM399" i="6"/>
  <c r="AN399" i="6" s="1"/>
  <c r="AV399" i="6"/>
  <c r="AM402" i="6"/>
  <c r="AN402" i="6" s="1"/>
  <c r="AQ402" i="6"/>
  <c r="AR402" i="6" s="1"/>
  <c r="Z118" i="6"/>
  <c r="BD118" i="6" s="1"/>
  <c r="AM118" i="6"/>
  <c r="AN118" i="6" s="1"/>
  <c r="AQ118" i="6"/>
  <c r="AR118" i="6" s="1"/>
  <c r="Z120" i="6"/>
  <c r="BD120" i="6" s="1"/>
  <c r="AQ120" i="6"/>
  <c r="AR120" i="6" s="1"/>
  <c r="AM120" i="6"/>
  <c r="AN120" i="6" s="1"/>
  <c r="Z122" i="6"/>
  <c r="BD122" i="6" s="1"/>
  <c r="AM122" i="6"/>
  <c r="AN122" i="6" s="1"/>
  <c r="AQ122" i="6"/>
  <c r="AR122" i="6" s="1"/>
  <c r="Z132" i="6"/>
  <c r="BD132" i="6" s="1"/>
  <c r="AQ132" i="6"/>
  <c r="AR132" i="6" s="1"/>
  <c r="AM132" i="6"/>
  <c r="AN132" i="6" s="1"/>
  <c r="AM146" i="6"/>
  <c r="AN146" i="6" s="1"/>
  <c r="AQ146" i="6"/>
  <c r="AR146" i="6" s="1"/>
  <c r="Z148" i="6"/>
  <c r="BD148" i="6" s="1"/>
  <c r="AM148" i="6"/>
  <c r="AN148" i="6" s="1"/>
  <c r="AQ148" i="6"/>
  <c r="AR148" i="6" s="1"/>
  <c r="Z150" i="6"/>
  <c r="BD150" i="6" s="1"/>
  <c r="AM150" i="6"/>
  <c r="AN150" i="6" s="1"/>
  <c r="AQ150" i="6"/>
  <c r="AR150" i="6" s="1"/>
  <c r="Z152" i="6"/>
  <c r="BD152" i="6" s="1"/>
  <c r="AQ152" i="6"/>
  <c r="AR152" i="6" s="1"/>
  <c r="AM152" i="6"/>
  <c r="AN152" i="6" s="1"/>
  <c r="Z153" i="6"/>
  <c r="BD153" i="6" s="1"/>
  <c r="AQ153" i="6"/>
  <c r="AR153" i="6" s="1"/>
  <c r="AM153" i="6"/>
  <c r="AN153" i="6" s="1"/>
  <c r="Z166" i="6"/>
  <c r="BD166" i="6" s="1"/>
  <c r="AQ166" i="6"/>
  <c r="AR166" i="6" s="1"/>
  <c r="AM166" i="6"/>
  <c r="AN166" i="6" s="1"/>
  <c r="AM179" i="6"/>
  <c r="AN179" i="6" s="1"/>
  <c r="AQ179" i="6"/>
  <c r="AR179" i="6" s="1"/>
  <c r="Z189" i="6"/>
  <c r="BD189" i="6" s="1"/>
  <c r="AQ189" i="6"/>
  <c r="AR189" i="6" s="1"/>
  <c r="AM189" i="6"/>
  <c r="AN189" i="6" s="1"/>
  <c r="AM200" i="6"/>
  <c r="AN200" i="6" s="1"/>
  <c r="AQ200" i="6"/>
  <c r="AR200" i="6" s="1"/>
  <c r="AM209" i="6"/>
  <c r="AN209" i="6" s="1"/>
  <c r="AQ209" i="6"/>
  <c r="AR209" i="6" s="1"/>
  <c r="AQ212" i="6"/>
  <c r="AR212" i="6" s="1"/>
  <c r="AM212" i="6"/>
  <c r="AN212" i="6" s="1"/>
  <c r="Z222" i="6"/>
  <c r="BD222" i="6" s="1"/>
  <c r="AQ222" i="6"/>
  <c r="AR222" i="6" s="1"/>
  <c r="AM222" i="6"/>
  <c r="AN222" i="6" s="1"/>
  <c r="AQ248" i="6"/>
  <c r="AR248" i="6" s="1"/>
  <c r="AM248" i="6"/>
  <c r="AN248" i="6" s="1"/>
  <c r="AM263" i="6"/>
  <c r="AN263" i="6" s="1"/>
  <c r="AQ263" i="6"/>
  <c r="AR263" i="6" s="1"/>
  <c r="AQ284" i="6"/>
  <c r="AR284" i="6" s="1"/>
  <c r="AM284" i="6"/>
  <c r="AN284" i="6" s="1"/>
  <c r="AQ289" i="6"/>
  <c r="AR289" i="6" s="1"/>
  <c r="AM289" i="6"/>
  <c r="AN289" i="6" s="1"/>
  <c r="AQ291" i="6"/>
  <c r="AR291" i="6" s="1"/>
  <c r="AM291" i="6"/>
  <c r="AN291" i="6" s="1"/>
  <c r="AM297" i="6"/>
  <c r="AN297" i="6" s="1"/>
  <c r="AQ297" i="6"/>
  <c r="AR297" i="6" s="1"/>
  <c r="Z300" i="6"/>
  <c r="BD300" i="6" s="1"/>
  <c r="AQ300" i="6"/>
  <c r="AR300" i="6" s="1"/>
  <c r="AM300" i="6"/>
  <c r="AN300" i="6" s="1"/>
  <c r="AQ337" i="6"/>
  <c r="AR337" i="6" s="1"/>
  <c r="AM337" i="6"/>
  <c r="AN337" i="6" s="1"/>
  <c r="AQ347" i="6"/>
  <c r="AR347" i="6" s="1"/>
  <c r="AM347" i="6"/>
  <c r="AN347" i="6" s="1"/>
  <c r="AQ351" i="6"/>
  <c r="AR351" i="6" s="1"/>
  <c r="AM351" i="6"/>
  <c r="AN351" i="6" s="1"/>
  <c r="AQ359" i="6"/>
  <c r="AR359" i="6" s="1"/>
  <c r="AM359" i="6"/>
  <c r="AN359" i="6" s="1"/>
  <c r="AQ374" i="6"/>
  <c r="AR374" i="6" s="1"/>
  <c r="AM374" i="6"/>
  <c r="AN374" i="6" s="1"/>
  <c r="AQ388" i="6"/>
  <c r="AR388" i="6" s="1"/>
  <c r="AM388" i="6"/>
  <c r="AN388" i="6" s="1"/>
  <c r="AQ395" i="6"/>
  <c r="AR395" i="6" s="1"/>
  <c r="AM395" i="6"/>
  <c r="AN395" i="6" s="1"/>
  <c r="AM401" i="6"/>
  <c r="AN401" i="6" s="1"/>
  <c r="AQ401" i="6"/>
  <c r="AR401" i="6" s="1"/>
  <c r="BA31" i="6"/>
  <c r="AM83" i="6"/>
  <c r="AN83" i="6" s="1"/>
  <c r="AQ83" i="6"/>
  <c r="AR83" i="6" s="1"/>
  <c r="AQ85" i="6"/>
  <c r="AR85" i="6" s="1"/>
  <c r="AM85" i="6"/>
  <c r="AN85" i="6" s="1"/>
  <c r="AM86" i="6"/>
  <c r="AN86" i="6" s="1"/>
  <c r="AQ86" i="6"/>
  <c r="AR86" i="6" s="1"/>
  <c r="Z90" i="6"/>
  <c r="BD90" i="6" s="1"/>
  <c r="AM91" i="6"/>
  <c r="AN91" i="6" s="1"/>
  <c r="AQ91" i="6"/>
  <c r="AR91" i="6" s="1"/>
  <c r="U95" i="6"/>
  <c r="BB95" i="6" s="1"/>
  <c r="Z96" i="6"/>
  <c r="BD96" i="6" s="1"/>
  <c r="AQ97" i="6"/>
  <c r="AR97" i="6" s="1"/>
  <c r="AM97" i="6"/>
  <c r="AN97" i="6" s="1"/>
  <c r="Z100" i="6"/>
  <c r="BD100" i="6" s="1"/>
  <c r="AQ100" i="6"/>
  <c r="AR100" i="6" s="1"/>
  <c r="AM100" i="6"/>
  <c r="AN100" i="6" s="1"/>
  <c r="Z101" i="6"/>
  <c r="BD101" i="6" s="1"/>
  <c r="AQ101" i="6"/>
  <c r="AR101" i="6" s="1"/>
  <c r="AM101" i="6"/>
  <c r="AN101" i="6" s="1"/>
  <c r="Z102" i="6"/>
  <c r="BD102" i="6" s="1"/>
  <c r="AM102" i="6"/>
  <c r="AN102" i="6" s="1"/>
  <c r="AQ102" i="6"/>
  <c r="AR102" i="6" s="1"/>
  <c r="BA103" i="6"/>
  <c r="Z106" i="6"/>
  <c r="BD106" i="6" s="1"/>
  <c r="AV107" i="6"/>
  <c r="AQ108" i="6"/>
  <c r="AR108" i="6" s="1"/>
  <c r="AM108" i="6"/>
  <c r="AN108" i="6" s="1"/>
  <c r="U111" i="6"/>
  <c r="BB111" i="6" s="1"/>
  <c r="Z114" i="6"/>
  <c r="BD114" i="6" s="1"/>
  <c r="Z115" i="6"/>
  <c r="BD115" i="6" s="1"/>
  <c r="BA115" i="6"/>
  <c r="AM123" i="6"/>
  <c r="AN123" i="6" s="1"/>
  <c r="AQ123" i="6"/>
  <c r="AR123" i="6" s="1"/>
  <c r="BA127" i="6"/>
  <c r="Z130" i="6"/>
  <c r="BD130" i="6" s="1"/>
  <c r="AM139" i="6"/>
  <c r="AN139" i="6" s="1"/>
  <c r="AQ139" i="6"/>
  <c r="AR139" i="6" s="1"/>
  <c r="Z143" i="6"/>
  <c r="BD143" i="6" s="1"/>
  <c r="AM143" i="6"/>
  <c r="AN143" i="6" s="1"/>
  <c r="AQ143" i="6"/>
  <c r="AR143" i="6" s="1"/>
  <c r="AM144" i="6"/>
  <c r="AN144" i="6" s="1"/>
  <c r="AQ144" i="6"/>
  <c r="AR144" i="6" s="1"/>
  <c r="U151" i="6"/>
  <c r="BB151" i="6" s="1"/>
  <c r="Z155" i="6"/>
  <c r="BD155" i="6" s="1"/>
  <c r="BA155" i="6"/>
  <c r="AQ156" i="6"/>
  <c r="AR156" i="6" s="1"/>
  <c r="AM156" i="6"/>
  <c r="AN156" i="6" s="1"/>
  <c r="AQ157" i="6"/>
  <c r="AR157" i="6" s="1"/>
  <c r="AM157" i="6"/>
  <c r="AN157" i="6" s="1"/>
  <c r="AQ158" i="6"/>
  <c r="AR158" i="6" s="1"/>
  <c r="AM158" i="6"/>
  <c r="AN158" i="6" s="1"/>
  <c r="Z160" i="6"/>
  <c r="BD160" i="6" s="1"/>
  <c r="AQ161" i="6"/>
  <c r="AR161" i="6" s="1"/>
  <c r="AM161" i="6"/>
  <c r="AN161" i="6" s="1"/>
  <c r="AM163" i="6"/>
  <c r="AN163" i="6" s="1"/>
  <c r="AQ163" i="6"/>
  <c r="AR163" i="6" s="1"/>
  <c r="Z168" i="6"/>
  <c r="BD168" i="6" s="1"/>
  <c r="AQ169" i="6"/>
  <c r="AR169" i="6" s="1"/>
  <c r="AM169" i="6"/>
  <c r="AN169" i="6" s="1"/>
  <c r="AV171" i="6"/>
  <c r="AQ173" i="6"/>
  <c r="AR173" i="6" s="1"/>
  <c r="AM173" i="6"/>
  <c r="AN173" i="6" s="1"/>
  <c r="Z176" i="6"/>
  <c r="BD176" i="6" s="1"/>
  <c r="AQ177" i="6"/>
  <c r="AR177" i="6" s="1"/>
  <c r="AM177" i="6"/>
  <c r="AN177" i="6" s="1"/>
  <c r="AM182" i="6"/>
  <c r="AN182" i="6" s="1"/>
  <c r="AQ182" i="6"/>
  <c r="AR182" i="6" s="1"/>
  <c r="Z184" i="6"/>
  <c r="BD184" i="6" s="1"/>
  <c r="AM185" i="6"/>
  <c r="AN185" i="6" s="1"/>
  <c r="AQ185" i="6"/>
  <c r="AR185" i="6" s="1"/>
  <c r="BA187" i="6"/>
  <c r="Z192" i="6"/>
  <c r="BD192" i="6" s="1"/>
  <c r="AQ193" i="6"/>
  <c r="AR193" i="6" s="1"/>
  <c r="AM193" i="6"/>
  <c r="AN193" i="6" s="1"/>
  <c r="AM196" i="6"/>
  <c r="AN196" i="6" s="1"/>
  <c r="AQ196" i="6"/>
  <c r="AR196" i="6" s="1"/>
  <c r="Z201" i="6"/>
  <c r="BD201" i="6" s="1"/>
  <c r="AM202" i="6"/>
  <c r="AN202" i="6" s="1"/>
  <c r="AQ202" i="6"/>
  <c r="AR202" i="6" s="1"/>
  <c r="AV203" i="6"/>
  <c r="Z205" i="6"/>
  <c r="BD205" i="6" s="1"/>
  <c r="AM205" i="6"/>
  <c r="AN205" i="6" s="1"/>
  <c r="AQ205" i="6"/>
  <c r="AR205" i="6" s="1"/>
  <c r="AV207" i="6"/>
  <c r="Z218" i="6"/>
  <c r="BD218" i="6" s="1"/>
  <c r="Z219" i="6"/>
  <c r="BD219" i="6" s="1"/>
  <c r="Z223" i="6"/>
  <c r="BD223" i="6" s="1"/>
  <c r="AQ223" i="6"/>
  <c r="AR223" i="6" s="1"/>
  <c r="AM223" i="6"/>
  <c r="AN223" i="6" s="1"/>
  <c r="BA223" i="6"/>
  <c r="AM224" i="6"/>
  <c r="AN224" i="6" s="1"/>
  <c r="AQ224" i="6"/>
  <c r="AR224" i="6" s="1"/>
  <c r="BA227" i="6"/>
  <c r="Z232" i="6"/>
  <c r="BD232" i="6" s="1"/>
  <c r="AM233" i="6"/>
  <c r="AN233" i="6" s="1"/>
  <c r="AQ233" i="6"/>
  <c r="AR233" i="6" s="1"/>
  <c r="AV235" i="6"/>
  <c r="Z237" i="6"/>
  <c r="BD237" i="6" s="1"/>
  <c r="AQ237" i="6"/>
  <c r="AR237" i="6" s="1"/>
  <c r="AM237" i="6"/>
  <c r="AN237" i="6" s="1"/>
  <c r="AM241" i="6"/>
  <c r="AN241" i="6" s="1"/>
  <c r="AQ241" i="6"/>
  <c r="AR241" i="6" s="1"/>
  <c r="AM244" i="6"/>
  <c r="AN244" i="6" s="1"/>
  <c r="AQ244" i="6"/>
  <c r="AR244" i="6" s="1"/>
  <c r="AQ245" i="6"/>
  <c r="AR245" i="6" s="1"/>
  <c r="AM245" i="6"/>
  <c r="AN245" i="6" s="1"/>
  <c r="AQ246" i="6"/>
  <c r="AR246" i="6" s="1"/>
  <c r="AM246" i="6"/>
  <c r="AN246" i="6" s="1"/>
  <c r="Z249" i="6"/>
  <c r="BD249" i="6" s="1"/>
  <c r="AQ250" i="6"/>
  <c r="AR250" i="6" s="1"/>
  <c r="AM250" i="6"/>
  <c r="AN250" i="6" s="1"/>
  <c r="BA251" i="6"/>
  <c r="Z255" i="6"/>
  <c r="BD255" i="6" s="1"/>
  <c r="AQ255" i="6"/>
  <c r="AR255" i="6" s="1"/>
  <c r="AM255" i="6"/>
  <c r="AN255" i="6" s="1"/>
  <c r="BA255" i="6"/>
  <c r="AM256" i="6"/>
  <c r="AN256" i="6" s="1"/>
  <c r="AQ256" i="6"/>
  <c r="AR256" i="6" s="1"/>
  <c r="AV259" i="6"/>
  <c r="AQ266" i="6"/>
  <c r="AR266" i="6" s="1"/>
  <c r="AM266" i="6"/>
  <c r="AN266" i="6" s="1"/>
  <c r="AQ268" i="6"/>
  <c r="AR268" i="6" s="1"/>
  <c r="AM268" i="6"/>
  <c r="AN268" i="6" s="1"/>
  <c r="AM269" i="6"/>
  <c r="AN269" i="6" s="1"/>
  <c r="AQ269" i="6"/>
  <c r="AR269" i="6" s="1"/>
  <c r="AQ270" i="6"/>
  <c r="AR270" i="6" s="1"/>
  <c r="AM270" i="6"/>
  <c r="AN270" i="6" s="1"/>
  <c r="Z272" i="6"/>
  <c r="BD272" i="6" s="1"/>
  <c r="AQ273" i="6"/>
  <c r="AR273" i="6" s="1"/>
  <c r="AM273" i="6"/>
  <c r="AN273" i="6" s="1"/>
  <c r="AQ275" i="6"/>
  <c r="AR275" i="6" s="1"/>
  <c r="AM275" i="6"/>
  <c r="AN275" i="6" s="1"/>
  <c r="Z278" i="6"/>
  <c r="BD278" i="6" s="1"/>
  <c r="AQ278" i="6"/>
  <c r="AR278" i="6" s="1"/>
  <c r="AM278" i="6"/>
  <c r="AN278" i="6" s="1"/>
  <c r="AQ279" i="6"/>
  <c r="AR279" i="6" s="1"/>
  <c r="AM279" i="6"/>
  <c r="AN279" i="6" s="1"/>
  <c r="AQ280" i="6"/>
  <c r="AR280" i="6" s="1"/>
  <c r="AM280" i="6"/>
  <c r="AN280" i="6" s="1"/>
  <c r="AV291" i="6"/>
  <c r="Z292" i="6"/>
  <c r="BD292" i="6" s="1"/>
  <c r="AQ293" i="6"/>
  <c r="AR293" i="6" s="1"/>
  <c r="AM293" i="6"/>
  <c r="AN293" i="6" s="1"/>
  <c r="AM294" i="6"/>
  <c r="AN294" i="6" s="1"/>
  <c r="AQ294" i="6"/>
  <c r="AR294" i="6" s="1"/>
  <c r="Z295" i="6"/>
  <c r="BD295" i="6" s="1"/>
  <c r="AM295" i="6"/>
  <c r="AN295" i="6" s="1"/>
  <c r="AQ295" i="6"/>
  <c r="AR295" i="6" s="1"/>
  <c r="BA295" i="6"/>
  <c r="AQ298" i="6"/>
  <c r="AR298" i="6" s="1"/>
  <c r="AM298" i="6"/>
  <c r="AN298" i="6" s="1"/>
  <c r="AM299" i="6"/>
  <c r="AN299" i="6" s="1"/>
  <c r="AQ299" i="6"/>
  <c r="AR299" i="6" s="1"/>
  <c r="AV303" i="6"/>
  <c r="Z311" i="6"/>
  <c r="BD311" i="6" s="1"/>
  <c r="AQ311" i="6"/>
  <c r="AR311" i="6" s="1"/>
  <c r="AM311" i="6"/>
  <c r="AN311" i="6" s="1"/>
  <c r="AM312" i="6"/>
  <c r="AN312" i="6" s="1"/>
  <c r="AQ312" i="6"/>
  <c r="AR312" i="6" s="1"/>
  <c r="Z316" i="6"/>
  <c r="BD316" i="6" s="1"/>
  <c r="AQ316" i="6"/>
  <c r="AR316" i="6" s="1"/>
  <c r="AM316" i="6"/>
  <c r="AN316" i="6" s="1"/>
  <c r="Z317" i="6"/>
  <c r="BD317" i="6" s="1"/>
  <c r="AM317" i="6"/>
  <c r="AN317" i="6" s="1"/>
  <c r="AQ317" i="6"/>
  <c r="AR317" i="6" s="1"/>
  <c r="Z318" i="6"/>
  <c r="BD318" i="6" s="1"/>
  <c r="AQ318" i="6"/>
  <c r="AR318" i="6" s="1"/>
  <c r="AM318" i="6"/>
  <c r="AN318" i="6" s="1"/>
  <c r="BA323" i="6"/>
  <c r="Z324" i="6"/>
  <c r="BD324" i="6" s="1"/>
  <c r="AQ324" i="6"/>
  <c r="AR324" i="6" s="1"/>
  <c r="AM324" i="6"/>
  <c r="AN324" i="6" s="1"/>
  <c r="Z325" i="6"/>
  <c r="BD325" i="6" s="1"/>
  <c r="AQ325" i="6"/>
  <c r="AR325" i="6" s="1"/>
  <c r="AM325" i="6"/>
  <c r="AN325" i="6" s="1"/>
  <c r="Z326" i="6"/>
  <c r="BD326" i="6" s="1"/>
  <c r="AM326" i="6"/>
  <c r="AN326" i="6" s="1"/>
  <c r="AQ326" i="6"/>
  <c r="AR326" i="6" s="1"/>
  <c r="AV327" i="6"/>
  <c r="Z328" i="6"/>
  <c r="BD328" i="6" s="1"/>
  <c r="AQ329" i="6"/>
  <c r="AR329" i="6" s="1"/>
  <c r="AM329" i="6"/>
  <c r="AN329" i="6" s="1"/>
  <c r="Z339" i="6"/>
  <c r="BD339" i="6" s="1"/>
  <c r="AM339" i="6"/>
  <c r="AN339" i="6" s="1"/>
  <c r="AQ339" i="6"/>
  <c r="AR339" i="6" s="1"/>
  <c r="AM341" i="6"/>
  <c r="AN341" i="6" s="1"/>
  <c r="AQ341" i="6"/>
  <c r="AR341" i="6" s="1"/>
  <c r="AQ350" i="6"/>
  <c r="AR350" i="6" s="1"/>
  <c r="AM350" i="6"/>
  <c r="AN350" i="6" s="1"/>
  <c r="AM353" i="6"/>
  <c r="AN353" i="6" s="1"/>
  <c r="AQ353" i="6"/>
  <c r="AR353" i="6" s="1"/>
  <c r="Z356" i="6"/>
  <c r="BD356" i="6" s="1"/>
  <c r="AQ357" i="6"/>
  <c r="AR357" i="6" s="1"/>
  <c r="AM357" i="6"/>
  <c r="AN357" i="6" s="1"/>
  <c r="AQ363" i="6"/>
  <c r="AR363" i="6" s="1"/>
  <c r="AM363" i="6"/>
  <c r="AN363" i="6" s="1"/>
  <c r="BA363" i="6"/>
  <c r="AQ364" i="6"/>
  <c r="AR364" i="6" s="1"/>
  <c r="AM364" i="6"/>
  <c r="AN364" i="6" s="1"/>
  <c r="BA367" i="6"/>
  <c r="Z371" i="6"/>
  <c r="BD371" i="6" s="1"/>
  <c r="AQ371" i="6"/>
  <c r="AR371" i="6" s="1"/>
  <c r="AM371" i="6"/>
  <c r="AN371" i="6" s="1"/>
  <c r="BA371" i="6"/>
  <c r="AQ372" i="6"/>
  <c r="AR372" i="6" s="1"/>
  <c r="AM372" i="6"/>
  <c r="AN372" i="6" s="1"/>
  <c r="U375" i="6"/>
  <c r="BB375" i="6" s="1"/>
  <c r="Z378" i="6"/>
  <c r="BD378" i="6" s="1"/>
  <c r="Z382" i="6"/>
  <c r="BD382" i="6" s="1"/>
  <c r="AQ382" i="6"/>
  <c r="AR382" i="6" s="1"/>
  <c r="AM382" i="6"/>
  <c r="AN382" i="6" s="1"/>
  <c r="AV383" i="6"/>
  <c r="Z387" i="6"/>
  <c r="BD387" i="6" s="1"/>
  <c r="BA387" i="6"/>
  <c r="Z392" i="6"/>
  <c r="BD392" i="6" s="1"/>
  <c r="Z394" i="6"/>
  <c r="BD394" i="6" s="1"/>
  <c r="Z396" i="6"/>
  <c r="BD396" i="6" s="1"/>
  <c r="AM397" i="6"/>
  <c r="AN397" i="6" s="1"/>
  <c r="AQ397" i="6"/>
  <c r="AR397" i="6" s="1"/>
  <c r="AQ400" i="6"/>
  <c r="AR400" i="6" s="1"/>
  <c r="AM400" i="6"/>
  <c r="AN400" i="6" s="1"/>
  <c r="AQ89" i="6"/>
  <c r="AR89" i="6" s="1"/>
  <c r="AM89" i="6"/>
  <c r="AN89" i="6" s="1"/>
  <c r="AQ105" i="6"/>
  <c r="AR105" i="6" s="1"/>
  <c r="AM105" i="6"/>
  <c r="AN105" i="6" s="1"/>
  <c r="AM110" i="6"/>
  <c r="AN110" i="6" s="1"/>
  <c r="AQ110" i="6"/>
  <c r="AR110" i="6" s="1"/>
  <c r="Z117" i="6"/>
  <c r="BD117" i="6" s="1"/>
  <c r="AQ117" i="6"/>
  <c r="AR117" i="6" s="1"/>
  <c r="AM117" i="6"/>
  <c r="AN117" i="6" s="1"/>
  <c r="Z121" i="6"/>
  <c r="BD121" i="6" s="1"/>
  <c r="AQ121" i="6"/>
  <c r="AR121" i="6" s="1"/>
  <c r="AM121" i="6"/>
  <c r="AN121" i="6" s="1"/>
  <c r="AQ124" i="6"/>
  <c r="AR124" i="6" s="1"/>
  <c r="AM124" i="6"/>
  <c r="AN124" i="6" s="1"/>
  <c r="AQ125" i="6"/>
  <c r="AR125" i="6" s="1"/>
  <c r="AM125" i="6"/>
  <c r="AN125" i="6" s="1"/>
  <c r="AM126" i="6"/>
  <c r="AN126" i="6" s="1"/>
  <c r="AQ126" i="6"/>
  <c r="AR126" i="6" s="1"/>
  <c r="Z149" i="6"/>
  <c r="BD149" i="6" s="1"/>
  <c r="AQ149" i="6"/>
  <c r="AR149" i="6" s="1"/>
  <c r="AM149" i="6"/>
  <c r="AN149" i="6" s="1"/>
  <c r="AM151" i="6"/>
  <c r="AN151" i="6" s="1"/>
  <c r="AQ151" i="6"/>
  <c r="AR151" i="6" s="1"/>
  <c r="Z154" i="6"/>
  <c r="BD154" i="6" s="1"/>
  <c r="AQ154" i="6"/>
  <c r="AR154" i="6" s="1"/>
  <c r="AM154" i="6"/>
  <c r="AN154" i="6" s="1"/>
  <c r="AQ180" i="6"/>
  <c r="AR180" i="6" s="1"/>
  <c r="AM180" i="6"/>
  <c r="AN180" i="6" s="1"/>
  <c r="AM187" i="6"/>
  <c r="AN187" i="6" s="1"/>
  <c r="AQ187" i="6"/>
  <c r="AR187" i="6" s="1"/>
  <c r="AQ198" i="6"/>
  <c r="AR198" i="6" s="1"/>
  <c r="AM198" i="6"/>
  <c r="AN198" i="6" s="1"/>
  <c r="Z199" i="6"/>
  <c r="BD199" i="6" s="1"/>
  <c r="AM199" i="6"/>
  <c r="AN199" i="6" s="1"/>
  <c r="AQ199" i="6"/>
  <c r="AR199" i="6" s="1"/>
  <c r="AQ213" i="6"/>
  <c r="AR213" i="6" s="1"/>
  <c r="AM213" i="6"/>
  <c r="AN213" i="6" s="1"/>
  <c r="AM214" i="6"/>
  <c r="AN214" i="6" s="1"/>
  <c r="AQ214" i="6"/>
  <c r="AR214" i="6" s="1"/>
  <c r="AQ217" i="6"/>
  <c r="AR217" i="6" s="1"/>
  <c r="AM217" i="6"/>
  <c r="AN217" i="6" s="1"/>
  <c r="Z221" i="6"/>
  <c r="BD221" i="6" s="1"/>
  <c r="AM221" i="6"/>
  <c r="AN221" i="6" s="1"/>
  <c r="AQ221" i="6"/>
  <c r="AR221" i="6" s="1"/>
  <c r="AQ226" i="6"/>
  <c r="AR226" i="6" s="1"/>
  <c r="AM226" i="6"/>
  <c r="AN226" i="6" s="1"/>
  <c r="AQ227" i="6"/>
  <c r="AR227" i="6" s="1"/>
  <c r="AM227" i="6"/>
  <c r="AN227" i="6" s="1"/>
  <c r="AM254" i="6"/>
  <c r="AN254" i="6" s="1"/>
  <c r="AQ254" i="6"/>
  <c r="AR254" i="6" s="1"/>
  <c r="AM258" i="6"/>
  <c r="AN258" i="6" s="1"/>
  <c r="AQ258" i="6"/>
  <c r="AR258" i="6" s="1"/>
  <c r="Z276" i="6"/>
  <c r="BD276" i="6" s="1"/>
  <c r="AM276" i="6"/>
  <c r="AN276" i="6" s="1"/>
  <c r="AQ276" i="6"/>
  <c r="AR276" i="6" s="1"/>
  <c r="AQ282" i="6"/>
  <c r="AR282" i="6" s="1"/>
  <c r="AM282" i="6"/>
  <c r="AN282" i="6" s="1"/>
  <c r="AM285" i="6"/>
  <c r="AN285" i="6" s="1"/>
  <c r="AQ285" i="6"/>
  <c r="AR285" i="6" s="1"/>
  <c r="AQ286" i="6"/>
  <c r="AR286" i="6" s="1"/>
  <c r="AM286" i="6"/>
  <c r="AN286" i="6" s="1"/>
  <c r="AM314" i="6"/>
  <c r="AN314" i="6" s="1"/>
  <c r="AQ314" i="6"/>
  <c r="AR314" i="6" s="1"/>
  <c r="AQ323" i="6"/>
  <c r="AR323" i="6" s="1"/>
  <c r="AM323" i="6"/>
  <c r="AN323" i="6" s="1"/>
  <c r="AQ340" i="6"/>
  <c r="AR340" i="6" s="1"/>
  <c r="AM340" i="6"/>
  <c r="AN340" i="6" s="1"/>
  <c r="AQ360" i="6"/>
  <c r="AR360" i="6" s="1"/>
  <c r="AM360" i="6"/>
  <c r="AN360" i="6" s="1"/>
  <c r="AM361" i="6"/>
  <c r="AN361" i="6" s="1"/>
  <c r="AQ361" i="6"/>
  <c r="AR361" i="6" s="1"/>
  <c r="AM362" i="6"/>
  <c r="AN362" i="6" s="1"/>
  <c r="AQ362" i="6"/>
  <c r="AR362" i="6" s="1"/>
  <c r="AM389" i="6"/>
  <c r="AN389" i="6" s="1"/>
  <c r="AQ389" i="6"/>
  <c r="AR389" i="6" s="1"/>
  <c r="AQ391" i="6"/>
  <c r="AR391" i="6" s="1"/>
  <c r="AM391" i="6"/>
  <c r="AN391" i="6" s="1"/>
  <c r="AV23" i="6"/>
  <c r="BA55" i="6"/>
  <c r="BA67" i="6"/>
  <c r="Z87" i="6"/>
  <c r="BD87" i="6" s="1"/>
  <c r="AM87" i="6"/>
  <c r="AN87" i="6" s="1"/>
  <c r="AQ87" i="6"/>
  <c r="AR87" i="6" s="1"/>
  <c r="AQ88" i="6"/>
  <c r="AR88" i="6" s="1"/>
  <c r="AM88" i="6"/>
  <c r="AN88" i="6" s="1"/>
  <c r="AM98" i="6"/>
  <c r="AN98" i="6" s="1"/>
  <c r="AQ98" i="6"/>
  <c r="AR98" i="6" s="1"/>
  <c r="AM99" i="6"/>
  <c r="AN99" i="6" s="1"/>
  <c r="AQ99" i="6"/>
  <c r="AR99" i="6" s="1"/>
  <c r="AV99" i="6"/>
  <c r="Z103" i="6"/>
  <c r="BD103" i="6" s="1"/>
  <c r="AM103" i="6"/>
  <c r="AN103" i="6" s="1"/>
  <c r="AQ103" i="6"/>
  <c r="AR103" i="6" s="1"/>
  <c r="AQ104" i="6"/>
  <c r="AR104" i="6" s="1"/>
  <c r="AM104" i="6"/>
  <c r="AN104" i="6" s="1"/>
  <c r="AM107" i="6"/>
  <c r="AN107" i="6" s="1"/>
  <c r="AQ107" i="6"/>
  <c r="AR107" i="6" s="1"/>
  <c r="AQ109" i="6"/>
  <c r="AR109" i="6" s="1"/>
  <c r="AM109" i="6"/>
  <c r="AN109" i="6" s="1"/>
  <c r="AM111" i="6"/>
  <c r="AN111" i="6" s="1"/>
  <c r="AQ111" i="6"/>
  <c r="AR111" i="6" s="1"/>
  <c r="BA111" i="6"/>
  <c r="AQ112" i="6"/>
  <c r="AR112" i="6" s="1"/>
  <c r="AM112" i="6"/>
  <c r="AN112" i="6" s="1"/>
  <c r="Z116" i="6"/>
  <c r="BD116" i="6" s="1"/>
  <c r="AQ116" i="6"/>
  <c r="AR116" i="6" s="1"/>
  <c r="AM116" i="6"/>
  <c r="AN116" i="6" s="1"/>
  <c r="AM119" i="6"/>
  <c r="AN119" i="6" s="1"/>
  <c r="AQ119" i="6"/>
  <c r="AR119" i="6" s="1"/>
  <c r="Z127" i="6"/>
  <c r="BD127" i="6" s="1"/>
  <c r="AM127" i="6"/>
  <c r="AN127" i="6" s="1"/>
  <c r="AQ127" i="6"/>
  <c r="AR127" i="6" s="1"/>
  <c r="AQ128" i="6"/>
  <c r="AR128" i="6" s="1"/>
  <c r="AM128" i="6"/>
  <c r="AN128" i="6" s="1"/>
  <c r="AM131" i="6"/>
  <c r="AN131" i="6" s="1"/>
  <c r="AQ131" i="6"/>
  <c r="AR131" i="6" s="1"/>
  <c r="BA139" i="6"/>
  <c r="AM140" i="6"/>
  <c r="AN140" i="6" s="1"/>
  <c r="AQ140" i="6"/>
  <c r="AR140" i="6" s="1"/>
  <c r="AQ141" i="6"/>
  <c r="AR141" i="6" s="1"/>
  <c r="AM141" i="6"/>
  <c r="AN141" i="6" s="1"/>
  <c r="AM142" i="6"/>
  <c r="AN142" i="6" s="1"/>
  <c r="AQ142" i="6"/>
  <c r="AR142" i="6" s="1"/>
  <c r="AQ145" i="6"/>
  <c r="AR145" i="6" s="1"/>
  <c r="AM145" i="6"/>
  <c r="AN145" i="6" s="1"/>
  <c r="AM147" i="6"/>
  <c r="AN147" i="6" s="1"/>
  <c r="AQ147" i="6"/>
  <c r="AR147" i="6" s="1"/>
  <c r="AQ162" i="6"/>
  <c r="AR162" i="6" s="1"/>
  <c r="AM162" i="6"/>
  <c r="AN162" i="6" s="1"/>
  <c r="Z164" i="6"/>
  <c r="BD164" i="6" s="1"/>
  <c r="AQ164" i="6"/>
  <c r="AR164" i="6" s="1"/>
  <c r="AM164" i="6"/>
  <c r="AN164" i="6" s="1"/>
  <c r="Z165" i="6"/>
  <c r="BD165" i="6" s="1"/>
  <c r="AQ165" i="6"/>
  <c r="AR165" i="6" s="1"/>
  <c r="AM165" i="6"/>
  <c r="AN165" i="6" s="1"/>
  <c r="AM167" i="6"/>
  <c r="AN167" i="6" s="1"/>
  <c r="AQ167" i="6"/>
  <c r="AR167" i="6" s="1"/>
  <c r="AQ170" i="6"/>
  <c r="AR170" i="6" s="1"/>
  <c r="AM170" i="6"/>
  <c r="AN170" i="6" s="1"/>
  <c r="AM171" i="6"/>
  <c r="AN171" i="6" s="1"/>
  <c r="AQ171" i="6"/>
  <c r="AR171" i="6" s="1"/>
  <c r="AQ174" i="6"/>
  <c r="AR174" i="6" s="1"/>
  <c r="AM174" i="6"/>
  <c r="AN174" i="6" s="1"/>
  <c r="AQ178" i="6"/>
  <c r="AR178" i="6" s="1"/>
  <c r="AM178" i="6"/>
  <c r="AN178" i="6" s="1"/>
  <c r="AM186" i="6"/>
  <c r="AN186" i="6" s="1"/>
  <c r="AQ186" i="6"/>
  <c r="AR186" i="6" s="1"/>
  <c r="Z188" i="6"/>
  <c r="BD188" i="6" s="1"/>
  <c r="AM188" i="6"/>
  <c r="AN188" i="6" s="1"/>
  <c r="AQ188" i="6"/>
  <c r="AR188" i="6" s="1"/>
  <c r="AM194" i="6"/>
  <c r="AN194" i="6" s="1"/>
  <c r="AQ194" i="6"/>
  <c r="AR194" i="6" s="1"/>
  <c r="AM195" i="6"/>
  <c r="AN195" i="6" s="1"/>
  <c r="AQ195" i="6"/>
  <c r="AR195" i="6" s="1"/>
  <c r="AV195" i="6"/>
  <c r="AQ197" i="6"/>
  <c r="AR197" i="6" s="1"/>
  <c r="AM197" i="6"/>
  <c r="AN197" i="6" s="1"/>
  <c r="AM203" i="6"/>
  <c r="AN203" i="6" s="1"/>
  <c r="AQ203" i="6"/>
  <c r="AR203" i="6" s="1"/>
  <c r="Z206" i="6"/>
  <c r="BD206" i="6" s="1"/>
  <c r="AQ206" i="6"/>
  <c r="AR206" i="6" s="1"/>
  <c r="AM206" i="6"/>
  <c r="AN206" i="6" s="1"/>
  <c r="AM207" i="6"/>
  <c r="AN207" i="6" s="1"/>
  <c r="AQ207" i="6"/>
  <c r="AR207" i="6" s="1"/>
  <c r="BA207" i="6"/>
  <c r="AQ208" i="6"/>
  <c r="AR208" i="6" s="1"/>
  <c r="AM208" i="6"/>
  <c r="AN208" i="6" s="1"/>
  <c r="BA211" i="6"/>
  <c r="Z215" i="6"/>
  <c r="BD215" i="6" s="1"/>
  <c r="AQ215" i="6"/>
  <c r="AR215" i="6" s="1"/>
  <c r="AM215" i="6"/>
  <c r="AN215" i="6" s="1"/>
  <c r="BA215" i="6"/>
  <c r="AQ216" i="6"/>
  <c r="AR216" i="6" s="1"/>
  <c r="AM216" i="6"/>
  <c r="AN216" i="6" s="1"/>
  <c r="BA219" i="6"/>
  <c r="AM225" i="6"/>
  <c r="AN225" i="6" s="1"/>
  <c r="AQ225" i="6"/>
  <c r="AR225" i="6" s="1"/>
  <c r="AM228" i="6"/>
  <c r="AN228" i="6" s="1"/>
  <c r="AQ228" i="6"/>
  <c r="AR228" i="6" s="1"/>
  <c r="AQ229" i="6"/>
  <c r="AR229" i="6" s="1"/>
  <c r="AM229" i="6"/>
  <c r="AN229" i="6" s="1"/>
  <c r="AQ230" i="6"/>
  <c r="AR230" i="6" s="1"/>
  <c r="AM230" i="6"/>
  <c r="AN230" i="6" s="1"/>
  <c r="AQ234" i="6"/>
  <c r="AR234" i="6" s="1"/>
  <c r="AM234" i="6"/>
  <c r="AN234" i="6" s="1"/>
  <c r="AQ235" i="6"/>
  <c r="AR235" i="6" s="1"/>
  <c r="AM235" i="6"/>
  <c r="AN235" i="6" s="1"/>
  <c r="Z238" i="6"/>
  <c r="BD238" i="6" s="1"/>
  <c r="AM238" i="6"/>
  <c r="AN238" i="6" s="1"/>
  <c r="AQ238" i="6"/>
  <c r="AR238" i="6" s="1"/>
  <c r="AM242" i="6"/>
  <c r="AN242" i="6" s="1"/>
  <c r="AQ242" i="6"/>
  <c r="AR242" i="6" s="1"/>
  <c r="AM243" i="6"/>
  <c r="AN243" i="6" s="1"/>
  <c r="AQ243" i="6"/>
  <c r="AR243" i="6" s="1"/>
  <c r="AV243" i="6"/>
  <c r="AQ252" i="6"/>
  <c r="AR252" i="6" s="1"/>
  <c r="AM252" i="6"/>
  <c r="AN252" i="6" s="1"/>
  <c r="AQ253" i="6"/>
  <c r="AR253" i="6" s="1"/>
  <c r="AM253" i="6"/>
  <c r="AN253" i="6" s="1"/>
  <c r="AM257" i="6"/>
  <c r="AN257" i="6" s="1"/>
  <c r="AQ257" i="6"/>
  <c r="AR257" i="6" s="1"/>
  <c r="AQ259" i="6"/>
  <c r="AR259" i="6" s="1"/>
  <c r="AM259" i="6"/>
  <c r="AN259" i="6" s="1"/>
  <c r="AM267" i="6"/>
  <c r="AN267" i="6" s="1"/>
  <c r="AQ267" i="6"/>
  <c r="AR267" i="6" s="1"/>
  <c r="AV267" i="6"/>
  <c r="AM274" i="6"/>
  <c r="AN274" i="6" s="1"/>
  <c r="AQ274" i="6"/>
  <c r="AR274" i="6" s="1"/>
  <c r="BA275" i="6"/>
  <c r="AM281" i="6"/>
  <c r="AN281" i="6" s="1"/>
  <c r="AQ281" i="6"/>
  <c r="AR281" i="6" s="1"/>
  <c r="BA283" i="6"/>
  <c r="Z287" i="6"/>
  <c r="BD287" i="6" s="1"/>
  <c r="AM287" i="6"/>
  <c r="AN287" i="6" s="1"/>
  <c r="AQ287" i="6"/>
  <c r="AR287" i="6" s="1"/>
  <c r="BA287" i="6"/>
  <c r="AQ288" i="6"/>
  <c r="AR288" i="6" s="1"/>
  <c r="AM288" i="6"/>
  <c r="AN288" i="6" s="1"/>
  <c r="AQ296" i="6"/>
  <c r="AR296" i="6" s="1"/>
  <c r="AM296" i="6"/>
  <c r="AN296" i="6" s="1"/>
  <c r="AM303" i="6"/>
  <c r="AN303" i="6" s="1"/>
  <c r="AQ303" i="6"/>
  <c r="AR303" i="6" s="1"/>
  <c r="BA303" i="6"/>
  <c r="Z304" i="6"/>
  <c r="BD304" i="6" s="1"/>
  <c r="AQ304" i="6"/>
  <c r="AR304" i="6" s="1"/>
  <c r="AM304" i="6"/>
  <c r="AN304" i="6" s="1"/>
  <c r="Z305" i="6"/>
  <c r="BD305" i="6" s="1"/>
  <c r="AQ305" i="6"/>
  <c r="AR305" i="6" s="1"/>
  <c r="AM305" i="6"/>
  <c r="AN305" i="6" s="1"/>
  <c r="Z306" i="6"/>
  <c r="BD306" i="6" s="1"/>
  <c r="AM306" i="6"/>
  <c r="AN306" i="6" s="1"/>
  <c r="AQ306" i="6"/>
  <c r="AR306" i="6" s="1"/>
  <c r="BA307" i="6"/>
  <c r="Z308" i="6"/>
  <c r="BD308" i="6" s="1"/>
  <c r="AQ308" i="6"/>
  <c r="AR308" i="6" s="1"/>
  <c r="AM308" i="6"/>
  <c r="AN308" i="6" s="1"/>
  <c r="Z309" i="6"/>
  <c r="BD309" i="6" s="1"/>
  <c r="AQ309" i="6"/>
  <c r="AR309" i="6" s="1"/>
  <c r="AM309" i="6"/>
  <c r="AN309" i="6" s="1"/>
  <c r="Z310" i="6"/>
  <c r="BD310" i="6" s="1"/>
  <c r="AM310" i="6"/>
  <c r="AN310" i="6" s="1"/>
  <c r="AQ310" i="6"/>
  <c r="AR310" i="6" s="1"/>
  <c r="AQ313" i="6"/>
  <c r="AR313" i="6" s="1"/>
  <c r="AM313" i="6"/>
  <c r="AN313" i="6" s="1"/>
  <c r="AM330" i="6"/>
  <c r="AN330" i="6" s="1"/>
  <c r="AQ330" i="6"/>
  <c r="AR330" i="6" s="1"/>
  <c r="AQ331" i="6"/>
  <c r="AR331" i="6" s="1"/>
  <c r="AM331" i="6"/>
  <c r="AN331" i="6" s="1"/>
  <c r="AM336" i="6"/>
  <c r="AN336" i="6" s="1"/>
  <c r="AQ336" i="6"/>
  <c r="AR336" i="6" s="1"/>
  <c r="Z342" i="6"/>
  <c r="BD342" i="6" s="1"/>
  <c r="AQ342" i="6"/>
  <c r="AR342" i="6" s="1"/>
  <c r="AM342" i="6"/>
  <c r="AN342" i="6" s="1"/>
  <c r="AM354" i="6"/>
  <c r="AN354" i="6" s="1"/>
  <c r="AQ354" i="6"/>
  <c r="AR354" i="6" s="1"/>
  <c r="AQ358" i="6"/>
  <c r="AR358" i="6" s="1"/>
  <c r="AM358" i="6"/>
  <c r="AN358" i="6" s="1"/>
  <c r="Z365" i="6"/>
  <c r="BD365" i="6" s="1"/>
  <c r="AQ365" i="6"/>
  <c r="AR365" i="6" s="1"/>
  <c r="AM365" i="6"/>
  <c r="AN365" i="6" s="1"/>
  <c r="Z366" i="6"/>
  <c r="BD366" i="6" s="1"/>
  <c r="AQ366" i="6"/>
  <c r="AR366" i="6" s="1"/>
  <c r="AM366" i="6"/>
  <c r="AN366" i="6" s="1"/>
  <c r="Z368" i="6"/>
  <c r="BD368" i="6" s="1"/>
  <c r="AQ368" i="6"/>
  <c r="AR368" i="6" s="1"/>
  <c r="AM368" i="6"/>
  <c r="AN368" i="6" s="1"/>
  <c r="Z369" i="6"/>
  <c r="BD369" i="6" s="1"/>
  <c r="AM369" i="6"/>
  <c r="AN369" i="6" s="1"/>
  <c r="AQ369" i="6"/>
  <c r="AR369" i="6" s="1"/>
  <c r="Z370" i="6"/>
  <c r="BD370" i="6" s="1"/>
  <c r="AM370" i="6"/>
  <c r="AN370" i="6" s="1"/>
  <c r="AQ370" i="6"/>
  <c r="AR370" i="6" s="1"/>
  <c r="AQ373" i="6"/>
  <c r="AR373" i="6" s="1"/>
  <c r="AM373" i="6"/>
  <c r="AN373" i="6" s="1"/>
  <c r="Z375" i="6"/>
  <c r="BD375" i="6" s="1"/>
  <c r="AQ375" i="6"/>
  <c r="AR375" i="6" s="1"/>
  <c r="AM375" i="6"/>
  <c r="AN375" i="6" s="1"/>
  <c r="AQ376" i="6"/>
  <c r="AR376" i="6" s="1"/>
  <c r="AM376" i="6"/>
  <c r="AN376" i="6" s="1"/>
  <c r="AQ379" i="6"/>
  <c r="AR379" i="6" s="1"/>
  <c r="AM379" i="6"/>
  <c r="AN379" i="6" s="1"/>
  <c r="AQ383" i="6"/>
  <c r="AR383" i="6" s="1"/>
  <c r="AM383" i="6"/>
  <c r="AN383" i="6" s="1"/>
  <c r="BA383" i="6"/>
  <c r="Z384" i="6"/>
  <c r="BD384" i="6" s="1"/>
  <c r="AQ384" i="6"/>
  <c r="AR384" i="6" s="1"/>
  <c r="AM384" i="6"/>
  <c r="AN384" i="6" s="1"/>
  <c r="Z385" i="6"/>
  <c r="BD385" i="6" s="1"/>
  <c r="AM385" i="6"/>
  <c r="AN385" i="6" s="1"/>
  <c r="AQ385" i="6"/>
  <c r="AR385" i="6" s="1"/>
  <c r="Z386" i="6"/>
  <c r="BD386" i="6" s="1"/>
  <c r="AM386" i="6"/>
  <c r="AN386" i="6" s="1"/>
  <c r="AQ386" i="6"/>
  <c r="AR386" i="6" s="1"/>
  <c r="AM393" i="6"/>
  <c r="AN393" i="6" s="1"/>
  <c r="AQ393" i="6"/>
  <c r="AR393" i="6" s="1"/>
  <c r="AM398" i="6"/>
  <c r="AN398" i="6" s="1"/>
  <c r="AQ398" i="6"/>
  <c r="AR398" i="6" s="1"/>
  <c r="AM15" i="6"/>
  <c r="AN15" i="6" s="1"/>
  <c r="AQ15" i="6"/>
  <c r="AR15" i="6" s="1"/>
  <c r="AM23" i="6"/>
  <c r="AN23" i="6" s="1"/>
  <c r="AQ23" i="6"/>
  <c r="AR23" i="6" s="1"/>
  <c r="AM27" i="6"/>
  <c r="AN27" i="6" s="1"/>
  <c r="AQ27" i="6"/>
  <c r="AR27" i="6" s="1"/>
  <c r="AQ28" i="6"/>
  <c r="AR28" i="6" s="1"/>
  <c r="AM28" i="6"/>
  <c r="AN28" i="6" s="1"/>
  <c r="AQ29" i="6"/>
  <c r="AR29" i="6" s="1"/>
  <c r="AM29" i="6"/>
  <c r="AN29" i="6" s="1"/>
  <c r="AM30" i="6"/>
  <c r="AN30" i="6" s="1"/>
  <c r="AQ30" i="6"/>
  <c r="AR30" i="6" s="1"/>
  <c r="AM42" i="6"/>
  <c r="AN42" i="6" s="1"/>
  <c r="AQ42" i="6"/>
  <c r="AR42" i="6" s="1"/>
  <c r="BA51" i="6"/>
  <c r="AQ53" i="6"/>
  <c r="AR53" i="6" s="1"/>
  <c r="AM53" i="6"/>
  <c r="AN53" i="6" s="1"/>
  <c r="AM54" i="6"/>
  <c r="AN54" i="6" s="1"/>
  <c r="AQ54" i="6"/>
  <c r="AR54" i="6" s="1"/>
  <c r="AM58" i="6"/>
  <c r="AN58" i="6" s="1"/>
  <c r="AQ58" i="6"/>
  <c r="AR58" i="6" s="1"/>
  <c r="BA59" i="6"/>
  <c r="AQ60" i="6"/>
  <c r="AR60" i="6" s="1"/>
  <c r="AM60" i="6"/>
  <c r="AN60" i="6" s="1"/>
  <c r="AM61" i="6"/>
  <c r="AN61" i="6" s="1"/>
  <c r="AQ61" i="6"/>
  <c r="AR61" i="6" s="1"/>
  <c r="AM62" i="6"/>
  <c r="AN62" i="6" s="1"/>
  <c r="AQ62" i="6"/>
  <c r="AR62" i="6" s="1"/>
  <c r="AQ64" i="6"/>
  <c r="AR64" i="6" s="1"/>
  <c r="AM64" i="6"/>
  <c r="AN64" i="6" s="1"/>
  <c r="AQ69" i="6"/>
  <c r="AR69" i="6" s="1"/>
  <c r="AM69" i="6"/>
  <c r="AN69" i="6" s="1"/>
  <c r="AM70" i="6"/>
  <c r="AN70" i="6" s="1"/>
  <c r="AQ70" i="6"/>
  <c r="AR70" i="6" s="1"/>
  <c r="AQ71" i="6"/>
  <c r="AR71" i="6" s="1"/>
  <c r="AM71" i="6"/>
  <c r="AN71" i="6" s="1"/>
  <c r="BA71" i="6"/>
  <c r="AQ72" i="6"/>
  <c r="AR72" i="6" s="1"/>
  <c r="AM72" i="6"/>
  <c r="AN72" i="6" s="1"/>
  <c r="AM73" i="6"/>
  <c r="AN73" i="6" s="1"/>
  <c r="AQ73" i="6"/>
  <c r="AR73" i="6" s="1"/>
  <c r="AM74" i="6"/>
  <c r="AN74" i="6" s="1"/>
  <c r="AQ74" i="6"/>
  <c r="AR74" i="6" s="1"/>
  <c r="Z79" i="6"/>
  <c r="BD79" i="6" s="1"/>
  <c r="AQ79" i="6"/>
  <c r="AR79" i="6" s="1"/>
  <c r="AM79" i="6"/>
  <c r="AN79" i="6" s="1"/>
  <c r="AM80" i="6"/>
  <c r="AN80" i="6" s="1"/>
  <c r="AQ80" i="6"/>
  <c r="AR80" i="6" s="1"/>
  <c r="AK81" i="6"/>
  <c r="AL81" i="6" s="1"/>
  <c r="AI81" i="6"/>
  <c r="AJ81" i="6" s="1"/>
  <c r="AO81" i="6"/>
  <c r="AP81" i="6" s="1"/>
  <c r="AO77" i="6"/>
  <c r="AP77" i="6" s="1"/>
  <c r="AK77" i="6"/>
  <c r="AL77" i="6" s="1"/>
  <c r="AI77" i="6"/>
  <c r="AJ77" i="6" s="1"/>
  <c r="AO73" i="6"/>
  <c r="AP73" i="6" s="1"/>
  <c r="AI73" i="6"/>
  <c r="AJ73" i="6" s="1"/>
  <c r="AK73" i="6"/>
  <c r="AL73" i="6" s="1"/>
  <c r="AO69" i="6"/>
  <c r="AP69" i="6" s="1"/>
  <c r="AI69" i="6"/>
  <c r="AJ69" i="6" s="1"/>
  <c r="AK69" i="6"/>
  <c r="AL69" i="6" s="1"/>
  <c r="AO65" i="6"/>
  <c r="AP65" i="6" s="1"/>
  <c r="AI65" i="6"/>
  <c r="AJ65" i="6" s="1"/>
  <c r="AK65" i="6"/>
  <c r="AL65" i="6" s="1"/>
  <c r="AO61" i="6"/>
  <c r="AP61" i="6" s="1"/>
  <c r="AK61" i="6"/>
  <c r="AL61" i="6" s="1"/>
  <c r="AI61" i="6"/>
  <c r="AJ61" i="6" s="1"/>
  <c r="AO57" i="6"/>
  <c r="AP57" i="6" s="1"/>
  <c r="AI57" i="6"/>
  <c r="AJ57" i="6" s="1"/>
  <c r="AK57" i="6"/>
  <c r="AL57" i="6" s="1"/>
  <c r="AO53" i="6"/>
  <c r="AP53" i="6" s="1"/>
  <c r="AI53" i="6"/>
  <c r="AJ53" i="6" s="1"/>
  <c r="AK53" i="6"/>
  <c r="AL53" i="6" s="1"/>
  <c r="AO49" i="6"/>
  <c r="AP49" i="6" s="1"/>
  <c r="AI49" i="6"/>
  <c r="AJ49" i="6" s="1"/>
  <c r="AK49" i="6"/>
  <c r="AL49" i="6" s="1"/>
  <c r="AO45" i="6"/>
  <c r="AP45" i="6" s="1"/>
  <c r="AI45" i="6"/>
  <c r="AJ45" i="6" s="1"/>
  <c r="AK45" i="6"/>
  <c r="AL45" i="6" s="1"/>
  <c r="AO41" i="6"/>
  <c r="AP41" i="6" s="1"/>
  <c r="AI41" i="6"/>
  <c r="AJ41" i="6" s="1"/>
  <c r="AK41" i="6"/>
  <c r="AL41" i="6" s="1"/>
  <c r="AO37" i="6"/>
  <c r="AP37" i="6" s="1"/>
  <c r="AI37" i="6"/>
  <c r="AJ37" i="6" s="1"/>
  <c r="AK37" i="6"/>
  <c r="AL37" i="6" s="1"/>
  <c r="AO33" i="6"/>
  <c r="AP33" i="6" s="1"/>
  <c r="AI33" i="6"/>
  <c r="AJ33" i="6" s="1"/>
  <c r="AK33" i="6"/>
  <c r="AL33" i="6" s="1"/>
  <c r="AO29" i="6"/>
  <c r="AP29" i="6" s="1"/>
  <c r="AI29" i="6"/>
  <c r="AJ29" i="6" s="1"/>
  <c r="AK29" i="6"/>
  <c r="AL29" i="6" s="1"/>
  <c r="AO25" i="6"/>
  <c r="AP25" i="6" s="1"/>
  <c r="AI25" i="6"/>
  <c r="AJ25" i="6" s="1"/>
  <c r="AK25" i="6"/>
  <c r="AL25" i="6" s="1"/>
  <c r="AE25" i="6"/>
  <c r="AF25" i="6" s="1"/>
  <c r="AO21" i="6"/>
  <c r="AP21" i="6" s="1"/>
  <c r="AI21" i="6"/>
  <c r="AJ21" i="6" s="1"/>
  <c r="AE21" i="6"/>
  <c r="AF21" i="6" s="1"/>
  <c r="AK21" i="6"/>
  <c r="AL21" i="6" s="1"/>
  <c r="AO17" i="6"/>
  <c r="AP17" i="6" s="1"/>
  <c r="AI17" i="6"/>
  <c r="AJ17" i="6" s="1"/>
  <c r="AK17" i="6"/>
  <c r="AL17" i="6" s="1"/>
  <c r="AE17" i="6"/>
  <c r="AF17" i="6" s="1"/>
  <c r="AO13" i="6"/>
  <c r="AP13" i="6" s="1"/>
  <c r="AI13" i="6"/>
  <c r="AJ13" i="6" s="1"/>
  <c r="AE13" i="6"/>
  <c r="AF13" i="6" s="1"/>
  <c r="AK13" i="6"/>
  <c r="AL13" i="6" s="1"/>
  <c r="AI9" i="6"/>
  <c r="AJ9" i="6" s="1"/>
  <c r="AO9" i="6"/>
  <c r="AP9" i="6" s="1"/>
  <c r="AK9" i="6"/>
  <c r="AE9" i="6"/>
  <c r="AM19" i="6"/>
  <c r="AQ19" i="6"/>
  <c r="AR19" i="6" s="1"/>
  <c r="AM22" i="6"/>
  <c r="AN22" i="6" s="1"/>
  <c r="AQ22" i="6"/>
  <c r="AR22" i="6" s="1"/>
  <c r="Z37" i="6"/>
  <c r="BD37" i="6" s="1"/>
  <c r="AQ37" i="6"/>
  <c r="AR37" i="6" s="1"/>
  <c r="AM37" i="6"/>
  <c r="AN37" i="6" s="1"/>
  <c r="AM39" i="6"/>
  <c r="AN39" i="6" s="1"/>
  <c r="AQ39" i="6"/>
  <c r="AR39" i="6" s="1"/>
  <c r="AQ40" i="6"/>
  <c r="AR40" i="6" s="1"/>
  <c r="AM40" i="6"/>
  <c r="AN40" i="6" s="1"/>
  <c r="AQ45" i="6"/>
  <c r="AR45" i="6" s="1"/>
  <c r="AM45" i="6"/>
  <c r="AN45" i="6" s="1"/>
  <c r="AQ57" i="6"/>
  <c r="AR57" i="6" s="1"/>
  <c r="AM57" i="6"/>
  <c r="AN57" i="6" s="1"/>
  <c r="AM59" i="6"/>
  <c r="AN59" i="6" s="1"/>
  <c r="AQ59" i="6"/>
  <c r="AR59" i="6" s="1"/>
  <c r="AQ67" i="6"/>
  <c r="AR67" i="6" s="1"/>
  <c r="AM67" i="6"/>
  <c r="AN67" i="6" s="1"/>
  <c r="AQ68" i="6"/>
  <c r="AR68" i="6" s="1"/>
  <c r="AM68" i="6"/>
  <c r="AN68" i="6" s="1"/>
  <c r="AI82" i="6"/>
  <c r="AJ82" i="6" s="1"/>
  <c r="AK82" i="6"/>
  <c r="AL82" i="6" s="1"/>
  <c r="AO82" i="6"/>
  <c r="AP82" i="6" s="1"/>
  <c r="AK78" i="6"/>
  <c r="AL78" i="6" s="1"/>
  <c r="AO78" i="6"/>
  <c r="AP78" i="6" s="1"/>
  <c r="AI78" i="6"/>
  <c r="AJ78" i="6" s="1"/>
  <c r="AI74" i="6"/>
  <c r="AJ74" i="6" s="1"/>
  <c r="AK74" i="6"/>
  <c r="AL74" i="6" s="1"/>
  <c r="AO74" i="6"/>
  <c r="AP74" i="6" s="1"/>
  <c r="AI70" i="6"/>
  <c r="AJ70" i="6" s="1"/>
  <c r="AK70" i="6"/>
  <c r="AL70" i="6" s="1"/>
  <c r="AO70" i="6"/>
  <c r="AP70" i="6" s="1"/>
  <c r="AO66" i="6"/>
  <c r="AP66" i="6" s="1"/>
  <c r="AI66" i="6"/>
  <c r="AJ66" i="6" s="1"/>
  <c r="AK66" i="6"/>
  <c r="AL66" i="6" s="1"/>
  <c r="AK62" i="6"/>
  <c r="AL62" i="6" s="1"/>
  <c r="AO62" i="6"/>
  <c r="AP62" i="6" s="1"/>
  <c r="AI62" i="6"/>
  <c r="AJ62" i="6" s="1"/>
  <c r="AO58" i="6"/>
  <c r="AP58" i="6" s="1"/>
  <c r="AI58" i="6"/>
  <c r="AJ58" i="6" s="1"/>
  <c r="AK58" i="6"/>
  <c r="AL58" i="6" s="1"/>
  <c r="AO54" i="6"/>
  <c r="AP54" i="6" s="1"/>
  <c r="AI54" i="6"/>
  <c r="AJ54" i="6" s="1"/>
  <c r="AK54" i="6"/>
  <c r="AL54" i="6" s="1"/>
  <c r="AO50" i="6"/>
  <c r="AP50" i="6" s="1"/>
  <c r="AK50" i="6"/>
  <c r="AL50" i="6" s="1"/>
  <c r="AI50" i="6"/>
  <c r="AJ50" i="6" s="1"/>
  <c r="AO46" i="6"/>
  <c r="AP46" i="6" s="1"/>
  <c r="AI46" i="6"/>
  <c r="AJ46" i="6" s="1"/>
  <c r="AK46" i="6"/>
  <c r="AL46" i="6" s="1"/>
  <c r="AO42" i="6"/>
  <c r="AP42" i="6" s="1"/>
  <c r="AI42" i="6"/>
  <c r="AJ42" i="6" s="1"/>
  <c r="AK42" i="6"/>
  <c r="AL42" i="6" s="1"/>
  <c r="AO38" i="6"/>
  <c r="AP38" i="6" s="1"/>
  <c r="AI38" i="6"/>
  <c r="AJ38" i="6" s="1"/>
  <c r="AK38" i="6"/>
  <c r="AL38" i="6" s="1"/>
  <c r="AO34" i="6"/>
  <c r="AP34" i="6" s="1"/>
  <c r="AK34" i="6"/>
  <c r="AL34" i="6" s="1"/>
  <c r="AI34" i="6"/>
  <c r="AJ34" i="6" s="1"/>
  <c r="AO30" i="6"/>
  <c r="AP30" i="6" s="1"/>
  <c r="AI30" i="6"/>
  <c r="AJ30" i="6" s="1"/>
  <c r="AK30" i="6"/>
  <c r="AL30" i="6" s="1"/>
  <c r="AO26" i="6"/>
  <c r="AP26" i="6" s="1"/>
  <c r="AI26" i="6"/>
  <c r="AJ26" i="6" s="1"/>
  <c r="AE26" i="6"/>
  <c r="AF26" i="6" s="1"/>
  <c r="AK26" i="6"/>
  <c r="AL26" i="6" s="1"/>
  <c r="AO22" i="6"/>
  <c r="AP22" i="6" s="1"/>
  <c r="AI22" i="6"/>
  <c r="AJ22" i="6" s="1"/>
  <c r="AK22" i="6"/>
  <c r="AL22" i="6" s="1"/>
  <c r="AE22" i="6"/>
  <c r="AF22" i="6" s="1"/>
  <c r="AO18" i="6"/>
  <c r="AP18" i="6" s="1"/>
  <c r="AE18" i="6"/>
  <c r="AF18" i="6" s="1"/>
  <c r="AI18" i="6"/>
  <c r="AJ18" i="6" s="1"/>
  <c r="AK18" i="6"/>
  <c r="AL18" i="6" s="1"/>
  <c r="AK10" i="6"/>
  <c r="AL10" i="6" s="1"/>
  <c r="AI10" i="6"/>
  <c r="AJ10" i="6" s="1"/>
  <c r="AO10" i="6"/>
  <c r="AE10" i="6"/>
  <c r="AF10" i="6" s="1"/>
  <c r="U43" i="6"/>
  <c r="BB43" i="6" s="1"/>
  <c r="Z47" i="6"/>
  <c r="BD47" i="6" s="1"/>
  <c r="AM47" i="6"/>
  <c r="AN47" i="6" s="1"/>
  <c r="AQ47" i="6"/>
  <c r="AR47" i="6" s="1"/>
  <c r="AQ48" i="6"/>
  <c r="AR48" i="6" s="1"/>
  <c r="AM48" i="6"/>
  <c r="AN48" i="6" s="1"/>
  <c r="AQ49" i="6"/>
  <c r="AR49" i="6" s="1"/>
  <c r="AM49" i="6"/>
  <c r="AN49" i="6" s="1"/>
  <c r="AM50" i="6"/>
  <c r="AN50" i="6" s="1"/>
  <c r="AQ50" i="6"/>
  <c r="AR50" i="6" s="1"/>
  <c r="Z54" i="6"/>
  <c r="BD54" i="6" s="1"/>
  <c r="U59" i="6"/>
  <c r="BB59" i="6" s="1"/>
  <c r="Z64" i="6"/>
  <c r="BD64" i="6" s="1"/>
  <c r="AM65" i="6"/>
  <c r="AN65" i="6" s="1"/>
  <c r="AQ65" i="6"/>
  <c r="AR65" i="6" s="1"/>
  <c r="AM66" i="6"/>
  <c r="AN66" i="6" s="1"/>
  <c r="AQ66" i="6"/>
  <c r="AR66" i="6" s="1"/>
  <c r="Z70" i="6"/>
  <c r="BD70" i="6" s="1"/>
  <c r="Z80" i="6"/>
  <c r="BD80" i="6" s="1"/>
  <c r="AM81" i="6"/>
  <c r="AN81" i="6" s="1"/>
  <c r="AQ81" i="6"/>
  <c r="AR81" i="6" s="1"/>
  <c r="AQ82" i="6"/>
  <c r="AR82" i="6" s="1"/>
  <c r="AM82" i="6"/>
  <c r="AN82" i="6" s="1"/>
  <c r="AI80" i="6"/>
  <c r="AJ80" i="6" s="1"/>
  <c r="AO80" i="6"/>
  <c r="AP80" i="6" s="1"/>
  <c r="AK80" i="6"/>
  <c r="AL80" i="6" s="1"/>
  <c r="AI76" i="6"/>
  <c r="AJ76" i="6" s="1"/>
  <c r="AK76" i="6"/>
  <c r="AL76" i="6" s="1"/>
  <c r="AO76" i="6"/>
  <c r="AP76" i="6" s="1"/>
  <c r="AI72" i="6"/>
  <c r="AJ72" i="6" s="1"/>
  <c r="AK72" i="6"/>
  <c r="AL72" i="6" s="1"/>
  <c r="AO72" i="6"/>
  <c r="AP72" i="6" s="1"/>
  <c r="AI68" i="6"/>
  <c r="AJ68" i="6" s="1"/>
  <c r="AO68" i="6"/>
  <c r="AP68" i="6" s="1"/>
  <c r="AK68" i="6"/>
  <c r="AL68" i="6" s="1"/>
  <c r="AI64" i="6"/>
  <c r="AJ64" i="6" s="1"/>
  <c r="AO64" i="6"/>
  <c r="AP64" i="6" s="1"/>
  <c r="AK64" i="6"/>
  <c r="AL64" i="6" s="1"/>
  <c r="AI60" i="6"/>
  <c r="AJ60" i="6" s="1"/>
  <c r="AK60" i="6"/>
  <c r="AL60" i="6" s="1"/>
  <c r="AO60" i="6"/>
  <c r="AP60" i="6" s="1"/>
  <c r="AI56" i="6"/>
  <c r="AJ56" i="6" s="1"/>
  <c r="AK56" i="6"/>
  <c r="AL56" i="6" s="1"/>
  <c r="AO56" i="6"/>
  <c r="AP56" i="6" s="1"/>
  <c r="AI52" i="6"/>
  <c r="AJ52" i="6" s="1"/>
  <c r="AK52" i="6"/>
  <c r="AL52" i="6" s="1"/>
  <c r="AO52" i="6"/>
  <c r="AP52" i="6" s="1"/>
  <c r="AI48" i="6"/>
  <c r="AJ48" i="6" s="1"/>
  <c r="AK48" i="6"/>
  <c r="AL48" i="6" s="1"/>
  <c r="AO48" i="6"/>
  <c r="AP48" i="6" s="1"/>
  <c r="AI44" i="6"/>
  <c r="AJ44" i="6" s="1"/>
  <c r="AK44" i="6"/>
  <c r="AL44" i="6" s="1"/>
  <c r="AO44" i="6"/>
  <c r="AP44" i="6" s="1"/>
  <c r="AI40" i="6"/>
  <c r="AJ40" i="6" s="1"/>
  <c r="AK40" i="6"/>
  <c r="AL40" i="6" s="1"/>
  <c r="AO40" i="6"/>
  <c r="AP40" i="6" s="1"/>
  <c r="AI36" i="6"/>
  <c r="AJ36" i="6" s="1"/>
  <c r="AK36" i="6"/>
  <c r="AL36" i="6" s="1"/>
  <c r="AO36" i="6"/>
  <c r="AP36" i="6" s="1"/>
  <c r="AI32" i="6"/>
  <c r="AJ32" i="6" s="1"/>
  <c r="AK32" i="6"/>
  <c r="AL32" i="6" s="1"/>
  <c r="AO32" i="6"/>
  <c r="AP32" i="6" s="1"/>
  <c r="AI28" i="6"/>
  <c r="AJ28" i="6" s="1"/>
  <c r="AK28" i="6"/>
  <c r="AL28" i="6" s="1"/>
  <c r="AO28" i="6"/>
  <c r="AP28" i="6" s="1"/>
  <c r="AI24" i="6"/>
  <c r="AJ24" i="6" s="1"/>
  <c r="AK24" i="6"/>
  <c r="AL24" i="6" s="1"/>
  <c r="AO24" i="6"/>
  <c r="AP24" i="6" s="1"/>
  <c r="AE24" i="6"/>
  <c r="AF24" i="6" s="1"/>
  <c r="AI20" i="6"/>
  <c r="AJ20" i="6" s="1"/>
  <c r="AK20" i="6"/>
  <c r="AL20" i="6" s="1"/>
  <c r="AO20" i="6"/>
  <c r="AP20" i="6" s="1"/>
  <c r="AE20" i="6"/>
  <c r="AF20" i="6" s="1"/>
  <c r="AI16" i="6"/>
  <c r="AJ16" i="6" s="1"/>
  <c r="AK16" i="6"/>
  <c r="AL16" i="6" s="1"/>
  <c r="AO16" i="6"/>
  <c r="AP16" i="6" s="1"/>
  <c r="AE16" i="6"/>
  <c r="AF16" i="6" s="1"/>
  <c r="AI12" i="6"/>
  <c r="AK12" i="6"/>
  <c r="AL12" i="6" s="1"/>
  <c r="AO12" i="6"/>
  <c r="AP12" i="6" s="1"/>
  <c r="AE12" i="6"/>
  <c r="AF12" i="6" s="1"/>
  <c r="AE8" i="6"/>
  <c r="AF8" i="6" s="1"/>
  <c r="AI8" i="6"/>
  <c r="AO8" i="6"/>
  <c r="AP8" i="6" s="1"/>
  <c r="AK8" i="6"/>
  <c r="AQ12" i="6"/>
  <c r="AR12" i="6" s="1"/>
  <c r="AM12" i="6"/>
  <c r="AN12" i="6" s="1"/>
  <c r="AQ13" i="6"/>
  <c r="AR13" i="6" s="1"/>
  <c r="AM13" i="6"/>
  <c r="AN13" i="6" s="1"/>
  <c r="AM14" i="6"/>
  <c r="AN14" i="6" s="1"/>
  <c r="AQ14" i="6"/>
  <c r="AR14" i="6" s="1"/>
  <c r="AQ32" i="6"/>
  <c r="AR32" i="6" s="1"/>
  <c r="AM32" i="6"/>
  <c r="AN32" i="6" s="1"/>
  <c r="AQ33" i="6"/>
  <c r="AR33" i="6" s="1"/>
  <c r="AM33" i="6"/>
  <c r="AN33" i="6" s="1"/>
  <c r="AM34" i="6"/>
  <c r="AN34" i="6" s="1"/>
  <c r="AQ34" i="6"/>
  <c r="AR34" i="6" s="1"/>
  <c r="AM38" i="6"/>
  <c r="AN38" i="6" s="1"/>
  <c r="AQ38" i="6"/>
  <c r="AR38" i="6" s="1"/>
  <c r="AQ41" i="6"/>
  <c r="AR41" i="6" s="1"/>
  <c r="AM41" i="6"/>
  <c r="AN41" i="6" s="1"/>
  <c r="AM43" i="6"/>
  <c r="AN43" i="6" s="1"/>
  <c r="AQ43" i="6"/>
  <c r="AR43" i="6" s="1"/>
  <c r="AQ44" i="6"/>
  <c r="AR44" i="6" s="1"/>
  <c r="AM44" i="6"/>
  <c r="AN44" i="6" s="1"/>
  <c r="AM46" i="6"/>
  <c r="AN46" i="6" s="1"/>
  <c r="AQ46" i="6"/>
  <c r="AR46" i="6" s="1"/>
  <c r="AM51" i="6"/>
  <c r="AN51" i="6" s="1"/>
  <c r="AQ51" i="6"/>
  <c r="AR51" i="6" s="1"/>
  <c r="AQ52" i="6"/>
  <c r="AR52" i="6" s="1"/>
  <c r="AM52" i="6"/>
  <c r="AN52" i="6" s="1"/>
  <c r="AQ56" i="6"/>
  <c r="AR56" i="6" s="1"/>
  <c r="AM56" i="6"/>
  <c r="AN56" i="6" s="1"/>
  <c r="AO14" i="6"/>
  <c r="AP14" i="6" s="1"/>
  <c r="AI14" i="6"/>
  <c r="AJ14" i="6" s="1"/>
  <c r="AK14" i="6"/>
  <c r="AL14" i="6" s="1"/>
  <c r="AE14" i="6"/>
  <c r="AF14" i="6" s="1"/>
  <c r="AQ16" i="6"/>
  <c r="AR16" i="6" s="1"/>
  <c r="AM16" i="6"/>
  <c r="AN16" i="6" s="1"/>
  <c r="AQ17" i="6"/>
  <c r="AR17" i="6" s="1"/>
  <c r="AM17" i="6"/>
  <c r="AN17" i="6" s="1"/>
  <c r="AM18" i="6"/>
  <c r="AN18" i="6" s="1"/>
  <c r="AQ18" i="6"/>
  <c r="AR18" i="6" s="1"/>
  <c r="AQ20" i="6"/>
  <c r="AR20" i="6" s="1"/>
  <c r="AM20" i="6"/>
  <c r="AN20" i="6" s="1"/>
  <c r="AQ21" i="6"/>
  <c r="AR21" i="6" s="1"/>
  <c r="AM21" i="6"/>
  <c r="AN21" i="6" s="1"/>
  <c r="AQ24" i="6"/>
  <c r="AR24" i="6" s="1"/>
  <c r="AM24" i="6"/>
  <c r="AN24" i="6" s="1"/>
  <c r="AQ25" i="6"/>
  <c r="AR25" i="6" s="1"/>
  <c r="AM25" i="6"/>
  <c r="AN25" i="6" s="1"/>
  <c r="AM26" i="6"/>
  <c r="AN26" i="6" s="1"/>
  <c r="AQ26" i="6"/>
  <c r="AR26" i="6" s="1"/>
  <c r="AM31" i="6"/>
  <c r="AN31" i="6" s="1"/>
  <c r="AQ31" i="6"/>
  <c r="AR31" i="6" s="1"/>
  <c r="AM35" i="6"/>
  <c r="AN35" i="6" s="1"/>
  <c r="AQ35" i="6"/>
  <c r="AR35" i="6" s="1"/>
  <c r="AQ36" i="6"/>
  <c r="AR36" i="6" s="1"/>
  <c r="AM36" i="6"/>
  <c r="AN36" i="6" s="1"/>
  <c r="BA39" i="6"/>
  <c r="AM55" i="6"/>
  <c r="AN55" i="6" s="1"/>
  <c r="AQ55" i="6"/>
  <c r="AR55" i="6" s="1"/>
  <c r="AM63" i="6"/>
  <c r="AN63" i="6" s="1"/>
  <c r="AQ63" i="6"/>
  <c r="AR63" i="6" s="1"/>
  <c r="AM75" i="6"/>
  <c r="AN75" i="6" s="1"/>
  <c r="AQ75" i="6"/>
  <c r="AR75" i="6" s="1"/>
  <c r="AQ76" i="6"/>
  <c r="AR76" i="6" s="1"/>
  <c r="AM76" i="6"/>
  <c r="AN76" i="6" s="1"/>
  <c r="AM77" i="6"/>
  <c r="AN77" i="6" s="1"/>
  <c r="AQ77" i="6"/>
  <c r="AR77" i="6" s="1"/>
  <c r="AM78" i="6"/>
  <c r="AN78" i="6" s="1"/>
  <c r="AQ78" i="6"/>
  <c r="AR78" i="6" s="1"/>
  <c r="AK7" i="6"/>
  <c r="AI7" i="6"/>
  <c r="AO7" i="6"/>
  <c r="AE7" i="6"/>
  <c r="AK79" i="6"/>
  <c r="AL79" i="6" s="1"/>
  <c r="AO79" i="6"/>
  <c r="AP79" i="6" s="1"/>
  <c r="AI79" i="6"/>
  <c r="AJ79" i="6" s="1"/>
  <c r="AK75" i="6"/>
  <c r="AL75" i="6" s="1"/>
  <c r="AI75" i="6"/>
  <c r="AJ75" i="6" s="1"/>
  <c r="AO75" i="6"/>
  <c r="AP75" i="6" s="1"/>
  <c r="AK71" i="6"/>
  <c r="AL71" i="6" s="1"/>
  <c r="AI71" i="6"/>
  <c r="AJ71" i="6" s="1"/>
  <c r="AO71" i="6"/>
  <c r="AP71" i="6" s="1"/>
  <c r="AK67" i="6"/>
  <c r="AL67" i="6" s="1"/>
  <c r="AO67" i="6"/>
  <c r="AP67" i="6" s="1"/>
  <c r="AI67" i="6"/>
  <c r="AJ67" i="6" s="1"/>
  <c r="AK63" i="6"/>
  <c r="AL63" i="6" s="1"/>
  <c r="AO63" i="6"/>
  <c r="AP63" i="6" s="1"/>
  <c r="AI63" i="6"/>
  <c r="AJ63" i="6" s="1"/>
  <c r="AK59" i="6"/>
  <c r="AL59" i="6" s="1"/>
  <c r="AI59" i="6"/>
  <c r="AJ59" i="6" s="1"/>
  <c r="AO59" i="6"/>
  <c r="AP59" i="6" s="1"/>
  <c r="AK55" i="6"/>
  <c r="AL55" i="6" s="1"/>
  <c r="AO55" i="6"/>
  <c r="AP55" i="6" s="1"/>
  <c r="AI55" i="6"/>
  <c r="AJ55" i="6" s="1"/>
  <c r="AK51" i="6"/>
  <c r="AL51" i="6" s="1"/>
  <c r="AI51" i="6"/>
  <c r="AJ51" i="6" s="1"/>
  <c r="AO51" i="6"/>
  <c r="AP51" i="6" s="1"/>
  <c r="AK47" i="6"/>
  <c r="AL47" i="6" s="1"/>
  <c r="AO47" i="6"/>
  <c r="AP47" i="6" s="1"/>
  <c r="AI47" i="6"/>
  <c r="AJ47" i="6" s="1"/>
  <c r="AK43" i="6"/>
  <c r="AL43" i="6" s="1"/>
  <c r="AI43" i="6"/>
  <c r="AJ43" i="6" s="1"/>
  <c r="AO43" i="6"/>
  <c r="AP43" i="6" s="1"/>
  <c r="AK39" i="6"/>
  <c r="AL39" i="6" s="1"/>
  <c r="AO39" i="6"/>
  <c r="AP39" i="6" s="1"/>
  <c r="AI39" i="6"/>
  <c r="AJ39" i="6" s="1"/>
  <c r="AK35" i="6"/>
  <c r="AL35" i="6" s="1"/>
  <c r="AI35" i="6"/>
  <c r="AJ35" i="6" s="1"/>
  <c r="AO35" i="6"/>
  <c r="AP35" i="6" s="1"/>
  <c r="AK31" i="6"/>
  <c r="AL31" i="6" s="1"/>
  <c r="AO31" i="6"/>
  <c r="AP31" i="6" s="1"/>
  <c r="AI31" i="6"/>
  <c r="AJ31" i="6" s="1"/>
  <c r="AK27" i="6"/>
  <c r="AL27" i="6" s="1"/>
  <c r="AI27" i="6"/>
  <c r="AJ27" i="6" s="1"/>
  <c r="AO27" i="6"/>
  <c r="AP27" i="6" s="1"/>
  <c r="AK23" i="6"/>
  <c r="AL23" i="6" s="1"/>
  <c r="AO23" i="6"/>
  <c r="AP23" i="6" s="1"/>
  <c r="AI23" i="6"/>
  <c r="AE23" i="6"/>
  <c r="AK19" i="6"/>
  <c r="AL19" i="6" s="1"/>
  <c r="AI19" i="6"/>
  <c r="AO19" i="6"/>
  <c r="AP19" i="6" s="1"/>
  <c r="AE19" i="6"/>
  <c r="AK15" i="6"/>
  <c r="AL15" i="6" s="1"/>
  <c r="AO15" i="6"/>
  <c r="AP15" i="6" s="1"/>
  <c r="AE15" i="6"/>
  <c r="AI15" i="6"/>
  <c r="AQ11" i="6"/>
  <c r="AM11" i="6"/>
  <c r="AB11" i="6"/>
  <c r="AI11" i="6"/>
  <c r="AK11" i="6"/>
  <c r="AE11" i="6"/>
  <c r="AO11" i="6"/>
  <c r="Z13" i="6"/>
  <c r="BD13" i="6" s="1"/>
  <c r="AG11" i="6"/>
  <c r="Z14" i="6"/>
  <c r="BD14" i="6" s="1"/>
  <c r="AH15" i="6"/>
  <c r="Z17" i="6"/>
  <c r="BD17" i="6" s="1"/>
  <c r="AG23" i="6"/>
  <c r="Z46" i="6"/>
  <c r="BD46" i="6" s="1"/>
  <c r="Z50" i="6"/>
  <c r="BD50" i="6" s="1"/>
  <c r="W51" i="6"/>
  <c r="Z61" i="6"/>
  <c r="BD61" i="6" s="1"/>
  <c r="AV63" i="6"/>
  <c r="Z66" i="6"/>
  <c r="BD66" i="6" s="1"/>
  <c r="W67" i="6"/>
  <c r="Z69" i="6"/>
  <c r="BD69" i="6" s="1"/>
  <c r="W71" i="6"/>
  <c r="Z72" i="6"/>
  <c r="BD72" i="6" s="1"/>
  <c r="Z75" i="6"/>
  <c r="BD75" i="6" s="1"/>
  <c r="Z78" i="6"/>
  <c r="BD78" i="6" s="1"/>
  <c r="AV79" i="6"/>
  <c r="Z82" i="6"/>
  <c r="BD82" i="6" s="1"/>
  <c r="Z34" i="6"/>
  <c r="BD34" i="6" s="1"/>
  <c r="BA19" i="6"/>
  <c r="Z24" i="6"/>
  <c r="BD24" i="6" s="1"/>
  <c r="BA27" i="6"/>
  <c r="Z28" i="6"/>
  <c r="BD28" i="6" s="1"/>
  <c r="Z35" i="6"/>
  <c r="BD35" i="6" s="1"/>
  <c r="T39" i="6"/>
  <c r="Z39" i="6"/>
  <c r="BD39" i="6" s="1"/>
  <c r="AV19" i="6"/>
  <c r="Z20" i="6"/>
  <c r="BD20" i="6" s="1"/>
  <c r="Z22" i="6"/>
  <c r="BD22" i="6" s="1"/>
  <c r="Z25" i="6"/>
  <c r="BD25" i="6" s="1"/>
  <c r="U27" i="6"/>
  <c r="BB27" i="6" s="1"/>
  <c r="Z29" i="6"/>
  <c r="BD29" i="6" s="1"/>
  <c r="Z33" i="6"/>
  <c r="BD33" i="6" s="1"/>
  <c r="BA35" i="6"/>
  <c r="Z42" i="6"/>
  <c r="BD42" i="6" s="1"/>
  <c r="AV47" i="6"/>
  <c r="Z51" i="6"/>
  <c r="BD51" i="6" s="1"/>
  <c r="Z53" i="6"/>
  <c r="BD53" i="6" s="1"/>
  <c r="W55" i="6"/>
  <c r="Z56" i="6"/>
  <c r="BD56" i="6" s="1"/>
  <c r="Z58" i="6"/>
  <c r="BD58" i="6" s="1"/>
  <c r="Z62" i="6"/>
  <c r="BD62" i="6" s="1"/>
  <c r="BA63" i="6"/>
  <c r="AV67" i="6"/>
  <c r="Z73" i="6"/>
  <c r="BD73" i="6" s="1"/>
  <c r="U75" i="6"/>
  <c r="BB75" i="6" s="1"/>
  <c r="BA75" i="6"/>
  <c r="Z76" i="6"/>
  <c r="BD76" i="6" s="1"/>
  <c r="Z81" i="6"/>
  <c r="BD81" i="6" s="1"/>
  <c r="Z32" i="6"/>
  <c r="BD32" i="6" s="1"/>
  <c r="Z41" i="6"/>
  <c r="BD41" i="6" s="1"/>
  <c r="Z45" i="6"/>
  <c r="BD45" i="6" s="1"/>
  <c r="Z49" i="6"/>
  <c r="BD49" i="6" s="1"/>
  <c r="Z57" i="6"/>
  <c r="BD57" i="6" s="1"/>
  <c r="Z60" i="6"/>
  <c r="BD60" i="6" s="1"/>
  <c r="Z65" i="6"/>
  <c r="BD65" i="6" s="1"/>
  <c r="Z74" i="6"/>
  <c r="BD74" i="6" s="1"/>
  <c r="BA11" i="6"/>
  <c r="Z12" i="6"/>
  <c r="BD12" i="6" s="1"/>
  <c r="BA15" i="6"/>
  <c r="Z16" i="6"/>
  <c r="BD16" i="6" s="1"/>
  <c r="Z18" i="6"/>
  <c r="BD18" i="6" s="1"/>
  <c r="AG19" i="6"/>
  <c r="Z26" i="6"/>
  <c r="BD26" i="6" s="1"/>
  <c r="Z30" i="6"/>
  <c r="BD30" i="6" s="1"/>
  <c r="AV31" i="6"/>
  <c r="AV35" i="6"/>
  <c r="Z40" i="6"/>
  <c r="BD40" i="6" s="1"/>
  <c r="BA43" i="6"/>
  <c r="Z44" i="6"/>
  <c r="BD44" i="6" s="1"/>
  <c r="BA47" i="6"/>
  <c r="Z48" i="6"/>
  <c r="BD48" i="6" s="1"/>
  <c r="Z55" i="6"/>
  <c r="BD55" i="6" s="1"/>
  <c r="Z67" i="6"/>
  <c r="BD67" i="6" s="1"/>
  <c r="Z71" i="6"/>
  <c r="BD71" i="6" s="1"/>
  <c r="Z77" i="6"/>
  <c r="BD77" i="6" s="1"/>
  <c r="AK185" i="5"/>
  <c r="AL185" i="5" s="1"/>
  <c r="AO213" i="5"/>
  <c r="AP213" i="5" s="1"/>
  <c r="AO221" i="5"/>
  <c r="AP221" i="5" s="1"/>
  <c r="AM229" i="5"/>
  <c r="AN229" i="5" s="1"/>
  <c r="AK249" i="5"/>
  <c r="AL249" i="5" s="1"/>
  <c r="AM261" i="5"/>
  <c r="AN261" i="5" s="1"/>
  <c r="AM277" i="5"/>
  <c r="AN277" i="5" s="1"/>
  <c r="AM96" i="5"/>
  <c r="AN96" i="5" s="1"/>
  <c r="AE96" i="5"/>
  <c r="AF96" i="5" s="1"/>
  <c r="AM92" i="5"/>
  <c r="AN92" i="5" s="1"/>
  <c r="AE92" i="5"/>
  <c r="AF92" i="5" s="1"/>
  <c r="AM88" i="5"/>
  <c r="AN88" i="5" s="1"/>
  <c r="AE88" i="5"/>
  <c r="AF88" i="5" s="1"/>
  <c r="AM76" i="5"/>
  <c r="AN76" i="5" s="1"/>
  <c r="AE76" i="5"/>
  <c r="AF76" i="5" s="1"/>
  <c r="AM56" i="5"/>
  <c r="AN56" i="5" s="1"/>
  <c r="AE56" i="5"/>
  <c r="AF56" i="5" s="1"/>
  <c r="AM48" i="5"/>
  <c r="AN48" i="5" s="1"/>
  <c r="AE48" i="5"/>
  <c r="AF48" i="5" s="1"/>
  <c r="AM36" i="5"/>
  <c r="AN36" i="5" s="1"/>
  <c r="AE36" i="5"/>
  <c r="AF36" i="5" s="1"/>
  <c r="AM32" i="5"/>
  <c r="AN32" i="5" s="1"/>
  <c r="AE32" i="5"/>
  <c r="AF32" i="5" s="1"/>
  <c r="AE280" i="5"/>
  <c r="AF280" i="5" s="1"/>
  <c r="AE276" i="5"/>
  <c r="AF276" i="5" s="1"/>
  <c r="AE272" i="5"/>
  <c r="AF272" i="5" s="1"/>
  <c r="AE268" i="5"/>
  <c r="AF268" i="5" s="1"/>
  <c r="AE263" i="5"/>
  <c r="AE259" i="5"/>
  <c r="AE255" i="5"/>
  <c r="AE243" i="5"/>
  <c r="AE227" i="5"/>
  <c r="AE223" i="5"/>
  <c r="AE219" i="5"/>
  <c r="AE215" i="5"/>
  <c r="AE207" i="5"/>
  <c r="AE191" i="5"/>
  <c r="AK189" i="5"/>
  <c r="AL189" i="5" s="1"/>
  <c r="AK217" i="5"/>
  <c r="AL217" i="5" s="1"/>
  <c r="AK225" i="5"/>
  <c r="AL225" i="5" s="1"/>
  <c r="AO233" i="5"/>
  <c r="AP233" i="5" s="1"/>
  <c r="AM253" i="5"/>
  <c r="AN253" i="5" s="1"/>
  <c r="AM159" i="5"/>
  <c r="AN159" i="5" s="1"/>
  <c r="AE159" i="5"/>
  <c r="AM155" i="5"/>
  <c r="AN155" i="5" s="1"/>
  <c r="AE155" i="5"/>
  <c r="AO151" i="5"/>
  <c r="AP151" i="5" s="1"/>
  <c r="AE151" i="5"/>
  <c r="AO147" i="5"/>
  <c r="AP147" i="5" s="1"/>
  <c r="AE147" i="5"/>
  <c r="AK139" i="5"/>
  <c r="AL139" i="5" s="1"/>
  <c r="AE139" i="5"/>
  <c r="AO131" i="5"/>
  <c r="AP131" i="5" s="1"/>
  <c r="AE131" i="5"/>
  <c r="AM123" i="5"/>
  <c r="AN123" i="5" s="1"/>
  <c r="AE123" i="5"/>
  <c r="AK115" i="5"/>
  <c r="AL115" i="5" s="1"/>
  <c r="AE115" i="5"/>
  <c r="AK107" i="5"/>
  <c r="AL107" i="5" s="1"/>
  <c r="AE107" i="5"/>
  <c r="AM95" i="5"/>
  <c r="AN95" i="5" s="1"/>
  <c r="AE95" i="5"/>
  <c r="AM91" i="5"/>
  <c r="AN91" i="5" s="1"/>
  <c r="AE91" i="5"/>
  <c r="AM87" i="5"/>
  <c r="AN87" i="5" s="1"/>
  <c r="AE87" i="5"/>
  <c r="AK71" i="5"/>
  <c r="AL71" i="5" s="1"/>
  <c r="AE71" i="5"/>
  <c r="AM67" i="5"/>
  <c r="AN67" i="5" s="1"/>
  <c r="AE67" i="5"/>
  <c r="AM63" i="5"/>
  <c r="AN63" i="5" s="1"/>
  <c r="AE63" i="5"/>
  <c r="AM59" i="5"/>
  <c r="AN59" i="5" s="1"/>
  <c r="AE59" i="5"/>
  <c r="AK55" i="5"/>
  <c r="AL55" i="5" s="1"/>
  <c r="AE55" i="5"/>
  <c r="AO51" i="5"/>
  <c r="AE51" i="5"/>
  <c r="AM47" i="5"/>
  <c r="AE47" i="5"/>
  <c r="AO43" i="5"/>
  <c r="AP43" i="5" s="1"/>
  <c r="AE43" i="5"/>
  <c r="AK39" i="5"/>
  <c r="AL39" i="5" s="1"/>
  <c r="AE39" i="5"/>
  <c r="AK35" i="5"/>
  <c r="AE35" i="5"/>
  <c r="AF38" i="5" s="1"/>
  <c r="AM31" i="5"/>
  <c r="AE31" i="5"/>
  <c r="AO27" i="5"/>
  <c r="AP27" i="5" s="1"/>
  <c r="AE27" i="5"/>
  <c r="AE265" i="5"/>
  <c r="AF265" i="5" s="1"/>
  <c r="AM193" i="5"/>
  <c r="AN193" i="5" s="1"/>
  <c r="AM205" i="5"/>
  <c r="AN205" i="5" s="1"/>
  <c r="AO237" i="5"/>
  <c r="AP237" i="5" s="1"/>
  <c r="AE275" i="5"/>
  <c r="AE271" i="5"/>
  <c r="AE264" i="5"/>
  <c r="AF264" i="5" s="1"/>
  <c r="AE256" i="5"/>
  <c r="AF256" i="5" s="1"/>
  <c r="AE248" i="5"/>
  <c r="AF248" i="5" s="1"/>
  <c r="AE244" i="5"/>
  <c r="AF244" i="5" s="1"/>
  <c r="AE240" i="5"/>
  <c r="AF240" i="5" s="1"/>
  <c r="AE236" i="5"/>
  <c r="AF236" i="5" s="1"/>
  <c r="AE232" i="5"/>
  <c r="AF232" i="5" s="1"/>
  <c r="AE228" i="5"/>
  <c r="AF228" i="5" s="1"/>
  <c r="AE224" i="5"/>
  <c r="AF224" i="5" s="1"/>
  <c r="AE220" i="5"/>
  <c r="AF220" i="5" s="1"/>
  <c r="AE216" i="5"/>
  <c r="AF216" i="5" s="1"/>
  <c r="AE212" i="5"/>
  <c r="AF212" i="5" s="1"/>
  <c r="AE204" i="5"/>
  <c r="AF204" i="5" s="1"/>
  <c r="AE196" i="5"/>
  <c r="AF196" i="5" s="1"/>
  <c r="AE188" i="5"/>
  <c r="AF188" i="5" s="1"/>
  <c r="AE180" i="5"/>
  <c r="AF180" i="5" s="1"/>
  <c r="AE176" i="5"/>
  <c r="AF176" i="5" s="1"/>
  <c r="AE172" i="5"/>
  <c r="AF172" i="5" s="1"/>
  <c r="AM18" i="5"/>
  <c r="AN18" i="5" s="1"/>
  <c r="AK7" i="5"/>
  <c r="AO356" i="5"/>
  <c r="AP356" i="5" s="1"/>
  <c r="AO264" i="5"/>
  <c r="AP264" i="5" s="1"/>
  <c r="AM12" i="5"/>
  <c r="AM228" i="5"/>
  <c r="AN228" i="5" s="1"/>
  <c r="AO196" i="5"/>
  <c r="AP196" i="5" s="1"/>
  <c r="AM256" i="5"/>
  <c r="AN256" i="5" s="1"/>
  <c r="AM288" i="5"/>
  <c r="AN288" i="5" s="1"/>
  <c r="AO316" i="5"/>
  <c r="AP316" i="5" s="1"/>
  <c r="AM324" i="5"/>
  <c r="AN324" i="5" s="1"/>
  <c r="BH3" i="6"/>
  <c r="BG3" i="6"/>
  <c r="AW3" i="6"/>
  <c r="X155" i="6"/>
  <c r="BC155" i="6" s="1"/>
  <c r="W155" i="6"/>
  <c r="X87" i="6"/>
  <c r="BC87" i="6" s="1"/>
  <c r="W87" i="6"/>
  <c r="X111" i="6"/>
  <c r="BC111" i="6" s="1"/>
  <c r="W111" i="6"/>
  <c r="X139" i="6"/>
  <c r="BC139" i="6" s="1"/>
  <c r="W139" i="6"/>
  <c r="X175" i="6"/>
  <c r="BC175" i="6" s="1"/>
  <c r="W175" i="6"/>
  <c r="X183" i="6"/>
  <c r="BC183" i="6" s="1"/>
  <c r="W183" i="6"/>
  <c r="X255" i="6"/>
  <c r="BC255" i="6" s="1"/>
  <c r="W255" i="6"/>
  <c r="W47" i="6"/>
  <c r="W63" i="6"/>
  <c r="W79" i="6"/>
  <c r="X103" i="6"/>
  <c r="BC103" i="6" s="1"/>
  <c r="W103" i="6"/>
  <c r="X239" i="6"/>
  <c r="BC239" i="6" s="1"/>
  <c r="W239" i="6"/>
  <c r="X351" i="6"/>
  <c r="BC351" i="6" s="1"/>
  <c r="W351" i="6"/>
  <c r="X363" i="6"/>
  <c r="BC363" i="6" s="1"/>
  <c r="W363" i="6"/>
  <c r="X375" i="6"/>
  <c r="BC375" i="6" s="1"/>
  <c r="W375" i="6"/>
  <c r="W223" i="6"/>
  <c r="W231" i="6"/>
  <c r="W247" i="6"/>
  <c r="W299" i="6"/>
  <c r="X299" i="6"/>
  <c r="BC299" i="6" s="1"/>
  <c r="X355" i="6"/>
  <c r="BC355" i="6" s="1"/>
  <c r="W355" i="6"/>
  <c r="X343" i="6"/>
  <c r="BC343" i="6" s="1"/>
  <c r="W343" i="6"/>
  <c r="X315" i="6"/>
  <c r="BC315" i="6" s="1"/>
  <c r="X11" i="6"/>
  <c r="BC11" i="6" s="1"/>
  <c r="AV11" i="6"/>
  <c r="AV27" i="6"/>
  <c r="U31" i="6"/>
  <c r="BB31" i="6" s="1"/>
  <c r="X43" i="6"/>
  <c r="BC43" i="6" s="1"/>
  <c r="AV43" i="6"/>
  <c r="U47" i="6"/>
  <c r="BB47" i="6" s="1"/>
  <c r="X59" i="6"/>
  <c r="BC59" i="6" s="1"/>
  <c r="AV59" i="6"/>
  <c r="U63" i="6"/>
  <c r="BB63" i="6" s="1"/>
  <c r="X75" i="6"/>
  <c r="BC75" i="6" s="1"/>
  <c r="AV75" i="6"/>
  <c r="U79" i="6"/>
  <c r="BB79" i="6" s="1"/>
  <c r="Z84" i="6"/>
  <c r="BD84" i="6" s="1"/>
  <c r="Z86" i="6"/>
  <c r="BD86" i="6" s="1"/>
  <c r="AV39" i="6"/>
  <c r="AV55" i="6"/>
  <c r="AV71" i="6"/>
  <c r="Z27" i="6"/>
  <c r="BD27" i="6" s="1"/>
  <c r="W31" i="6"/>
  <c r="T35" i="6"/>
  <c r="Z43" i="6"/>
  <c r="BD43" i="6" s="1"/>
  <c r="T51" i="6"/>
  <c r="AV51" i="6"/>
  <c r="T67" i="6"/>
  <c r="Z85" i="6"/>
  <c r="BD85" i="6" s="1"/>
  <c r="BA79" i="6"/>
  <c r="U87" i="6"/>
  <c r="BB87" i="6" s="1"/>
  <c r="AV87" i="6"/>
  <c r="BA87" i="6"/>
  <c r="W91" i="6"/>
  <c r="Z92" i="6"/>
  <c r="BD92" i="6" s="1"/>
  <c r="Z93" i="6"/>
  <c r="BD93" i="6" s="1"/>
  <c r="Z94" i="6"/>
  <c r="BD94" i="6" s="1"/>
  <c r="AV95" i="6"/>
  <c r="Z108" i="6"/>
  <c r="BD108" i="6" s="1"/>
  <c r="Z109" i="6"/>
  <c r="BD109" i="6" s="1"/>
  <c r="Z110" i="6"/>
  <c r="BD110" i="6" s="1"/>
  <c r="AV111" i="6"/>
  <c r="U119" i="6"/>
  <c r="BB119" i="6" s="1"/>
  <c r="Z119" i="6"/>
  <c r="BD119" i="6" s="1"/>
  <c r="U123" i="6"/>
  <c r="BB123" i="6" s="1"/>
  <c r="T123" i="6"/>
  <c r="Z95" i="6"/>
  <c r="BD95" i="6" s="1"/>
  <c r="W99" i="6"/>
  <c r="T103" i="6"/>
  <c r="AV103" i="6"/>
  <c r="Z111" i="6"/>
  <c r="BD111" i="6" s="1"/>
  <c r="W115" i="6"/>
  <c r="W119" i="6"/>
  <c r="W123" i="6"/>
  <c r="AV131" i="6"/>
  <c r="AV147" i="6"/>
  <c r="AV163" i="6"/>
  <c r="Z173" i="6"/>
  <c r="BD173" i="6" s="1"/>
  <c r="Z124" i="6"/>
  <c r="BD124" i="6" s="1"/>
  <c r="Z125" i="6"/>
  <c r="BD125" i="6" s="1"/>
  <c r="Z126" i="6"/>
  <c r="BD126" i="6" s="1"/>
  <c r="T127" i="6"/>
  <c r="Z135" i="6"/>
  <c r="BD135" i="6" s="1"/>
  <c r="Z140" i="6"/>
  <c r="BD140" i="6" s="1"/>
  <c r="Z141" i="6"/>
  <c r="BD141" i="6" s="1"/>
  <c r="Z142" i="6"/>
  <c r="BD142" i="6" s="1"/>
  <c r="T143" i="6"/>
  <c r="AV143" i="6"/>
  <c r="Z151" i="6"/>
  <c r="BD151" i="6" s="1"/>
  <c r="Z156" i="6"/>
  <c r="BD156" i="6" s="1"/>
  <c r="Z157" i="6"/>
  <c r="BD157" i="6" s="1"/>
  <c r="Z158" i="6"/>
  <c r="BD158" i="6" s="1"/>
  <c r="T159" i="6"/>
  <c r="AV159" i="6"/>
  <c r="Z167" i="6"/>
  <c r="BD167" i="6" s="1"/>
  <c r="Z172" i="6"/>
  <c r="BD172" i="6" s="1"/>
  <c r="Z131" i="6"/>
  <c r="BD131" i="6" s="1"/>
  <c r="W135" i="6"/>
  <c r="T139" i="6"/>
  <c r="Z147" i="6"/>
  <c r="BD147" i="6" s="1"/>
  <c r="W151" i="6"/>
  <c r="T155" i="6"/>
  <c r="Z163" i="6"/>
  <c r="BD163" i="6" s="1"/>
  <c r="W167" i="6"/>
  <c r="W171" i="6"/>
  <c r="X171" i="6"/>
  <c r="BC171" i="6" s="1"/>
  <c r="Z174" i="6"/>
  <c r="BD174" i="6" s="1"/>
  <c r="U175" i="6"/>
  <c r="BB175" i="6" s="1"/>
  <c r="X187" i="6"/>
  <c r="BC187" i="6" s="1"/>
  <c r="U191" i="6"/>
  <c r="BB191" i="6" s="1"/>
  <c r="X203" i="6"/>
  <c r="BC203" i="6" s="1"/>
  <c r="U207" i="6"/>
  <c r="BB207" i="6" s="1"/>
  <c r="X219" i="6"/>
  <c r="BC219" i="6" s="1"/>
  <c r="U223" i="6"/>
  <c r="BB223" i="6" s="1"/>
  <c r="X235" i="6"/>
  <c r="BC235" i="6" s="1"/>
  <c r="U239" i="6"/>
  <c r="BB239" i="6" s="1"/>
  <c r="Z252" i="6"/>
  <c r="BD252" i="6" s="1"/>
  <c r="Z180" i="6"/>
  <c r="BD180" i="6" s="1"/>
  <c r="Z181" i="6"/>
  <c r="BD181" i="6" s="1"/>
  <c r="Z182" i="6"/>
  <c r="BD182" i="6" s="1"/>
  <c r="AV183" i="6"/>
  <c r="W195" i="6"/>
  <c r="Z196" i="6"/>
  <c r="BD196" i="6" s="1"/>
  <c r="Z197" i="6"/>
  <c r="BD197" i="6" s="1"/>
  <c r="Z198" i="6"/>
  <c r="BD198" i="6" s="1"/>
  <c r="T199" i="6"/>
  <c r="AV199" i="6"/>
  <c r="Z207" i="6"/>
  <c r="BD207" i="6" s="1"/>
  <c r="W211" i="6"/>
  <c r="Z212" i="6"/>
  <c r="BD212" i="6" s="1"/>
  <c r="Z213" i="6"/>
  <c r="BD213" i="6" s="1"/>
  <c r="Z214" i="6"/>
  <c r="BD214" i="6" s="1"/>
  <c r="T215" i="6"/>
  <c r="AV215" i="6"/>
  <c r="W227" i="6"/>
  <c r="Z228" i="6"/>
  <c r="BD228" i="6" s="1"/>
  <c r="Z229" i="6"/>
  <c r="BD229" i="6" s="1"/>
  <c r="Z230" i="6"/>
  <c r="BD230" i="6" s="1"/>
  <c r="T231" i="6"/>
  <c r="AV231" i="6"/>
  <c r="Z239" i="6"/>
  <c r="BD239" i="6" s="1"/>
  <c r="W243" i="6"/>
  <c r="Z244" i="6"/>
  <c r="BD244" i="6" s="1"/>
  <c r="Z245" i="6"/>
  <c r="BD245" i="6" s="1"/>
  <c r="Z246" i="6"/>
  <c r="BD246" i="6" s="1"/>
  <c r="T247" i="6"/>
  <c r="AV247" i="6"/>
  <c r="X251" i="6"/>
  <c r="BC251" i="6" s="1"/>
  <c r="Z253" i="6"/>
  <c r="BD253" i="6" s="1"/>
  <c r="T259" i="6"/>
  <c r="X259" i="6"/>
  <c r="BC259" i="6" s="1"/>
  <c r="U263" i="6"/>
  <c r="BB263" i="6" s="1"/>
  <c r="T275" i="6"/>
  <c r="X275" i="6"/>
  <c r="BC275" i="6" s="1"/>
  <c r="U279" i="6"/>
  <c r="BB279" i="6" s="1"/>
  <c r="Z254" i="6"/>
  <c r="BD254" i="6" s="1"/>
  <c r="T255" i="6"/>
  <c r="AV255" i="6"/>
  <c r="Z263" i="6"/>
  <c r="BD263" i="6" s="1"/>
  <c r="W267" i="6"/>
  <c r="Z268" i="6"/>
  <c r="BD268" i="6" s="1"/>
  <c r="Z269" i="6"/>
  <c r="BD269" i="6" s="1"/>
  <c r="Z270" i="6"/>
  <c r="BD270" i="6" s="1"/>
  <c r="T271" i="6"/>
  <c r="AV271" i="6"/>
  <c r="Z279" i="6"/>
  <c r="BD279" i="6" s="1"/>
  <c r="W283" i="6"/>
  <c r="Z284" i="6"/>
  <c r="BD284" i="6" s="1"/>
  <c r="Z285" i="6"/>
  <c r="BD285" i="6" s="1"/>
  <c r="Z286" i="6"/>
  <c r="BD286" i="6" s="1"/>
  <c r="T287" i="6"/>
  <c r="AV287" i="6"/>
  <c r="W291" i="6"/>
  <c r="BA291" i="6"/>
  <c r="T295" i="6"/>
  <c r="Z303" i="6"/>
  <c r="BD303" i="6" s="1"/>
  <c r="Z299" i="6"/>
  <c r="BD299" i="6" s="1"/>
  <c r="U291" i="6"/>
  <c r="BB291" i="6" s="1"/>
  <c r="T291" i="6"/>
  <c r="Z293" i="6"/>
  <c r="BD293" i="6" s="1"/>
  <c r="X303" i="6"/>
  <c r="BC303" i="6" s="1"/>
  <c r="W303" i="6"/>
  <c r="T307" i="6"/>
  <c r="X307" i="6"/>
  <c r="BC307" i="6" s="1"/>
  <c r="U311" i="6"/>
  <c r="BB311" i="6" s="1"/>
  <c r="Z315" i="6"/>
  <c r="BD315" i="6" s="1"/>
  <c r="W319" i="6"/>
  <c r="Z322" i="6"/>
  <c r="BD322" i="6" s="1"/>
  <c r="T323" i="6"/>
  <c r="AV323" i="6"/>
  <c r="U327" i="6"/>
  <c r="BB327" i="6" s="1"/>
  <c r="W331" i="6"/>
  <c r="AV319" i="6"/>
  <c r="U335" i="6"/>
  <c r="BB335" i="6" s="1"/>
  <c r="T335" i="6"/>
  <c r="BA335" i="6"/>
  <c r="AV315" i="6"/>
  <c r="AV335" i="6"/>
  <c r="Z343" i="6"/>
  <c r="BD343" i="6" s="1"/>
  <c r="W347" i="6"/>
  <c r="Z348" i="6"/>
  <c r="BD348" i="6" s="1"/>
  <c r="Z349" i="6"/>
  <c r="BD349" i="6" s="1"/>
  <c r="Z350" i="6"/>
  <c r="BD350" i="6" s="1"/>
  <c r="T351" i="6"/>
  <c r="AV351" i="6"/>
  <c r="T347" i="6"/>
  <c r="AV347" i="6"/>
  <c r="BA355" i="6"/>
  <c r="AV343" i="6"/>
  <c r="Z353" i="6"/>
  <c r="BD353" i="6" s="1"/>
  <c r="Z354" i="6"/>
  <c r="BD354" i="6" s="1"/>
  <c r="Z360" i="6"/>
  <c r="BD360" i="6" s="1"/>
  <c r="Z361" i="6"/>
  <c r="BD361" i="6" s="1"/>
  <c r="Z362" i="6"/>
  <c r="BD362" i="6" s="1"/>
  <c r="AV363" i="6"/>
  <c r="U367" i="6"/>
  <c r="BB367" i="6" s="1"/>
  <c r="AV355" i="6"/>
  <c r="Z363" i="6"/>
  <c r="BD363" i="6" s="1"/>
  <c r="W367" i="6"/>
  <c r="T371" i="6"/>
  <c r="AV371" i="6"/>
  <c r="BA375" i="6"/>
  <c r="AV375" i="6"/>
  <c r="Z383" i="6"/>
  <c r="BD383" i="6" s="1"/>
  <c r="W387" i="6"/>
  <c r="Z388" i="6"/>
  <c r="BD388" i="6" s="1"/>
  <c r="Z389" i="6"/>
  <c r="BD389" i="6" s="1"/>
  <c r="Z390" i="6"/>
  <c r="BD390" i="6" s="1"/>
  <c r="T391" i="6"/>
  <c r="Z379" i="6"/>
  <c r="BD379" i="6" s="1"/>
  <c r="T387" i="6"/>
  <c r="AM131" i="5"/>
  <c r="AN131" i="5" s="1"/>
  <c r="AM139" i="5"/>
  <c r="AN139" i="5" s="1"/>
  <c r="AM287" i="5"/>
  <c r="AN287" i="5" s="1"/>
  <c r="AK323" i="5"/>
  <c r="AL323" i="5" s="1"/>
  <c r="AO35" i="5"/>
  <c r="AP35" i="5" s="1"/>
  <c r="AK47" i="5"/>
  <c r="AL47" i="5" s="1"/>
  <c r="AK59" i="5"/>
  <c r="AL59" i="5" s="1"/>
  <c r="AK63" i="5"/>
  <c r="AL63" i="5" s="1"/>
  <c r="AM107" i="5"/>
  <c r="AN107" i="5" s="1"/>
  <c r="AM39" i="5"/>
  <c r="AN39" i="5" s="1"/>
  <c r="AM43" i="5"/>
  <c r="AN43" i="5" s="1"/>
  <c r="AM55" i="5"/>
  <c r="AN55" i="5" s="1"/>
  <c r="AM115" i="5"/>
  <c r="AN115" i="5" s="1"/>
  <c r="AM147" i="5"/>
  <c r="AN147" i="5" s="1"/>
  <c r="AK43" i="5"/>
  <c r="AL43" i="5" s="1"/>
  <c r="AO206" i="5"/>
  <c r="AP206" i="5" s="1"/>
  <c r="AO28" i="5"/>
  <c r="AP28" i="5" s="1"/>
  <c r="AK51" i="5"/>
  <c r="AL51" i="5" s="1"/>
  <c r="AO59" i="5"/>
  <c r="AP59" i="5" s="1"/>
  <c r="AO123" i="5"/>
  <c r="AP123" i="5" s="1"/>
  <c r="AO139" i="5"/>
  <c r="AP139" i="5" s="1"/>
  <c r="AO155" i="5"/>
  <c r="AP155" i="5" s="1"/>
  <c r="AO170" i="5"/>
  <c r="AP170" i="5" s="1"/>
  <c r="AK196" i="5"/>
  <c r="AL196" i="5" s="1"/>
  <c r="AK198" i="5"/>
  <c r="AL198" i="5" s="1"/>
  <c r="AK220" i="5"/>
  <c r="AL220" i="5" s="1"/>
  <c r="AK222" i="5"/>
  <c r="AL222" i="5" s="1"/>
  <c r="AK228" i="5"/>
  <c r="AL228" i="5" s="1"/>
  <c r="AO258" i="5"/>
  <c r="AP258" i="5" s="1"/>
  <c r="AO265" i="5"/>
  <c r="AP265" i="5" s="1"/>
  <c r="AO277" i="5"/>
  <c r="AP277" i="5" s="1"/>
  <c r="AK290" i="5"/>
  <c r="AL290" i="5" s="1"/>
  <c r="AK311" i="5"/>
  <c r="AL311" i="5" s="1"/>
  <c r="AK313" i="5"/>
  <c r="AL313" i="5" s="1"/>
  <c r="AK364" i="5"/>
  <c r="AL364" i="5" s="1"/>
  <c r="AM397" i="5"/>
  <c r="AN397" i="5" s="1"/>
  <c r="AO54" i="5"/>
  <c r="AP54" i="5" s="1"/>
  <c r="AO198" i="5"/>
  <c r="AP198" i="5" s="1"/>
  <c r="AK216" i="5"/>
  <c r="AL216" i="5" s="1"/>
  <c r="AO220" i="5"/>
  <c r="AP220" i="5" s="1"/>
  <c r="AO228" i="5"/>
  <c r="AP228" i="5" s="1"/>
  <c r="AK238" i="5"/>
  <c r="AL238" i="5" s="1"/>
  <c r="AO274" i="5"/>
  <c r="AP274" i="5" s="1"/>
  <c r="AO318" i="5"/>
  <c r="AP318" i="5" s="1"/>
  <c r="AM376" i="5"/>
  <c r="AN376" i="5" s="1"/>
  <c r="AO31" i="5"/>
  <c r="AP31" i="5" s="1"/>
  <c r="AO67" i="5"/>
  <c r="AP67" i="5" s="1"/>
  <c r="AO69" i="5"/>
  <c r="AP69" i="5" s="1"/>
  <c r="AK147" i="5"/>
  <c r="AL147" i="5" s="1"/>
  <c r="AK206" i="5"/>
  <c r="AL206" i="5" s="1"/>
  <c r="AO216" i="5"/>
  <c r="AP216" i="5" s="1"/>
  <c r="AO218" i="5"/>
  <c r="AP218" i="5" s="1"/>
  <c r="AO226" i="5"/>
  <c r="AP226" i="5" s="1"/>
  <c r="AO242" i="5"/>
  <c r="AP242" i="5" s="1"/>
  <c r="AO261" i="5"/>
  <c r="AP261" i="5" s="1"/>
  <c r="AO273" i="5"/>
  <c r="AP273" i="5" s="1"/>
  <c r="AM357" i="5"/>
  <c r="AN357" i="5" s="1"/>
  <c r="AK389" i="5"/>
  <c r="AL389" i="5" s="1"/>
  <c r="AM61" i="5"/>
  <c r="AN61" i="5" s="1"/>
  <c r="AO61" i="5"/>
  <c r="AP61" i="5" s="1"/>
  <c r="AM103" i="5"/>
  <c r="AN103" i="5" s="1"/>
  <c r="AO103" i="5"/>
  <c r="AP103" i="5" s="1"/>
  <c r="AM181" i="5"/>
  <c r="AN181" i="5" s="1"/>
  <c r="AO181" i="5"/>
  <c r="AP181" i="5" s="1"/>
  <c r="AK192" i="5"/>
  <c r="AL192" i="5" s="1"/>
  <c r="AO192" i="5"/>
  <c r="AP192" i="5" s="1"/>
  <c r="AK208" i="5"/>
  <c r="AL208" i="5" s="1"/>
  <c r="AO208" i="5"/>
  <c r="AP208" i="5" s="1"/>
  <c r="AM208" i="5"/>
  <c r="AN208" i="5" s="1"/>
  <c r="AK40" i="5"/>
  <c r="AL40" i="5" s="1"/>
  <c r="AM49" i="5"/>
  <c r="AN49" i="5" s="1"/>
  <c r="AK49" i="5"/>
  <c r="AL49" i="5" s="1"/>
  <c r="AO75" i="5"/>
  <c r="AP75" i="5" s="1"/>
  <c r="AK75" i="5"/>
  <c r="AL75" i="5" s="1"/>
  <c r="AO127" i="5"/>
  <c r="AP127" i="5" s="1"/>
  <c r="AM127" i="5"/>
  <c r="AN127" i="5" s="1"/>
  <c r="AK127" i="5"/>
  <c r="AL127" i="5" s="1"/>
  <c r="AK186" i="5"/>
  <c r="AL186" i="5" s="1"/>
  <c r="AO186" i="5"/>
  <c r="AP186" i="5" s="1"/>
  <c r="AK194" i="5"/>
  <c r="AL194" i="5" s="1"/>
  <c r="AO194" i="5"/>
  <c r="AP194" i="5" s="1"/>
  <c r="AK200" i="5"/>
  <c r="AL200" i="5" s="1"/>
  <c r="AO200" i="5"/>
  <c r="AP200" i="5" s="1"/>
  <c r="AM15" i="5"/>
  <c r="AN15" i="5" s="1"/>
  <c r="AO15" i="5"/>
  <c r="AP15" i="5" s="1"/>
  <c r="AK19" i="5"/>
  <c r="AO19" i="5"/>
  <c r="AP19" i="5" s="1"/>
  <c r="AM19" i="5"/>
  <c r="AN19" i="5" s="1"/>
  <c r="AM30" i="5"/>
  <c r="AN30" i="5" s="1"/>
  <c r="AO30" i="5"/>
  <c r="AP30" i="5" s="1"/>
  <c r="AM17" i="5"/>
  <c r="AN17" i="5" s="1"/>
  <c r="AO17" i="5"/>
  <c r="AP17" i="5" s="1"/>
  <c r="AM45" i="5"/>
  <c r="AN45" i="5" s="1"/>
  <c r="AO45" i="5"/>
  <c r="AP45" i="5" s="1"/>
  <c r="AO135" i="5"/>
  <c r="AP135" i="5" s="1"/>
  <c r="AM135" i="5"/>
  <c r="AN135" i="5" s="1"/>
  <c r="AK135" i="5"/>
  <c r="AL135" i="5" s="1"/>
  <c r="AK188" i="5"/>
  <c r="AL188" i="5" s="1"/>
  <c r="AO188" i="5"/>
  <c r="AP188" i="5" s="1"/>
  <c r="AM192" i="5"/>
  <c r="AN192" i="5" s="1"/>
  <c r="AK201" i="5"/>
  <c r="AL201" i="5" s="1"/>
  <c r="AO201" i="5"/>
  <c r="AP201" i="5" s="1"/>
  <c r="AM10" i="5"/>
  <c r="AN10" i="5" s="1"/>
  <c r="AK23" i="5"/>
  <c r="AL23" i="5" s="1"/>
  <c r="AM23" i="5"/>
  <c r="AN23" i="5" s="1"/>
  <c r="AM52" i="5"/>
  <c r="AN52" i="5" s="1"/>
  <c r="AO52" i="5"/>
  <c r="AP52" i="5" s="1"/>
  <c r="AK178" i="5"/>
  <c r="AL178" i="5" s="1"/>
  <c r="AM178" i="5"/>
  <c r="AN178" i="5" s="1"/>
  <c r="AM186" i="5"/>
  <c r="AN186" i="5" s="1"/>
  <c r="AK190" i="5"/>
  <c r="AL190" i="5" s="1"/>
  <c r="AO190" i="5"/>
  <c r="AP190" i="5" s="1"/>
  <c r="AM194" i="5"/>
  <c r="AN194" i="5" s="1"/>
  <c r="AM200" i="5"/>
  <c r="AN200" i="5" s="1"/>
  <c r="AM210" i="5"/>
  <c r="AN210" i="5" s="1"/>
  <c r="AK279" i="5"/>
  <c r="AL279" i="5" s="1"/>
  <c r="AO279" i="5"/>
  <c r="AP279" i="5" s="1"/>
  <c r="AK301" i="5"/>
  <c r="AL301" i="5" s="1"/>
  <c r="AO301" i="5"/>
  <c r="AP301" i="5" s="1"/>
  <c r="AO48" i="5"/>
  <c r="AP48" i="5" s="1"/>
  <c r="AO107" i="5"/>
  <c r="AP107" i="5" s="1"/>
  <c r="AO115" i="5"/>
  <c r="AP115" i="5" s="1"/>
  <c r="AM162" i="5"/>
  <c r="AN162" i="5" s="1"/>
  <c r="AO184" i="5"/>
  <c r="AP184" i="5" s="1"/>
  <c r="AM196" i="5"/>
  <c r="AN196" i="5" s="1"/>
  <c r="AK202" i="5"/>
  <c r="AL202" i="5" s="1"/>
  <c r="AK204" i="5"/>
  <c r="AL204" i="5" s="1"/>
  <c r="AO210" i="5"/>
  <c r="AP210" i="5" s="1"/>
  <c r="AO212" i="5"/>
  <c r="AP212" i="5" s="1"/>
  <c r="AO214" i="5"/>
  <c r="AP214" i="5" s="1"/>
  <c r="AM216" i="5"/>
  <c r="AN216" i="5" s="1"/>
  <c r="AM222" i="5"/>
  <c r="AN222" i="5" s="1"/>
  <c r="AK224" i="5"/>
  <c r="AL224" i="5" s="1"/>
  <c r="AO230" i="5"/>
  <c r="AP230" i="5" s="1"/>
  <c r="AO244" i="5"/>
  <c r="AP244" i="5" s="1"/>
  <c r="AO248" i="5"/>
  <c r="AP248" i="5" s="1"/>
  <c r="AO253" i="5"/>
  <c r="AP253" i="5" s="1"/>
  <c r="AO259" i="5"/>
  <c r="AP259" i="5" s="1"/>
  <c r="AM259" i="5"/>
  <c r="AN259" i="5" s="1"/>
  <c r="AO283" i="5"/>
  <c r="AP283" i="5" s="1"/>
  <c r="AK283" i="5"/>
  <c r="AL283" i="5" s="1"/>
  <c r="AM314" i="5"/>
  <c r="AN314" i="5" s="1"/>
  <c r="AO314" i="5"/>
  <c r="AP314" i="5" s="1"/>
  <c r="AM354" i="5"/>
  <c r="AN354" i="5" s="1"/>
  <c r="AK354" i="5"/>
  <c r="AL354" i="5" s="1"/>
  <c r="AK358" i="5"/>
  <c r="AL358" i="5" s="1"/>
  <c r="AO358" i="5"/>
  <c r="AP358" i="5" s="1"/>
  <c r="AM381" i="5"/>
  <c r="AN381" i="5" s="1"/>
  <c r="AO381" i="5"/>
  <c r="AP381" i="5" s="1"/>
  <c r="AM212" i="5"/>
  <c r="AN212" i="5" s="1"/>
  <c r="AM230" i="5"/>
  <c r="AN230" i="5" s="1"/>
  <c r="AO236" i="5"/>
  <c r="AP236" i="5" s="1"/>
  <c r="AM266" i="5"/>
  <c r="AN266" i="5" s="1"/>
  <c r="AO266" i="5"/>
  <c r="AP266" i="5" s="1"/>
  <c r="AK393" i="5"/>
  <c r="AL393" i="5" s="1"/>
  <c r="AK9" i="5"/>
  <c r="AO162" i="5"/>
  <c r="AP162" i="5" s="1"/>
  <c r="AM202" i="5"/>
  <c r="AN202" i="5" s="1"/>
  <c r="AM204" i="5"/>
  <c r="AN204" i="5" s="1"/>
  <c r="AM224" i="5"/>
  <c r="AN224" i="5" s="1"/>
  <c r="AM240" i="5"/>
  <c r="AN240" i="5" s="1"/>
  <c r="AM281" i="5"/>
  <c r="AN281" i="5" s="1"/>
  <c r="AO281" i="5"/>
  <c r="AP281" i="5" s="1"/>
  <c r="AM282" i="5"/>
  <c r="AN282" i="5" s="1"/>
  <c r="AO282" i="5"/>
  <c r="AP282" i="5" s="1"/>
  <c r="AO299" i="5"/>
  <c r="AP299" i="5" s="1"/>
  <c r="AM299" i="5"/>
  <c r="AN299" i="5" s="1"/>
  <c r="AK299" i="5"/>
  <c r="AL299" i="5" s="1"/>
  <c r="AM310" i="5"/>
  <c r="AN310" i="5" s="1"/>
  <c r="AK310" i="5"/>
  <c r="AL310" i="5" s="1"/>
  <c r="AK341" i="5"/>
  <c r="AL341" i="5" s="1"/>
  <c r="AM365" i="5"/>
  <c r="AN365" i="5" s="1"/>
  <c r="AK365" i="5"/>
  <c r="AL365" i="5" s="1"/>
  <c r="AO406" i="5"/>
  <c r="AP406" i="5" s="1"/>
  <c r="AM214" i="5"/>
  <c r="AN214" i="5" s="1"/>
  <c r="AK340" i="5"/>
  <c r="AL340" i="5" s="1"/>
  <c r="AO340" i="5"/>
  <c r="AP340" i="5" s="1"/>
  <c r="AO388" i="5"/>
  <c r="AP388" i="5" s="1"/>
  <c r="AK388" i="5"/>
  <c r="AL388" i="5" s="1"/>
  <c r="AO9" i="5"/>
  <c r="AP9" i="5" s="1"/>
  <c r="AO37" i="5"/>
  <c r="AP37" i="5" s="1"/>
  <c r="AO65" i="5"/>
  <c r="AP65" i="5" s="1"/>
  <c r="AM71" i="5"/>
  <c r="AN71" i="5" s="1"/>
  <c r="AO87" i="5"/>
  <c r="AP87" i="5" s="1"/>
  <c r="AK123" i="5"/>
  <c r="AL123" i="5" s="1"/>
  <c r="AK131" i="5"/>
  <c r="AL131" i="5" s="1"/>
  <c r="AK155" i="5"/>
  <c r="AL155" i="5" s="1"/>
  <c r="AM197" i="5"/>
  <c r="AN197" i="5" s="1"/>
  <c r="AO205" i="5"/>
  <c r="AP205" i="5" s="1"/>
  <c r="AO217" i="5"/>
  <c r="AP217" i="5" s="1"/>
  <c r="AO232" i="5"/>
  <c r="AP232" i="5" s="1"/>
  <c r="AK233" i="5"/>
  <c r="AL233" i="5" s="1"/>
  <c r="AM236" i="5"/>
  <c r="AN236" i="5" s="1"/>
  <c r="AO240" i="5"/>
  <c r="AP240" i="5" s="1"/>
  <c r="AM243" i="5"/>
  <c r="AN243" i="5" s="1"/>
  <c r="AO246" i="5"/>
  <c r="AP246" i="5" s="1"/>
  <c r="AO250" i="5"/>
  <c r="AP250" i="5" s="1"/>
  <c r="AM255" i="5"/>
  <c r="AN255" i="5" s="1"/>
  <c r="AK258" i="5"/>
  <c r="AL258" i="5" s="1"/>
  <c r="AM267" i="5"/>
  <c r="AN267" i="5" s="1"/>
  <c r="AK267" i="5"/>
  <c r="AL267" i="5" s="1"/>
  <c r="AO272" i="5"/>
  <c r="AP272" i="5" s="1"/>
  <c r="AO275" i="5"/>
  <c r="AP275" i="5" s="1"/>
  <c r="AK275" i="5"/>
  <c r="AL275" i="5" s="1"/>
  <c r="AO289" i="5"/>
  <c r="AP289" i="5" s="1"/>
  <c r="AK289" i="5"/>
  <c r="AL289" i="5" s="1"/>
  <c r="AO298" i="5"/>
  <c r="AP298" i="5" s="1"/>
  <c r="AK298" i="5"/>
  <c r="AL298" i="5" s="1"/>
  <c r="AM340" i="5"/>
  <c r="AN340" i="5" s="1"/>
  <c r="AO365" i="5"/>
  <c r="AP365" i="5" s="1"/>
  <c r="AM368" i="5"/>
  <c r="AN368" i="5" s="1"/>
  <c r="AK368" i="5"/>
  <c r="AL368" i="5" s="1"/>
  <c r="AO383" i="5"/>
  <c r="AP383" i="5" s="1"/>
  <c r="AM383" i="5"/>
  <c r="AN383" i="5" s="1"/>
  <c r="AK383" i="5"/>
  <c r="AL383" i="5" s="1"/>
  <c r="AO404" i="5"/>
  <c r="AP404" i="5" s="1"/>
  <c r="AO326" i="5"/>
  <c r="AP326" i="5" s="1"/>
  <c r="AM334" i="5"/>
  <c r="AN334" i="5" s="1"/>
  <c r="AK342" i="5"/>
  <c r="AL342" i="5" s="1"/>
  <c r="AO349" i="5"/>
  <c r="AP349" i="5" s="1"/>
  <c r="AK362" i="5"/>
  <c r="AL362" i="5" s="1"/>
  <c r="AM364" i="5"/>
  <c r="AN364" i="5" s="1"/>
  <c r="AM373" i="5"/>
  <c r="AN373" i="5" s="1"/>
  <c r="AO376" i="5"/>
  <c r="AP376" i="5" s="1"/>
  <c r="AO389" i="5"/>
  <c r="AP389" i="5" s="1"/>
  <c r="AK390" i="5"/>
  <c r="AL390" i="5" s="1"/>
  <c r="AK392" i="5"/>
  <c r="AL392" i="5" s="1"/>
  <c r="AO397" i="5"/>
  <c r="AP397" i="5" s="1"/>
  <c r="AO398" i="5"/>
  <c r="AP398" i="5" s="1"/>
  <c r="AO332" i="5"/>
  <c r="AP332" i="5" s="1"/>
  <c r="AO334" i="5"/>
  <c r="AP334" i="5" s="1"/>
  <c r="AM342" i="5"/>
  <c r="AN342" i="5" s="1"/>
  <c r="AM362" i="5"/>
  <c r="AN362" i="5" s="1"/>
  <c r="AM374" i="5"/>
  <c r="AN374" i="5" s="1"/>
  <c r="AM390" i="5"/>
  <c r="AN390" i="5" s="1"/>
  <c r="AK402" i="5"/>
  <c r="AL402" i="5" s="1"/>
  <c r="AM263" i="5"/>
  <c r="AN263" i="5" s="1"/>
  <c r="AO268" i="5"/>
  <c r="AP268" i="5" s="1"/>
  <c r="AK284" i="5"/>
  <c r="AL284" i="5" s="1"/>
  <c r="AM290" i="5"/>
  <c r="AN290" i="5" s="1"/>
  <c r="AK295" i="5"/>
  <c r="AL295" i="5" s="1"/>
  <c r="AO307" i="5"/>
  <c r="AP307" i="5" s="1"/>
  <c r="AK309" i="5"/>
  <c r="AL309" i="5" s="1"/>
  <c r="AM319" i="5"/>
  <c r="AN319" i="5" s="1"/>
  <c r="AO321" i="5"/>
  <c r="AP321" i="5" s="1"/>
  <c r="AO327" i="5"/>
  <c r="AP327" i="5" s="1"/>
  <c r="AK329" i="5"/>
  <c r="AL329" i="5" s="1"/>
  <c r="AM331" i="5"/>
  <c r="AN331" i="5" s="1"/>
  <c r="AK336" i="5"/>
  <c r="AL336" i="5" s="1"/>
  <c r="AM345" i="5"/>
  <c r="AN345" i="5" s="1"/>
  <c r="AM356" i="5"/>
  <c r="AN356" i="5" s="1"/>
  <c r="AK357" i="5"/>
  <c r="AL357" i="5" s="1"/>
  <c r="AM359" i="5"/>
  <c r="AN359" i="5" s="1"/>
  <c r="AK385" i="5"/>
  <c r="AL385" i="5" s="1"/>
  <c r="AM402" i="5"/>
  <c r="AN402" i="5" s="1"/>
  <c r="AK27" i="5"/>
  <c r="AL27" i="5" s="1"/>
  <c r="AO42" i="5"/>
  <c r="AP42" i="5" s="1"/>
  <c r="AK15" i="5"/>
  <c r="AO16" i="5"/>
  <c r="AP16" i="5" s="1"/>
  <c r="AO32" i="5"/>
  <c r="AP32" i="5" s="1"/>
  <c r="AK38" i="5"/>
  <c r="AM53" i="5"/>
  <c r="AN53" i="5" s="1"/>
  <c r="AO53" i="5"/>
  <c r="AP53" i="5" s="1"/>
  <c r="AO111" i="5"/>
  <c r="AP111" i="5" s="1"/>
  <c r="AM111" i="5"/>
  <c r="AN111" i="5" s="1"/>
  <c r="AK111" i="5"/>
  <c r="AL111" i="5" s="1"/>
  <c r="AO119" i="5"/>
  <c r="AP119" i="5" s="1"/>
  <c r="AM119" i="5"/>
  <c r="AN119" i="5" s="1"/>
  <c r="AO14" i="5"/>
  <c r="AP14" i="5" s="1"/>
  <c r="AK25" i="5"/>
  <c r="AL25" i="5" s="1"/>
  <c r="AK32" i="5"/>
  <c r="AL32" i="5" s="1"/>
  <c r="AM60" i="5"/>
  <c r="AN60" i="5" s="1"/>
  <c r="AO60" i="5"/>
  <c r="AP60" i="5" s="1"/>
  <c r="AO18" i="5"/>
  <c r="AP18" i="5" s="1"/>
  <c r="AK20" i="5"/>
  <c r="AL20" i="5" s="1"/>
  <c r="AK22" i="5"/>
  <c r="AL22" i="5" s="1"/>
  <c r="AM27" i="5"/>
  <c r="AN27" i="5" s="1"/>
  <c r="AK29" i="5"/>
  <c r="AL29" i="5" s="1"/>
  <c r="AK31" i="5"/>
  <c r="AL31" i="5" s="1"/>
  <c r="AO34" i="5"/>
  <c r="AP34" i="5" s="1"/>
  <c r="AK36" i="5"/>
  <c r="AL36" i="5" s="1"/>
  <c r="AK8" i="5"/>
  <c r="AL8" i="5" s="1"/>
  <c r="AO12" i="5"/>
  <c r="AP12" i="5" s="1"/>
  <c r="AK13" i="5"/>
  <c r="AL13" i="5" s="1"/>
  <c r="AK17" i="5"/>
  <c r="AL17" i="5" s="1"/>
  <c r="AO20" i="5"/>
  <c r="AP20" i="5" s="1"/>
  <c r="AO22" i="5"/>
  <c r="AP22" i="5" s="1"/>
  <c r="AO23" i="5"/>
  <c r="AP23" i="5" s="1"/>
  <c r="AK24" i="5"/>
  <c r="AL24" i="5" s="1"/>
  <c r="AK26" i="5"/>
  <c r="AL26" i="5" s="1"/>
  <c r="AO29" i="5"/>
  <c r="AP29" i="5" s="1"/>
  <c r="AK33" i="5"/>
  <c r="AL33" i="5" s="1"/>
  <c r="AO36" i="5"/>
  <c r="AO38" i="5"/>
  <c r="AP38" i="5" s="1"/>
  <c r="AO40" i="5"/>
  <c r="AP40" i="5" s="1"/>
  <c r="AM44" i="5"/>
  <c r="AN44" i="5" s="1"/>
  <c r="AO44" i="5"/>
  <c r="AP44" i="5" s="1"/>
  <c r="AK44" i="5"/>
  <c r="AL44" i="5" s="1"/>
  <c r="AM46" i="5"/>
  <c r="AN46" i="5" s="1"/>
  <c r="AO46" i="5"/>
  <c r="AP46" i="5" s="1"/>
  <c r="AK46" i="5"/>
  <c r="AL46" i="5" s="1"/>
  <c r="AO49" i="5"/>
  <c r="AP49" i="5" s="1"/>
  <c r="AM51" i="5"/>
  <c r="AN51" i="5" s="1"/>
  <c r="AO55" i="5"/>
  <c r="AP55" i="5" s="1"/>
  <c r="AK56" i="5"/>
  <c r="AL56" i="5" s="1"/>
  <c r="AK58" i="5"/>
  <c r="AL58" i="5" s="1"/>
  <c r="AM64" i="5"/>
  <c r="AN64" i="5" s="1"/>
  <c r="AO64" i="5"/>
  <c r="AP64" i="5" s="1"/>
  <c r="AK64" i="5"/>
  <c r="AL64" i="5" s="1"/>
  <c r="AM66" i="5"/>
  <c r="AN66" i="5" s="1"/>
  <c r="AO66" i="5"/>
  <c r="AP66" i="5" s="1"/>
  <c r="AK66" i="5"/>
  <c r="AL66" i="5" s="1"/>
  <c r="AM99" i="5"/>
  <c r="AN99" i="5" s="1"/>
  <c r="AO99" i="5"/>
  <c r="AP99" i="5" s="1"/>
  <c r="AK119" i="5"/>
  <c r="AL119" i="5" s="1"/>
  <c r="AK16" i="5"/>
  <c r="AL16" i="5" s="1"/>
  <c r="AK18" i="5"/>
  <c r="AL18" i="5" s="1"/>
  <c r="AK34" i="5"/>
  <c r="AL34" i="5" s="1"/>
  <c r="AK60" i="5"/>
  <c r="AL60" i="5" s="1"/>
  <c r="AM62" i="5"/>
  <c r="AN62" i="5" s="1"/>
  <c r="AO62" i="5"/>
  <c r="AP62" i="5" s="1"/>
  <c r="AO25" i="5"/>
  <c r="AP25" i="5" s="1"/>
  <c r="AO8" i="5"/>
  <c r="AP8" i="5" s="1"/>
  <c r="AK10" i="5"/>
  <c r="AL10" i="5" s="1"/>
  <c r="AO13" i="5"/>
  <c r="AP13" i="5" s="1"/>
  <c r="AK14" i="5"/>
  <c r="AL14" i="5" s="1"/>
  <c r="AK21" i="5"/>
  <c r="AL21" i="5" s="1"/>
  <c r="AK28" i="5"/>
  <c r="AL28" i="5" s="1"/>
  <c r="AK30" i="5"/>
  <c r="AL30" i="5" s="1"/>
  <c r="AK37" i="5"/>
  <c r="AL37" i="5" s="1"/>
  <c r="AK42" i="5"/>
  <c r="AL42" i="5" s="1"/>
  <c r="AK53" i="5"/>
  <c r="AL53" i="5" s="1"/>
  <c r="AO56" i="5"/>
  <c r="AP56" i="5" s="1"/>
  <c r="AO58" i="5"/>
  <c r="AP58" i="5" s="1"/>
  <c r="AK41" i="5"/>
  <c r="AL41" i="5" s="1"/>
  <c r="AO47" i="5"/>
  <c r="AP47" i="5" s="1"/>
  <c r="AK48" i="5"/>
  <c r="AL48" i="5" s="1"/>
  <c r="AK50" i="5"/>
  <c r="AL50" i="5" s="1"/>
  <c r="AK57" i="5"/>
  <c r="AL57" i="5" s="1"/>
  <c r="AO63" i="5"/>
  <c r="AP63" i="5" s="1"/>
  <c r="AK67" i="5"/>
  <c r="AL67" i="5" s="1"/>
  <c r="AK68" i="5"/>
  <c r="AL68" i="5" s="1"/>
  <c r="AM83" i="5"/>
  <c r="AN83" i="5" s="1"/>
  <c r="AO83" i="5"/>
  <c r="AP83" i="5" s="1"/>
  <c r="AK143" i="5"/>
  <c r="AL143" i="5" s="1"/>
  <c r="AM151" i="5"/>
  <c r="AN151" i="5" s="1"/>
  <c r="AO161" i="5"/>
  <c r="AP161" i="5" s="1"/>
  <c r="AM161" i="5"/>
  <c r="AN161" i="5" s="1"/>
  <c r="AK161" i="5"/>
  <c r="AL161" i="5" s="1"/>
  <c r="AO165" i="5"/>
  <c r="AP165" i="5" s="1"/>
  <c r="AM165" i="5"/>
  <c r="AN165" i="5" s="1"/>
  <c r="AK165" i="5"/>
  <c r="AL165" i="5" s="1"/>
  <c r="AK45" i="5"/>
  <c r="AL45" i="5" s="1"/>
  <c r="AK52" i="5"/>
  <c r="AL52" i="5" s="1"/>
  <c r="AK54" i="5"/>
  <c r="AL54" i="5" s="1"/>
  <c r="AK61" i="5"/>
  <c r="AL61" i="5" s="1"/>
  <c r="AK65" i="5"/>
  <c r="AL65" i="5" s="1"/>
  <c r="AO68" i="5"/>
  <c r="AP68" i="5" s="1"/>
  <c r="AM143" i="5"/>
  <c r="AN143" i="5" s="1"/>
  <c r="AO168" i="5"/>
  <c r="AP168" i="5" s="1"/>
  <c r="AM168" i="5"/>
  <c r="AN168" i="5" s="1"/>
  <c r="AK168" i="5"/>
  <c r="AL168" i="5" s="1"/>
  <c r="AM182" i="5"/>
  <c r="AN182" i="5" s="1"/>
  <c r="AO182" i="5"/>
  <c r="AP182" i="5" s="1"/>
  <c r="AM247" i="5"/>
  <c r="AN247" i="5" s="1"/>
  <c r="AK247" i="5"/>
  <c r="AL247" i="5" s="1"/>
  <c r="AO247" i="5"/>
  <c r="AP247" i="5" s="1"/>
  <c r="AM260" i="5"/>
  <c r="AN260" i="5" s="1"/>
  <c r="AO260" i="5"/>
  <c r="AP260" i="5" s="1"/>
  <c r="AK260" i="5"/>
  <c r="AL260" i="5" s="1"/>
  <c r="AK159" i="5"/>
  <c r="AL159" i="5" s="1"/>
  <c r="AO159" i="5"/>
  <c r="AP159" i="5" s="1"/>
  <c r="AO166" i="5"/>
  <c r="AP166" i="5" s="1"/>
  <c r="AM166" i="5"/>
  <c r="AN166" i="5" s="1"/>
  <c r="AK166" i="5"/>
  <c r="AL166" i="5" s="1"/>
  <c r="AO173" i="5"/>
  <c r="AP173" i="5" s="1"/>
  <c r="AM173" i="5"/>
  <c r="AN173" i="5" s="1"/>
  <c r="AM177" i="5"/>
  <c r="AN177" i="5" s="1"/>
  <c r="AO177" i="5"/>
  <c r="AP177" i="5" s="1"/>
  <c r="AK209" i="5"/>
  <c r="AL209" i="5" s="1"/>
  <c r="AO209" i="5"/>
  <c r="AP209" i="5" s="1"/>
  <c r="AM209" i="5"/>
  <c r="AN209" i="5" s="1"/>
  <c r="AM252" i="5"/>
  <c r="AN252" i="5" s="1"/>
  <c r="AK252" i="5"/>
  <c r="AL252" i="5" s="1"/>
  <c r="AO252" i="5"/>
  <c r="AP252" i="5" s="1"/>
  <c r="AM269" i="5"/>
  <c r="AN269" i="5" s="1"/>
  <c r="AO269" i="5"/>
  <c r="AP269" i="5" s="1"/>
  <c r="AK269" i="5"/>
  <c r="AL269" i="5" s="1"/>
  <c r="AK151" i="5"/>
  <c r="AL151" i="5" s="1"/>
  <c r="AO164" i="5"/>
  <c r="AP164" i="5" s="1"/>
  <c r="AM164" i="5"/>
  <c r="AN164" i="5" s="1"/>
  <c r="AK164" i="5"/>
  <c r="AL164" i="5" s="1"/>
  <c r="AO169" i="5"/>
  <c r="AP169" i="5" s="1"/>
  <c r="AM169" i="5"/>
  <c r="AN169" i="5" s="1"/>
  <c r="AK193" i="5"/>
  <c r="AL193" i="5" s="1"/>
  <c r="AO193" i="5"/>
  <c r="AP193" i="5" s="1"/>
  <c r="AK213" i="5"/>
  <c r="AL213" i="5" s="1"/>
  <c r="AM213" i="5"/>
  <c r="AN213" i="5" s="1"/>
  <c r="AO174" i="5"/>
  <c r="AP174" i="5" s="1"/>
  <c r="AK174" i="5"/>
  <c r="AL174" i="5" s="1"/>
  <c r="AO178" i="5"/>
  <c r="AP178" i="5" s="1"/>
  <c r="AK180" i="5"/>
  <c r="AL180" i="5" s="1"/>
  <c r="AM185" i="5"/>
  <c r="AN185" i="5" s="1"/>
  <c r="AO189" i="5"/>
  <c r="AP189" i="5" s="1"/>
  <c r="AO197" i="5"/>
  <c r="AP197" i="5" s="1"/>
  <c r="AO234" i="5"/>
  <c r="AP234" i="5" s="1"/>
  <c r="AK234" i="5"/>
  <c r="AL234" i="5" s="1"/>
  <c r="AM237" i="5"/>
  <c r="AN237" i="5" s="1"/>
  <c r="AK237" i="5"/>
  <c r="AL237" i="5" s="1"/>
  <c r="AM262" i="5"/>
  <c r="AN262" i="5" s="1"/>
  <c r="AO262" i="5"/>
  <c r="AP262" i="5" s="1"/>
  <c r="AM276" i="5"/>
  <c r="AN276" i="5" s="1"/>
  <c r="AO276" i="5"/>
  <c r="AP276" i="5" s="1"/>
  <c r="AK69" i="5"/>
  <c r="AL69" i="5" s="1"/>
  <c r="AM174" i="5"/>
  <c r="AN174" i="5" s="1"/>
  <c r="AO176" i="5"/>
  <c r="AP176" i="5" s="1"/>
  <c r="AK176" i="5"/>
  <c r="AL176" i="5" s="1"/>
  <c r="AO180" i="5"/>
  <c r="AP180" i="5" s="1"/>
  <c r="AK181" i="5"/>
  <c r="AL181" i="5" s="1"/>
  <c r="AK184" i="5"/>
  <c r="AL184" i="5" s="1"/>
  <c r="AO185" i="5"/>
  <c r="AP185" i="5" s="1"/>
  <c r="AK221" i="5"/>
  <c r="AL221" i="5" s="1"/>
  <c r="AM245" i="5"/>
  <c r="AN245" i="5" s="1"/>
  <c r="AO245" i="5"/>
  <c r="AP245" i="5" s="1"/>
  <c r="AM254" i="5"/>
  <c r="AN254" i="5" s="1"/>
  <c r="AO254" i="5"/>
  <c r="AP254" i="5" s="1"/>
  <c r="AM271" i="5"/>
  <c r="AN271" i="5" s="1"/>
  <c r="AK271" i="5"/>
  <c r="AL271" i="5" s="1"/>
  <c r="AK170" i="5"/>
  <c r="AL170" i="5" s="1"/>
  <c r="AO172" i="5"/>
  <c r="AP172" i="5" s="1"/>
  <c r="AK172" i="5"/>
  <c r="AL172" i="5" s="1"/>
  <c r="AM189" i="5"/>
  <c r="AN189" i="5" s="1"/>
  <c r="AK205" i="5"/>
  <c r="AL205" i="5" s="1"/>
  <c r="AK229" i="5"/>
  <c r="AL229" i="5" s="1"/>
  <c r="AK245" i="5"/>
  <c r="AL245" i="5" s="1"/>
  <c r="AM225" i="5"/>
  <c r="AN225" i="5" s="1"/>
  <c r="AM233" i="5"/>
  <c r="AN233" i="5" s="1"/>
  <c r="AM251" i="5"/>
  <c r="AN251" i="5" s="1"/>
  <c r="AK251" i="5"/>
  <c r="AL251" i="5" s="1"/>
  <c r="AO251" i="5"/>
  <c r="AP251" i="5" s="1"/>
  <c r="AM291" i="5"/>
  <c r="AN291" i="5" s="1"/>
  <c r="AO291" i="5"/>
  <c r="AP291" i="5" s="1"/>
  <c r="AM306" i="5"/>
  <c r="AN306" i="5" s="1"/>
  <c r="AK306" i="5"/>
  <c r="AL306" i="5" s="1"/>
  <c r="AM328" i="5"/>
  <c r="AN328" i="5" s="1"/>
  <c r="AO328" i="5"/>
  <c r="AP328" i="5" s="1"/>
  <c r="AM308" i="5"/>
  <c r="AN308" i="5" s="1"/>
  <c r="AK308" i="5"/>
  <c r="AL308" i="5" s="1"/>
  <c r="AM201" i="5"/>
  <c r="AN201" i="5" s="1"/>
  <c r="AM217" i="5"/>
  <c r="AN217" i="5" s="1"/>
  <c r="AO225" i="5"/>
  <c r="AP225" i="5" s="1"/>
  <c r="AK232" i="5"/>
  <c r="AL232" i="5" s="1"/>
  <c r="AM238" i="5"/>
  <c r="AN238" i="5" s="1"/>
  <c r="AK243" i="5"/>
  <c r="AL243" i="5" s="1"/>
  <c r="AM249" i="5"/>
  <c r="AN249" i="5" s="1"/>
  <c r="AO249" i="5"/>
  <c r="AP249" i="5" s="1"/>
  <c r="AK256" i="5"/>
  <c r="AL256" i="5" s="1"/>
  <c r="AO267" i="5"/>
  <c r="AP267" i="5" s="1"/>
  <c r="AK272" i="5"/>
  <c r="AL272" i="5" s="1"/>
  <c r="AK274" i="5"/>
  <c r="AL274" i="5" s="1"/>
  <c r="AM286" i="5"/>
  <c r="AN286" i="5" s="1"/>
  <c r="AO286" i="5"/>
  <c r="AP286" i="5" s="1"/>
  <c r="AM322" i="5"/>
  <c r="AN322" i="5" s="1"/>
  <c r="AO322" i="5"/>
  <c r="AP322" i="5" s="1"/>
  <c r="AM278" i="5"/>
  <c r="AN278" i="5" s="1"/>
  <c r="AO278" i="5"/>
  <c r="AP278" i="5" s="1"/>
  <c r="AK278" i="5"/>
  <c r="AL278" i="5" s="1"/>
  <c r="AM305" i="5"/>
  <c r="AN305" i="5" s="1"/>
  <c r="AK305" i="5"/>
  <c r="AL305" i="5" s="1"/>
  <c r="AM320" i="5"/>
  <c r="AN320" i="5" s="1"/>
  <c r="AO320" i="5"/>
  <c r="AP320" i="5" s="1"/>
  <c r="AK320" i="5"/>
  <c r="AL320" i="5" s="1"/>
  <c r="AK328" i="5"/>
  <c r="AL328" i="5" s="1"/>
  <c r="AK346" i="5"/>
  <c r="AL346" i="5" s="1"/>
  <c r="AO346" i="5"/>
  <c r="AP346" i="5" s="1"/>
  <c r="AM346" i="5"/>
  <c r="AN346" i="5" s="1"/>
  <c r="AM295" i="5"/>
  <c r="AN295" i="5" s="1"/>
  <c r="AO309" i="5"/>
  <c r="AP309" i="5" s="1"/>
  <c r="AK312" i="5"/>
  <c r="AL312" i="5" s="1"/>
  <c r="AK315" i="5"/>
  <c r="AL315" i="5" s="1"/>
  <c r="AO317" i="5"/>
  <c r="AP317" i="5" s="1"/>
  <c r="AM337" i="5"/>
  <c r="AN337" i="5" s="1"/>
  <c r="AO337" i="5"/>
  <c r="AP337" i="5" s="1"/>
  <c r="AM352" i="5"/>
  <c r="AN352" i="5" s="1"/>
  <c r="AO352" i="5"/>
  <c r="AP352" i="5" s="1"/>
  <c r="AM360" i="5"/>
  <c r="AN360" i="5" s="1"/>
  <c r="AK360" i="5"/>
  <c r="AL360" i="5" s="1"/>
  <c r="AM366" i="5"/>
  <c r="AN366" i="5" s="1"/>
  <c r="AK366" i="5"/>
  <c r="AL366" i="5" s="1"/>
  <c r="AM241" i="5"/>
  <c r="AN241" i="5" s="1"/>
  <c r="AK246" i="5"/>
  <c r="AL246" i="5" s="1"/>
  <c r="AK253" i="5"/>
  <c r="AL253" i="5" s="1"/>
  <c r="AK257" i="5"/>
  <c r="AL257" i="5" s="1"/>
  <c r="AK264" i="5"/>
  <c r="AL264" i="5" s="1"/>
  <c r="AK266" i="5"/>
  <c r="AL266" i="5" s="1"/>
  <c r="AK270" i="5"/>
  <c r="AL270" i="5" s="1"/>
  <c r="AK273" i="5"/>
  <c r="AL273" i="5" s="1"/>
  <c r="AK280" i="5"/>
  <c r="AL280" i="5" s="1"/>
  <c r="AK285" i="5"/>
  <c r="AL285" i="5" s="1"/>
  <c r="AK287" i="5"/>
  <c r="AL287" i="5" s="1"/>
  <c r="AK303" i="5"/>
  <c r="AL303" i="5" s="1"/>
  <c r="AK304" i="5"/>
  <c r="AL304" i="5" s="1"/>
  <c r="AK307" i="5"/>
  <c r="AL307" i="5" s="1"/>
  <c r="AO310" i="5"/>
  <c r="AP310" i="5" s="1"/>
  <c r="AM311" i="5"/>
  <c r="AN311" i="5" s="1"/>
  <c r="AO312" i="5"/>
  <c r="AP312" i="5" s="1"/>
  <c r="AO313" i="5"/>
  <c r="AP313" i="5" s="1"/>
  <c r="AK314" i="5"/>
  <c r="AL314" i="5" s="1"/>
  <c r="AM315" i="5"/>
  <c r="AN315" i="5" s="1"/>
  <c r="AO319" i="5"/>
  <c r="AP319" i="5" s="1"/>
  <c r="AM325" i="5"/>
  <c r="AN325" i="5" s="1"/>
  <c r="AO325" i="5"/>
  <c r="AP325" i="5" s="1"/>
  <c r="AO329" i="5"/>
  <c r="AP329" i="5" s="1"/>
  <c r="AM330" i="5"/>
  <c r="AN330" i="5" s="1"/>
  <c r="AO330" i="5"/>
  <c r="AP330" i="5" s="1"/>
  <c r="AK330" i="5"/>
  <c r="AL330" i="5" s="1"/>
  <c r="AK344" i="5"/>
  <c r="AL344" i="5" s="1"/>
  <c r="AO344" i="5"/>
  <c r="AP344" i="5" s="1"/>
  <c r="AM344" i="5"/>
  <c r="AN344" i="5" s="1"/>
  <c r="AK348" i="5"/>
  <c r="AL348" i="5" s="1"/>
  <c r="AO348" i="5"/>
  <c r="AP348" i="5" s="1"/>
  <c r="AM348" i="5"/>
  <c r="AN348" i="5" s="1"/>
  <c r="AK361" i="5"/>
  <c r="AL361" i="5" s="1"/>
  <c r="AO361" i="5"/>
  <c r="AP361" i="5" s="1"/>
  <c r="AK248" i="5"/>
  <c r="AL248" i="5" s="1"/>
  <c r="AK250" i="5"/>
  <c r="AL250" i="5" s="1"/>
  <c r="AO257" i="5"/>
  <c r="AP257" i="5" s="1"/>
  <c r="AK261" i="5"/>
  <c r="AL261" i="5" s="1"/>
  <c r="AK268" i="5"/>
  <c r="AL268" i="5" s="1"/>
  <c r="AO270" i="5"/>
  <c r="AP270" i="5" s="1"/>
  <c r="AK277" i="5"/>
  <c r="AL277" i="5" s="1"/>
  <c r="AM279" i="5"/>
  <c r="AN279" i="5" s="1"/>
  <c r="AO280" i="5"/>
  <c r="AP280" i="5" s="1"/>
  <c r="AO285" i="5"/>
  <c r="AP285" i="5" s="1"/>
  <c r="AM303" i="5"/>
  <c r="AN303" i="5" s="1"/>
  <c r="AO304" i="5"/>
  <c r="AP304" i="5" s="1"/>
  <c r="AK331" i="5"/>
  <c r="AL331" i="5" s="1"/>
  <c r="AM336" i="5"/>
  <c r="AN336" i="5" s="1"/>
  <c r="AO341" i="5"/>
  <c r="AP341" i="5" s="1"/>
  <c r="AM341" i="5"/>
  <c r="AN341" i="5" s="1"/>
  <c r="AK352" i="5"/>
  <c r="AL352" i="5" s="1"/>
  <c r="AO360" i="5"/>
  <c r="AP360" i="5" s="1"/>
  <c r="AO366" i="5"/>
  <c r="AP366" i="5" s="1"/>
  <c r="AM384" i="5"/>
  <c r="AN384" i="5" s="1"/>
  <c r="AO384" i="5"/>
  <c r="AP384" i="5" s="1"/>
  <c r="AK384" i="5"/>
  <c r="AL384" i="5" s="1"/>
  <c r="AO401" i="5"/>
  <c r="AP401" i="5" s="1"/>
  <c r="AM401" i="5"/>
  <c r="AN401" i="5" s="1"/>
  <c r="AK401" i="5"/>
  <c r="AL401" i="5" s="1"/>
  <c r="AK281" i="5"/>
  <c r="AL281" i="5" s="1"/>
  <c r="AO284" i="5"/>
  <c r="AP284" i="5" s="1"/>
  <c r="AK316" i="5"/>
  <c r="AL316" i="5" s="1"/>
  <c r="AK318" i="5"/>
  <c r="AL318" i="5" s="1"/>
  <c r="AK324" i="5"/>
  <c r="AL324" i="5" s="1"/>
  <c r="AK327" i="5"/>
  <c r="AL327" i="5" s="1"/>
  <c r="AO333" i="5"/>
  <c r="AP333" i="5" s="1"/>
  <c r="AO338" i="5"/>
  <c r="AP338" i="5" s="1"/>
  <c r="AK338" i="5"/>
  <c r="AL338" i="5" s="1"/>
  <c r="AO342" i="5"/>
  <c r="AP342" i="5" s="1"/>
  <c r="AK350" i="5"/>
  <c r="AL350" i="5" s="1"/>
  <c r="AO350" i="5"/>
  <c r="AP350" i="5" s="1"/>
  <c r="AK321" i="5"/>
  <c r="AL321" i="5" s="1"/>
  <c r="AK326" i="5"/>
  <c r="AL326" i="5" s="1"/>
  <c r="AM353" i="5"/>
  <c r="AN353" i="5" s="1"/>
  <c r="AO353" i="5"/>
  <c r="AP353" i="5" s="1"/>
  <c r="AK353" i="5"/>
  <c r="AL353" i="5" s="1"/>
  <c r="AO367" i="5"/>
  <c r="AP367" i="5" s="1"/>
  <c r="AM367" i="5"/>
  <c r="AN367" i="5" s="1"/>
  <c r="AK332" i="5"/>
  <c r="AL332" i="5" s="1"/>
  <c r="AM369" i="5"/>
  <c r="AN369" i="5" s="1"/>
  <c r="AK369" i="5"/>
  <c r="AL369" i="5" s="1"/>
  <c r="AO370" i="5"/>
  <c r="AP370" i="5" s="1"/>
  <c r="AM370" i="5"/>
  <c r="AN370" i="5" s="1"/>
  <c r="AK372" i="5"/>
  <c r="AL372" i="5" s="1"/>
  <c r="AO372" i="5"/>
  <c r="AP372" i="5" s="1"/>
  <c r="AM372" i="5"/>
  <c r="AN372" i="5" s="1"/>
  <c r="AM380" i="5"/>
  <c r="AN380" i="5" s="1"/>
  <c r="AK380" i="5"/>
  <c r="AL380" i="5" s="1"/>
  <c r="AM377" i="5"/>
  <c r="AN377" i="5" s="1"/>
  <c r="AO377" i="5"/>
  <c r="AP377" i="5" s="1"/>
  <c r="AK377" i="5"/>
  <c r="AL377" i="5" s="1"/>
  <c r="AO394" i="5"/>
  <c r="AP394" i="5" s="1"/>
  <c r="AM394" i="5"/>
  <c r="AN394" i="5" s="1"/>
  <c r="AK394" i="5"/>
  <c r="AL394" i="5" s="1"/>
  <c r="AM396" i="5"/>
  <c r="AN396" i="5" s="1"/>
  <c r="AK396" i="5"/>
  <c r="AL396" i="5" s="1"/>
  <c r="AO396" i="5"/>
  <c r="AP396" i="5" s="1"/>
  <c r="AO400" i="5"/>
  <c r="AP400" i="5" s="1"/>
  <c r="AM400" i="5"/>
  <c r="AN400" i="5" s="1"/>
  <c r="AM363" i="5"/>
  <c r="AN363" i="5" s="1"/>
  <c r="AK374" i="5"/>
  <c r="AL374" i="5" s="1"/>
  <c r="AO378" i="5"/>
  <c r="AP378" i="5" s="1"/>
  <c r="AM378" i="5"/>
  <c r="AN378" i="5" s="1"/>
  <c r="AK378" i="5"/>
  <c r="AL378" i="5" s="1"/>
  <c r="AM382" i="5"/>
  <c r="AN382" i="5" s="1"/>
  <c r="AO382" i="5"/>
  <c r="AP382" i="5" s="1"/>
  <c r="AO386" i="5"/>
  <c r="AP386" i="5" s="1"/>
  <c r="AM386" i="5"/>
  <c r="AN386" i="5" s="1"/>
  <c r="AK386" i="5"/>
  <c r="AL386" i="5" s="1"/>
  <c r="AK381" i="5"/>
  <c r="AL381" i="5" s="1"/>
  <c r="AM385" i="5"/>
  <c r="AN385" i="5" s="1"/>
  <c r="AM388" i="5"/>
  <c r="AN388" i="5" s="1"/>
  <c r="AM392" i="5"/>
  <c r="AN392" i="5" s="1"/>
  <c r="AM393" i="5"/>
  <c r="AN393" i="5" s="1"/>
  <c r="AM398" i="5"/>
  <c r="AN398" i="5" s="1"/>
  <c r="AK404" i="5"/>
  <c r="AL404" i="5" s="1"/>
  <c r="AK405" i="5"/>
  <c r="AL405" i="5" s="1"/>
  <c r="AK406" i="5"/>
  <c r="AL406" i="5" s="1"/>
  <c r="AO392" i="5"/>
  <c r="AP392" i="5" s="1"/>
  <c r="AO393" i="5"/>
  <c r="AP393" i="5" s="1"/>
  <c r="AM399" i="5"/>
  <c r="AN399" i="5" s="1"/>
  <c r="AM404" i="5"/>
  <c r="AN404" i="5" s="1"/>
  <c r="AM405" i="5"/>
  <c r="AN405" i="5" s="1"/>
  <c r="AM406" i="5"/>
  <c r="AN406" i="5" s="1"/>
  <c r="AM379" i="5"/>
  <c r="AN379" i="5" s="1"/>
  <c r="AM11" i="5"/>
  <c r="AN11" i="5" s="1"/>
  <c r="BG3" i="5"/>
  <c r="BH3" i="5"/>
  <c r="AO11" i="5"/>
  <c r="AP11" i="5" s="1"/>
  <c r="AM7" i="5"/>
  <c r="AW3" i="5"/>
  <c r="AK91" i="5"/>
  <c r="AL91" i="5" s="1"/>
  <c r="AO110" i="5"/>
  <c r="AP110" i="5" s="1"/>
  <c r="AK110" i="5"/>
  <c r="AL110" i="5" s="1"/>
  <c r="AM110" i="5"/>
  <c r="AN110" i="5" s="1"/>
  <c r="AO114" i="5"/>
  <c r="AP114" i="5" s="1"/>
  <c r="AK114" i="5"/>
  <c r="AL114" i="5" s="1"/>
  <c r="AM114" i="5"/>
  <c r="AN114" i="5" s="1"/>
  <c r="AO118" i="5"/>
  <c r="AP118" i="5" s="1"/>
  <c r="AK118" i="5"/>
  <c r="AL118" i="5" s="1"/>
  <c r="AM118" i="5"/>
  <c r="AN118" i="5" s="1"/>
  <c r="AO126" i="5"/>
  <c r="AP126" i="5" s="1"/>
  <c r="AK126" i="5"/>
  <c r="AL126" i="5" s="1"/>
  <c r="AM126" i="5"/>
  <c r="AN126" i="5" s="1"/>
  <c r="AO150" i="5"/>
  <c r="AP150" i="5" s="1"/>
  <c r="AK150" i="5"/>
  <c r="AL150" i="5" s="1"/>
  <c r="AM150" i="5"/>
  <c r="AN150" i="5" s="1"/>
  <c r="AO154" i="5"/>
  <c r="AP154" i="5" s="1"/>
  <c r="AK154" i="5"/>
  <c r="AL154" i="5" s="1"/>
  <c r="AM154" i="5"/>
  <c r="AN154" i="5" s="1"/>
  <c r="AO73" i="5"/>
  <c r="AP73" i="5" s="1"/>
  <c r="AK73" i="5"/>
  <c r="AL73" i="5" s="1"/>
  <c r="AO94" i="5"/>
  <c r="AP94" i="5" s="1"/>
  <c r="AK94" i="5"/>
  <c r="AL94" i="5" s="1"/>
  <c r="AK95" i="5"/>
  <c r="AL95" i="5" s="1"/>
  <c r="AO97" i="5"/>
  <c r="AP97" i="5" s="1"/>
  <c r="AK97" i="5"/>
  <c r="AL97" i="5" s="1"/>
  <c r="AO100" i="5"/>
  <c r="AP100" i="5" s="1"/>
  <c r="AK100" i="5"/>
  <c r="AL100" i="5" s="1"/>
  <c r="AO113" i="5"/>
  <c r="AP113" i="5" s="1"/>
  <c r="AK113" i="5"/>
  <c r="AL113" i="5" s="1"/>
  <c r="AM113" i="5"/>
  <c r="AN113" i="5" s="1"/>
  <c r="AO121" i="5"/>
  <c r="AP121" i="5" s="1"/>
  <c r="AK121" i="5"/>
  <c r="AL121" i="5" s="1"/>
  <c r="AM121" i="5"/>
  <c r="AN121" i="5" s="1"/>
  <c r="AO125" i="5"/>
  <c r="AP125" i="5" s="1"/>
  <c r="AK125" i="5"/>
  <c r="AL125" i="5" s="1"/>
  <c r="AM125" i="5"/>
  <c r="AN125" i="5" s="1"/>
  <c r="AO129" i="5"/>
  <c r="AP129" i="5" s="1"/>
  <c r="AK129" i="5"/>
  <c r="AL129" i="5" s="1"/>
  <c r="AM129" i="5"/>
  <c r="AN129" i="5" s="1"/>
  <c r="AO133" i="5"/>
  <c r="AP133" i="5" s="1"/>
  <c r="AK133" i="5"/>
  <c r="AL133" i="5" s="1"/>
  <c r="AM133" i="5"/>
  <c r="AN133" i="5" s="1"/>
  <c r="AO137" i="5"/>
  <c r="AP137" i="5" s="1"/>
  <c r="AK137" i="5"/>
  <c r="AL137" i="5" s="1"/>
  <c r="AM137" i="5"/>
  <c r="AN137" i="5" s="1"/>
  <c r="AO141" i="5"/>
  <c r="AP141" i="5" s="1"/>
  <c r="AK141" i="5"/>
  <c r="AL141" i="5" s="1"/>
  <c r="AM141" i="5"/>
  <c r="AN141" i="5" s="1"/>
  <c r="AO145" i="5"/>
  <c r="AP145" i="5" s="1"/>
  <c r="AK145" i="5"/>
  <c r="AL145" i="5" s="1"/>
  <c r="AM145" i="5"/>
  <c r="AN145" i="5" s="1"/>
  <c r="AO149" i="5"/>
  <c r="AP149" i="5" s="1"/>
  <c r="AK149" i="5"/>
  <c r="AL149" i="5" s="1"/>
  <c r="AM149" i="5"/>
  <c r="AN149" i="5" s="1"/>
  <c r="AO153" i="5"/>
  <c r="AP153" i="5" s="1"/>
  <c r="AK153" i="5"/>
  <c r="AL153" i="5" s="1"/>
  <c r="AM153" i="5"/>
  <c r="AN153" i="5" s="1"/>
  <c r="AO157" i="5"/>
  <c r="AP157" i="5" s="1"/>
  <c r="AK157" i="5"/>
  <c r="AL157" i="5" s="1"/>
  <c r="AM157" i="5"/>
  <c r="AN157" i="5" s="1"/>
  <c r="AO72" i="5"/>
  <c r="AP72" i="5" s="1"/>
  <c r="AK72" i="5"/>
  <c r="AL72" i="5" s="1"/>
  <c r="AM72" i="5"/>
  <c r="AN72" i="5" s="1"/>
  <c r="AO80" i="5"/>
  <c r="AP80" i="5" s="1"/>
  <c r="AK80" i="5"/>
  <c r="AL80" i="5" s="1"/>
  <c r="AO90" i="5"/>
  <c r="AP90" i="5" s="1"/>
  <c r="AK90" i="5"/>
  <c r="AL90" i="5" s="1"/>
  <c r="AO93" i="5"/>
  <c r="AP93" i="5" s="1"/>
  <c r="AK93" i="5"/>
  <c r="AL93" i="5" s="1"/>
  <c r="AO122" i="5"/>
  <c r="AP122" i="5" s="1"/>
  <c r="AK122" i="5"/>
  <c r="AL122" i="5" s="1"/>
  <c r="AM122" i="5"/>
  <c r="AN122" i="5" s="1"/>
  <c r="AO134" i="5"/>
  <c r="AP134" i="5" s="1"/>
  <c r="AK134" i="5"/>
  <c r="AL134" i="5" s="1"/>
  <c r="AM134" i="5"/>
  <c r="AN134" i="5" s="1"/>
  <c r="AO71" i="5"/>
  <c r="AP71" i="5" s="1"/>
  <c r="AM73" i="5"/>
  <c r="AN73" i="5" s="1"/>
  <c r="AO78" i="5"/>
  <c r="AP78" i="5" s="1"/>
  <c r="AK78" i="5"/>
  <c r="AL78" i="5" s="1"/>
  <c r="AK79" i="5"/>
  <c r="AL79" i="5" s="1"/>
  <c r="AO81" i="5"/>
  <c r="AP81" i="5" s="1"/>
  <c r="AK81" i="5"/>
  <c r="AL81" i="5" s="1"/>
  <c r="AO84" i="5"/>
  <c r="AP84" i="5" s="1"/>
  <c r="AK84" i="5"/>
  <c r="AL84" i="5" s="1"/>
  <c r="AO105" i="5"/>
  <c r="AP105" i="5" s="1"/>
  <c r="AK105" i="5"/>
  <c r="AL105" i="5" s="1"/>
  <c r="AM105" i="5"/>
  <c r="AN105" i="5" s="1"/>
  <c r="AO109" i="5"/>
  <c r="AP109" i="5" s="1"/>
  <c r="AK109" i="5"/>
  <c r="AL109" i="5" s="1"/>
  <c r="AM109" i="5"/>
  <c r="AN109" i="5" s="1"/>
  <c r="AO117" i="5"/>
  <c r="AP117" i="5" s="1"/>
  <c r="AK117" i="5"/>
  <c r="AL117" i="5" s="1"/>
  <c r="AM117" i="5"/>
  <c r="AN117" i="5" s="1"/>
  <c r="AO74" i="5"/>
  <c r="AP74" i="5" s="1"/>
  <c r="AK74" i="5"/>
  <c r="AL74" i="5" s="1"/>
  <c r="AM74" i="5"/>
  <c r="AN74" i="5" s="1"/>
  <c r="AM75" i="5"/>
  <c r="AN75" i="5" s="1"/>
  <c r="AO76" i="5"/>
  <c r="AP76" i="5" s="1"/>
  <c r="AK76" i="5"/>
  <c r="AL76" i="5" s="1"/>
  <c r="AM80" i="5"/>
  <c r="AN80" i="5" s="1"/>
  <c r="AO82" i="5"/>
  <c r="AP82" i="5" s="1"/>
  <c r="AK82" i="5"/>
  <c r="AL82" i="5" s="1"/>
  <c r="AK83" i="5"/>
  <c r="AL83" i="5" s="1"/>
  <c r="AO85" i="5"/>
  <c r="AP85" i="5" s="1"/>
  <c r="AK85" i="5"/>
  <c r="AL85" i="5" s="1"/>
  <c r="AO88" i="5"/>
  <c r="AP88" i="5" s="1"/>
  <c r="AK88" i="5"/>
  <c r="AL88" i="5" s="1"/>
  <c r="AM90" i="5"/>
  <c r="AN90" i="5" s="1"/>
  <c r="AO91" i="5"/>
  <c r="AP91" i="5" s="1"/>
  <c r="AM93" i="5"/>
  <c r="AN93" i="5" s="1"/>
  <c r="AO98" i="5"/>
  <c r="AP98" i="5" s="1"/>
  <c r="AK98" i="5"/>
  <c r="AL98" i="5" s="1"/>
  <c r="AK99" i="5"/>
  <c r="AL99" i="5" s="1"/>
  <c r="AO101" i="5"/>
  <c r="AP101" i="5" s="1"/>
  <c r="AK101" i="5"/>
  <c r="AL101" i="5" s="1"/>
  <c r="AO104" i="5"/>
  <c r="AP104" i="5" s="1"/>
  <c r="AK104" i="5"/>
  <c r="AL104" i="5" s="1"/>
  <c r="AM104" i="5"/>
  <c r="AN104" i="5" s="1"/>
  <c r="AO108" i="5"/>
  <c r="AP108" i="5" s="1"/>
  <c r="AK108" i="5"/>
  <c r="AL108" i="5" s="1"/>
  <c r="AM108" i="5"/>
  <c r="AN108" i="5" s="1"/>
  <c r="AO112" i="5"/>
  <c r="AP112" i="5" s="1"/>
  <c r="AK112" i="5"/>
  <c r="AL112" i="5" s="1"/>
  <c r="AM112" i="5"/>
  <c r="AN112" i="5" s="1"/>
  <c r="AO116" i="5"/>
  <c r="AP116" i="5" s="1"/>
  <c r="AK116" i="5"/>
  <c r="AL116" i="5" s="1"/>
  <c r="AM116" i="5"/>
  <c r="AN116" i="5" s="1"/>
  <c r="AO120" i="5"/>
  <c r="AP120" i="5" s="1"/>
  <c r="AK120" i="5"/>
  <c r="AL120" i="5" s="1"/>
  <c r="AM120" i="5"/>
  <c r="AN120" i="5" s="1"/>
  <c r="AO124" i="5"/>
  <c r="AP124" i="5" s="1"/>
  <c r="AK124" i="5"/>
  <c r="AL124" i="5" s="1"/>
  <c r="AM124" i="5"/>
  <c r="AN124" i="5" s="1"/>
  <c r="AO128" i="5"/>
  <c r="AP128" i="5" s="1"/>
  <c r="AK128" i="5"/>
  <c r="AL128" i="5" s="1"/>
  <c r="AM128" i="5"/>
  <c r="AN128" i="5" s="1"/>
  <c r="AO132" i="5"/>
  <c r="AP132" i="5" s="1"/>
  <c r="AK132" i="5"/>
  <c r="AL132" i="5" s="1"/>
  <c r="AM132" i="5"/>
  <c r="AN132" i="5" s="1"/>
  <c r="AO136" i="5"/>
  <c r="AP136" i="5" s="1"/>
  <c r="AK136" i="5"/>
  <c r="AL136" i="5" s="1"/>
  <c r="AM136" i="5"/>
  <c r="AN136" i="5" s="1"/>
  <c r="AO140" i="5"/>
  <c r="AP140" i="5" s="1"/>
  <c r="AK140" i="5"/>
  <c r="AL140" i="5" s="1"/>
  <c r="AM140" i="5"/>
  <c r="AN140" i="5" s="1"/>
  <c r="AO144" i="5"/>
  <c r="AP144" i="5" s="1"/>
  <c r="AK144" i="5"/>
  <c r="AL144" i="5" s="1"/>
  <c r="AM144" i="5"/>
  <c r="AN144" i="5" s="1"/>
  <c r="AO148" i="5"/>
  <c r="AP148" i="5" s="1"/>
  <c r="AK148" i="5"/>
  <c r="AL148" i="5" s="1"/>
  <c r="AM148" i="5"/>
  <c r="AN148" i="5" s="1"/>
  <c r="AO152" i="5"/>
  <c r="AP152" i="5" s="1"/>
  <c r="AK152" i="5"/>
  <c r="AL152" i="5" s="1"/>
  <c r="AM152" i="5"/>
  <c r="AN152" i="5" s="1"/>
  <c r="AO156" i="5"/>
  <c r="AP156" i="5" s="1"/>
  <c r="AK156" i="5"/>
  <c r="AL156" i="5" s="1"/>
  <c r="AM156" i="5"/>
  <c r="AN156" i="5" s="1"/>
  <c r="AK160" i="5"/>
  <c r="AL160" i="5" s="1"/>
  <c r="AO160" i="5"/>
  <c r="AP160" i="5" s="1"/>
  <c r="AO70" i="5"/>
  <c r="AP70" i="5" s="1"/>
  <c r="AK70" i="5"/>
  <c r="AL70" i="5" s="1"/>
  <c r="AM70" i="5"/>
  <c r="AN70" i="5" s="1"/>
  <c r="AO77" i="5"/>
  <c r="AP77" i="5" s="1"/>
  <c r="AK77" i="5"/>
  <c r="AL77" i="5" s="1"/>
  <c r="AO96" i="5"/>
  <c r="AP96" i="5" s="1"/>
  <c r="AK96" i="5"/>
  <c r="AL96" i="5" s="1"/>
  <c r="AO106" i="5"/>
  <c r="AP106" i="5" s="1"/>
  <c r="AK106" i="5"/>
  <c r="AL106" i="5" s="1"/>
  <c r="AM106" i="5"/>
  <c r="AN106" i="5" s="1"/>
  <c r="AO130" i="5"/>
  <c r="AP130" i="5" s="1"/>
  <c r="AK130" i="5"/>
  <c r="AL130" i="5" s="1"/>
  <c r="AM130" i="5"/>
  <c r="AN130" i="5" s="1"/>
  <c r="AO138" i="5"/>
  <c r="AP138" i="5" s="1"/>
  <c r="AK138" i="5"/>
  <c r="AL138" i="5" s="1"/>
  <c r="AM138" i="5"/>
  <c r="AN138" i="5" s="1"/>
  <c r="AO142" i="5"/>
  <c r="AP142" i="5" s="1"/>
  <c r="AK142" i="5"/>
  <c r="AL142" i="5" s="1"/>
  <c r="AM142" i="5"/>
  <c r="AN142" i="5" s="1"/>
  <c r="AO146" i="5"/>
  <c r="AP146" i="5" s="1"/>
  <c r="AK146" i="5"/>
  <c r="AL146" i="5" s="1"/>
  <c r="AM146" i="5"/>
  <c r="AN146" i="5" s="1"/>
  <c r="AO158" i="5"/>
  <c r="AP158" i="5" s="1"/>
  <c r="AK158" i="5"/>
  <c r="AL158" i="5" s="1"/>
  <c r="AM158" i="5"/>
  <c r="AN158" i="5" s="1"/>
  <c r="AM78" i="5"/>
  <c r="AN78" i="5" s="1"/>
  <c r="AO79" i="5"/>
  <c r="AP79" i="5" s="1"/>
  <c r="AM81" i="5"/>
  <c r="AN81" i="5" s="1"/>
  <c r="AM84" i="5"/>
  <c r="AN84" i="5" s="1"/>
  <c r="AO86" i="5"/>
  <c r="AP86" i="5" s="1"/>
  <c r="AK86" i="5"/>
  <c r="AL86" i="5" s="1"/>
  <c r="AK87" i="5"/>
  <c r="AL87" i="5" s="1"/>
  <c r="AO89" i="5"/>
  <c r="AP89" i="5" s="1"/>
  <c r="AK89" i="5"/>
  <c r="AL89" i="5" s="1"/>
  <c r="AO92" i="5"/>
  <c r="AP92" i="5" s="1"/>
  <c r="AK92" i="5"/>
  <c r="AL92" i="5" s="1"/>
  <c r="AM94" i="5"/>
  <c r="AN94" i="5" s="1"/>
  <c r="AO95" i="5"/>
  <c r="AP95" i="5" s="1"/>
  <c r="AM97" i="5"/>
  <c r="AN97" i="5" s="1"/>
  <c r="AM100" i="5"/>
  <c r="AN100" i="5" s="1"/>
  <c r="AO102" i="5"/>
  <c r="AP102" i="5" s="1"/>
  <c r="AK102" i="5"/>
  <c r="AL102" i="5" s="1"/>
  <c r="AK103" i="5"/>
  <c r="AL103" i="5" s="1"/>
  <c r="AM160" i="5"/>
  <c r="AN160" i="5" s="1"/>
  <c r="AO163" i="5"/>
  <c r="AP163" i="5" s="1"/>
  <c r="AK163" i="5"/>
  <c r="AL163" i="5" s="1"/>
  <c r="AM163" i="5"/>
  <c r="AN163" i="5" s="1"/>
  <c r="AO167" i="5"/>
  <c r="AP167" i="5" s="1"/>
  <c r="AK167" i="5"/>
  <c r="AL167" i="5" s="1"/>
  <c r="AM167" i="5"/>
  <c r="AN167" i="5" s="1"/>
  <c r="AO171" i="5"/>
  <c r="AP171" i="5" s="1"/>
  <c r="AK171" i="5"/>
  <c r="AL171" i="5" s="1"/>
  <c r="AM171" i="5"/>
  <c r="AN171" i="5" s="1"/>
  <c r="AO175" i="5"/>
  <c r="AP175" i="5" s="1"/>
  <c r="AK175" i="5"/>
  <c r="AL175" i="5" s="1"/>
  <c r="AM175" i="5"/>
  <c r="AN175" i="5" s="1"/>
  <c r="AO179" i="5"/>
  <c r="AP179" i="5" s="1"/>
  <c r="AK179" i="5"/>
  <c r="AL179" i="5" s="1"/>
  <c r="AM179" i="5"/>
  <c r="AN179" i="5" s="1"/>
  <c r="AO183" i="5"/>
  <c r="AP183" i="5" s="1"/>
  <c r="AK183" i="5"/>
  <c r="AL183" i="5" s="1"/>
  <c r="AM183" i="5"/>
  <c r="AN183" i="5" s="1"/>
  <c r="AO231" i="5"/>
  <c r="AP231" i="5" s="1"/>
  <c r="AK231" i="5"/>
  <c r="AL231" i="5" s="1"/>
  <c r="AM231" i="5"/>
  <c r="AN231" i="5" s="1"/>
  <c r="AO235" i="5"/>
  <c r="AP235" i="5" s="1"/>
  <c r="AK235" i="5"/>
  <c r="AL235" i="5" s="1"/>
  <c r="AM235" i="5"/>
  <c r="AN235" i="5" s="1"/>
  <c r="AO239" i="5"/>
  <c r="AP239" i="5" s="1"/>
  <c r="AK239" i="5"/>
  <c r="AL239" i="5" s="1"/>
  <c r="AM239" i="5"/>
  <c r="AN239" i="5" s="1"/>
  <c r="AO187" i="5"/>
  <c r="AP187" i="5" s="1"/>
  <c r="AK187" i="5"/>
  <c r="AL187" i="5" s="1"/>
  <c r="AO191" i="5"/>
  <c r="AP191" i="5" s="1"/>
  <c r="AK191" i="5"/>
  <c r="AL191" i="5" s="1"/>
  <c r="AO195" i="5"/>
  <c r="AP195" i="5" s="1"/>
  <c r="AK195" i="5"/>
  <c r="AL195" i="5" s="1"/>
  <c r="AO199" i="5"/>
  <c r="AP199" i="5" s="1"/>
  <c r="AK199" i="5"/>
  <c r="AL199" i="5" s="1"/>
  <c r="AO203" i="5"/>
  <c r="AP203" i="5" s="1"/>
  <c r="AK203" i="5"/>
  <c r="AL203" i="5" s="1"/>
  <c r="AO207" i="5"/>
  <c r="AP207" i="5" s="1"/>
  <c r="AK207" i="5"/>
  <c r="AL207" i="5" s="1"/>
  <c r="AO211" i="5"/>
  <c r="AP211" i="5" s="1"/>
  <c r="AK211" i="5"/>
  <c r="AL211" i="5" s="1"/>
  <c r="AO215" i="5"/>
  <c r="AP215" i="5" s="1"/>
  <c r="AK215" i="5"/>
  <c r="AL215" i="5" s="1"/>
  <c r="AO219" i="5"/>
  <c r="AP219" i="5" s="1"/>
  <c r="AK219" i="5"/>
  <c r="AL219" i="5" s="1"/>
  <c r="AO223" i="5"/>
  <c r="AP223" i="5" s="1"/>
  <c r="AK223" i="5"/>
  <c r="AL223" i="5" s="1"/>
  <c r="AO227" i="5"/>
  <c r="AP227" i="5" s="1"/>
  <c r="AK227" i="5"/>
  <c r="AL227" i="5" s="1"/>
  <c r="AM300" i="5"/>
  <c r="AN300" i="5" s="1"/>
  <c r="AO300" i="5"/>
  <c r="AP300" i="5" s="1"/>
  <c r="AK300" i="5"/>
  <c r="AL300" i="5" s="1"/>
  <c r="AM302" i="5"/>
  <c r="AN302" i="5" s="1"/>
  <c r="AO302" i="5"/>
  <c r="AP302" i="5" s="1"/>
  <c r="AK302" i="5"/>
  <c r="AL302" i="5" s="1"/>
  <c r="AK241" i="5"/>
  <c r="AL241" i="5" s="1"/>
  <c r="AM242" i="5"/>
  <c r="AN242" i="5" s="1"/>
  <c r="AM244" i="5"/>
  <c r="AN244" i="5" s="1"/>
  <c r="AM289" i="5"/>
  <c r="AN289" i="5" s="1"/>
  <c r="AM292" i="5"/>
  <c r="AN292" i="5" s="1"/>
  <c r="AO292" i="5"/>
  <c r="AP292" i="5" s="1"/>
  <c r="AM294" i="5"/>
  <c r="AN294" i="5" s="1"/>
  <c r="AO294" i="5"/>
  <c r="AP294" i="5" s="1"/>
  <c r="AM297" i="5"/>
  <c r="AN297" i="5" s="1"/>
  <c r="AO297" i="5"/>
  <c r="AP297" i="5" s="1"/>
  <c r="AM293" i="5"/>
  <c r="AN293" i="5" s="1"/>
  <c r="AM296" i="5"/>
  <c r="AN296" i="5" s="1"/>
  <c r="AK293" i="5"/>
  <c r="AL293" i="5" s="1"/>
  <c r="AK296" i="5"/>
  <c r="AL296" i="5" s="1"/>
  <c r="AM298" i="5"/>
  <c r="AN298" i="5" s="1"/>
  <c r="AM301" i="5"/>
  <c r="AN301" i="5" s="1"/>
  <c r="AM333" i="5"/>
  <c r="AN333" i="5" s="1"/>
  <c r="AO391" i="5"/>
  <c r="AP391" i="5" s="1"/>
  <c r="AK391" i="5"/>
  <c r="AL391" i="5" s="1"/>
  <c r="AM391" i="5"/>
  <c r="AN391" i="5" s="1"/>
  <c r="AO335" i="5"/>
  <c r="AP335" i="5" s="1"/>
  <c r="AK335" i="5"/>
  <c r="AL335" i="5" s="1"/>
  <c r="AM335" i="5"/>
  <c r="AN335" i="5" s="1"/>
  <c r="AO339" i="5"/>
  <c r="AP339" i="5" s="1"/>
  <c r="AK339" i="5"/>
  <c r="AL339" i="5" s="1"/>
  <c r="AM339" i="5"/>
  <c r="AN339" i="5" s="1"/>
  <c r="AO343" i="5"/>
  <c r="AP343" i="5" s="1"/>
  <c r="AK343" i="5"/>
  <c r="AL343" i="5" s="1"/>
  <c r="AM343" i="5"/>
  <c r="AN343" i="5" s="1"/>
  <c r="AO347" i="5"/>
  <c r="AP347" i="5" s="1"/>
  <c r="AK347" i="5"/>
  <c r="AL347" i="5" s="1"/>
  <c r="AM347" i="5"/>
  <c r="AN347" i="5" s="1"/>
  <c r="AO351" i="5"/>
  <c r="AP351" i="5" s="1"/>
  <c r="AK351" i="5"/>
  <c r="AL351" i="5" s="1"/>
  <c r="AM351" i="5"/>
  <c r="AN351" i="5" s="1"/>
  <c r="AO355" i="5"/>
  <c r="AP355" i="5" s="1"/>
  <c r="AK355" i="5"/>
  <c r="AL355" i="5" s="1"/>
  <c r="AM355" i="5"/>
  <c r="AN355" i="5" s="1"/>
  <c r="AO371" i="5"/>
  <c r="AP371" i="5" s="1"/>
  <c r="AK371" i="5"/>
  <c r="AL371" i="5" s="1"/>
  <c r="AM371" i="5"/>
  <c r="AN371" i="5" s="1"/>
  <c r="AO375" i="5"/>
  <c r="AP375" i="5" s="1"/>
  <c r="AK375" i="5"/>
  <c r="AL375" i="5" s="1"/>
  <c r="AM375" i="5"/>
  <c r="AN375" i="5" s="1"/>
  <c r="AK359" i="5"/>
  <c r="AL359" i="5" s="1"/>
  <c r="AK363" i="5"/>
  <c r="AL363" i="5" s="1"/>
  <c r="AK367" i="5"/>
  <c r="AL367" i="5" s="1"/>
  <c r="AO387" i="5"/>
  <c r="AP387" i="5" s="1"/>
  <c r="AK387" i="5"/>
  <c r="AL387" i="5" s="1"/>
  <c r="AO395" i="5"/>
  <c r="AP395" i="5" s="1"/>
  <c r="AK395" i="5"/>
  <c r="AL395" i="5" s="1"/>
  <c r="AM395" i="5"/>
  <c r="AN395" i="5" s="1"/>
  <c r="AK379" i="5"/>
  <c r="AL379" i="5" s="1"/>
  <c r="AM403" i="5"/>
  <c r="AN403" i="5" s="1"/>
  <c r="AK399" i="5"/>
  <c r="AL399" i="5" s="1"/>
  <c r="AK403" i="5"/>
  <c r="AL403" i="5" s="1"/>
  <c r="AJ12" i="6" l="1"/>
  <c r="AL15" i="5"/>
  <c r="AL19" i="5"/>
  <c r="AL38" i="5"/>
  <c r="AP7" i="6"/>
  <c r="AJ7" i="6"/>
  <c r="AL7" i="6"/>
  <c r="AK2" i="5"/>
  <c r="AL11" i="6"/>
  <c r="AP11" i="6"/>
  <c r="AN7" i="5"/>
  <c r="AL7" i="5"/>
  <c r="AJ8" i="6"/>
  <c r="AL8" i="6"/>
  <c r="AN31" i="5"/>
  <c r="AN47" i="5"/>
  <c r="AL35" i="5"/>
  <c r="AP51" i="5"/>
  <c r="AP39" i="5"/>
  <c r="AF9" i="6"/>
  <c r="AL9" i="6"/>
  <c r="AP10" i="6"/>
  <c r="AJ11" i="6"/>
  <c r="AJ15" i="6"/>
  <c r="AJ23" i="6"/>
  <c r="AJ19" i="6"/>
  <c r="AF11" i="6"/>
  <c r="AF15" i="6"/>
  <c r="AF19" i="6"/>
  <c r="AF23" i="6"/>
  <c r="AH19" i="6"/>
  <c r="AH23" i="6"/>
  <c r="AL9" i="5"/>
  <c r="AN12" i="5"/>
  <c r="AL11" i="5"/>
  <c r="J2" i="4" l="1"/>
  <c r="AE8" i="5" l="1"/>
  <c r="AF8" i="5" s="1"/>
  <c r="AE10" i="5"/>
  <c r="AF10" i="5" s="1"/>
  <c r="AE9" i="5"/>
  <c r="G2" i="4"/>
  <c r="AO10" i="5"/>
  <c r="Y10" i="5"/>
  <c r="AI10" i="5" s="1"/>
  <c r="AJ10" i="5" s="1"/>
  <c r="Y9" i="5"/>
  <c r="Y8" i="5"/>
  <c r="AI8" i="5" s="1"/>
  <c r="Y7" i="5"/>
  <c r="AY7" i="5"/>
  <c r="AM8" i="5"/>
  <c r="AN37" i="5" s="1"/>
  <c r="AS7" i="5"/>
  <c r="AG10" i="5"/>
  <c r="AG9" i="5"/>
  <c r="AH9" i="5" s="1"/>
  <c r="AG8" i="5"/>
  <c r="AE7" i="5"/>
  <c r="S7" i="5"/>
  <c r="AB7" i="5"/>
  <c r="AG7" i="5"/>
  <c r="U27" i="8"/>
  <c r="U21" i="8"/>
  <c r="U12" i="8"/>
  <c r="U6" i="8"/>
  <c r="AH7" i="5" l="1"/>
  <c r="AO2" i="5"/>
  <c r="AP36" i="5"/>
  <c r="AP10" i="5"/>
  <c r="BF9" i="5"/>
  <c r="BF10" i="5"/>
  <c r="BI10" i="5" s="1"/>
  <c r="BF7" i="5"/>
  <c r="BF8" i="5"/>
  <c r="AF9" i="5"/>
  <c r="AH10" i="5"/>
  <c r="AF7" i="5"/>
  <c r="Z9" i="5"/>
  <c r="BD9" i="5" s="1"/>
  <c r="AI9" i="5"/>
  <c r="AJ9" i="5" s="1"/>
  <c r="L2" i="4"/>
  <c r="Z7" i="5"/>
  <c r="BD7" i="5" s="1"/>
  <c r="AI7" i="5"/>
  <c r="AH8" i="5"/>
  <c r="AN8" i="5"/>
  <c r="AV7" i="5"/>
  <c r="BA7" i="5"/>
  <c r="Z8" i="5"/>
  <c r="BD8" i="5" s="1"/>
  <c r="AQ8" i="5"/>
  <c r="AR8" i="5" s="1"/>
  <c r="AQ10" i="5"/>
  <c r="AR10" i="5" s="1"/>
  <c r="Z10" i="5"/>
  <c r="BD10" i="5" s="1"/>
  <c r="AQ7" i="5"/>
  <c r="AR7" i="5" s="1"/>
  <c r="T7" i="5"/>
  <c r="U7" i="5"/>
  <c r="BB7" i="5" s="1"/>
  <c r="AQ9" i="5"/>
  <c r="AR9" i="5" s="1"/>
  <c r="K10" i="13"/>
  <c r="M10" i="13" s="1"/>
  <c r="K11" i="13"/>
  <c r="M11" i="13" s="1"/>
  <c r="K12" i="13"/>
  <c r="M12" i="13" s="1"/>
  <c r="K13" i="13"/>
  <c r="M13" i="13" s="1"/>
  <c r="K14" i="13"/>
  <c r="M14" i="13" s="1"/>
  <c r="K9" i="13"/>
  <c r="M9" i="13" s="1"/>
  <c r="K3" i="13"/>
  <c r="M3" i="13" s="1"/>
  <c r="K4" i="13"/>
  <c r="M4" i="13" s="1"/>
  <c r="K5" i="13"/>
  <c r="M5" i="13" s="1"/>
  <c r="K6" i="13"/>
  <c r="M6" i="13" s="1"/>
  <c r="K7" i="13"/>
  <c r="M7" i="13" s="1"/>
  <c r="K2" i="13"/>
  <c r="M2" i="13" s="1"/>
  <c r="AJ7" i="5" l="1"/>
  <c r="AJ8" i="5"/>
  <c r="BI9" i="5"/>
  <c r="BL9" i="5" s="1"/>
  <c r="BI8" i="5"/>
  <c r="BL8" i="5" s="1"/>
  <c r="BI7" i="5"/>
  <c r="BL7" i="5" s="1"/>
  <c r="BL10" i="5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G403" i="5"/>
  <c r="G404" i="5"/>
  <c r="E405" i="5"/>
  <c r="G405" i="5"/>
  <c r="K101" i="4" s="1"/>
  <c r="J101" i="4" l="1"/>
  <c r="J99" i="4"/>
  <c r="J97" i="4"/>
  <c r="J95" i="4"/>
  <c r="J93" i="4"/>
  <c r="J91" i="4"/>
  <c r="J89" i="4"/>
  <c r="J88" i="4"/>
  <c r="J85" i="4"/>
  <c r="J83" i="4"/>
  <c r="J81" i="4"/>
  <c r="J79" i="4"/>
  <c r="J77" i="4"/>
  <c r="J75" i="4"/>
  <c r="J73" i="4"/>
  <c r="J71" i="4"/>
  <c r="J100" i="4"/>
  <c r="J98" i="4"/>
  <c r="J96" i="4"/>
  <c r="J94" i="4"/>
  <c r="J92" i="4"/>
  <c r="J90" i="4"/>
  <c r="J87" i="4"/>
  <c r="J86" i="4"/>
  <c r="J84" i="4"/>
  <c r="J82" i="4"/>
  <c r="J80" i="4"/>
  <c r="J78" i="4"/>
  <c r="J76" i="4"/>
  <c r="J74" i="4"/>
  <c r="J72" i="4"/>
  <c r="H38" i="17"/>
  <c r="H35" i="17"/>
  <c r="H32" i="17"/>
  <c r="S19" i="7" l="1"/>
  <c r="S22" i="7"/>
  <c r="S21" i="7"/>
  <c r="S20" i="7"/>
  <c r="S18" i="7"/>
  <c r="S17" i="7"/>
  <c r="S16" i="7"/>
  <c r="S15" i="7"/>
  <c r="S10" i="7"/>
  <c r="S9" i="7"/>
  <c r="S8" i="7"/>
  <c r="S7" i="7"/>
  <c r="S6" i="7"/>
  <c r="S5" i="7"/>
  <c r="S4" i="7"/>
  <c r="S3" i="7"/>
  <c r="P4" i="7"/>
  <c r="P5" i="7"/>
  <c r="P6" i="7"/>
  <c r="P7" i="7"/>
  <c r="P8" i="7"/>
  <c r="P9" i="7"/>
  <c r="P10" i="7"/>
  <c r="P14" i="7"/>
  <c r="P15" i="7"/>
  <c r="P16" i="7"/>
  <c r="P17" i="7"/>
  <c r="P18" i="7"/>
  <c r="P19" i="7"/>
  <c r="P20" i="7"/>
  <c r="P21" i="7"/>
  <c r="P22" i="7"/>
  <c r="P3" i="7"/>
  <c r="S22" i="13"/>
  <c r="S21" i="13"/>
  <c r="S20" i="13"/>
  <c r="S19" i="13"/>
  <c r="S18" i="13"/>
  <c r="S17" i="13"/>
  <c r="Q22" i="13"/>
  <c r="Q21" i="13"/>
  <c r="Q20" i="13"/>
  <c r="Q19" i="13"/>
  <c r="Q18" i="13"/>
  <c r="Q17" i="13"/>
  <c r="M22" i="13"/>
  <c r="M20" i="13"/>
  <c r="M19" i="13"/>
  <c r="M21" i="13"/>
  <c r="M18" i="13"/>
  <c r="M17" i="13"/>
  <c r="I20" i="13"/>
  <c r="G21" i="13"/>
  <c r="G20" i="13"/>
  <c r="K17" i="13"/>
  <c r="K18" i="13"/>
  <c r="K19" i="13"/>
  <c r="K20" i="13"/>
  <c r="K21" i="13"/>
  <c r="K22" i="13"/>
  <c r="I22" i="13"/>
  <c r="I21" i="13"/>
  <c r="I19" i="13"/>
  <c r="I18" i="13"/>
  <c r="I17" i="13"/>
  <c r="G22" i="13"/>
  <c r="G19" i="13"/>
  <c r="G18" i="13"/>
  <c r="G17" i="13"/>
  <c r="AC3" i="16" l="1"/>
  <c r="AC4" i="16"/>
  <c r="AC5" i="16"/>
  <c r="AC6" i="16"/>
  <c r="AC7" i="16"/>
  <c r="AC8" i="16"/>
  <c r="AC9" i="16"/>
  <c r="AC10" i="16"/>
  <c r="AC11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2" i="16"/>
  <c r="C3" i="13" l="1"/>
  <c r="E3" i="13"/>
  <c r="C4" i="13"/>
  <c r="E4" i="13"/>
  <c r="C5" i="13"/>
  <c r="E5" i="13"/>
  <c r="C6" i="13"/>
  <c r="E6" i="13"/>
  <c r="C7" i="13"/>
  <c r="E7" i="13"/>
  <c r="C9" i="13"/>
  <c r="E9" i="13"/>
  <c r="C10" i="13"/>
  <c r="E10" i="13"/>
  <c r="C11" i="13"/>
  <c r="E11" i="13"/>
  <c r="C12" i="13"/>
  <c r="E12" i="13"/>
  <c r="C13" i="13"/>
  <c r="E13" i="13"/>
  <c r="C14" i="13"/>
  <c r="E14" i="13"/>
  <c r="E2" i="13"/>
  <c r="C2" i="13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F2" i="11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T13" i="12"/>
  <c r="S13" i="12"/>
  <c r="R13" i="12"/>
  <c r="Q13" i="12"/>
  <c r="P13" i="12"/>
  <c r="T12" i="12"/>
  <c r="S12" i="12"/>
  <c r="R12" i="12"/>
  <c r="Q12" i="12"/>
  <c r="P12" i="12"/>
  <c r="T10" i="12"/>
  <c r="S10" i="12"/>
  <c r="R10" i="12"/>
  <c r="Q10" i="12"/>
  <c r="P10" i="12"/>
  <c r="T9" i="12"/>
  <c r="S9" i="12"/>
  <c r="R9" i="12"/>
  <c r="Q9" i="12"/>
  <c r="P9" i="12"/>
  <c r="T11" i="12"/>
  <c r="S11" i="12"/>
  <c r="R11" i="12"/>
  <c r="Q11" i="12"/>
  <c r="P11" i="12"/>
  <c r="O13" i="12"/>
  <c r="O12" i="12"/>
  <c r="O11" i="12"/>
  <c r="O10" i="12"/>
  <c r="O9" i="12"/>
  <c r="T8" i="12"/>
  <c r="S8" i="12"/>
  <c r="R8" i="12"/>
  <c r="Q8" i="12"/>
  <c r="P8" i="12"/>
  <c r="O8" i="12"/>
  <c r="N13" i="12"/>
  <c r="M13" i="12"/>
  <c r="L13" i="12"/>
  <c r="K13" i="12"/>
  <c r="N12" i="12"/>
  <c r="M12" i="12"/>
  <c r="L12" i="12"/>
  <c r="K12" i="12"/>
  <c r="N11" i="12"/>
  <c r="M11" i="12"/>
  <c r="L11" i="12"/>
  <c r="K11" i="12"/>
  <c r="N10" i="12"/>
  <c r="M10" i="12"/>
  <c r="L10" i="12"/>
  <c r="N9" i="12"/>
  <c r="M9" i="12"/>
  <c r="L9" i="12"/>
  <c r="K10" i="12"/>
  <c r="K9" i="12"/>
  <c r="N8" i="12"/>
  <c r="M8" i="12"/>
  <c r="L8" i="12"/>
  <c r="K8" i="12"/>
  <c r="F4" i="12"/>
  <c r="F3" i="12"/>
  <c r="D4" i="12"/>
  <c r="D3" i="12"/>
  <c r="F19" i="17"/>
  <c r="M12" i="11"/>
  <c r="P12" i="11"/>
  <c r="K12" i="11"/>
  <c r="M13" i="11"/>
  <c r="P13" i="11"/>
  <c r="K13" i="11"/>
  <c r="M14" i="11"/>
  <c r="P14" i="11"/>
  <c r="K14" i="11"/>
  <c r="M15" i="11"/>
  <c r="P15" i="11"/>
  <c r="K15" i="11"/>
  <c r="M16" i="11"/>
  <c r="P16" i="11"/>
  <c r="K16" i="11"/>
  <c r="M17" i="11"/>
  <c r="P17" i="11"/>
  <c r="K17" i="11"/>
  <c r="M18" i="11"/>
  <c r="P18" i="11"/>
  <c r="K18" i="11"/>
  <c r="M19" i="11"/>
  <c r="P19" i="11"/>
  <c r="K19" i="11"/>
  <c r="M20" i="11"/>
  <c r="P20" i="11"/>
  <c r="K20" i="11"/>
  <c r="M21" i="11"/>
  <c r="P21" i="11"/>
  <c r="K21" i="11"/>
  <c r="M22" i="11"/>
  <c r="P22" i="11"/>
  <c r="K22" i="11"/>
  <c r="M23" i="11"/>
  <c r="P23" i="11"/>
  <c r="K23" i="11"/>
  <c r="M24" i="11"/>
  <c r="P24" i="11"/>
  <c r="K24" i="11"/>
  <c r="M25" i="11"/>
  <c r="P25" i="11"/>
  <c r="K25" i="11"/>
  <c r="M26" i="11"/>
  <c r="P26" i="11"/>
  <c r="K26" i="11"/>
  <c r="M27" i="11"/>
  <c r="P27" i="11"/>
  <c r="K27" i="11"/>
  <c r="M28" i="11"/>
  <c r="P28" i="11"/>
  <c r="K28" i="11"/>
  <c r="M29" i="11"/>
  <c r="P29" i="11"/>
  <c r="K29" i="11"/>
  <c r="M30" i="11"/>
  <c r="P30" i="11"/>
  <c r="K30" i="11"/>
  <c r="M31" i="11"/>
  <c r="P31" i="11"/>
  <c r="K31" i="11"/>
  <c r="M32" i="11"/>
  <c r="P32" i="11"/>
  <c r="K32" i="11"/>
  <c r="M33" i="11"/>
  <c r="P33" i="11"/>
  <c r="K33" i="11"/>
  <c r="M34" i="11"/>
  <c r="P34" i="11"/>
  <c r="K34" i="11"/>
  <c r="M35" i="11"/>
  <c r="P35" i="11"/>
  <c r="K35" i="11"/>
  <c r="M36" i="11"/>
  <c r="P36" i="11"/>
  <c r="K36" i="11"/>
  <c r="M37" i="11"/>
  <c r="P37" i="11"/>
  <c r="K37" i="11"/>
  <c r="M38" i="11"/>
  <c r="P38" i="11"/>
  <c r="K38" i="11"/>
  <c r="M39" i="11"/>
  <c r="P39" i="11"/>
  <c r="K39" i="11"/>
  <c r="M40" i="11"/>
  <c r="P40" i="11"/>
  <c r="K40" i="11"/>
  <c r="M41" i="11"/>
  <c r="P41" i="11"/>
  <c r="K41" i="11"/>
  <c r="M42" i="11"/>
  <c r="P42" i="11"/>
  <c r="K42" i="11"/>
  <c r="M43" i="11"/>
  <c r="P43" i="11"/>
  <c r="K43" i="11"/>
  <c r="M44" i="11"/>
  <c r="P44" i="11"/>
  <c r="K44" i="11"/>
  <c r="M45" i="11"/>
  <c r="P45" i="11"/>
  <c r="K45" i="11"/>
  <c r="M46" i="11"/>
  <c r="P46" i="11"/>
  <c r="K46" i="11"/>
  <c r="M47" i="11"/>
  <c r="P47" i="11"/>
  <c r="K47" i="11"/>
  <c r="M48" i="11"/>
  <c r="P48" i="11"/>
  <c r="K48" i="11"/>
  <c r="M49" i="11"/>
  <c r="P49" i="11"/>
  <c r="K49" i="11"/>
  <c r="M50" i="11"/>
  <c r="P50" i="11"/>
  <c r="K50" i="11"/>
  <c r="M51" i="11"/>
  <c r="P51" i="11"/>
  <c r="K51" i="11"/>
  <c r="M52" i="11"/>
  <c r="P52" i="11"/>
  <c r="K52" i="11"/>
  <c r="M53" i="11"/>
  <c r="P53" i="11"/>
  <c r="K53" i="11"/>
  <c r="M54" i="11"/>
  <c r="P54" i="11"/>
  <c r="K54" i="11"/>
  <c r="M55" i="11"/>
  <c r="P55" i="11"/>
  <c r="K55" i="11"/>
  <c r="M56" i="11"/>
  <c r="P56" i="11"/>
  <c r="K56" i="11"/>
  <c r="M57" i="11"/>
  <c r="P57" i="11"/>
  <c r="K57" i="11"/>
  <c r="M58" i="11"/>
  <c r="P58" i="11"/>
  <c r="K58" i="11"/>
  <c r="M59" i="11"/>
  <c r="P59" i="11"/>
  <c r="K59" i="11"/>
  <c r="M60" i="11"/>
  <c r="P60" i="11"/>
  <c r="K60" i="11"/>
  <c r="M61" i="11"/>
  <c r="P61" i="11"/>
  <c r="K61" i="11"/>
  <c r="M62" i="11"/>
  <c r="P62" i="11"/>
  <c r="K62" i="11"/>
  <c r="M63" i="11"/>
  <c r="P63" i="11"/>
  <c r="K63" i="11"/>
  <c r="M64" i="11"/>
  <c r="P64" i="11"/>
  <c r="K64" i="11"/>
  <c r="M65" i="11"/>
  <c r="P65" i="11"/>
  <c r="K65" i="11"/>
  <c r="M66" i="11"/>
  <c r="P66" i="11"/>
  <c r="K66" i="11"/>
  <c r="M67" i="11"/>
  <c r="P67" i="11"/>
  <c r="K67" i="11"/>
  <c r="M68" i="11"/>
  <c r="P68" i="11"/>
  <c r="K68" i="11"/>
  <c r="M69" i="11"/>
  <c r="P69" i="11"/>
  <c r="K69" i="11"/>
  <c r="M70" i="11"/>
  <c r="P70" i="11"/>
  <c r="K70" i="11"/>
  <c r="M71" i="11"/>
  <c r="P71" i="11"/>
  <c r="K71" i="11"/>
  <c r="M72" i="11"/>
  <c r="P72" i="11"/>
  <c r="K72" i="11"/>
  <c r="M73" i="11"/>
  <c r="P73" i="11"/>
  <c r="K73" i="11"/>
  <c r="M74" i="11"/>
  <c r="P74" i="11"/>
  <c r="K74" i="11"/>
  <c r="M75" i="11"/>
  <c r="P75" i="11"/>
  <c r="K75" i="11"/>
  <c r="M76" i="11"/>
  <c r="P76" i="11"/>
  <c r="K76" i="11"/>
  <c r="M77" i="11"/>
  <c r="P77" i="11"/>
  <c r="K77" i="11"/>
  <c r="M78" i="11"/>
  <c r="P78" i="11"/>
  <c r="K78" i="11"/>
  <c r="M79" i="11"/>
  <c r="P79" i="11"/>
  <c r="K79" i="11"/>
  <c r="M80" i="11"/>
  <c r="P80" i="11"/>
  <c r="K80" i="11"/>
  <c r="M81" i="11"/>
  <c r="P81" i="11"/>
  <c r="K81" i="11"/>
  <c r="M82" i="11"/>
  <c r="P82" i="11"/>
  <c r="K82" i="11"/>
  <c r="M83" i="11"/>
  <c r="P83" i="11"/>
  <c r="K83" i="11"/>
  <c r="M84" i="11"/>
  <c r="P84" i="11"/>
  <c r="K84" i="11"/>
  <c r="M85" i="11"/>
  <c r="P85" i="11"/>
  <c r="K85" i="11"/>
  <c r="M86" i="11"/>
  <c r="P86" i="11"/>
  <c r="K86" i="11"/>
  <c r="M87" i="11"/>
  <c r="P87" i="11"/>
  <c r="K87" i="11"/>
  <c r="M88" i="11"/>
  <c r="P88" i="11"/>
  <c r="K88" i="11"/>
  <c r="M89" i="11"/>
  <c r="P89" i="11"/>
  <c r="K89" i="11"/>
  <c r="M90" i="11"/>
  <c r="P90" i="11"/>
  <c r="K90" i="11"/>
  <c r="M91" i="11"/>
  <c r="P91" i="11"/>
  <c r="K91" i="11"/>
  <c r="M92" i="11"/>
  <c r="P92" i="11"/>
  <c r="K92" i="11"/>
  <c r="M93" i="11"/>
  <c r="P93" i="11"/>
  <c r="K93" i="11"/>
  <c r="M94" i="11"/>
  <c r="P94" i="11"/>
  <c r="K94" i="11"/>
  <c r="M95" i="11"/>
  <c r="P95" i="11"/>
  <c r="K95" i="11"/>
  <c r="M96" i="11"/>
  <c r="P96" i="11"/>
  <c r="K96" i="11"/>
  <c r="M97" i="11"/>
  <c r="P97" i="11"/>
  <c r="K97" i="11"/>
  <c r="M98" i="11"/>
  <c r="P98" i="11"/>
  <c r="K98" i="11"/>
  <c r="M99" i="11"/>
  <c r="P99" i="11"/>
  <c r="K99" i="11"/>
  <c r="M100" i="11"/>
  <c r="P100" i="11"/>
  <c r="K100" i="11"/>
  <c r="M101" i="11"/>
  <c r="P101" i="11"/>
  <c r="K101" i="11"/>
  <c r="M71" i="4"/>
  <c r="P71" i="4"/>
  <c r="N71" i="4"/>
  <c r="M72" i="4"/>
  <c r="P72" i="4"/>
  <c r="N72" i="4"/>
  <c r="M73" i="4"/>
  <c r="P73" i="4"/>
  <c r="N73" i="4"/>
  <c r="M74" i="4"/>
  <c r="P74" i="4"/>
  <c r="N74" i="4"/>
  <c r="M75" i="4"/>
  <c r="P75" i="4"/>
  <c r="N75" i="4"/>
  <c r="M76" i="4"/>
  <c r="P76" i="4"/>
  <c r="N76" i="4"/>
  <c r="M77" i="4"/>
  <c r="P77" i="4"/>
  <c r="N77" i="4"/>
  <c r="M78" i="4"/>
  <c r="P78" i="4"/>
  <c r="N78" i="4"/>
  <c r="M79" i="4"/>
  <c r="P79" i="4"/>
  <c r="N79" i="4"/>
  <c r="M80" i="4"/>
  <c r="P80" i="4"/>
  <c r="N80" i="4"/>
  <c r="M81" i="4"/>
  <c r="P81" i="4"/>
  <c r="N81" i="4"/>
  <c r="M82" i="4"/>
  <c r="P82" i="4"/>
  <c r="N82" i="4"/>
  <c r="M83" i="4"/>
  <c r="P83" i="4"/>
  <c r="N83" i="4"/>
  <c r="M84" i="4"/>
  <c r="P84" i="4"/>
  <c r="N84" i="4"/>
  <c r="M85" i="4"/>
  <c r="P85" i="4"/>
  <c r="N85" i="4"/>
  <c r="M86" i="4"/>
  <c r="P86" i="4"/>
  <c r="N86" i="4"/>
  <c r="M87" i="4"/>
  <c r="P87" i="4"/>
  <c r="N87" i="4"/>
  <c r="M88" i="4"/>
  <c r="P88" i="4"/>
  <c r="N88" i="4"/>
  <c r="M89" i="4"/>
  <c r="P89" i="4"/>
  <c r="N89" i="4"/>
  <c r="M90" i="4"/>
  <c r="P90" i="4"/>
  <c r="N90" i="4"/>
  <c r="M91" i="4"/>
  <c r="P91" i="4"/>
  <c r="N91" i="4"/>
  <c r="M92" i="4"/>
  <c r="P92" i="4"/>
  <c r="N92" i="4"/>
  <c r="M93" i="4"/>
  <c r="P93" i="4"/>
  <c r="N93" i="4"/>
  <c r="M94" i="4"/>
  <c r="P94" i="4"/>
  <c r="N94" i="4"/>
  <c r="M95" i="4"/>
  <c r="P95" i="4"/>
  <c r="N95" i="4"/>
  <c r="M96" i="4"/>
  <c r="P96" i="4"/>
  <c r="N96" i="4"/>
  <c r="M97" i="4"/>
  <c r="P97" i="4"/>
  <c r="N97" i="4"/>
  <c r="M98" i="4"/>
  <c r="P98" i="4"/>
  <c r="N98" i="4"/>
  <c r="M99" i="4"/>
  <c r="P99" i="4"/>
  <c r="N99" i="4"/>
  <c r="M100" i="4"/>
  <c r="P100" i="4"/>
  <c r="N100" i="4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82" i="10"/>
  <c r="K81" i="10"/>
  <c r="K80" i="10"/>
  <c r="K79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V24" i="16"/>
  <c r="V25" i="16"/>
  <c r="R24" i="16"/>
  <c r="R25" i="16"/>
  <c r="V3" i="16"/>
  <c r="V4" i="16"/>
  <c r="V5" i="16"/>
  <c r="V6" i="16"/>
  <c r="V7" i="16"/>
  <c r="V8" i="16"/>
  <c r="V9" i="16"/>
  <c r="V10" i="16"/>
  <c r="V11" i="16"/>
  <c r="V13" i="16"/>
  <c r="V14" i="16"/>
  <c r="V15" i="16"/>
  <c r="V16" i="16"/>
  <c r="V17" i="16"/>
  <c r="V18" i="16"/>
  <c r="V19" i="16"/>
  <c r="V20" i="16"/>
  <c r="V21" i="16"/>
  <c r="V22" i="16"/>
  <c r="V2" i="16"/>
  <c r="R3" i="16"/>
  <c r="R4" i="16"/>
  <c r="R5" i="16"/>
  <c r="R6" i="16"/>
  <c r="R7" i="16"/>
  <c r="R8" i="16"/>
  <c r="R9" i="16"/>
  <c r="R10" i="16"/>
  <c r="R11" i="16"/>
  <c r="R13" i="16"/>
  <c r="R14" i="16"/>
  <c r="R15" i="16"/>
  <c r="R16" i="16"/>
  <c r="R17" i="16"/>
  <c r="R18" i="16"/>
  <c r="R19" i="16"/>
  <c r="R20" i="16"/>
  <c r="R21" i="16"/>
  <c r="R22" i="16"/>
  <c r="R2" i="16"/>
  <c r="N101" i="11" l="1"/>
  <c r="J101" i="11"/>
  <c r="N100" i="11"/>
  <c r="J100" i="11"/>
  <c r="N99" i="11"/>
  <c r="J99" i="11"/>
  <c r="N98" i="11"/>
  <c r="J98" i="11"/>
  <c r="N97" i="11"/>
  <c r="J97" i="11"/>
  <c r="N96" i="11"/>
  <c r="J96" i="11"/>
  <c r="N95" i="11"/>
  <c r="J95" i="11"/>
  <c r="N94" i="11"/>
  <c r="J94" i="11"/>
  <c r="N93" i="11"/>
  <c r="J93" i="11"/>
  <c r="N92" i="11"/>
  <c r="J92" i="11"/>
  <c r="N91" i="11"/>
  <c r="J91" i="11"/>
  <c r="N90" i="11"/>
  <c r="J90" i="11"/>
  <c r="N89" i="11"/>
  <c r="J89" i="11"/>
  <c r="N88" i="11"/>
  <c r="J88" i="11"/>
  <c r="N87" i="11"/>
  <c r="J87" i="11"/>
  <c r="N86" i="11"/>
  <c r="J86" i="11"/>
  <c r="N85" i="11"/>
  <c r="J85" i="11"/>
  <c r="N84" i="11"/>
  <c r="J84" i="11"/>
  <c r="N83" i="11"/>
  <c r="J83" i="11"/>
  <c r="N82" i="11"/>
  <c r="J82" i="11"/>
  <c r="N81" i="11"/>
  <c r="J81" i="11"/>
  <c r="N80" i="11"/>
  <c r="J80" i="11"/>
  <c r="N79" i="11"/>
  <c r="J79" i="11"/>
  <c r="N78" i="11"/>
  <c r="J78" i="11"/>
  <c r="N77" i="11"/>
  <c r="J77" i="11"/>
  <c r="N76" i="11"/>
  <c r="J76" i="11"/>
  <c r="N75" i="11"/>
  <c r="J75" i="11"/>
  <c r="N74" i="11"/>
  <c r="J74" i="11"/>
  <c r="N73" i="11"/>
  <c r="J73" i="11"/>
  <c r="N72" i="11"/>
  <c r="J72" i="11"/>
  <c r="N71" i="11"/>
  <c r="J71" i="11"/>
  <c r="N70" i="11"/>
  <c r="J70" i="11"/>
  <c r="N69" i="11"/>
  <c r="J69" i="11"/>
  <c r="N68" i="11"/>
  <c r="J68" i="11"/>
  <c r="N67" i="11"/>
  <c r="J67" i="11"/>
  <c r="N66" i="11"/>
  <c r="J66" i="11"/>
  <c r="N65" i="11"/>
  <c r="J65" i="11"/>
  <c r="N64" i="11"/>
  <c r="J64" i="11"/>
  <c r="N63" i="11"/>
  <c r="J63" i="11"/>
  <c r="N62" i="11"/>
  <c r="J62" i="11"/>
  <c r="N61" i="11"/>
  <c r="J61" i="11"/>
  <c r="N60" i="11"/>
  <c r="J60" i="11"/>
  <c r="N59" i="11"/>
  <c r="J59" i="11"/>
  <c r="N58" i="11"/>
  <c r="J58" i="11"/>
  <c r="N57" i="11"/>
  <c r="J57" i="11"/>
  <c r="N56" i="11"/>
  <c r="J56" i="11"/>
  <c r="N55" i="11"/>
  <c r="J55" i="11"/>
  <c r="N54" i="11"/>
  <c r="J54" i="11"/>
  <c r="N53" i="11"/>
  <c r="J53" i="11"/>
  <c r="N52" i="11"/>
  <c r="J52" i="11"/>
  <c r="N51" i="11"/>
  <c r="J51" i="11"/>
  <c r="N50" i="11"/>
  <c r="J50" i="11"/>
  <c r="N49" i="11"/>
  <c r="J49" i="11"/>
  <c r="N48" i="11"/>
  <c r="J48" i="11"/>
  <c r="N47" i="11"/>
  <c r="J47" i="11"/>
  <c r="N46" i="11"/>
  <c r="J46" i="11"/>
  <c r="N45" i="11"/>
  <c r="J45" i="11"/>
  <c r="N44" i="11"/>
  <c r="J44" i="11"/>
  <c r="N43" i="11"/>
  <c r="J43" i="11"/>
  <c r="N42" i="11"/>
  <c r="J42" i="11"/>
  <c r="N41" i="11"/>
  <c r="J41" i="11"/>
  <c r="N40" i="11"/>
  <c r="J40" i="11"/>
  <c r="N39" i="11"/>
  <c r="J39" i="11"/>
  <c r="N38" i="11"/>
  <c r="J38" i="11"/>
  <c r="N37" i="11"/>
  <c r="J37" i="11"/>
  <c r="N36" i="11"/>
  <c r="J36" i="11"/>
  <c r="N35" i="11"/>
  <c r="J35" i="11"/>
  <c r="N34" i="11"/>
  <c r="J34" i="11"/>
  <c r="N33" i="11"/>
  <c r="J33" i="11"/>
  <c r="N32" i="11"/>
  <c r="J32" i="11"/>
  <c r="N31" i="11"/>
  <c r="J31" i="11"/>
  <c r="N30" i="11"/>
  <c r="J30" i="11"/>
  <c r="N29" i="11"/>
  <c r="J29" i="11"/>
  <c r="N28" i="11"/>
  <c r="J28" i="11"/>
  <c r="N27" i="11"/>
  <c r="J27" i="11"/>
  <c r="N26" i="11"/>
  <c r="J26" i="11"/>
  <c r="N25" i="11"/>
  <c r="J25" i="11"/>
  <c r="N24" i="11"/>
  <c r="J24" i="11"/>
  <c r="N23" i="11"/>
  <c r="J23" i="11"/>
  <c r="N22" i="11"/>
  <c r="J22" i="11"/>
  <c r="N21" i="11"/>
  <c r="J21" i="11"/>
  <c r="N20" i="11"/>
  <c r="J20" i="11"/>
  <c r="N19" i="11"/>
  <c r="J19" i="11"/>
  <c r="N18" i="11"/>
  <c r="J18" i="11"/>
  <c r="N17" i="11"/>
  <c r="J17" i="11"/>
  <c r="N16" i="11"/>
  <c r="J16" i="11"/>
  <c r="N15" i="11"/>
  <c r="J15" i="11"/>
  <c r="N14" i="11"/>
  <c r="J14" i="11"/>
  <c r="N13" i="11"/>
  <c r="J13" i="11"/>
  <c r="N12" i="11"/>
  <c r="J12" i="11"/>
  <c r="C10" i="4"/>
  <c r="C26" i="4"/>
  <c r="C42" i="4"/>
  <c r="C58" i="4"/>
  <c r="C74" i="4"/>
  <c r="C90" i="4"/>
  <c r="C14" i="4"/>
  <c r="C30" i="4"/>
  <c r="C46" i="4"/>
  <c r="C62" i="4"/>
  <c r="C78" i="4"/>
  <c r="C94" i="4"/>
  <c r="C18" i="4"/>
  <c r="C50" i="4"/>
  <c r="C82" i="4"/>
  <c r="C22" i="4"/>
  <c r="C54" i="4"/>
  <c r="C86" i="4"/>
  <c r="C34" i="4"/>
  <c r="C66" i="4"/>
  <c r="C98" i="4"/>
  <c r="B6" i="13"/>
  <c r="C5" i="4"/>
  <c r="C2" i="4"/>
  <c r="D13" i="13"/>
  <c r="E3" i="12"/>
  <c r="D4" i="13"/>
  <c r="C70" i="4"/>
  <c r="C38" i="4"/>
  <c r="F3" i="13"/>
  <c r="F7" i="13"/>
  <c r="F12" i="13"/>
  <c r="F4" i="13"/>
  <c r="F9" i="13"/>
  <c r="F13" i="13"/>
  <c r="F5" i="13"/>
  <c r="F10" i="13"/>
  <c r="F14" i="13"/>
  <c r="B3" i="13"/>
  <c r="B7" i="13"/>
  <c r="B12" i="13"/>
  <c r="C100" i="11"/>
  <c r="C98" i="11"/>
  <c r="C96" i="11"/>
  <c r="C94" i="11"/>
  <c r="C92" i="11"/>
  <c r="C90" i="11"/>
  <c r="C88" i="11"/>
  <c r="C86" i="11"/>
  <c r="C84" i="11"/>
  <c r="C82" i="11"/>
  <c r="C80" i="11"/>
  <c r="C78" i="11"/>
  <c r="C76" i="11"/>
  <c r="C74" i="11"/>
  <c r="C72" i="11"/>
  <c r="C70" i="11"/>
  <c r="C68" i="11"/>
  <c r="C66" i="11"/>
  <c r="C64" i="11"/>
  <c r="C62" i="11"/>
  <c r="C60" i="11"/>
  <c r="C58" i="11"/>
  <c r="C56" i="11"/>
  <c r="C54" i="11"/>
  <c r="C52" i="11"/>
  <c r="C50" i="11"/>
  <c r="C48" i="11"/>
  <c r="C46" i="11"/>
  <c r="C44" i="11"/>
  <c r="C42" i="11"/>
  <c r="C40" i="11"/>
  <c r="C38" i="11"/>
  <c r="C36" i="11"/>
  <c r="C34" i="11"/>
  <c r="C32" i="11"/>
  <c r="C30" i="11"/>
  <c r="C28" i="11"/>
  <c r="C26" i="11"/>
  <c r="C24" i="11"/>
  <c r="C22" i="11"/>
  <c r="C20" i="11"/>
  <c r="C18" i="11"/>
  <c r="C16" i="11"/>
  <c r="C14" i="11"/>
  <c r="C12" i="11"/>
  <c r="C10" i="11"/>
  <c r="C8" i="11"/>
  <c r="C6" i="11"/>
  <c r="C4" i="11"/>
  <c r="C2" i="11"/>
  <c r="B4" i="13"/>
  <c r="B9" i="13"/>
  <c r="B13" i="13"/>
  <c r="C6" i="4"/>
  <c r="B5" i="13"/>
  <c r="B10" i="13"/>
  <c r="B14" i="13"/>
  <c r="C101" i="11"/>
  <c r="C99" i="11"/>
  <c r="C97" i="11"/>
  <c r="C95" i="11"/>
  <c r="C93" i="11"/>
  <c r="C91" i="11"/>
  <c r="C89" i="11"/>
  <c r="C87" i="11"/>
  <c r="C85" i="11"/>
  <c r="C83" i="11"/>
  <c r="C81" i="11"/>
  <c r="C79" i="11"/>
  <c r="C77" i="11"/>
  <c r="C75" i="11"/>
  <c r="C73" i="11"/>
  <c r="C71" i="11"/>
  <c r="C69" i="11"/>
  <c r="C67" i="11"/>
  <c r="C65" i="11"/>
  <c r="C63" i="11"/>
  <c r="C61" i="11"/>
  <c r="C59" i="11"/>
  <c r="C57" i="11"/>
  <c r="C55" i="11"/>
  <c r="C53" i="11"/>
  <c r="C51" i="11"/>
  <c r="C49" i="11"/>
  <c r="C47" i="11"/>
  <c r="C45" i="11"/>
  <c r="C43" i="11"/>
  <c r="C41" i="11"/>
  <c r="C39" i="11"/>
  <c r="C37" i="11"/>
  <c r="C35" i="11"/>
  <c r="C33" i="11"/>
  <c r="C31" i="11"/>
  <c r="C29" i="11"/>
  <c r="C27" i="11"/>
  <c r="C25" i="11"/>
  <c r="C23" i="11"/>
  <c r="C21" i="11"/>
  <c r="C19" i="11"/>
  <c r="C17" i="11"/>
  <c r="C15" i="11"/>
  <c r="C13" i="11"/>
  <c r="C11" i="11"/>
  <c r="C9" i="11"/>
  <c r="C7" i="11"/>
  <c r="C5" i="11"/>
  <c r="C3" i="11"/>
  <c r="C3" i="4"/>
  <c r="E4" i="12"/>
  <c r="C101" i="4"/>
  <c r="C97" i="4"/>
  <c r="C93" i="4"/>
  <c r="C89" i="4"/>
  <c r="C85" i="4"/>
  <c r="C81" i="4"/>
  <c r="C77" i="4"/>
  <c r="C73" i="4"/>
  <c r="C69" i="4"/>
  <c r="C65" i="4"/>
  <c r="C61" i="4"/>
  <c r="C57" i="4"/>
  <c r="C53" i="4"/>
  <c r="C49" i="4"/>
  <c r="C45" i="4"/>
  <c r="C41" i="4"/>
  <c r="C37" i="4"/>
  <c r="C33" i="4"/>
  <c r="C29" i="4"/>
  <c r="C25" i="4"/>
  <c r="C21" i="4"/>
  <c r="C17" i="4"/>
  <c r="C13" i="4"/>
  <c r="C9" i="4"/>
  <c r="C4" i="4"/>
  <c r="B11" i="13"/>
  <c r="D9" i="13"/>
  <c r="F6" i="13"/>
  <c r="C100" i="4"/>
  <c r="C96" i="4"/>
  <c r="C92" i="4"/>
  <c r="C88" i="4"/>
  <c r="C84" i="4"/>
  <c r="C80" i="4"/>
  <c r="C76" i="4"/>
  <c r="C72" i="4"/>
  <c r="C68" i="4"/>
  <c r="C64" i="4"/>
  <c r="C60" i="4"/>
  <c r="C56" i="4"/>
  <c r="C52" i="4"/>
  <c r="C48" i="4"/>
  <c r="C44" i="4"/>
  <c r="C40" i="4"/>
  <c r="C36" i="4"/>
  <c r="C32" i="4"/>
  <c r="C28" i="4"/>
  <c r="C24" i="4"/>
  <c r="C20" i="4"/>
  <c r="C16" i="4"/>
  <c r="C12" i="4"/>
  <c r="C8" i="4"/>
  <c r="F2" i="13"/>
  <c r="F11" i="13"/>
  <c r="D5" i="13"/>
  <c r="D10" i="13"/>
  <c r="D14" i="13"/>
  <c r="D6" i="13"/>
  <c r="D11" i="13"/>
  <c r="D2" i="13"/>
  <c r="D3" i="13"/>
  <c r="D7" i="13"/>
  <c r="D12" i="13"/>
  <c r="C99" i="4"/>
  <c r="C95" i="4"/>
  <c r="C91" i="4"/>
  <c r="C87" i="4"/>
  <c r="C83" i="4"/>
  <c r="C79" i="4"/>
  <c r="C75" i="4"/>
  <c r="C71" i="4"/>
  <c r="C67" i="4"/>
  <c r="C63" i="4"/>
  <c r="C59" i="4"/>
  <c r="C55" i="4"/>
  <c r="C51" i="4"/>
  <c r="C47" i="4"/>
  <c r="C43" i="4"/>
  <c r="C39" i="4"/>
  <c r="C35" i="4"/>
  <c r="C31" i="4"/>
  <c r="C27" i="4"/>
  <c r="C23" i="4"/>
  <c r="C19" i="4"/>
  <c r="C15" i="4"/>
  <c r="C11" i="4"/>
  <c r="C7" i="4"/>
  <c r="B2" i="13"/>
  <c r="U3" i="8"/>
  <c r="G71" i="1" l="1"/>
  <c r="D71" i="1"/>
  <c r="E71" i="1"/>
  <c r="G72" i="1"/>
  <c r="D72" i="1"/>
  <c r="E72" i="1"/>
  <c r="G73" i="1"/>
  <c r="D73" i="1"/>
  <c r="E73" i="1"/>
  <c r="G74" i="1"/>
  <c r="D74" i="1"/>
  <c r="E74" i="1"/>
  <c r="G75" i="1"/>
  <c r="D75" i="1"/>
  <c r="E75" i="1"/>
  <c r="G76" i="1"/>
  <c r="D76" i="1"/>
  <c r="E76" i="1"/>
  <c r="G77" i="1"/>
  <c r="D77" i="1"/>
  <c r="E77" i="1"/>
  <c r="G78" i="1"/>
  <c r="D78" i="1"/>
  <c r="E78" i="1"/>
  <c r="G79" i="1"/>
  <c r="D79" i="1"/>
  <c r="E79" i="1"/>
  <c r="G80" i="1"/>
  <c r="D80" i="1"/>
  <c r="E80" i="1"/>
  <c r="G81" i="1"/>
  <c r="D81" i="1"/>
  <c r="E81" i="1"/>
  <c r="G82" i="1"/>
  <c r="D82" i="1"/>
  <c r="E82" i="1"/>
  <c r="G83" i="1"/>
  <c r="D83" i="1"/>
  <c r="E83" i="1"/>
  <c r="G84" i="1"/>
  <c r="D84" i="1"/>
  <c r="E84" i="1"/>
  <c r="G85" i="1"/>
  <c r="D85" i="1"/>
  <c r="E85" i="1"/>
  <c r="G86" i="1"/>
  <c r="D86" i="1"/>
  <c r="E86" i="1"/>
  <c r="G87" i="1"/>
  <c r="D87" i="1"/>
  <c r="E87" i="1"/>
  <c r="G88" i="1"/>
  <c r="D88" i="1"/>
  <c r="E88" i="1"/>
  <c r="G89" i="1"/>
  <c r="D89" i="1"/>
  <c r="E89" i="1"/>
  <c r="G90" i="1"/>
  <c r="D90" i="1"/>
  <c r="E90" i="1"/>
  <c r="G91" i="1"/>
  <c r="D91" i="1"/>
  <c r="E91" i="1"/>
  <c r="G92" i="1"/>
  <c r="D92" i="1"/>
  <c r="E92" i="1"/>
  <c r="G93" i="1"/>
  <c r="D93" i="1"/>
  <c r="E93" i="1"/>
  <c r="G94" i="1"/>
  <c r="D94" i="1"/>
  <c r="E94" i="1"/>
  <c r="G95" i="1"/>
  <c r="D95" i="1"/>
  <c r="E95" i="1"/>
  <c r="G96" i="1"/>
  <c r="D96" i="1"/>
  <c r="E96" i="1"/>
  <c r="G97" i="1"/>
  <c r="D97" i="1"/>
  <c r="E97" i="1"/>
  <c r="G98" i="1"/>
  <c r="D98" i="1"/>
  <c r="E98" i="1"/>
  <c r="G99" i="1"/>
  <c r="D99" i="1"/>
  <c r="E99" i="1"/>
  <c r="G100" i="1"/>
  <c r="D100" i="1"/>
  <c r="E100" i="1"/>
  <c r="D403" i="5"/>
  <c r="H403" i="5" s="1"/>
  <c r="AX403" i="5" s="1"/>
  <c r="G12" i="10"/>
  <c r="D12" i="10"/>
  <c r="E12" i="10"/>
  <c r="G13" i="10"/>
  <c r="D13" i="10"/>
  <c r="E13" i="10"/>
  <c r="G14" i="10"/>
  <c r="D14" i="10"/>
  <c r="E14" i="10"/>
  <c r="G15" i="10"/>
  <c r="D15" i="10"/>
  <c r="E15" i="10"/>
  <c r="G16" i="10"/>
  <c r="D16" i="10"/>
  <c r="E16" i="10"/>
  <c r="G17" i="10"/>
  <c r="D17" i="10"/>
  <c r="E17" i="10"/>
  <c r="G18" i="10"/>
  <c r="D18" i="10"/>
  <c r="E18" i="10"/>
  <c r="G19" i="10"/>
  <c r="D19" i="10"/>
  <c r="E19" i="10"/>
  <c r="G20" i="10"/>
  <c r="D20" i="10"/>
  <c r="E20" i="10"/>
  <c r="G21" i="10"/>
  <c r="D21" i="10"/>
  <c r="E21" i="10"/>
  <c r="G22" i="10"/>
  <c r="D22" i="10"/>
  <c r="E22" i="10"/>
  <c r="G23" i="10"/>
  <c r="D23" i="10"/>
  <c r="E23" i="10"/>
  <c r="G24" i="10"/>
  <c r="D24" i="10"/>
  <c r="E24" i="10"/>
  <c r="G25" i="10"/>
  <c r="D25" i="10"/>
  <c r="E25" i="10"/>
  <c r="G26" i="10"/>
  <c r="D26" i="10"/>
  <c r="E26" i="10"/>
  <c r="G27" i="10"/>
  <c r="D27" i="10"/>
  <c r="E27" i="10"/>
  <c r="G28" i="10"/>
  <c r="D28" i="10"/>
  <c r="E28" i="10"/>
  <c r="G29" i="10"/>
  <c r="D29" i="10"/>
  <c r="E29" i="10"/>
  <c r="G30" i="10"/>
  <c r="D30" i="10"/>
  <c r="E30" i="10"/>
  <c r="G31" i="10"/>
  <c r="D31" i="10"/>
  <c r="E31" i="10"/>
  <c r="G32" i="10"/>
  <c r="D32" i="10"/>
  <c r="E32" i="10"/>
  <c r="G33" i="10"/>
  <c r="D33" i="10"/>
  <c r="E33" i="10"/>
  <c r="G34" i="10"/>
  <c r="D34" i="10"/>
  <c r="E34" i="10"/>
  <c r="G35" i="10"/>
  <c r="D35" i="10"/>
  <c r="E35" i="10"/>
  <c r="G36" i="10"/>
  <c r="D36" i="10"/>
  <c r="E36" i="10"/>
  <c r="G37" i="10"/>
  <c r="D37" i="10"/>
  <c r="E37" i="10"/>
  <c r="G38" i="10"/>
  <c r="D38" i="10"/>
  <c r="E38" i="10"/>
  <c r="G39" i="10"/>
  <c r="D39" i="10"/>
  <c r="E39" i="10"/>
  <c r="G40" i="10"/>
  <c r="D40" i="10"/>
  <c r="E40" i="10"/>
  <c r="G41" i="10"/>
  <c r="D41" i="10"/>
  <c r="E41" i="10"/>
  <c r="G42" i="10"/>
  <c r="D42" i="10"/>
  <c r="E42" i="10"/>
  <c r="G43" i="10"/>
  <c r="D43" i="10"/>
  <c r="E43" i="10"/>
  <c r="G44" i="10"/>
  <c r="D44" i="10"/>
  <c r="E44" i="10"/>
  <c r="G45" i="10"/>
  <c r="D45" i="10"/>
  <c r="E45" i="10"/>
  <c r="G46" i="10"/>
  <c r="D46" i="10"/>
  <c r="E46" i="10"/>
  <c r="G47" i="10"/>
  <c r="D47" i="10"/>
  <c r="E47" i="10"/>
  <c r="G48" i="10"/>
  <c r="D48" i="10"/>
  <c r="E48" i="10"/>
  <c r="G49" i="10"/>
  <c r="D49" i="10"/>
  <c r="E49" i="10"/>
  <c r="G50" i="10"/>
  <c r="D50" i="10"/>
  <c r="E50" i="10"/>
  <c r="G51" i="10"/>
  <c r="D51" i="10"/>
  <c r="E51" i="10"/>
  <c r="G52" i="10"/>
  <c r="D52" i="10"/>
  <c r="E52" i="10"/>
  <c r="G53" i="10"/>
  <c r="D53" i="10"/>
  <c r="E53" i="10"/>
  <c r="G54" i="10"/>
  <c r="D54" i="10"/>
  <c r="E54" i="10"/>
  <c r="G55" i="10"/>
  <c r="D55" i="10"/>
  <c r="E55" i="10"/>
  <c r="G56" i="10"/>
  <c r="D56" i="10"/>
  <c r="E56" i="10"/>
  <c r="G57" i="10"/>
  <c r="D57" i="10"/>
  <c r="E57" i="10"/>
  <c r="G58" i="10"/>
  <c r="D58" i="10"/>
  <c r="E58" i="10"/>
  <c r="G59" i="10"/>
  <c r="D59" i="10"/>
  <c r="E59" i="10"/>
  <c r="G60" i="10"/>
  <c r="D60" i="10"/>
  <c r="E60" i="10"/>
  <c r="G61" i="10"/>
  <c r="D61" i="10"/>
  <c r="E61" i="10"/>
  <c r="G62" i="10"/>
  <c r="D62" i="10"/>
  <c r="E62" i="10"/>
  <c r="G63" i="10"/>
  <c r="D63" i="10"/>
  <c r="E63" i="10"/>
  <c r="G64" i="10"/>
  <c r="D64" i="10"/>
  <c r="E64" i="10"/>
  <c r="G65" i="10"/>
  <c r="D65" i="10"/>
  <c r="E65" i="10"/>
  <c r="G66" i="10"/>
  <c r="D66" i="10"/>
  <c r="E66" i="10"/>
  <c r="G67" i="10"/>
  <c r="D67" i="10"/>
  <c r="E67" i="10"/>
  <c r="G68" i="10"/>
  <c r="D68" i="10"/>
  <c r="E68" i="10"/>
  <c r="G69" i="10"/>
  <c r="D69" i="10"/>
  <c r="E69" i="10"/>
  <c r="G70" i="10"/>
  <c r="D70" i="10"/>
  <c r="E70" i="10"/>
  <c r="G71" i="10"/>
  <c r="D71" i="10"/>
  <c r="E71" i="10"/>
  <c r="G72" i="10"/>
  <c r="D72" i="10"/>
  <c r="E72" i="10"/>
  <c r="G73" i="10"/>
  <c r="D73" i="10"/>
  <c r="E73" i="10"/>
  <c r="G74" i="10"/>
  <c r="D74" i="10"/>
  <c r="E74" i="10"/>
  <c r="G75" i="10"/>
  <c r="D75" i="10"/>
  <c r="E75" i="10"/>
  <c r="G76" i="10"/>
  <c r="D76" i="10"/>
  <c r="E76" i="10"/>
  <c r="G77" i="10"/>
  <c r="D77" i="10"/>
  <c r="E77" i="10"/>
  <c r="G78" i="10"/>
  <c r="D78" i="10"/>
  <c r="E78" i="10"/>
  <c r="G79" i="10"/>
  <c r="D79" i="10"/>
  <c r="E79" i="10"/>
  <c r="G80" i="10"/>
  <c r="D80" i="10"/>
  <c r="E80" i="10"/>
  <c r="G81" i="10"/>
  <c r="D81" i="10"/>
  <c r="E81" i="10"/>
  <c r="G82" i="10"/>
  <c r="D82" i="10"/>
  <c r="E82" i="10"/>
  <c r="G83" i="10"/>
  <c r="D83" i="10"/>
  <c r="E83" i="10"/>
  <c r="G84" i="10"/>
  <c r="D84" i="10"/>
  <c r="E84" i="10"/>
  <c r="G85" i="10"/>
  <c r="D85" i="10"/>
  <c r="E85" i="10"/>
  <c r="G86" i="10"/>
  <c r="D86" i="10"/>
  <c r="E86" i="10"/>
  <c r="G87" i="10"/>
  <c r="D87" i="10"/>
  <c r="E87" i="10"/>
  <c r="G88" i="10"/>
  <c r="D88" i="10"/>
  <c r="E88" i="10"/>
  <c r="G90" i="10"/>
  <c r="D90" i="10"/>
  <c r="E90" i="10"/>
  <c r="G91" i="10"/>
  <c r="D91" i="10"/>
  <c r="E91" i="10"/>
  <c r="G92" i="10"/>
  <c r="D92" i="10"/>
  <c r="E92" i="10"/>
  <c r="G93" i="10"/>
  <c r="D93" i="10"/>
  <c r="E93" i="10"/>
  <c r="G94" i="10"/>
  <c r="D94" i="10"/>
  <c r="E94" i="10"/>
  <c r="G95" i="10"/>
  <c r="D95" i="10"/>
  <c r="E95" i="10"/>
  <c r="G96" i="10"/>
  <c r="D96" i="10"/>
  <c r="E96" i="10"/>
  <c r="G97" i="10"/>
  <c r="D97" i="10"/>
  <c r="E97" i="10"/>
  <c r="G98" i="10"/>
  <c r="D98" i="10"/>
  <c r="E98" i="10"/>
  <c r="G99" i="10"/>
  <c r="D99" i="10"/>
  <c r="E99" i="10"/>
  <c r="G100" i="10"/>
  <c r="D100" i="10"/>
  <c r="E100" i="10"/>
  <c r="D403" i="6"/>
  <c r="H403" i="6" l="1"/>
  <c r="AX403" i="6" s="1"/>
  <c r="F403" i="6"/>
  <c r="E403" i="6"/>
  <c r="M69" i="4"/>
  <c r="M67" i="4"/>
  <c r="M65" i="4"/>
  <c r="M63" i="4"/>
  <c r="M61" i="4"/>
  <c r="M59" i="4"/>
  <c r="M57" i="4"/>
  <c r="M55" i="4"/>
  <c r="M53" i="4"/>
  <c r="M51" i="4"/>
  <c r="M49" i="4"/>
  <c r="M47" i="4"/>
  <c r="M46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70" i="4"/>
  <c r="M68" i="4"/>
  <c r="M66" i="4"/>
  <c r="M64" i="4"/>
  <c r="M62" i="4"/>
  <c r="M60" i="4"/>
  <c r="M58" i="4"/>
  <c r="M56" i="4"/>
  <c r="M54" i="4"/>
  <c r="M52" i="4"/>
  <c r="M50" i="4"/>
  <c r="M48" i="4"/>
  <c r="M45" i="4"/>
  <c r="B3" i="4"/>
  <c r="M3" i="4"/>
  <c r="E403" i="5"/>
  <c r="F403" i="5"/>
  <c r="H101" i="4" s="1"/>
  <c r="B99" i="1"/>
  <c r="H99" i="4"/>
  <c r="G97" i="4"/>
  <c r="H97" i="4"/>
  <c r="H95" i="4"/>
  <c r="B93" i="1"/>
  <c r="H93" i="4"/>
  <c r="H91" i="4"/>
  <c r="G89" i="4"/>
  <c r="H89" i="4"/>
  <c r="H85" i="4"/>
  <c r="G83" i="4"/>
  <c r="H83" i="4"/>
  <c r="H81" i="4"/>
  <c r="G79" i="4"/>
  <c r="H79" i="4"/>
  <c r="B77" i="1"/>
  <c r="H75" i="4"/>
  <c r="G73" i="4"/>
  <c r="H73" i="4"/>
  <c r="H71" i="4"/>
  <c r="H70" i="4"/>
  <c r="H69" i="4"/>
  <c r="C68" i="1"/>
  <c r="F68" i="1" s="1"/>
  <c r="H67" i="4"/>
  <c r="H66" i="4"/>
  <c r="H65" i="4"/>
  <c r="H64" i="4"/>
  <c r="H63" i="4"/>
  <c r="H62" i="4"/>
  <c r="C61" i="1"/>
  <c r="F61" i="1" s="1"/>
  <c r="H60" i="4"/>
  <c r="H59" i="4"/>
  <c r="C58" i="1"/>
  <c r="F58" i="1" s="1"/>
  <c r="H57" i="4"/>
  <c r="H56" i="4"/>
  <c r="H55" i="4"/>
  <c r="C54" i="1"/>
  <c r="F54" i="1" s="1"/>
  <c r="H53" i="4"/>
  <c r="H52" i="4"/>
  <c r="H51" i="4"/>
  <c r="C50" i="1"/>
  <c r="F50" i="1" s="1"/>
  <c r="H49" i="4"/>
  <c r="C48" i="1"/>
  <c r="F48" i="1" s="1"/>
  <c r="H47" i="4"/>
  <c r="C46" i="1"/>
  <c r="F46" i="1" s="1"/>
  <c r="H45" i="4"/>
  <c r="C44" i="1"/>
  <c r="F44" i="1" s="1"/>
  <c r="H43" i="4"/>
  <c r="H42" i="4"/>
  <c r="H41" i="4"/>
  <c r="H40" i="4"/>
  <c r="H38" i="4"/>
  <c r="C37" i="1"/>
  <c r="F37" i="1" s="1"/>
  <c r="H36" i="4"/>
  <c r="H34" i="4"/>
  <c r="C33" i="1"/>
  <c r="F33" i="1" s="1"/>
  <c r="H32" i="4"/>
  <c r="H31" i="4"/>
  <c r="C30" i="1"/>
  <c r="F30" i="1" s="1"/>
  <c r="H29" i="4"/>
  <c r="C28" i="1"/>
  <c r="F28" i="1" s="1"/>
  <c r="H27" i="4"/>
  <c r="H26" i="4"/>
  <c r="H25" i="4"/>
  <c r="H24" i="4"/>
  <c r="H23" i="4"/>
  <c r="H22" i="4"/>
  <c r="H21" i="4"/>
  <c r="H20" i="4"/>
  <c r="H19" i="4"/>
  <c r="H18" i="4"/>
  <c r="C17" i="1"/>
  <c r="F17" i="1" s="1"/>
  <c r="H16" i="4"/>
  <c r="H15" i="4"/>
  <c r="H14" i="4"/>
  <c r="M2" i="4"/>
  <c r="J11" i="11"/>
  <c r="M11" i="11"/>
  <c r="J10" i="11"/>
  <c r="M10" i="11"/>
  <c r="J9" i="11"/>
  <c r="M9" i="11"/>
  <c r="J8" i="11"/>
  <c r="M8" i="11"/>
  <c r="J7" i="11"/>
  <c r="M7" i="11"/>
  <c r="K6" i="11"/>
  <c r="M6" i="11"/>
  <c r="P6" i="11"/>
  <c r="K5" i="11"/>
  <c r="M5" i="11"/>
  <c r="P5" i="11"/>
  <c r="H13" i="4"/>
  <c r="M13" i="4"/>
  <c r="M12" i="4"/>
  <c r="M11" i="4"/>
  <c r="H11" i="4"/>
  <c r="C10" i="1"/>
  <c r="F10" i="1" s="1"/>
  <c r="M10" i="4"/>
  <c r="M9" i="4"/>
  <c r="M8" i="4"/>
  <c r="P8" i="4"/>
  <c r="D7" i="1"/>
  <c r="H7" i="4"/>
  <c r="M7" i="4"/>
  <c r="P7" i="4"/>
  <c r="D6" i="1"/>
  <c r="H6" i="4"/>
  <c r="K6" i="4"/>
  <c r="M6" i="4"/>
  <c r="P6" i="4"/>
  <c r="N5" i="4"/>
  <c r="H5" i="4"/>
  <c r="K5" i="4"/>
  <c r="M5" i="4"/>
  <c r="P5" i="4"/>
  <c r="H4" i="4"/>
  <c r="K4" i="4"/>
  <c r="M4" i="4"/>
  <c r="P4" i="4"/>
  <c r="N101" i="4"/>
  <c r="M101" i="4"/>
  <c r="P101" i="4"/>
  <c r="B101" i="11"/>
  <c r="L101" i="11" s="1"/>
  <c r="H101" i="11"/>
  <c r="A101" i="10"/>
  <c r="B99" i="11"/>
  <c r="L99" i="11" s="1"/>
  <c r="G99" i="11"/>
  <c r="I99" i="11" s="1"/>
  <c r="A99" i="10"/>
  <c r="H99" i="11"/>
  <c r="B97" i="11"/>
  <c r="L97" i="11" s="1"/>
  <c r="G97" i="11"/>
  <c r="I97" i="11" s="1"/>
  <c r="H97" i="11"/>
  <c r="A97" i="10"/>
  <c r="B95" i="11"/>
  <c r="L95" i="11" s="1"/>
  <c r="G95" i="11"/>
  <c r="I95" i="11" s="1"/>
  <c r="A95" i="10"/>
  <c r="H95" i="11"/>
  <c r="B94" i="11"/>
  <c r="L94" i="11" s="1"/>
  <c r="H94" i="11"/>
  <c r="A94" i="10"/>
  <c r="G94" i="11"/>
  <c r="I94" i="11" s="1"/>
  <c r="B93" i="11"/>
  <c r="L93" i="11" s="1"/>
  <c r="G93" i="11"/>
  <c r="I93" i="11" s="1"/>
  <c r="H93" i="11"/>
  <c r="A93" i="10"/>
  <c r="B92" i="11"/>
  <c r="L92" i="11" s="1"/>
  <c r="H92" i="11"/>
  <c r="A92" i="10"/>
  <c r="G92" i="11"/>
  <c r="I92" i="11" s="1"/>
  <c r="B91" i="11"/>
  <c r="L91" i="11" s="1"/>
  <c r="G91" i="11"/>
  <c r="I91" i="11" s="1"/>
  <c r="A91" i="10"/>
  <c r="H91" i="11"/>
  <c r="C90" i="10"/>
  <c r="F90" i="10" s="1"/>
  <c r="B90" i="11"/>
  <c r="L90" i="11" s="1"/>
  <c r="H90" i="11"/>
  <c r="A90" i="10"/>
  <c r="G90" i="11"/>
  <c r="I90" i="11" s="1"/>
  <c r="B89" i="11"/>
  <c r="L89" i="11" s="1"/>
  <c r="G89" i="11"/>
  <c r="I89" i="11" s="1"/>
  <c r="H89" i="11"/>
  <c r="B87" i="11"/>
  <c r="L87" i="11" s="1"/>
  <c r="A87" i="10"/>
  <c r="G87" i="11"/>
  <c r="I87" i="11" s="1"/>
  <c r="H87" i="11"/>
  <c r="B85" i="11"/>
  <c r="L85" i="11" s="1"/>
  <c r="G85" i="11"/>
  <c r="I85" i="11" s="1"/>
  <c r="H85" i="11"/>
  <c r="A85" i="10"/>
  <c r="B83" i="11"/>
  <c r="L83" i="11" s="1"/>
  <c r="A83" i="10"/>
  <c r="G83" i="11"/>
  <c r="I83" i="11" s="1"/>
  <c r="H83" i="11"/>
  <c r="B81" i="11"/>
  <c r="L81" i="11" s="1"/>
  <c r="G81" i="11"/>
  <c r="I81" i="11" s="1"/>
  <c r="H81" i="11"/>
  <c r="A81" i="10"/>
  <c r="B42" i="11"/>
  <c r="L42" i="11" s="1"/>
  <c r="H42" i="11"/>
  <c r="A42" i="10"/>
  <c r="G42" i="11"/>
  <c r="I42" i="11" s="1"/>
  <c r="B6" i="11"/>
  <c r="L6" i="11" s="1"/>
  <c r="G6" i="11"/>
  <c r="A6" i="10"/>
  <c r="H6" i="11"/>
  <c r="B79" i="11"/>
  <c r="L79" i="11" s="1"/>
  <c r="A79" i="10"/>
  <c r="G79" i="11"/>
  <c r="I79" i="11" s="1"/>
  <c r="H79" i="11"/>
  <c r="B77" i="11"/>
  <c r="L77" i="11" s="1"/>
  <c r="G77" i="11"/>
  <c r="I77" i="11" s="1"/>
  <c r="H77" i="11"/>
  <c r="A77" i="10"/>
  <c r="B76" i="11"/>
  <c r="L76" i="11" s="1"/>
  <c r="H76" i="11"/>
  <c r="G76" i="11"/>
  <c r="I76" i="11" s="1"/>
  <c r="A76" i="10"/>
  <c r="B75" i="11"/>
  <c r="L75" i="11" s="1"/>
  <c r="A75" i="10"/>
  <c r="G75" i="11"/>
  <c r="I75" i="11" s="1"/>
  <c r="H75" i="11"/>
  <c r="C74" i="10"/>
  <c r="F74" i="10" s="1"/>
  <c r="B74" i="11"/>
  <c r="L74" i="11" s="1"/>
  <c r="H74" i="11"/>
  <c r="A74" i="10"/>
  <c r="G74" i="11"/>
  <c r="I74" i="11" s="1"/>
  <c r="B73" i="11"/>
  <c r="L73" i="11" s="1"/>
  <c r="G73" i="11"/>
  <c r="I73" i="11" s="1"/>
  <c r="H73" i="11"/>
  <c r="A73" i="10"/>
  <c r="B40" i="11"/>
  <c r="L40" i="11" s="1"/>
  <c r="A40" i="10"/>
  <c r="G40" i="11"/>
  <c r="I40" i="11" s="1"/>
  <c r="B38" i="11"/>
  <c r="L38" i="11" s="1"/>
  <c r="H38" i="11"/>
  <c r="A38" i="10"/>
  <c r="G38" i="11"/>
  <c r="I38" i="11" s="1"/>
  <c r="B36" i="11"/>
  <c r="L36" i="11" s="1"/>
  <c r="H36" i="11"/>
  <c r="G36" i="11"/>
  <c r="I36" i="11" s="1"/>
  <c r="A36" i="10"/>
  <c r="B34" i="11"/>
  <c r="L34" i="11" s="1"/>
  <c r="H34" i="11"/>
  <c r="A34" i="10"/>
  <c r="G34" i="11"/>
  <c r="I34" i="11" s="1"/>
  <c r="G5" i="11"/>
  <c r="H5" i="11"/>
  <c r="B5" i="11"/>
  <c r="L5" i="11" s="1"/>
  <c r="A5" i="10"/>
  <c r="B100" i="11"/>
  <c r="L100" i="11" s="1"/>
  <c r="H100" i="11"/>
  <c r="A100" i="10"/>
  <c r="G100" i="11"/>
  <c r="I100" i="11" s="1"/>
  <c r="C98" i="10"/>
  <c r="F98" i="10" s="1"/>
  <c r="B98" i="11"/>
  <c r="L98" i="11" s="1"/>
  <c r="H98" i="11"/>
  <c r="A98" i="10"/>
  <c r="G98" i="11"/>
  <c r="I98" i="11" s="1"/>
  <c r="B96" i="11"/>
  <c r="L96" i="11" s="1"/>
  <c r="H96" i="11"/>
  <c r="A96" i="10"/>
  <c r="G96" i="11"/>
  <c r="I96" i="11" s="1"/>
  <c r="B88" i="11"/>
  <c r="L88" i="11" s="1"/>
  <c r="H88" i="11"/>
  <c r="A88" i="10"/>
  <c r="G88" i="11"/>
  <c r="I88" i="11" s="1"/>
  <c r="B86" i="11"/>
  <c r="L86" i="11" s="1"/>
  <c r="H86" i="11"/>
  <c r="A86" i="10"/>
  <c r="G86" i="11"/>
  <c r="I86" i="11" s="1"/>
  <c r="B84" i="11"/>
  <c r="L84" i="11" s="1"/>
  <c r="H84" i="11"/>
  <c r="G84" i="11"/>
  <c r="I84" i="11" s="1"/>
  <c r="A84" i="10"/>
  <c r="B82" i="11"/>
  <c r="L82" i="11" s="1"/>
  <c r="H82" i="11"/>
  <c r="A82" i="10"/>
  <c r="G82" i="11"/>
  <c r="I82" i="11" s="1"/>
  <c r="B43" i="11"/>
  <c r="L43" i="11" s="1"/>
  <c r="A43" i="10"/>
  <c r="G43" i="11"/>
  <c r="I43" i="11" s="1"/>
  <c r="B41" i="11"/>
  <c r="L41" i="11" s="1"/>
  <c r="G41" i="11"/>
  <c r="I41" i="11" s="1"/>
  <c r="H41" i="11"/>
  <c r="A41" i="10"/>
  <c r="B80" i="11"/>
  <c r="L80" i="11" s="1"/>
  <c r="G80" i="11"/>
  <c r="I80" i="11" s="1"/>
  <c r="A80" i="10"/>
  <c r="B78" i="11"/>
  <c r="L78" i="11" s="1"/>
  <c r="H78" i="11"/>
  <c r="A78" i="10"/>
  <c r="G78" i="11"/>
  <c r="I78" i="11" s="1"/>
  <c r="B39" i="11"/>
  <c r="L39" i="11" s="1"/>
  <c r="A39" i="10"/>
  <c r="G39" i="11"/>
  <c r="I39" i="11" s="1"/>
  <c r="H39" i="11"/>
  <c r="B37" i="11"/>
  <c r="L37" i="11" s="1"/>
  <c r="G37" i="11"/>
  <c r="I37" i="11" s="1"/>
  <c r="H37" i="11"/>
  <c r="A37" i="10"/>
  <c r="B35" i="11"/>
  <c r="L35" i="11" s="1"/>
  <c r="A35" i="10"/>
  <c r="G35" i="11"/>
  <c r="I35" i="11" s="1"/>
  <c r="H35" i="11"/>
  <c r="B33" i="11"/>
  <c r="L33" i="11" s="1"/>
  <c r="G33" i="11"/>
  <c r="I33" i="11" s="1"/>
  <c r="H33" i="11"/>
  <c r="A33" i="10"/>
  <c r="B72" i="11"/>
  <c r="L72" i="11" s="1"/>
  <c r="A72" i="10"/>
  <c r="G72" i="11"/>
  <c r="I72" i="11" s="1"/>
  <c r="B71" i="11"/>
  <c r="L71" i="11" s="1"/>
  <c r="A71" i="10"/>
  <c r="G71" i="11"/>
  <c r="I71" i="11" s="1"/>
  <c r="H71" i="11"/>
  <c r="B70" i="11"/>
  <c r="L70" i="11" s="1"/>
  <c r="H70" i="11"/>
  <c r="A70" i="10"/>
  <c r="G70" i="11"/>
  <c r="I70" i="11" s="1"/>
  <c r="B69" i="11"/>
  <c r="L69" i="11" s="1"/>
  <c r="G69" i="11"/>
  <c r="I69" i="11" s="1"/>
  <c r="H69" i="11"/>
  <c r="A69" i="10"/>
  <c r="B68" i="11"/>
  <c r="L68" i="11" s="1"/>
  <c r="H68" i="11"/>
  <c r="G68" i="11"/>
  <c r="I68" i="11" s="1"/>
  <c r="A68" i="10"/>
  <c r="B67" i="11"/>
  <c r="L67" i="11" s="1"/>
  <c r="A67" i="10"/>
  <c r="G67" i="11"/>
  <c r="I67" i="11" s="1"/>
  <c r="H67" i="11"/>
  <c r="B66" i="11"/>
  <c r="L66" i="11" s="1"/>
  <c r="H66" i="11"/>
  <c r="A66" i="10"/>
  <c r="G66" i="11"/>
  <c r="I66" i="11" s="1"/>
  <c r="B65" i="11"/>
  <c r="L65" i="11" s="1"/>
  <c r="G65" i="11"/>
  <c r="I65" i="11" s="1"/>
  <c r="H65" i="11"/>
  <c r="A65" i="10"/>
  <c r="B64" i="11"/>
  <c r="L64" i="11" s="1"/>
  <c r="H64" i="11"/>
  <c r="G64" i="11"/>
  <c r="I64" i="11" s="1"/>
  <c r="A64" i="10"/>
  <c r="B63" i="11"/>
  <c r="L63" i="11" s="1"/>
  <c r="A63" i="10"/>
  <c r="G63" i="11"/>
  <c r="I63" i="11" s="1"/>
  <c r="H63" i="11"/>
  <c r="B62" i="11"/>
  <c r="L62" i="11" s="1"/>
  <c r="H62" i="11"/>
  <c r="A62" i="10"/>
  <c r="G62" i="11"/>
  <c r="I62" i="11" s="1"/>
  <c r="B61" i="11"/>
  <c r="L61" i="11" s="1"/>
  <c r="G61" i="11"/>
  <c r="I61" i="11" s="1"/>
  <c r="H61" i="11"/>
  <c r="A61" i="10"/>
  <c r="B60" i="11"/>
  <c r="L60" i="11" s="1"/>
  <c r="H60" i="11"/>
  <c r="G60" i="11"/>
  <c r="I60" i="11" s="1"/>
  <c r="A60" i="10"/>
  <c r="B59" i="11"/>
  <c r="L59" i="11" s="1"/>
  <c r="A59" i="10"/>
  <c r="G59" i="11"/>
  <c r="I59" i="11" s="1"/>
  <c r="H59" i="11"/>
  <c r="C58" i="10"/>
  <c r="F58" i="10" s="1"/>
  <c r="B58" i="11"/>
  <c r="L58" i="11" s="1"/>
  <c r="H58" i="11"/>
  <c r="A58" i="10"/>
  <c r="G58" i="11"/>
  <c r="I58" i="11" s="1"/>
  <c r="B57" i="11"/>
  <c r="L57" i="11" s="1"/>
  <c r="G57" i="11"/>
  <c r="I57" i="11" s="1"/>
  <c r="H57" i="11"/>
  <c r="A57" i="10"/>
  <c r="B56" i="11"/>
  <c r="L56" i="11" s="1"/>
  <c r="H56" i="11"/>
  <c r="A56" i="10"/>
  <c r="G56" i="11"/>
  <c r="I56" i="11" s="1"/>
  <c r="B32" i="11"/>
  <c r="L32" i="11" s="1"/>
  <c r="G32" i="11"/>
  <c r="I32" i="11" s="1"/>
  <c r="A32" i="10"/>
  <c r="B31" i="11"/>
  <c r="L31" i="11" s="1"/>
  <c r="A31" i="10"/>
  <c r="G31" i="11"/>
  <c r="I31" i="11" s="1"/>
  <c r="H31" i="11"/>
  <c r="C30" i="10"/>
  <c r="F30" i="10" s="1"/>
  <c r="B30" i="11"/>
  <c r="L30" i="11" s="1"/>
  <c r="H30" i="11"/>
  <c r="A30" i="10"/>
  <c r="G30" i="11"/>
  <c r="I30" i="11" s="1"/>
  <c r="B29" i="11"/>
  <c r="L29" i="11" s="1"/>
  <c r="G29" i="11"/>
  <c r="I29" i="11" s="1"/>
  <c r="H29" i="11"/>
  <c r="A29" i="10"/>
  <c r="B28" i="11"/>
  <c r="L28" i="11" s="1"/>
  <c r="G28" i="11"/>
  <c r="I28" i="11" s="1"/>
  <c r="H28" i="11"/>
  <c r="A28" i="10"/>
  <c r="B27" i="11"/>
  <c r="L27" i="11" s="1"/>
  <c r="A27" i="10"/>
  <c r="G27" i="11"/>
  <c r="I27" i="11" s="1"/>
  <c r="H27" i="11"/>
  <c r="B26" i="11"/>
  <c r="L26" i="11" s="1"/>
  <c r="G26" i="11"/>
  <c r="I26" i="11" s="1"/>
  <c r="H26" i="11"/>
  <c r="A26" i="10"/>
  <c r="B25" i="11"/>
  <c r="L25" i="11" s="1"/>
  <c r="H25" i="11"/>
  <c r="A25" i="10"/>
  <c r="G25" i="11"/>
  <c r="I25" i="11" s="1"/>
  <c r="B24" i="11"/>
  <c r="L24" i="11" s="1"/>
  <c r="G24" i="11"/>
  <c r="I24" i="11" s="1"/>
  <c r="H24" i="11"/>
  <c r="A24" i="10"/>
  <c r="G23" i="11"/>
  <c r="I23" i="11" s="1"/>
  <c r="B23" i="11"/>
  <c r="L23" i="11" s="1"/>
  <c r="A23" i="10"/>
  <c r="H23" i="11"/>
  <c r="B22" i="11"/>
  <c r="L22" i="11" s="1"/>
  <c r="G22" i="11"/>
  <c r="I22" i="11" s="1"/>
  <c r="H22" i="11"/>
  <c r="A22" i="10"/>
  <c r="G21" i="11"/>
  <c r="I21" i="11" s="1"/>
  <c r="B21" i="11"/>
  <c r="L21" i="11" s="1"/>
  <c r="A21" i="10"/>
  <c r="H21" i="11"/>
  <c r="B20" i="11"/>
  <c r="L20" i="11" s="1"/>
  <c r="G20" i="11"/>
  <c r="I20" i="11" s="1"/>
  <c r="H20" i="11"/>
  <c r="A20" i="10"/>
  <c r="G19" i="11"/>
  <c r="I19" i="11" s="1"/>
  <c r="B19" i="11"/>
  <c r="L19" i="11" s="1"/>
  <c r="A19" i="10"/>
  <c r="H19" i="11"/>
  <c r="B18" i="11"/>
  <c r="L18" i="11" s="1"/>
  <c r="G18" i="11"/>
  <c r="I18" i="11" s="1"/>
  <c r="H18" i="11"/>
  <c r="A18" i="10"/>
  <c r="G17" i="11"/>
  <c r="I17" i="11" s="1"/>
  <c r="H17" i="11"/>
  <c r="B17" i="11"/>
  <c r="L17" i="11" s="1"/>
  <c r="A17" i="10"/>
  <c r="B16" i="11"/>
  <c r="L16" i="11" s="1"/>
  <c r="G16" i="11"/>
  <c r="I16" i="11" s="1"/>
  <c r="H16" i="11"/>
  <c r="A16" i="10"/>
  <c r="G15" i="11"/>
  <c r="I15" i="11" s="1"/>
  <c r="H15" i="11"/>
  <c r="B15" i="11"/>
  <c r="L15" i="11" s="1"/>
  <c r="A15" i="10"/>
  <c r="B14" i="11"/>
  <c r="L14" i="11" s="1"/>
  <c r="G14" i="11"/>
  <c r="I14" i="11" s="1"/>
  <c r="A14" i="10"/>
  <c r="H14" i="11"/>
  <c r="G13" i="11"/>
  <c r="I13" i="11" s="1"/>
  <c r="H13" i="11"/>
  <c r="B13" i="11"/>
  <c r="L13" i="11" s="1"/>
  <c r="A13" i="10"/>
  <c r="B12" i="11"/>
  <c r="L12" i="11" s="1"/>
  <c r="G12" i="11"/>
  <c r="I12" i="11" s="1"/>
  <c r="H12" i="11"/>
  <c r="A12" i="10"/>
  <c r="B55" i="11"/>
  <c r="L55" i="11" s="1"/>
  <c r="A55" i="10"/>
  <c r="G55" i="11"/>
  <c r="I55" i="11" s="1"/>
  <c r="B54" i="11"/>
  <c r="L54" i="11" s="1"/>
  <c r="H54" i="11"/>
  <c r="A54" i="10"/>
  <c r="G54" i="11"/>
  <c r="I54" i="11" s="1"/>
  <c r="B53" i="11"/>
  <c r="L53" i="11" s="1"/>
  <c r="G53" i="11"/>
  <c r="I53" i="11" s="1"/>
  <c r="H53" i="11"/>
  <c r="A53" i="10"/>
  <c r="B52" i="11"/>
  <c r="L52" i="11" s="1"/>
  <c r="H52" i="11"/>
  <c r="G52" i="11"/>
  <c r="I52" i="11" s="1"/>
  <c r="A52" i="10"/>
  <c r="B51" i="11"/>
  <c r="L51" i="11" s="1"/>
  <c r="A51" i="10"/>
  <c r="G51" i="11"/>
  <c r="I51" i="11" s="1"/>
  <c r="H51" i="11"/>
  <c r="B50" i="11"/>
  <c r="L50" i="11" s="1"/>
  <c r="H50" i="11"/>
  <c r="A50" i="10"/>
  <c r="G50" i="11"/>
  <c r="I50" i="11" s="1"/>
  <c r="B49" i="11"/>
  <c r="L49" i="11" s="1"/>
  <c r="G49" i="11"/>
  <c r="I49" i="11" s="1"/>
  <c r="H49" i="11"/>
  <c r="A49" i="10"/>
  <c r="B48" i="11"/>
  <c r="L48" i="11" s="1"/>
  <c r="H48" i="11"/>
  <c r="G48" i="11"/>
  <c r="I48" i="11" s="1"/>
  <c r="A48" i="10"/>
  <c r="B47" i="11"/>
  <c r="L47" i="11" s="1"/>
  <c r="A47" i="10"/>
  <c r="G47" i="11"/>
  <c r="I47" i="11" s="1"/>
  <c r="H47" i="11"/>
  <c r="B46" i="11"/>
  <c r="L46" i="11" s="1"/>
  <c r="H46" i="11"/>
  <c r="A46" i="10"/>
  <c r="G46" i="11"/>
  <c r="I46" i="11" s="1"/>
  <c r="B45" i="11"/>
  <c r="L45" i="11" s="1"/>
  <c r="G45" i="11"/>
  <c r="I45" i="11" s="1"/>
  <c r="H45" i="11"/>
  <c r="A45" i="10"/>
  <c r="B44" i="11"/>
  <c r="L44" i="11" s="1"/>
  <c r="H44" i="11"/>
  <c r="G44" i="11"/>
  <c r="I44" i="11" s="1"/>
  <c r="A44" i="10"/>
  <c r="B11" i="11"/>
  <c r="L11" i="11" s="1"/>
  <c r="A11" i="10"/>
  <c r="B10" i="11"/>
  <c r="L10" i="11" s="1"/>
  <c r="H10" i="11"/>
  <c r="A10" i="10"/>
  <c r="H9" i="11"/>
  <c r="B9" i="11"/>
  <c r="L9" i="11" s="1"/>
  <c r="A9" i="10"/>
  <c r="B8" i="11"/>
  <c r="L8" i="11" s="1"/>
  <c r="H8" i="11"/>
  <c r="A8" i="10"/>
  <c r="H7" i="11"/>
  <c r="B7" i="11"/>
  <c r="L7" i="11" s="1"/>
  <c r="A7" i="10"/>
  <c r="B101" i="4"/>
  <c r="B100" i="4"/>
  <c r="A100" i="1"/>
  <c r="H100" i="4"/>
  <c r="B99" i="4"/>
  <c r="A99" i="1"/>
  <c r="B98" i="4"/>
  <c r="G98" i="4"/>
  <c r="A98" i="1"/>
  <c r="H98" i="4"/>
  <c r="B97" i="4"/>
  <c r="A97" i="1"/>
  <c r="B96" i="4"/>
  <c r="A96" i="1"/>
  <c r="H96" i="4"/>
  <c r="B95" i="4"/>
  <c r="G95" i="4"/>
  <c r="A95" i="1"/>
  <c r="B94" i="4"/>
  <c r="G94" i="4"/>
  <c r="A94" i="1"/>
  <c r="H94" i="4"/>
  <c r="B93" i="4"/>
  <c r="G93" i="4"/>
  <c r="A93" i="1"/>
  <c r="B92" i="4"/>
  <c r="A92" i="1"/>
  <c r="H92" i="4"/>
  <c r="G91" i="4"/>
  <c r="B91" i="4"/>
  <c r="A91" i="1"/>
  <c r="B90" i="4"/>
  <c r="G90" i="4"/>
  <c r="A90" i="1"/>
  <c r="H90" i="4"/>
  <c r="B89" i="4"/>
  <c r="A89" i="1"/>
  <c r="B88" i="4"/>
  <c r="A88" i="1"/>
  <c r="H88" i="4"/>
  <c r="G87" i="4"/>
  <c r="H87" i="4"/>
  <c r="B87" i="4"/>
  <c r="A87" i="1"/>
  <c r="B86" i="4"/>
  <c r="G86" i="4"/>
  <c r="A86" i="1"/>
  <c r="H86" i="4"/>
  <c r="C85" i="1"/>
  <c r="F85" i="1" s="1"/>
  <c r="B85" i="4"/>
  <c r="G85" i="4"/>
  <c r="A85" i="1"/>
  <c r="B84" i="4"/>
  <c r="A84" i="1"/>
  <c r="H84" i="4"/>
  <c r="B83" i="4"/>
  <c r="A83" i="1"/>
  <c r="B82" i="4"/>
  <c r="A82" i="1"/>
  <c r="H82" i="4"/>
  <c r="B81" i="4"/>
  <c r="G81" i="4"/>
  <c r="A81" i="1"/>
  <c r="B80" i="4"/>
  <c r="A80" i="1"/>
  <c r="H80" i="4"/>
  <c r="B79" i="4"/>
  <c r="A79" i="1"/>
  <c r="B78" i="4"/>
  <c r="H78" i="4"/>
  <c r="A78" i="1"/>
  <c r="G78" i="4"/>
  <c r="G77" i="4"/>
  <c r="B77" i="4"/>
  <c r="A77" i="1"/>
  <c r="H77" i="4"/>
  <c r="B76" i="4"/>
  <c r="A76" i="1"/>
  <c r="H76" i="4"/>
  <c r="G75" i="4"/>
  <c r="B75" i="4"/>
  <c r="A75" i="1"/>
  <c r="B74" i="4"/>
  <c r="H74" i="4"/>
  <c r="A74" i="1"/>
  <c r="B73" i="4"/>
  <c r="A73" i="1"/>
  <c r="B72" i="4"/>
  <c r="A72" i="1"/>
  <c r="H72" i="4"/>
  <c r="G71" i="4"/>
  <c r="B71" i="4"/>
  <c r="A71" i="1"/>
  <c r="B70" i="4"/>
  <c r="A70" i="1"/>
  <c r="B69" i="4"/>
  <c r="A69" i="1"/>
  <c r="B68" i="4"/>
  <c r="A68" i="1"/>
  <c r="G67" i="4"/>
  <c r="B67" i="4"/>
  <c r="A67" i="1"/>
  <c r="B66" i="4"/>
  <c r="A66" i="1"/>
  <c r="B65" i="4"/>
  <c r="A65" i="1"/>
  <c r="B64" i="4"/>
  <c r="A64" i="1"/>
  <c r="G63" i="4"/>
  <c r="B63" i="4"/>
  <c r="A63" i="1"/>
  <c r="B62" i="4"/>
  <c r="A62" i="1"/>
  <c r="G61" i="4"/>
  <c r="B61" i="4"/>
  <c r="A61" i="1"/>
  <c r="B60" i="4"/>
  <c r="A60" i="1"/>
  <c r="B59" i="4"/>
  <c r="A59" i="1"/>
  <c r="B58" i="4"/>
  <c r="H58" i="4"/>
  <c r="A58" i="1"/>
  <c r="G57" i="4"/>
  <c r="B57" i="4"/>
  <c r="A57" i="1"/>
  <c r="B56" i="4"/>
  <c r="A56" i="1"/>
  <c r="B55" i="4"/>
  <c r="A55" i="1"/>
  <c r="B54" i="4"/>
  <c r="A54" i="1"/>
  <c r="B53" i="4"/>
  <c r="A53" i="1"/>
  <c r="B52" i="4"/>
  <c r="A52" i="1"/>
  <c r="G51" i="4"/>
  <c r="B51" i="4"/>
  <c r="A51" i="1"/>
  <c r="B50" i="4"/>
  <c r="H50" i="4"/>
  <c r="A50" i="1"/>
  <c r="B49" i="4"/>
  <c r="A49" i="1"/>
  <c r="B48" i="4"/>
  <c r="A48" i="1"/>
  <c r="B47" i="4"/>
  <c r="A47" i="1"/>
  <c r="B46" i="4"/>
  <c r="A46" i="1"/>
  <c r="B45" i="4"/>
  <c r="A45" i="1"/>
  <c r="B44" i="4"/>
  <c r="G44" i="4"/>
  <c r="A44" i="1"/>
  <c r="H44" i="4"/>
  <c r="G43" i="4"/>
  <c r="B43" i="4"/>
  <c r="A43" i="1"/>
  <c r="B42" i="4"/>
  <c r="G42" i="4"/>
  <c r="A42" i="1"/>
  <c r="B41" i="4"/>
  <c r="A41" i="1"/>
  <c r="B40" i="4"/>
  <c r="G40" i="4"/>
  <c r="A40" i="1"/>
  <c r="H39" i="4"/>
  <c r="B39" i="4"/>
  <c r="A39" i="1"/>
  <c r="B38" i="4"/>
  <c r="G38" i="4"/>
  <c r="A38" i="1"/>
  <c r="B37" i="4"/>
  <c r="A37" i="1"/>
  <c r="B36" i="4"/>
  <c r="G36" i="4"/>
  <c r="A36" i="1"/>
  <c r="H35" i="4"/>
  <c r="B35" i="4"/>
  <c r="A35" i="1"/>
  <c r="B34" i="4"/>
  <c r="G34" i="4"/>
  <c r="A34" i="1"/>
  <c r="B33" i="4"/>
  <c r="A33" i="1"/>
  <c r="B32" i="4"/>
  <c r="G32" i="4"/>
  <c r="A32" i="1"/>
  <c r="B31" i="4"/>
  <c r="A31" i="1"/>
  <c r="B30" i="4"/>
  <c r="G30" i="4"/>
  <c r="A30" i="1"/>
  <c r="B29" i="4"/>
  <c r="A29" i="1"/>
  <c r="B28" i="4"/>
  <c r="G28" i="4"/>
  <c r="A28" i="1"/>
  <c r="B27" i="4"/>
  <c r="A27" i="1"/>
  <c r="B26" i="4"/>
  <c r="G26" i="4"/>
  <c r="A26" i="1"/>
  <c r="G25" i="4"/>
  <c r="B25" i="4"/>
  <c r="A25" i="1"/>
  <c r="B24" i="4"/>
  <c r="G24" i="4"/>
  <c r="A24" i="1"/>
  <c r="B23" i="4"/>
  <c r="A23" i="1"/>
  <c r="B22" i="4"/>
  <c r="G22" i="4"/>
  <c r="A22" i="1"/>
  <c r="B21" i="4"/>
  <c r="A21" i="1"/>
  <c r="B20" i="4"/>
  <c r="G20" i="4"/>
  <c r="A20" i="1"/>
  <c r="B19" i="4"/>
  <c r="A19" i="1"/>
  <c r="B18" i="4"/>
  <c r="G18" i="4"/>
  <c r="A18" i="1"/>
  <c r="B17" i="4"/>
  <c r="A17" i="1"/>
  <c r="B16" i="4"/>
  <c r="G16" i="4"/>
  <c r="A16" i="1"/>
  <c r="B15" i="4"/>
  <c r="A15" i="1"/>
  <c r="B14" i="4"/>
  <c r="G14" i="4"/>
  <c r="A14" i="1"/>
  <c r="G13" i="4"/>
  <c r="B13" i="4"/>
  <c r="A13" i="1"/>
  <c r="B12" i="4"/>
  <c r="A12" i="1"/>
  <c r="H12" i="4"/>
  <c r="G11" i="4"/>
  <c r="B11" i="4"/>
  <c r="A11" i="1"/>
  <c r="B10" i="4"/>
  <c r="H10" i="4"/>
  <c r="A10" i="1"/>
  <c r="G9" i="4"/>
  <c r="B9" i="4"/>
  <c r="H9" i="4"/>
  <c r="A9" i="1"/>
  <c r="B8" i="4"/>
  <c r="A8" i="1"/>
  <c r="H8" i="4"/>
  <c r="B7" i="4"/>
  <c r="A7" i="1"/>
  <c r="B6" i="4"/>
  <c r="A6" i="1"/>
  <c r="G5" i="4"/>
  <c r="B5" i="4"/>
  <c r="A5" i="1"/>
  <c r="B4" i="4"/>
  <c r="A4" i="1"/>
  <c r="P4" i="11"/>
  <c r="B4" i="11"/>
  <c r="G4" i="11"/>
  <c r="H4" i="11"/>
  <c r="K4" i="11"/>
  <c r="A4" i="10"/>
  <c r="M4" i="11"/>
  <c r="B3" i="11"/>
  <c r="H3" i="11"/>
  <c r="M3" i="11"/>
  <c r="P3" i="11"/>
  <c r="G3" i="11"/>
  <c r="A3" i="10"/>
  <c r="A2" i="10"/>
  <c r="B2" i="11"/>
  <c r="H3" i="4"/>
  <c r="A3" i="1"/>
  <c r="E101" i="1"/>
  <c r="A101" i="1"/>
  <c r="A2" i="1"/>
  <c r="E89" i="10"/>
  <c r="A89" i="10"/>
  <c r="D89" i="10"/>
  <c r="G89" i="10"/>
  <c r="B100" i="10"/>
  <c r="B96" i="10"/>
  <c r="B93" i="10"/>
  <c r="B89" i="10"/>
  <c r="B76" i="10"/>
  <c r="B69" i="10"/>
  <c r="B52" i="10"/>
  <c r="B48" i="10"/>
  <c r="B44" i="10"/>
  <c r="B35" i="10"/>
  <c r="B29" i="10"/>
  <c r="B25" i="10"/>
  <c r="B21" i="10"/>
  <c r="B17" i="10"/>
  <c r="B13" i="10"/>
  <c r="B97" i="1"/>
  <c r="B87" i="10"/>
  <c r="B57" i="10"/>
  <c r="B8" i="10"/>
  <c r="B95" i="1"/>
  <c r="B91" i="1"/>
  <c r="B84" i="10"/>
  <c r="B67" i="10"/>
  <c r="B37" i="10"/>
  <c r="B80" i="10"/>
  <c r="B40" i="10"/>
  <c r="B95" i="10"/>
  <c r="B92" i="10"/>
  <c r="B88" i="10"/>
  <c r="B85" i="10"/>
  <c r="B81" i="10"/>
  <c r="B78" i="10"/>
  <c r="B65" i="10"/>
  <c r="B61" i="10"/>
  <c r="B41" i="10"/>
  <c r="B32" i="10"/>
  <c r="B28" i="10"/>
  <c r="B24" i="10"/>
  <c r="B20" i="10"/>
  <c r="B16" i="10"/>
  <c r="B12" i="10"/>
  <c r="B9" i="10"/>
  <c r="B96" i="1"/>
  <c r="B92" i="1"/>
  <c r="B80" i="1"/>
  <c r="B43" i="10"/>
  <c r="B97" i="10"/>
  <c r="B77" i="10"/>
  <c r="B73" i="10"/>
  <c r="B63" i="10"/>
  <c r="B59" i="10"/>
  <c r="B53" i="10"/>
  <c r="B49" i="10"/>
  <c r="B45" i="10"/>
  <c r="B36" i="10"/>
  <c r="B33" i="10"/>
  <c r="B98" i="1"/>
  <c r="B94" i="1"/>
  <c r="B90" i="1"/>
  <c r="C71" i="10"/>
  <c r="F71" i="10" s="1"/>
  <c r="B66" i="10"/>
  <c r="C60" i="10"/>
  <c r="F60" i="10" s="1"/>
  <c r="C56" i="10"/>
  <c r="F56" i="10" s="1"/>
  <c r="B51" i="10"/>
  <c r="C48" i="10"/>
  <c r="F48" i="10" s="1"/>
  <c r="C27" i="10"/>
  <c r="F27" i="10" s="1"/>
  <c r="B79" i="10"/>
  <c r="B71" i="10"/>
  <c r="B60" i="10"/>
  <c r="B58" i="10"/>
  <c r="B56" i="10"/>
  <c r="C39" i="10"/>
  <c r="F39" i="10" s="1"/>
  <c r="C19" i="10"/>
  <c r="F19" i="10" s="1"/>
  <c r="B89" i="1"/>
  <c r="B27" i="10"/>
  <c r="B19" i="10"/>
  <c r="C47" i="10"/>
  <c r="F47" i="10" s="1"/>
  <c r="C23" i="10"/>
  <c r="F23" i="10" s="1"/>
  <c r="C15" i="10"/>
  <c r="F15" i="10" s="1"/>
  <c r="C7" i="10"/>
  <c r="F7" i="10" s="1"/>
  <c r="C31" i="10"/>
  <c r="F31" i="10" s="1"/>
  <c r="B64" i="10"/>
  <c r="C51" i="10"/>
  <c r="F51" i="10" s="1"/>
  <c r="B47" i="10"/>
  <c r="B23" i="10"/>
  <c r="B15" i="10"/>
  <c r="B84" i="1"/>
  <c r="B76" i="1"/>
  <c r="D6" i="10"/>
  <c r="G6" i="10"/>
  <c r="E6" i="10"/>
  <c r="D4" i="10"/>
  <c r="C68" i="10"/>
  <c r="F68" i="10" s="1"/>
  <c r="B68" i="10"/>
  <c r="B6" i="10"/>
  <c r="D5" i="10"/>
  <c r="G5" i="10"/>
  <c r="E5" i="10"/>
  <c r="E4" i="10"/>
  <c r="G3" i="10"/>
  <c r="D4" i="1"/>
  <c r="C69" i="1"/>
  <c r="F69" i="1" s="1"/>
  <c r="C65" i="1"/>
  <c r="F65" i="1" s="1"/>
  <c r="C55" i="1"/>
  <c r="F55" i="1" s="1"/>
  <c r="C45" i="1"/>
  <c r="F45" i="1" s="1"/>
  <c r="C41" i="1"/>
  <c r="F41" i="1" s="1"/>
  <c r="C21" i="1"/>
  <c r="F21" i="1" s="1"/>
  <c r="C49" i="1"/>
  <c r="F49" i="1" s="1"/>
  <c r="C43" i="1"/>
  <c r="F43" i="1" s="1"/>
  <c r="C29" i="1"/>
  <c r="F29" i="1" s="1"/>
  <c r="C67" i="1"/>
  <c r="F67" i="1" s="1"/>
  <c r="C63" i="1"/>
  <c r="F63" i="1" s="1"/>
  <c r="C9" i="1"/>
  <c r="F9" i="1" s="1"/>
  <c r="B86" i="1"/>
  <c r="B82" i="1"/>
  <c r="B78" i="1"/>
  <c r="C70" i="1"/>
  <c r="F70" i="1" s="1"/>
  <c r="B68" i="1"/>
  <c r="B64" i="1"/>
  <c r="B60" i="1"/>
  <c r="B52" i="1"/>
  <c r="B48" i="1"/>
  <c r="B44" i="1"/>
  <c r="B40" i="1"/>
  <c r="B36" i="1"/>
  <c r="B32" i="1"/>
  <c r="B28" i="1"/>
  <c r="B24" i="1"/>
  <c r="B20" i="1"/>
  <c r="B16" i="1"/>
  <c r="C12" i="1"/>
  <c r="F12" i="1" s="1"/>
  <c r="C8" i="1"/>
  <c r="F8" i="1" s="1"/>
  <c r="B87" i="1"/>
  <c r="B83" i="1"/>
  <c r="B75" i="1"/>
  <c r="C6" i="1"/>
  <c r="F6" i="1" s="1"/>
  <c r="E101" i="10"/>
  <c r="D101" i="10"/>
  <c r="G101" i="10"/>
  <c r="B101" i="10"/>
  <c r="C101" i="10"/>
  <c r="F101" i="10" s="1"/>
  <c r="C5" i="10"/>
  <c r="F5" i="10" s="1"/>
  <c r="H2" i="4"/>
  <c r="G101" i="11" l="1"/>
  <c r="I101" i="11" s="1"/>
  <c r="AZ403" i="6"/>
  <c r="AZ3" i="6" s="1"/>
  <c r="AZ403" i="5"/>
  <c r="AZ3" i="5" s="1"/>
  <c r="AU403" i="5"/>
  <c r="I5" i="11"/>
  <c r="I4" i="11"/>
  <c r="I6" i="11"/>
  <c r="AE406" i="6"/>
  <c r="AF406" i="6" s="1"/>
  <c r="AU403" i="6"/>
  <c r="BA403" i="6" s="1"/>
  <c r="AE405" i="6"/>
  <c r="AF405" i="6" s="1"/>
  <c r="V403" i="6"/>
  <c r="AE403" i="6"/>
  <c r="AF403" i="6" s="1"/>
  <c r="AE404" i="6"/>
  <c r="AF404" i="6" s="1"/>
  <c r="AG405" i="6"/>
  <c r="AH405" i="6" s="1"/>
  <c r="AB403" i="6"/>
  <c r="S403" i="6"/>
  <c r="Y405" i="6"/>
  <c r="Y403" i="6"/>
  <c r="AG406" i="6"/>
  <c r="AH406" i="6" s="1"/>
  <c r="AG404" i="6"/>
  <c r="AH404" i="6" s="1"/>
  <c r="AS403" i="6"/>
  <c r="Y406" i="6"/>
  <c r="Y404" i="6"/>
  <c r="AG403" i="6"/>
  <c r="AH403" i="6" s="1"/>
  <c r="G101" i="4"/>
  <c r="V403" i="5"/>
  <c r="AE403" i="5"/>
  <c r="AF403" i="5" s="1"/>
  <c r="AE405" i="5"/>
  <c r="AF405" i="5" s="1"/>
  <c r="AE404" i="5"/>
  <c r="AF404" i="5" s="1"/>
  <c r="AE406" i="5"/>
  <c r="AF406" i="5" s="1"/>
  <c r="I3" i="11"/>
  <c r="AE17" i="5"/>
  <c r="AF17" i="5" s="1"/>
  <c r="AE15" i="5"/>
  <c r="AE16" i="5"/>
  <c r="AF16" i="5" s="1"/>
  <c r="AE18" i="5"/>
  <c r="AF18" i="5" s="1"/>
  <c r="AE12" i="5"/>
  <c r="AE14" i="5"/>
  <c r="AF14" i="5" s="1"/>
  <c r="AE11" i="5"/>
  <c r="AE13" i="5"/>
  <c r="AE22" i="5"/>
  <c r="AF22" i="5" s="1"/>
  <c r="AE21" i="5"/>
  <c r="AF21" i="5" s="1"/>
  <c r="AE19" i="5"/>
  <c r="AE20" i="5"/>
  <c r="AF20" i="5" s="1"/>
  <c r="AE24" i="5"/>
  <c r="AF24" i="5" s="1"/>
  <c r="AE26" i="5"/>
  <c r="AF26" i="5" s="1"/>
  <c r="AE23" i="5"/>
  <c r="AE25" i="5"/>
  <c r="AF25" i="5" s="1"/>
  <c r="C24" i="1"/>
  <c r="F24" i="1" s="1"/>
  <c r="C34" i="1"/>
  <c r="F34" i="1" s="1"/>
  <c r="C56" i="1"/>
  <c r="F56" i="1" s="1"/>
  <c r="C66" i="1"/>
  <c r="F66" i="1" s="1"/>
  <c r="H30" i="4"/>
  <c r="H54" i="4"/>
  <c r="C18" i="1"/>
  <c r="F18" i="1" s="1"/>
  <c r="C40" i="1"/>
  <c r="F40" i="1" s="1"/>
  <c r="C60" i="1"/>
  <c r="F60" i="1" s="1"/>
  <c r="E4" i="1"/>
  <c r="H28" i="4"/>
  <c r="H46" i="4"/>
  <c r="H68" i="4"/>
  <c r="G6" i="4"/>
  <c r="L6" i="4" s="1"/>
  <c r="G8" i="4"/>
  <c r="I8" i="4" s="1"/>
  <c r="G31" i="4"/>
  <c r="I31" i="4" s="1"/>
  <c r="C13" i="1"/>
  <c r="F13" i="1" s="1"/>
  <c r="B43" i="1"/>
  <c r="C25" i="1"/>
  <c r="F25" i="1" s="1"/>
  <c r="H33" i="4"/>
  <c r="G10" i="4"/>
  <c r="L10" i="4" s="1"/>
  <c r="AM40" i="5"/>
  <c r="B12" i="1"/>
  <c r="G41" i="4"/>
  <c r="L41" i="4" s="1"/>
  <c r="G49" i="4"/>
  <c r="L49" i="4" s="1"/>
  <c r="H61" i="4"/>
  <c r="G65" i="4"/>
  <c r="I65" i="4" s="1"/>
  <c r="G72" i="4"/>
  <c r="Y289" i="5"/>
  <c r="AI289" i="5" s="1"/>
  <c r="AJ289" i="5" s="1"/>
  <c r="Y288" i="5"/>
  <c r="AI288" i="5" s="1"/>
  <c r="AJ288" i="5" s="1"/>
  <c r="Y287" i="5"/>
  <c r="AI287" i="5" s="1"/>
  <c r="AJ287" i="5" s="1"/>
  <c r="Y290" i="5"/>
  <c r="AI290" i="5" s="1"/>
  <c r="AJ290" i="5" s="1"/>
  <c r="G74" i="4"/>
  <c r="I74" i="4" s="1"/>
  <c r="Y297" i="5"/>
  <c r="AI297" i="5" s="1"/>
  <c r="AJ297" i="5" s="1"/>
  <c r="Y296" i="5"/>
  <c r="AI296" i="5" s="1"/>
  <c r="AJ296" i="5" s="1"/>
  <c r="Y295" i="5"/>
  <c r="AI295" i="5" s="1"/>
  <c r="AJ295" i="5" s="1"/>
  <c r="Y298" i="5"/>
  <c r="AI298" i="5" s="1"/>
  <c r="AJ298" i="5" s="1"/>
  <c r="G76" i="4"/>
  <c r="Y305" i="5"/>
  <c r="AI305" i="5" s="1"/>
  <c r="AJ305" i="5" s="1"/>
  <c r="Y304" i="5"/>
  <c r="AI304" i="5" s="1"/>
  <c r="AJ304" i="5" s="1"/>
  <c r="Y303" i="5"/>
  <c r="AI303" i="5" s="1"/>
  <c r="AJ303" i="5" s="1"/>
  <c r="Y306" i="5"/>
  <c r="AI306" i="5" s="1"/>
  <c r="AJ306" i="5" s="1"/>
  <c r="Y313" i="5"/>
  <c r="AI313" i="5" s="1"/>
  <c r="AJ313" i="5" s="1"/>
  <c r="Y312" i="5"/>
  <c r="AI312" i="5" s="1"/>
  <c r="AJ312" i="5" s="1"/>
  <c r="Y311" i="5"/>
  <c r="AI311" i="5" s="1"/>
  <c r="AJ311" i="5" s="1"/>
  <c r="Y314" i="5"/>
  <c r="AI314" i="5" s="1"/>
  <c r="AJ314" i="5" s="1"/>
  <c r="G80" i="4"/>
  <c r="I80" i="4" s="1"/>
  <c r="Y321" i="5"/>
  <c r="AI321" i="5" s="1"/>
  <c r="AJ321" i="5" s="1"/>
  <c r="Y320" i="5"/>
  <c r="AI320" i="5" s="1"/>
  <c r="AJ320" i="5" s="1"/>
  <c r="Y319" i="5"/>
  <c r="AI319" i="5" s="1"/>
  <c r="AJ319" i="5" s="1"/>
  <c r="Y322" i="5"/>
  <c r="AI322" i="5" s="1"/>
  <c r="AJ322" i="5" s="1"/>
  <c r="G82" i="4"/>
  <c r="Y329" i="5"/>
  <c r="AI329" i="5" s="1"/>
  <c r="AJ329" i="5" s="1"/>
  <c r="Y328" i="5"/>
  <c r="AI328" i="5" s="1"/>
  <c r="AJ328" i="5" s="1"/>
  <c r="Y327" i="5"/>
  <c r="AI327" i="5" s="1"/>
  <c r="AJ327" i="5" s="1"/>
  <c r="Y330" i="5"/>
  <c r="AI330" i="5" s="1"/>
  <c r="AJ330" i="5" s="1"/>
  <c r="G84" i="4"/>
  <c r="L84" i="4" s="1"/>
  <c r="Y337" i="5"/>
  <c r="AI337" i="5" s="1"/>
  <c r="AJ337" i="5" s="1"/>
  <c r="Y336" i="5"/>
  <c r="AI336" i="5" s="1"/>
  <c r="AJ336" i="5" s="1"/>
  <c r="Y335" i="5"/>
  <c r="AI335" i="5" s="1"/>
  <c r="AJ335" i="5" s="1"/>
  <c r="Y338" i="5"/>
  <c r="AI338" i="5" s="1"/>
  <c r="AJ338" i="5" s="1"/>
  <c r="Y345" i="5"/>
  <c r="AI345" i="5" s="1"/>
  <c r="AJ345" i="5" s="1"/>
  <c r="Y344" i="5"/>
  <c r="AI344" i="5" s="1"/>
  <c r="AJ344" i="5" s="1"/>
  <c r="Y343" i="5"/>
  <c r="AI343" i="5" s="1"/>
  <c r="AJ343" i="5" s="1"/>
  <c r="Y346" i="5"/>
  <c r="AI346" i="5" s="1"/>
  <c r="AJ346" i="5" s="1"/>
  <c r="G88" i="4"/>
  <c r="Y353" i="5"/>
  <c r="AI353" i="5" s="1"/>
  <c r="AJ353" i="5" s="1"/>
  <c r="Y352" i="5"/>
  <c r="AI352" i="5" s="1"/>
  <c r="AJ352" i="5" s="1"/>
  <c r="Y351" i="5"/>
  <c r="AI351" i="5" s="1"/>
  <c r="AJ351" i="5" s="1"/>
  <c r="Y354" i="5"/>
  <c r="AI354" i="5" s="1"/>
  <c r="AJ354" i="5" s="1"/>
  <c r="Y361" i="5"/>
  <c r="AI361" i="5" s="1"/>
  <c r="AJ361" i="5" s="1"/>
  <c r="Y360" i="5"/>
  <c r="AI360" i="5" s="1"/>
  <c r="AJ360" i="5" s="1"/>
  <c r="Y359" i="5"/>
  <c r="AI359" i="5" s="1"/>
  <c r="AJ359" i="5" s="1"/>
  <c r="Y362" i="5"/>
  <c r="AI362" i="5" s="1"/>
  <c r="AJ362" i="5" s="1"/>
  <c r="G92" i="4"/>
  <c r="I92" i="4" s="1"/>
  <c r="Y369" i="5"/>
  <c r="AI369" i="5" s="1"/>
  <c r="AJ369" i="5" s="1"/>
  <c r="Y368" i="5"/>
  <c r="AI368" i="5" s="1"/>
  <c r="AJ368" i="5" s="1"/>
  <c r="Y367" i="5"/>
  <c r="AI367" i="5" s="1"/>
  <c r="AJ367" i="5" s="1"/>
  <c r="Y370" i="5"/>
  <c r="AI370" i="5" s="1"/>
  <c r="AJ370" i="5" s="1"/>
  <c r="Y377" i="5"/>
  <c r="AI377" i="5" s="1"/>
  <c r="AJ377" i="5" s="1"/>
  <c r="Y376" i="5"/>
  <c r="AI376" i="5" s="1"/>
  <c r="AJ376" i="5" s="1"/>
  <c r="Y375" i="5"/>
  <c r="AI375" i="5" s="1"/>
  <c r="AJ375" i="5" s="1"/>
  <c r="Y378" i="5"/>
  <c r="AI378" i="5" s="1"/>
  <c r="AJ378" i="5" s="1"/>
  <c r="G96" i="4"/>
  <c r="Y385" i="5"/>
  <c r="AI385" i="5" s="1"/>
  <c r="AJ385" i="5" s="1"/>
  <c r="Y384" i="5"/>
  <c r="AI384" i="5" s="1"/>
  <c r="AJ384" i="5" s="1"/>
  <c r="Y383" i="5"/>
  <c r="AI383" i="5" s="1"/>
  <c r="AJ383" i="5" s="1"/>
  <c r="Y386" i="5"/>
  <c r="AI386" i="5" s="1"/>
  <c r="AJ386" i="5" s="1"/>
  <c r="Y393" i="5"/>
  <c r="AI393" i="5" s="1"/>
  <c r="AJ393" i="5" s="1"/>
  <c r="Y392" i="5"/>
  <c r="AI392" i="5" s="1"/>
  <c r="AJ392" i="5" s="1"/>
  <c r="Y391" i="5"/>
  <c r="AI391" i="5" s="1"/>
  <c r="AJ391" i="5" s="1"/>
  <c r="Y394" i="5"/>
  <c r="AI394" i="5" s="1"/>
  <c r="AJ394" i="5" s="1"/>
  <c r="G100" i="4"/>
  <c r="I100" i="4" s="1"/>
  <c r="Y401" i="5"/>
  <c r="AI401" i="5" s="1"/>
  <c r="AJ401" i="5" s="1"/>
  <c r="Y400" i="5"/>
  <c r="AI400" i="5" s="1"/>
  <c r="AJ400" i="5" s="1"/>
  <c r="Y399" i="5"/>
  <c r="AI399" i="5" s="1"/>
  <c r="AJ399" i="5" s="1"/>
  <c r="Y402" i="5"/>
  <c r="AI402" i="5" s="1"/>
  <c r="AJ402" i="5" s="1"/>
  <c r="H37" i="4"/>
  <c r="G47" i="4"/>
  <c r="I47" i="4" s="1"/>
  <c r="G53" i="4"/>
  <c r="L53" i="4" s="1"/>
  <c r="B29" i="1"/>
  <c r="G23" i="4"/>
  <c r="L23" i="4" s="1"/>
  <c r="G29" i="4"/>
  <c r="L29" i="4" s="1"/>
  <c r="G99" i="4"/>
  <c r="B79" i="1"/>
  <c r="B63" i="1"/>
  <c r="B53" i="1"/>
  <c r="G7" i="4"/>
  <c r="I7" i="4" s="1"/>
  <c r="G12" i="4"/>
  <c r="L12" i="4" s="1"/>
  <c r="H17" i="4"/>
  <c r="G27" i="4"/>
  <c r="I27" i="4" s="1"/>
  <c r="G45" i="4"/>
  <c r="L45" i="4" s="1"/>
  <c r="G55" i="4"/>
  <c r="I55" i="4" s="1"/>
  <c r="G15" i="4"/>
  <c r="L15" i="4" s="1"/>
  <c r="G17" i="4"/>
  <c r="L17" i="4" s="1"/>
  <c r="G19" i="4"/>
  <c r="L19" i="4" s="1"/>
  <c r="G21" i="4"/>
  <c r="I21" i="4" s="1"/>
  <c r="G33" i="4"/>
  <c r="L33" i="4" s="1"/>
  <c r="G35" i="4"/>
  <c r="I35" i="4" s="1"/>
  <c r="G37" i="4"/>
  <c r="I37" i="4" s="1"/>
  <c r="G39" i="4"/>
  <c r="L39" i="4" s="1"/>
  <c r="G59" i="4"/>
  <c r="L59" i="4" s="1"/>
  <c r="Y349" i="5"/>
  <c r="AI349" i="5" s="1"/>
  <c r="AJ349" i="5" s="1"/>
  <c r="Y348" i="5"/>
  <c r="AI348" i="5" s="1"/>
  <c r="AJ348" i="5" s="1"/>
  <c r="Y347" i="5"/>
  <c r="AI347" i="5" s="1"/>
  <c r="AJ347" i="5" s="1"/>
  <c r="Y350" i="5"/>
  <c r="AI350" i="5" s="1"/>
  <c r="AJ350" i="5" s="1"/>
  <c r="Y365" i="5"/>
  <c r="AI365" i="5" s="1"/>
  <c r="AJ365" i="5" s="1"/>
  <c r="Y364" i="5"/>
  <c r="AI364" i="5" s="1"/>
  <c r="AJ364" i="5" s="1"/>
  <c r="Y363" i="5"/>
  <c r="AI363" i="5" s="1"/>
  <c r="AJ363" i="5" s="1"/>
  <c r="Y366" i="5"/>
  <c r="AI366" i="5" s="1"/>
  <c r="AJ366" i="5" s="1"/>
  <c r="G69" i="4"/>
  <c r="I69" i="4" s="1"/>
  <c r="Y285" i="5"/>
  <c r="AI285" i="5" s="1"/>
  <c r="AJ285" i="5" s="1"/>
  <c r="Y284" i="5"/>
  <c r="AI284" i="5" s="1"/>
  <c r="AJ284" i="5" s="1"/>
  <c r="Y283" i="5"/>
  <c r="AI283" i="5" s="1"/>
  <c r="AJ283" i="5" s="1"/>
  <c r="Y286" i="5"/>
  <c r="AI286" i="5" s="1"/>
  <c r="AJ286" i="5" s="1"/>
  <c r="Y293" i="5"/>
  <c r="AI293" i="5" s="1"/>
  <c r="AJ293" i="5" s="1"/>
  <c r="Y292" i="5"/>
  <c r="AI292" i="5" s="1"/>
  <c r="AJ292" i="5" s="1"/>
  <c r="Y291" i="5"/>
  <c r="AI291" i="5" s="1"/>
  <c r="AJ291" i="5" s="1"/>
  <c r="Y294" i="5"/>
  <c r="AI294" i="5" s="1"/>
  <c r="AJ294" i="5" s="1"/>
  <c r="Y301" i="5"/>
  <c r="AI301" i="5" s="1"/>
  <c r="AJ301" i="5" s="1"/>
  <c r="Y300" i="5"/>
  <c r="AI300" i="5" s="1"/>
  <c r="AJ300" i="5" s="1"/>
  <c r="Y299" i="5"/>
  <c r="AI299" i="5" s="1"/>
  <c r="AJ299" i="5" s="1"/>
  <c r="Y302" i="5"/>
  <c r="AI302" i="5" s="1"/>
  <c r="AJ302" i="5" s="1"/>
  <c r="Y309" i="5"/>
  <c r="AI309" i="5" s="1"/>
  <c r="AJ309" i="5" s="1"/>
  <c r="Y308" i="5"/>
  <c r="AI308" i="5" s="1"/>
  <c r="AJ308" i="5" s="1"/>
  <c r="Y307" i="5"/>
  <c r="AI307" i="5" s="1"/>
  <c r="AJ307" i="5" s="1"/>
  <c r="Y310" i="5"/>
  <c r="AI310" i="5" s="1"/>
  <c r="AJ310" i="5" s="1"/>
  <c r="Y317" i="5"/>
  <c r="AI317" i="5" s="1"/>
  <c r="AJ317" i="5" s="1"/>
  <c r="Y316" i="5"/>
  <c r="AI316" i="5" s="1"/>
  <c r="AJ316" i="5" s="1"/>
  <c r="Y315" i="5"/>
  <c r="AI315" i="5" s="1"/>
  <c r="AJ315" i="5" s="1"/>
  <c r="Y318" i="5"/>
  <c r="AI318" i="5" s="1"/>
  <c r="AJ318" i="5" s="1"/>
  <c r="Y325" i="5"/>
  <c r="AI325" i="5" s="1"/>
  <c r="AJ325" i="5" s="1"/>
  <c r="Y324" i="5"/>
  <c r="AI324" i="5" s="1"/>
  <c r="AJ324" i="5" s="1"/>
  <c r="Y323" i="5"/>
  <c r="AI323" i="5" s="1"/>
  <c r="AJ323" i="5" s="1"/>
  <c r="Y326" i="5"/>
  <c r="AI326" i="5" s="1"/>
  <c r="AJ326" i="5" s="1"/>
  <c r="Y333" i="5"/>
  <c r="AI333" i="5" s="1"/>
  <c r="AJ333" i="5" s="1"/>
  <c r="Y332" i="5"/>
  <c r="AI332" i="5" s="1"/>
  <c r="AJ332" i="5" s="1"/>
  <c r="Y331" i="5"/>
  <c r="AI331" i="5" s="1"/>
  <c r="AJ331" i="5" s="1"/>
  <c r="Y334" i="5"/>
  <c r="AI334" i="5" s="1"/>
  <c r="AJ334" i="5" s="1"/>
  <c r="Y341" i="5"/>
  <c r="AI341" i="5" s="1"/>
  <c r="AJ341" i="5" s="1"/>
  <c r="Y340" i="5"/>
  <c r="AI340" i="5" s="1"/>
  <c r="AJ340" i="5" s="1"/>
  <c r="Y339" i="5"/>
  <c r="AI339" i="5" s="1"/>
  <c r="AJ339" i="5" s="1"/>
  <c r="Y342" i="5"/>
  <c r="AI342" i="5" s="1"/>
  <c r="AJ342" i="5" s="1"/>
  <c r="Y357" i="5"/>
  <c r="AI357" i="5" s="1"/>
  <c r="AJ357" i="5" s="1"/>
  <c r="Y356" i="5"/>
  <c r="AI356" i="5" s="1"/>
  <c r="AJ356" i="5" s="1"/>
  <c r="Y355" i="5"/>
  <c r="AI355" i="5" s="1"/>
  <c r="AJ355" i="5" s="1"/>
  <c r="Y358" i="5"/>
  <c r="AI358" i="5" s="1"/>
  <c r="AJ358" i="5" s="1"/>
  <c r="Y373" i="5"/>
  <c r="AI373" i="5" s="1"/>
  <c r="AJ373" i="5" s="1"/>
  <c r="Y372" i="5"/>
  <c r="AI372" i="5" s="1"/>
  <c r="AJ372" i="5" s="1"/>
  <c r="Y371" i="5"/>
  <c r="AI371" i="5" s="1"/>
  <c r="AJ371" i="5" s="1"/>
  <c r="Y374" i="5"/>
  <c r="AI374" i="5" s="1"/>
  <c r="AJ374" i="5" s="1"/>
  <c r="Y381" i="5"/>
  <c r="AI381" i="5" s="1"/>
  <c r="AJ381" i="5" s="1"/>
  <c r="Y380" i="5"/>
  <c r="AI380" i="5" s="1"/>
  <c r="AJ380" i="5" s="1"/>
  <c r="Y379" i="5"/>
  <c r="AI379" i="5" s="1"/>
  <c r="AJ379" i="5" s="1"/>
  <c r="Y382" i="5"/>
  <c r="AI382" i="5" s="1"/>
  <c r="AJ382" i="5" s="1"/>
  <c r="Y389" i="5"/>
  <c r="AI389" i="5" s="1"/>
  <c r="AJ389" i="5" s="1"/>
  <c r="Y388" i="5"/>
  <c r="AI388" i="5" s="1"/>
  <c r="AJ388" i="5" s="1"/>
  <c r="Y387" i="5"/>
  <c r="AI387" i="5" s="1"/>
  <c r="AJ387" i="5" s="1"/>
  <c r="Y390" i="5"/>
  <c r="AI390" i="5" s="1"/>
  <c r="AJ390" i="5" s="1"/>
  <c r="Y397" i="5"/>
  <c r="AI397" i="5" s="1"/>
  <c r="AJ397" i="5" s="1"/>
  <c r="Y396" i="5"/>
  <c r="AI396" i="5" s="1"/>
  <c r="AJ396" i="5" s="1"/>
  <c r="Y395" i="5"/>
  <c r="AI395" i="5" s="1"/>
  <c r="AJ395" i="5" s="1"/>
  <c r="Y398" i="5"/>
  <c r="AI398" i="5" s="1"/>
  <c r="AJ398" i="5" s="1"/>
  <c r="Y405" i="5"/>
  <c r="AI405" i="5" s="1"/>
  <c r="AJ405" i="5" s="1"/>
  <c r="Y404" i="5"/>
  <c r="AI404" i="5" s="1"/>
  <c r="AJ404" i="5" s="1"/>
  <c r="Y403" i="5"/>
  <c r="AI403" i="5" s="1"/>
  <c r="AJ403" i="5" s="1"/>
  <c r="Y406" i="5"/>
  <c r="AI406" i="5" s="1"/>
  <c r="AJ406" i="5" s="1"/>
  <c r="I5" i="4"/>
  <c r="L5" i="4"/>
  <c r="I25" i="4"/>
  <c r="L25" i="4"/>
  <c r="I30" i="4"/>
  <c r="L30" i="4"/>
  <c r="I53" i="4"/>
  <c r="I63" i="4"/>
  <c r="L63" i="4"/>
  <c r="I71" i="4"/>
  <c r="L71" i="4"/>
  <c r="I75" i="4"/>
  <c r="L75" i="4"/>
  <c r="I78" i="4"/>
  <c r="L78" i="4"/>
  <c r="I86" i="4"/>
  <c r="L86" i="4"/>
  <c r="I93" i="4"/>
  <c r="L93" i="4"/>
  <c r="I94" i="4"/>
  <c r="L94" i="4"/>
  <c r="I9" i="4"/>
  <c r="L9" i="4"/>
  <c r="I14" i="4"/>
  <c r="L14" i="4"/>
  <c r="I18" i="4"/>
  <c r="L18" i="4"/>
  <c r="I22" i="4"/>
  <c r="L22" i="4"/>
  <c r="I23" i="4"/>
  <c r="I28" i="4"/>
  <c r="L28" i="4"/>
  <c r="I32" i="4"/>
  <c r="L32" i="4"/>
  <c r="I36" i="4"/>
  <c r="L36" i="4"/>
  <c r="I40" i="4"/>
  <c r="L40" i="4"/>
  <c r="I41" i="4"/>
  <c r="I87" i="4"/>
  <c r="L87" i="4"/>
  <c r="I97" i="4"/>
  <c r="L97" i="4"/>
  <c r="I98" i="4"/>
  <c r="L98" i="4"/>
  <c r="I99" i="4"/>
  <c r="L99" i="4"/>
  <c r="I101" i="4"/>
  <c r="L101" i="4"/>
  <c r="I72" i="4"/>
  <c r="L72" i="4"/>
  <c r="I76" i="4"/>
  <c r="L76" i="4"/>
  <c r="I82" i="4"/>
  <c r="L82" i="4"/>
  <c r="I88" i="4"/>
  <c r="L88" i="4"/>
  <c r="I96" i="4"/>
  <c r="L96" i="4"/>
  <c r="I26" i="4"/>
  <c r="L26" i="4"/>
  <c r="I44" i="4"/>
  <c r="L44" i="4"/>
  <c r="I67" i="4"/>
  <c r="L67" i="4"/>
  <c r="I73" i="4"/>
  <c r="L73" i="4"/>
  <c r="I79" i="4"/>
  <c r="L79" i="4"/>
  <c r="I83" i="4"/>
  <c r="L83" i="4"/>
  <c r="I89" i="4"/>
  <c r="L89" i="4"/>
  <c r="I90" i="4"/>
  <c r="L90" i="4"/>
  <c r="I11" i="4"/>
  <c r="L11" i="4"/>
  <c r="I13" i="4"/>
  <c r="L13" i="4"/>
  <c r="I16" i="4"/>
  <c r="L16" i="4"/>
  <c r="I20" i="4"/>
  <c r="L20" i="4"/>
  <c r="I24" i="4"/>
  <c r="L24" i="4"/>
  <c r="I34" i="4"/>
  <c r="L34" i="4"/>
  <c r="I38" i="4"/>
  <c r="L38" i="4"/>
  <c r="I42" i="4"/>
  <c r="L42" i="4"/>
  <c r="I43" i="4"/>
  <c r="L43" i="4"/>
  <c r="I51" i="4"/>
  <c r="L51" i="4"/>
  <c r="I57" i="4"/>
  <c r="L57" i="4"/>
  <c r="I61" i="4"/>
  <c r="L61" i="4"/>
  <c r="I77" i="4"/>
  <c r="L77" i="4"/>
  <c r="I81" i="4"/>
  <c r="L81" i="4"/>
  <c r="I85" i="4"/>
  <c r="L85" i="4"/>
  <c r="I91" i="4"/>
  <c r="L91" i="4"/>
  <c r="I95" i="4"/>
  <c r="L95" i="4"/>
  <c r="J51" i="4"/>
  <c r="N51" i="4"/>
  <c r="D51" i="1"/>
  <c r="K53" i="4"/>
  <c r="E53" i="1"/>
  <c r="J55" i="4"/>
  <c r="N55" i="4"/>
  <c r="D55" i="1"/>
  <c r="K57" i="4"/>
  <c r="E57" i="1"/>
  <c r="J59" i="4"/>
  <c r="N59" i="4"/>
  <c r="D59" i="1"/>
  <c r="K61" i="4"/>
  <c r="E61" i="1"/>
  <c r="J63" i="4"/>
  <c r="N63" i="4"/>
  <c r="D63" i="1"/>
  <c r="J65" i="4"/>
  <c r="N65" i="4"/>
  <c r="D65" i="1"/>
  <c r="J67" i="4"/>
  <c r="N67" i="4"/>
  <c r="D67" i="1"/>
  <c r="K69" i="4"/>
  <c r="E69" i="1"/>
  <c r="J45" i="4"/>
  <c r="N45" i="4"/>
  <c r="D45" i="1"/>
  <c r="K50" i="4"/>
  <c r="E50" i="1"/>
  <c r="J52" i="4"/>
  <c r="N52" i="4"/>
  <c r="D52" i="1"/>
  <c r="J54" i="4"/>
  <c r="N54" i="4"/>
  <c r="D54" i="1"/>
  <c r="J56" i="4"/>
  <c r="N56" i="4"/>
  <c r="D56" i="1"/>
  <c r="J58" i="4"/>
  <c r="N58" i="4"/>
  <c r="D58" i="1"/>
  <c r="J60" i="4"/>
  <c r="N60" i="4"/>
  <c r="D60" i="1"/>
  <c r="K62" i="4"/>
  <c r="E62" i="1"/>
  <c r="J64" i="4"/>
  <c r="N64" i="4"/>
  <c r="D64" i="1"/>
  <c r="K66" i="4"/>
  <c r="E66" i="1"/>
  <c r="J68" i="4"/>
  <c r="N68" i="4"/>
  <c r="D68" i="1"/>
  <c r="J70" i="4"/>
  <c r="N70" i="4"/>
  <c r="D70" i="1"/>
  <c r="J14" i="4"/>
  <c r="N14" i="4"/>
  <c r="D14" i="1"/>
  <c r="K15" i="4"/>
  <c r="E15" i="1"/>
  <c r="J16" i="4"/>
  <c r="N16" i="4"/>
  <c r="D16" i="1"/>
  <c r="J17" i="4"/>
  <c r="N17" i="4"/>
  <c r="D17" i="1"/>
  <c r="J18" i="4"/>
  <c r="N18" i="4"/>
  <c r="D18" i="1"/>
  <c r="J19" i="4"/>
  <c r="N19" i="4"/>
  <c r="D19" i="1"/>
  <c r="J20" i="4"/>
  <c r="N20" i="4"/>
  <c r="D20" i="1"/>
  <c r="J21" i="4"/>
  <c r="N21" i="4"/>
  <c r="D21" i="1"/>
  <c r="J22" i="4"/>
  <c r="N22" i="4"/>
  <c r="D22" i="1"/>
  <c r="J23" i="4"/>
  <c r="N23" i="4"/>
  <c r="D23" i="1"/>
  <c r="J24" i="4"/>
  <c r="N24" i="4"/>
  <c r="D24" i="1"/>
  <c r="J25" i="4"/>
  <c r="N25" i="4"/>
  <c r="D25" i="1"/>
  <c r="J26" i="4"/>
  <c r="N26" i="4"/>
  <c r="D26" i="1"/>
  <c r="J27" i="4"/>
  <c r="N27" i="4"/>
  <c r="D27" i="1"/>
  <c r="J28" i="4"/>
  <c r="N28" i="4"/>
  <c r="D28" i="1"/>
  <c r="J29" i="4"/>
  <c r="N29" i="4"/>
  <c r="D29" i="1"/>
  <c r="J30" i="4"/>
  <c r="N30" i="4"/>
  <c r="D30" i="1"/>
  <c r="J31" i="4"/>
  <c r="N31" i="4"/>
  <c r="D31" i="1"/>
  <c r="J32" i="4"/>
  <c r="N32" i="4"/>
  <c r="D32" i="1"/>
  <c r="J33" i="4"/>
  <c r="N33" i="4"/>
  <c r="D33" i="1"/>
  <c r="J34" i="4"/>
  <c r="N34" i="4"/>
  <c r="D34" i="1"/>
  <c r="K35" i="4"/>
  <c r="E35" i="1"/>
  <c r="J36" i="4"/>
  <c r="N36" i="4"/>
  <c r="D36" i="1"/>
  <c r="J37" i="4"/>
  <c r="N37" i="4"/>
  <c r="D37" i="1"/>
  <c r="J38" i="4"/>
  <c r="N38" i="4"/>
  <c r="D38" i="1"/>
  <c r="J39" i="4"/>
  <c r="N39" i="4"/>
  <c r="D39" i="1"/>
  <c r="K40" i="4"/>
  <c r="E40" i="1"/>
  <c r="J41" i="4"/>
  <c r="N41" i="4"/>
  <c r="D41" i="1"/>
  <c r="J42" i="4"/>
  <c r="N42" i="4"/>
  <c r="D42" i="1"/>
  <c r="J43" i="4"/>
  <c r="N43" i="4"/>
  <c r="D43" i="1"/>
  <c r="K44" i="4"/>
  <c r="E44" i="1"/>
  <c r="J46" i="4"/>
  <c r="N46" i="4"/>
  <c r="D46" i="1"/>
  <c r="J47" i="4"/>
  <c r="N47" i="4"/>
  <c r="D47" i="1"/>
  <c r="J49" i="4"/>
  <c r="N49" i="4"/>
  <c r="D49" i="1"/>
  <c r="B8" i="1"/>
  <c r="C14" i="1"/>
  <c r="F14" i="1" s="1"/>
  <c r="C20" i="1"/>
  <c r="F20" i="1" s="1"/>
  <c r="C36" i="1"/>
  <c r="F36" i="1" s="1"/>
  <c r="C52" i="1"/>
  <c r="F52" i="1" s="1"/>
  <c r="B56" i="1"/>
  <c r="C62" i="1"/>
  <c r="F62" i="1" s="1"/>
  <c r="C57" i="1"/>
  <c r="F57" i="1" s="1"/>
  <c r="B35" i="1"/>
  <c r="C53" i="1"/>
  <c r="F53" i="1" s="1"/>
  <c r="G4" i="4"/>
  <c r="H48" i="4"/>
  <c r="Y20" i="5"/>
  <c r="AI20" i="5" s="1"/>
  <c r="AJ20" i="5" s="1"/>
  <c r="Y19" i="5"/>
  <c r="AI19" i="5" s="1"/>
  <c r="Y22" i="5"/>
  <c r="AI22" i="5" s="1"/>
  <c r="AJ22" i="5" s="1"/>
  <c r="Y21" i="5"/>
  <c r="AI21" i="5" s="1"/>
  <c r="AJ21" i="5" s="1"/>
  <c r="AY19" i="5"/>
  <c r="Y28" i="5"/>
  <c r="AI28" i="5" s="1"/>
  <c r="AJ28" i="5" s="1"/>
  <c r="Y27" i="5"/>
  <c r="AI27" i="5" s="1"/>
  <c r="Y30" i="5"/>
  <c r="AI30" i="5" s="1"/>
  <c r="AJ30" i="5" s="1"/>
  <c r="Y29" i="5"/>
  <c r="AI29" i="5" s="1"/>
  <c r="AJ29" i="5" s="1"/>
  <c r="AY27" i="5"/>
  <c r="Y36" i="5"/>
  <c r="AI36" i="5" s="1"/>
  <c r="AJ36" i="5" s="1"/>
  <c r="Y35" i="5"/>
  <c r="AI35" i="5" s="1"/>
  <c r="Y38" i="5"/>
  <c r="AI38" i="5" s="1"/>
  <c r="AJ38" i="5" s="1"/>
  <c r="Y37" i="5"/>
  <c r="AI37" i="5" s="1"/>
  <c r="AJ37" i="5" s="1"/>
  <c r="AY35" i="5"/>
  <c r="Y44" i="5"/>
  <c r="AI44" i="5" s="1"/>
  <c r="AJ44" i="5" s="1"/>
  <c r="Y43" i="5"/>
  <c r="AI43" i="5" s="1"/>
  <c r="Y46" i="5"/>
  <c r="AI46" i="5" s="1"/>
  <c r="AJ46" i="5" s="1"/>
  <c r="AY43" i="5"/>
  <c r="Y45" i="5"/>
  <c r="AI45" i="5" s="1"/>
  <c r="AJ45" i="5" s="1"/>
  <c r="Y52" i="5"/>
  <c r="AI52" i="5" s="1"/>
  <c r="AJ52" i="5" s="1"/>
  <c r="Y51" i="5"/>
  <c r="AI51" i="5" s="1"/>
  <c r="Y54" i="5"/>
  <c r="AI54" i="5" s="1"/>
  <c r="AJ54" i="5" s="1"/>
  <c r="Y53" i="5"/>
  <c r="AI53" i="5" s="1"/>
  <c r="AJ53" i="5" s="1"/>
  <c r="AY51" i="5"/>
  <c r="Y56" i="5"/>
  <c r="AI56" i="5" s="1"/>
  <c r="AJ56" i="5" s="1"/>
  <c r="Y55" i="5"/>
  <c r="AI55" i="5" s="1"/>
  <c r="Y57" i="5"/>
  <c r="AI57" i="5" s="1"/>
  <c r="AJ57" i="5" s="1"/>
  <c r="Y58" i="5"/>
  <c r="AI58" i="5" s="1"/>
  <c r="AJ58" i="5" s="1"/>
  <c r="AY55" i="5"/>
  <c r="Y65" i="5"/>
  <c r="AI65" i="5" s="1"/>
  <c r="AJ65" i="5" s="1"/>
  <c r="Y64" i="5"/>
  <c r="AI64" i="5" s="1"/>
  <c r="AJ64" i="5" s="1"/>
  <c r="Y63" i="5"/>
  <c r="AI63" i="5" s="1"/>
  <c r="Y66" i="5"/>
  <c r="AI66" i="5" s="1"/>
  <c r="AJ66" i="5" s="1"/>
  <c r="AY63" i="5"/>
  <c r="Y73" i="5"/>
  <c r="AI73" i="5" s="1"/>
  <c r="AJ73" i="5" s="1"/>
  <c r="Y72" i="5"/>
  <c r="AI72" i="5" s="1"/>
  <c r="AJ72" i="5" s="1"/>
  <c r="Y71" i="5"/>
  <c r="AI71" i="5" s="1"/>
  <c r="Y74" i="5"/>
  <c r="AI74" i="5" s="1"/>
  <c r="AJ74" i="5" s="1"/>
  <c r="AY71" i="5"/>
  <c r="Y81" i="5"/>
  <c r="AI81" i="5" s="1"/>
  <c r="AJ81" i="5" s="1"/>
  <c r="Y80" i="5"/>
  <c r="AI80" i="5" s="1"/>
  <c r="AJ80" i="5" s="1"/>
  <c r="Y79" i="5"/>
  <c r="AI79" i="5" s="1"/>
  <c r="Y82" i="5"/>
  <c r="AI82" i="5" s="1"/>
  <c r="AJ82" i="5" s="1"/>
  <c r="AY79" i="5"/>
  <c r="Y89" i="5"/>
  <c r="AI89" i="5" s="1"/>
  <c r="AJ89" i="5" s="1"/>
  <c r="Y88" i="5"/>
  <c r="AI88" i="5" s="1"/>
  <c r="AJ88" i="5" s="1"/>
  <c r="Y87" i="5"/>
  <c r="AI87" i="5" s="1"/>
  <c r="Y90" i="5"/>
  <c r="AI90" i="5" s="1"/>
  <c r="AJ90" i="5" s="1"/>
  <c r="AY87" i="5"/>
  <c r="Y97" i="5"/>
  <c r="AI97" i="5" s="1"/>
  <c r="AJ97" i="5" s="1"/>
  <c r="Y96" i="5"/>
  <c r="AI96" i="5" s="1"/>
  <c r="AJ96" i="5" s="1"/>
  <c r="Y95" i="5"/>
  <c r="AI95" i="5" s="1"/>
  <c r="Y98" i="5"/>
  <c r="AI98" i="5" s="1"/>
  <c r="AJ98" i="5" s="1"/>
  <c r="AY95" i="5"/>
  <c r="Y105" i="5"/>
  <c r="AI105" i="5" s="1"/>
  <c r="AJ105" i="5" s="1"/>
  <c r="Y104" i="5"/>
  <c r="AI104" i="5" s="1"/>
  <c r="AJ104" i="5" s="1"/>
  <c r="Y103" i="5"/>
  <c r="AI103" i="5" s="1"/>
  <c r="Y106" i="5"/>
  <c r="AI106" i="5" s="1"/>
  <c r="AJ106" i="5" s="1"/>
  <c r="AY103" i="5"/>
  <c r="Y113" i="5"/>
  <c r="AI113" i="5" s="1"/>
  <c r="AJ113" i="5" s="1"/>
  <c r="Y112" i="5"/>
  <c r="AI112" i="5" s="1"/>
  <c r="AJ112" i="5" s="1"/>
  <c r="Y111" i="5"/>
  <c r="AI111" i="5" s="1"/>
  <c r="Y114" i="5"/>
  <c r="AI114" i="5" s="1"/>
  <c r="AJ114" i="5" s="1"/>
  <c r="AY111" i="5"/>
  <c r="Y121" i="5"/>
  <c r="AI121" i="5" s="1"/>
  <c r="AJ121" i="5" s="1"/>
  <c r="Y120" i="5"/>
  <c r="AI120" i="5" s="1"/>
  <c r="AJ120" i="5" s="1"/>
  <c r="Y119" i="5"/>
  <c r="AI119" i="5" s="1"/>
  <c r="Y122" i="5"/>
  <c r="AI122" i="5" s="1"/>
  <c r="AJ122" i="5" s="1"/>
  <c r="AY119" i="5"/>
  <c r="Y129" i="5"/>
  <c r="AI129" i="5" s="1"/>
  <c r="AJ129" i="5" s="1"/>
  <c r="Y128" i="5"/>
  <c r="AI128" i="5" s="1"/>
  <c r="AJ128" i="5" s="1"/>
  <c r="Y127" i="5"/>
  <c r="AI127" i="5" s="1"/>
  <c r="Y130" i="5"/>
  <c r="AI130" i="5" s="1"/>
  <c r="AJ130" i="5" s="1"/>
  <c r="AY127" i="5"/>
  <c r="Y137" i="5"/>
  <c r="AI137" i="5" s="1"/>
  <c r="AJ137" i="5" s="1"/>
  <c r="Y136" i="5"/>
  <c r="AI136" i="5" s="1"/>
  <c r="AJ136" i="5" s="1"/>
  <c r="Y135" i="5"/>
  <c r="AI135" i="5" s="1"/>
  <c r="Y138" i="5"/>
  <c r="AI138" i="5" s="1"/>
  <c r="AJ138" i="5" s="1"/>
  <c r="AY135" i="5"/>
  <c r="Y145" i="5"/>
  <c r="AI145" i="5" s="1"/>
  <c r="AJ145" i="5" s="1"/>
  <c r="Y144" i="5"/>
  <c r="AI144" i="5" s="1"/>
  <c r="AJ144" i="5" s="1"/>
  <c r="Y143" i="5"/>
  <c r="AI143" i="5" s="1"/>
  <c r="Y146" i="5"/>
  <c r="AI146" i="5" s="1"/>
  <c r="AJ146" i="5" s="1"/>
  <c r="AY143" i="5"/>
  <c r="Y153" i="5"/>
  <c r="AI153" i="5" s="1"/>
  <c r="AJ153" i="5" s="1"/>
  <c r="Y152" i="5"/>
  <c r="AI152" i="5" s="1"/>
  <c r="AJ152" i="5" s="1"/>
  <c r="Y151" i="5"/>
  <c r="AI151" i="5" s="1"/>
  <c r="AY151" i="5"/>
  <c r="Y154" i="5"/>
  <c r="AI154" i="5" s="1"/>
  <c r="AJ154" i="5" s="1"/>
  <c r="Y161" i="5"/>
  <c r="AI161" i="5" s="1"/>
  <c r="AJ161" i="5" s="1"/>
  <c r="Y160" i="5"/>
  <c r="AI160" i="5" s="1"/>
  <c r="AJ160" i="5" s="1"/>
  <c r="Y159" i="5"/>
  <c r="AI159" i="5" s="1"/>
  <c r="Y162" i="5"/>
  <c r="AI162" i="5" s="1"/>
  <c r="AJ162" i="5" s="1"/>
  <c r="AY159" i="5"/>
  <c r="Y169" i="5"/>
  <c r="AI169" i="5" s="1"/>
  <c r="AJ169" i="5" s="1"/>
  <c r="Y168" i="5"/>
  <c r="AI168" i="5" s="1"/>
  <c r="AJ168" i="5" s="1"/>
  <c r="Y167" i="5"/>
  <c r="AI167" i="5" s="1"/>
  <c r="Y170" i="5"/>
  <c r="AI170" i="5" s="1"/>
  <c r="AJ170" i="5" s="1"/>
  <c r="AY167" i="5"/>
  <c r="Y177" i="5"/>
  <c r="AI177" i="5" s="1"/>
  <c r="AJ177" i="5" s="1"/>
  <c r="Y176" i="5"/>
  <c r="AI176" i="5" s="1"/>
  <c r="AJ176" i="5" s="1"/>
  <c r="Y175" i="5"/>
  <c r="AI175" i="5" s="1"/>
  <c r="Y178" i="5"/>
  <c r="AI178" i="5" s="1"/>
  <c r="AJ178" i="5" s="1"/>
  <c r="AY175" i="5"/>
  <c r="G46" i="4"/>
  <c r="Y185" i="5"/>
  <c r="AI185" i="5" s="1"/>
  <c r="AJ185" i="5" s="1"/>
  <c r="Y184" i="5"/>
  <c r="AI184" i="5" s="1"/>
  <c r="AJ184" i="5" s="1"/>
  <c r="Y183" i="5"/>
  <c r="AI183" i="5" s="1"/>
  <c r="AY183" i="5"/>
  <c r="Y186" i="5"/>
  <c r="AI186" i="5" s="1"/>
  <c r="AJ186" i="5" s="1"/>
  <c r="G48" i="4"/>
  <c r="Y193" i="5"/>
  <c r="AI193" i="5" s="1"/>
  <c r="AJ193" i="5" s="1"/>
  <c r="Y192" i="5"/>
  <c r="AI192" i="5" s="1"/>
  <c r="AJ192" i="5" s="1"/>
  <c r="Y191" i="5"/>
  <c r="AI191" i="5" s="1"/>
  <c r="Y194" i="5"/>
  <c r="AI194" i="5" s="1"/>
  <c r="AJ194" i="5" s="1"/>
  <c r="AY191" i="5"/>
  <c r="G50" i="4"/>
  <c r="Y201" i="5"/>
  <c r="AI201" i="5" s="1"/>
  <c r="AJ201" i="5" s="1"/>
  <c r="Y200" i="5"/>
  <c r="AI200" i="5" s="1"/>
  <c r="AJ200" i="5" s="1"/>
  <c r="Y199" i="5"/>
  <c r="AI199" i="5" s="1"/>
  <c r="Y202" i="5"/>
  <c r="AI202" i="5" s="1"/>
  <c r="AJ202" i="5" s="1"/>
  <c r="AY199" i="5"/>
  <c r="G52" i="4"/>
  <c r="Y209" i="5"/>
  <c r="AI209" i="5" s="1"/>
  <c r="AJ209" i="5" s="1"/>
  <c r="Y208" i="5"/>
  <c r="AI208" i="5" s="1"/>
  <c r="AJ208" i="5" s="1"/>
  <c r="Y207" i="5"/>
  <c r="AI207" i="5" s="1"/>
  <c r="Y210" i="5"/>
  <c r="AI210" i="5" s="1"/>
  <c r="AJ210" i="5" s="1"/>
  <c r="AY207" i="5"/>
  <c r="G54" i="4"/>
  <c r="Y217" i="5"/>
  <c r="AI217" i="5" s="1"/>
  <c r="AJ217" i="5" s="1"/>
  <c r="Y216" i="5"/>
  <c r="AI216" i="5" s="1"/>
  <c r="AJ216" i="5" s="1"/>
  <c r="Y215" i="5"/>
  <c r="AI215" i="5" s="1"/>
  <c r="Y218" i="5"/>
  <c r="AI218" i="5" s="1"/>
  <c r="AJ218" i="5" s="1"/>
  <c r="AY215" i="5"/>
  <c r="G56" i="4"/>
  <c r="Y225" i="5"/>
  <c r="AI225" i="5" s="1"/>
  <c r="AJ225" i="5" s="1"/>
  <c r="Y224" i="5"/>
  <c r="AI224" i="5" s="1"/>
  <c r="AJ224" i="5" s="1"/>
  <c r="Y223" i="5"/>
  <c r="AI223" i="5" s="1"/>
  <c r="Y226" i="5"/>
  <c r="AI226" i="5" s="1"/>
  <c r="AJ226" i="5" s="1"/>
  <c r="AY223" i="5"/>
  <c r="G58" i="4"/>
  <c r="Y233" i="5"/>
  <c r="AI233" i="5" s="1"/>
  <c r="AJ233" i="5" s="1"/>
  <c r="Y232" i="5"/>
  <c r="AI232" i="5" s="1"/>
  <c r="AJ232" i="5" s="1"/>
  <c r="Y231" i="5"/>
  <c r="AI231" i="5" s="1"/>
  <c r="Y234" i="5"/>
  <c r="AI234" i="5" s="1"/>
  <c r="AJ234" i="5" s="1"/>
  <c r="AY231" i="5"/>
  <c r="G60" i="4"/>
  <c r="Y241" i="5"/>
  <c r="AI241" i="5" s="1"/>
  <c r="AJ241" i="5" s="1"/>
  <c r="Y240" i="5"/>
  <c r="AI240" i="5" s="1"/>
  <c r="AJ240" i="5" s="1"/>
  <c r="Y239" i="5"/>
  <c r="AI239" i="5" s="1"/>
  <c r="Y242" i="5"/>
  <c r="AI242" i="5" s="1"/>
  <c r="AJ242" i="5" s="1"/>
  <c r="AY239" i="5"/>
  <c r="G62" i="4"/>
  <c r="Y249" i="5"/>
  <c r="AI249" i="5" s="1"/>
  <c r="AJ249" i="5" s="1"/>
  <c r="Y248" i="5"/>
  <c r="AI248" i="5" s="1"/>
  <c r="AJ248" i="5" s="1"/>
  <c r="Y247" i="5"/>
  <c r="AI247" i="5" s="1"/>
  <c r="AY247" i="5"/>
  <c r="Y250" i="5"/>
  <c r="AI250" i="5" s="1"/>
  <c r="AJ250" i="5" s="1"/>
  <c r="G64" i="4"/>
  <c r="Y257" i="5"/>
  <c r="AI257" i="5" s="1"/>
  <c r="AJ257" i="5" s="1"/>
  <c r="Y256" i="5"/>
  <c r="AI256" i="5" s="1"/>
  <c r="AJ256" i="5" s="1"/>
  <c r="Y255" i="5"/>
  <c r="AI255" i="5" s="1"/>
  <c r="Y258" i="5"/>
  <c r="AI258" i="5" s="1"/>
  <c r="AJ258" i="5" s="1"/>
  <c r="AY255" i="5"/>
  <c r="G66" i="4"/>
  <c r="Y265" i="5"/>
  <c r="AI265" i="5" s="1"/>
  <c r="AJ265" i="5" s="1"/>
  <c r="Y264" i="5"/>
  <c r="AI264" i="5" s="1"/>
  <c r="AJ264" i="5" s="1"/>
  <c r="Y263" i="5"/>
  <c r="AI263" i="5" s="1"/>
  <c r="Y266" i="5"/>
  <c r="AI266" i="5" s="1"/>
  <c r="AJ266" i="5" s="1"/>
  <c r="AY263" i="5"/>
  <c r="G68" i="4"/>
  <c r="Y273" i="5"/>
  <c r="AI273" i="5" s="1"/>
  <c r="AJ273" i="5" s="1"/>
  <c r="Y272" i="5"/>
  <c r="AI272" i="5" s="1"/>
  <c r="AJ272" i="5" s="1"/>
  <c r="Y271" i="5"/>
  <c r="AI271" i="5" s="1"/>
  <c r="Y274" i="5"/>
  <c r="AI274" i="5" s="1"/>
  <c r="AJ274" i="5" s="1"/>
  <c r="AY271" i="5"/>
  <c r="G70" i="4"/>
  <c r="Y281" i="5"/>
  <c r="AI281" i="5" s="1"/>
  <c r="AJ281" i="5" s="1"/>
  <c r="Y280" i="5"/>
  <c r="AI280" i="5" s="1"/>
  <c r="AJ280" i="5" s="1"/>
  <c r="Y279" i="5"/>
  <c r="AI279" i="5" s="1"/>
  <c r="AY279" i="5"/>
  <c r="Y282" i="5"/>
  <c r="AI282" i="5" s="1"/>
  <c r="AJ282" i="5" s="1"/>
  <c r="K45" i="4"/>
  <c r="E45" i="1"/>
  <c r="J48" i="4"/>
  <c r="N48" i="4"/>
  <c r="D48" i="1"/>
  <c r="J50" i="4"/>
  <c r="N50" i="4"/>
  <c r="D50" i="1"/>
  <c r="P52" i="4"/>
  <c r="G52" i="1"/>
  <c r="K54" i="4"/>
  <c r="E54" i="1"/>
  <c r="P56" i="4"/>
  <c r="G56" i="1"/>
  <c r="P58" i="4"/>
  <c r="G58" i="1"/>
  <c r="P60" i="4"/>
  <c r="G60" i="1"/>
  <c r="J62" i="4"/>
  <c r="N62" i="4"/>
  <c r="D62" i="1"/>
  <c r="K64" i="4"/>
  <c r="E64" i="1"/>
  <c r="J66" i="4"/>
  <c r="N66" i="4"/>
  <c r="D66" i="1"/>
  <c r="P68" i="4"/>
  <c r="G68" i="1"/>
  <c r="P70" i="4"/>
  <c r="G70" i="1"/>
  <c r="P14" i="4"/>
  <c r="G14" i="1"/>
  <c r="J15" i="4"/>
  <c r="N15" i="4"/>
  <c r="D15" i="1"/>
  <c r="P16" i="4"/>
  <c r="G16" i="1"/>
  <c r="P17" i="4"/>
  <c r="G17" i="1"/>
  <c r="P18" i="4"/>
  <c r="G18" i="1"/>
  <c r="K19" i="4"/>
  <c r="E19" i="1"/>
  <c r="P20" i="4"/>
  <c r="G20" i="1"/>
  <c r="P21" i="4"/>
  <c r="G21" i="1"/>
  <c r="P22" i="4"/>
  <c r="G22" i="1"/>
  <c r="P23" i="4"/>
  <c r="G23" i="1"/>
  <c r="P24" i="4"/>
  <c r="G24" i="1"/>
  <c r="P25" i="4"/>
  <c r="G25" i="1"/>
  <c r="K26" i="4"/>
  <c r="E26" i="1"/>
  <c r="P27" i="4"/>
  <c r="G27" i="1"/>
  <c r="P28" i="4"/>
  <c r="G28" i="1"/>
  <c r="P29" i="4"/>
  <c r="G29" i="1"/>
  <c r="K30" i="4"/>
  <c r="E30" i="1"/>
  <c r="P31" i="4"/>
  <c r="G31" i="1"/>
  <c r="P32" i="4"/>
  <c r="G32" i="1"/>
  <c r="K33" i="4"/>
  <c r="E33" i="1"/>
  <c r="P34" i="4"/>
  <c r="G34" i="1"/>
  <c r="J35" i="4"/>
  <c r="N35" i="4"/>
  <c r="D35" i="1"/>
  <c r="P36" i="4"/>
  <c r="G36" i="1"/>
  <c r="K37" i="4"/>
  <c r="E37" i="1"/>
  <c r="P38" i="4"/>
  <c r="G38" i="1"/>
  <c r="P39" i="4"/>
  <c r="G39" i="1"/>
  <c r="J40" i="4"/>
  <c r="N40" i="4"/>
  <c r="D40" i="1"/>
  <c r="K41" i="4"/>
  <c r="E41" i="1"/>
  <c r="P42" i="4"/>
  <c r="G42" i="1"/>
  <c r="P43" i="4"/>
  <c r="G43" i="1"/>
  <c r="J44" i="4"/>
  <c r="N44" i="4"/>
  <c r="D44" i="1"/>
  <c r="P46" i="4"/>
  <c r="G46" i="1"/>
  <c r="P47" i="4"/>
  <c r="G47" i="1"/>
  <c r="K49" i="4"/>
  <c r="E49" i="1"/>
  <c r="P51" i="4"/>
  <c r="G51" i="1"/>
  <c r="J53" i="4"/>
  <c r="N53" i="4"/>
  <c r="D53" i="1"/>
  <c r="P55" i="4"/>
  <c r="G55" i="1"/>
  <c r="J57" i="4"/>
  <c r="N57" i="4"/>
  <c r="D57" i="1"/>
  <c r="K59" i="4"/>
  <c r="E59" i="1"/>
  <c r="J61" i="4"/>
  <c r="N61" i="4"/>
  <c r="D61" i="1"/>
  <c r="P63" i="4"/>
  <c r="G63" i="1"/>
  <c r="P65" i="4"/>
  <c r="G65" i="1"/>
  <c r="K67" i="4"/>
  <c r="E67" i="1"/>
  <c r="J69" i="4"/>
  <c r="N69" i="4"/>
  <c r="D69" i="1"/>
  <c r="K48" i="4"/>
  <c r="E48" i="1"/>
  <c r="C16" i="1"/>
  <c r="F16" i="1" s="1"/>
  <c r="C26" i="1"/>
  <c r="F26" i="1" s="1"/>
  <c r="C32" i="1"/>
  <c r="F32" i="1" s="1"/>
  <c r="C42" i="1"/>
  <c r="F42" i="1" s="1"/>
  <c r="C64" i="1"/>
  <c r="F64" i="1" s="1"/>
  <c r="E6" i="1"/>
  <c r="Y61" i="5"/>
  <c r="AI61" i="5" s="1"/>
  <c r="AJ61" i="5" s="1"/>
  <c r="Y60" i="5"/>
  <c r="AI60" i="5" s="1"/>
  <c r="AJ60" i="5" s="1"/>
  <c r="Y59" i="5"/>
  <c r="AI59" i="5" s="1"/>
  <c r="Y62" i="5"/>
  <c r="AI62" i="5" s="1"/>
  <c r="AJ62" i="5" s="1"/>
  <c r="AY59" i="5"/>
  <c r="Y69" i="5"/>
  <c r="AI69" i="5" s="1"/>
  <c r="AJ69" i="5" s="1"/>
  <c r="Y68" i="5"/>
  <c r="AI68" i="5" s="1"/>
  <c r="AJ68" i="5" s="1"/>
  <c r="Y67" i="5"/>
  <c r="AI67" i="5" s="1"/>
  <c r="Y70" i="5"/>
  <c r="AI70" i="5" s="1"/>
  <c r="AJ70" i="5" s="1"/>
  <c r="AY67" i="5"/>
  <c r="Y77" i="5"/>
  <c r="AI77" i="5" s="1"/>
  <c r="AJ77" i="5" s="1"/>
  <c r="Y76" i="5"/>
  <c r="AI76" i="5" s="1"/>
  <c r="AJ76" i="5" s="1"/>
  <c r="Y75" i="5"/>
  <c r="AI75" i="5" s="1"/>
  <c r="Y78" i="5"/>
  <c r="AI78" i="5" s="1"/>
  <c r="AJ78" i="5" s="1"/>
  <c r="AY75" i="5"/>
  <c r="Y85" i="5"/>
  <c r="AI85" i="5" s="1"/>
  <c r="AJ85" i="5" s="1"/>
  <c r="Y84" i="5"/>
  <c r="AI84" i="5" s="1"/>
  <c r="AJ84" i="5" s="1"/>
  <c r="Y83" i="5"/>
  <c r="AI83" i="5" s="1"/>
  <c r="Y86" i="5"/>
  <c r="AI86" i="5" s="1"/>
  <c r="AJ86" i="5" s="1"/>
  <c r="AY83" i="5"/>
  <c r="Y101" i="5"/>
  <c r="AI101" i="5" s="1"/>
  <c r="AJ101" i="5" s="1"/>
  <c r="Y100" i="5"/>
  <c r="AI100" i="5" s="1"/>
  <c r="AJ100" i="5" s="1"/>
  <c r="Y99" i="5"/>
  <c r="AI99" i="5" s="1"/>
  <c r="Y102" i="5"/>
  <c r="AI102" i="5" s="1"/>
  <c r="AJ102" i="5" s="1"/>
  <c r="AY99" i="5"/>
  <c r="Y133" i="5"/>
  <c r="AI133" i="5" s="1"/>
  <c r="AJ133" i="5" s="1"/>
  <c r="Y132" i="5"/>
  <c r="AI132" i="5" s="1"/>
  <c r="AJ132" i="5" s="1"/>
  <c r="Y131" i="5"/>
  <c r="AI131" i="5" s="1"/>
  <c r="Y134" i="5"/>
  <c r="AI134" i="5" s="1"/>
  <c r="AJ134" i="5" s="1"/>
  <c r="AY131" i="5"/>
  <c r="Y141" i="5"/>
  <c r="AI141" i="5" s="1"/>
  <c r="AJ141" i="5" s="1"/>
  <c r="Y140" i="5"/>
  <c r="AI140" i="5" s="1"/>
  <c r="AJ140" i="5" s="1"/>
  <c r="Y139" i="5"/>
  <c r="AI139" i="5" s="1"/>
  <c r="Y142" i="5"/>
  <c r="AI142" i="5" s="1"/>
  <c r="AJ142" i="5" s="1"/>
  <c r="AY139" i="5"/>
  <c r="Y149" i="5"/>
  <c r="AI149" i="5" s="1"/>
  <c r="AJ149" i="5" s="1"/>
  <c r="Y148" i="5"/>
  <c r="AI148" i="5" s="1"/>
  <c r="AJ148" i="5" s="1"/>
  <c r="Y147" i="5"/>
  <c r="AI147" i="5" s="1"/>
  <c r="Y150" i="5"/>
  <c r="AI150" i="5" s="1"/>
  <c r="AJ150" i="5" s="1"/>
  <c r="AY147" i="5"/>
  <c r="Y157" i="5"/>
  <c r="AI157" i="5" s="1"/>
  <c r="AJ157" i="5" s="1"/>
  <c r="Y156" i="5"/>
  <c r="AI156" i="5" s="1"/>
  <c r="AJ156" i="5" s="1"/>
  <c r="Y155" i="5"/>
  <c r="AI155" i="5" s="1"/>
  <c r="AY155" i="5"/>
  <c r="Y158" i="5"/>
  <c r="AI158" i="5" s="1"/>
  <c r="AJ158" i="5" s="1"/>
  <c r="Y237" i="5"/>
  <c r="AI237" i="5" s="1"/>
  <c r="AJ237" i="5" s="1"/>
  <c r="Y236" i="5"/>
  <c r="AI236" i="5" s="1"/>
  <c r="AJ236" i="5" s="1"/>
  <c r="Y235" i="5"/>
  <c r="AI235" i="5" s="1"/>
  <c r="Y238" i="5"/>
  <c r="AI238" i="5" s="1"/>
  <c r="AJ238" i="5" s="1"/>
  <c r="AY235" i="5"/>
  <c r="Y245" i="5"/>
  <c r="AI245" i="5" s="1"/>
  <c r="AJ245" i="5" s="1"/>
  <c r="Y244" i="5"/>
  <c r="AI244" i="5" s="1"/>
  <c r="AJ244" i="5" s="1"/>
  <c r="Y243" i="5"/>
  <c r="AI243" i="5" s="1"/>
  <c r="Y246" i="5"/>
  <c r="AI246" i="5" s="1"/>
  <c r="AJ246" i="5" s="1"/>
  <c r="AY243" i="5"/>
  <c r="Y269" i="5"/>
  <c r="AI269" i="5" s="1"/>
  <c r="AJ269" i="5" s="1"/>
  <c r="Y268" i="5"/>
  <c r="AI268" i="5" s="1"/>
  <c r="AJ268" i="5" s="1"/>
  <c r="Y267" i="5"/>
  <c r="AI267" i="5" s="1"/>
  <c r="Y270" i="5"/>
  <c r="AI270" i="5" s="1"/>
  <c r="AJ270" i="5" s="1"/>
  <c r="AY267" i="5"/>
  <c r="P45" i="4"/>
  <c r="G45" i="1"/>
  <c r="P48" i="4"/>
  <c r="G48" i="1"/>
  <c r="P50" i="4"/>
  <c r="G50" i="1"/>
  <c r="P54" i="4"/>
  <c r="G54" i="1"/>
  <c r="K58" i="4"/>
  <c r="E58" i="1"/>
  <c r="P62" i="4"/>
  <c r="G62" i="1"/>
  <c r="P64" i="4"/>
  <c r="G64" i="1"/>
  <c r="P66" i="4"/>
  <c r="G66" i="1"/>
  <c r="K68" i="4"/>
  <c r="E68" i="1"/>
  <c r="P15" i="4"/>
  <c r="G15" i="1"/>
  <c r="K18" i="4"/>
  <c r="E18" i="1"/>
  <c r="P19" i="4"/>
  <c r="G19" i="1"/>
  <c r="P26" i="4"/>
  <c r="G26" i="1"/>
  <c r="K27" i="4"/>
  <c r="E27" i="1"/>
  <c r="K29" i="4"/>
  <c r="E29" i="1"/>
  <c r="P30" i="4"/>
  <c r="G30" i="1"/>
  <c r="K32" i="4"/>
  <c r="E32" i="1"/>
  <c r="P33" i="4"/>
  <c r="G33" i="1"/>
  <c r="P35" i="4"/>
  <c r="G35" i="1"/>
  <c r="K36" i="4"/>
  <c r="E36" i="1"/>
  <c r="P37" i="4"/>
  <c r="G37" i="1"/>
  <c r="K39" i="4"/>
  <c r="E39" i="1"/>
  <c r="P40" i="4"/>
  <c r="G40" i="1"/>
  <c r="P41" i="4"/>
  <c r="G41" i="1"/>
  <c r="K43" i="4"/>
  <c r="E43" i="1"/>
  <c r="P44" i="4"/>
  <c r="G44" i="1"/>
  <c r="K47" i="4"/>
  <c r="E47" i="1"/>
  <c r="P49" i="4"/>
  <c r="G49" i="1"/>
  <c r="K51" i="4"/>
  <c r="E51" i="1"/>
  <c r="P53" i="4"/>
  <c r="G53" i="1"/>
  <c r="K55" i="4"/>
  <c r="E55" i="1"/>
  <c r="P57" i="4"/>
  <c r="G57" i="1"/>
  <c r="P59" i="4"/>
  <c r="G59" i="1"/>
  <c r="P61" i="4"/>
  <c r="G61" i="1"/>
  <c r="K63" i="4"/>
  <c r="E63" i="1"/>
  <c r="P67" i="4"/>
  <c r="G67" i="1"/>
  <c r="P69" i="4"/>
  <c r="G69" i="1"/>
  <c r="C22" i="1"/>
  <c r="F22" i="1" s="1"/>
  <c r="C38" i="1"/>
  <c r="F38" i="1" s="1"/>
  <c r="Y24" i="5"/>
  <c r="AI24" i="5" s="1"/>
  <c r="AJ24" i="5" s="1"/>
  <c r="Y23" i="5"/>
  <c r="AI23" i="5" s="1"/>
  <c r="Y25" i="5"/>
  <c r="AI25" i="5" s="1"/>
  <c r="AJ25" i="5" s="1"/>
  <c r="Y26" i="5"/>
  <c r="AI26" i="5" s="1"/>
  <c r="AJ26" i="5" s="1"/>
  <c r="AY23" i="5"/>
  <c r="Y32" i="5"/>
  <c r="AI32" i="5" s="1"/>
  <c r="AJ32" i="5" s="1"/>
  <c r="Y31" i="5"/>
  <c r="AI31" i="5" s="1"/>
  <c r="Y33" i="5"/>
  <c r="AI33" i="5" s="1"/>
  <c r="AJ33" i="5" s="1"/>
  <c r="Y34" i="5"/>
  <c r="AI34" i="5" s="1"/>
  <c r="AJ34" i="5" s="1"/>
  <c r="AY31" i="5"/>
  <c r="Y40" i="5"/>
  <c r="AI40" i="5" s="1"/>
  <c r="AJ40" i="5" s="1"/>
  <c r="Y39" i="5"/>
  <c r="AI39" i="5" s="1"/>
  <c r="Y41" i="5"/>
  <c r="AI41" i="5" s="1"/>
  <c r="AJ41" i="5" s="1"/>
  <c r="Y42" i="5"/>
  <c r="AI42" i="5" s="1"/>
  <c r="AJ42" i="5" s="1"/>
  <c r="AY39" i="5"/>
  <c r="Y48" i="5"/>
  <c r="AI48" i="5" s="1"/>
  <c r="AJ48" i="5" s="1"/>
  <c r="Y47" i="5"/>
  <c r="AI47" i="5" s="1"/>
  <c r="Y49" i="5"/>
  <c r="AI49" i="5" s="1"/>
  <c r="AJ49" i="5" s="1"/>
  <c r="Y50" i="5"/>
  <c r="AI50" i="5" s="1"/>
  <c r="AJ50" i="5" s="1"/>
  <c r="AY47" i="5"/>
  <c r="Y93" i="5"/>
  <c r="AI93" i="5" s="1"/>
  <c r="AJ93" i="5" s="1"/>
  <c r="Y92" i="5"/>
  <c r="AI92" i="5" s="1"/>
  <c r="AJ92" i="5" s="1"/>
  <c r="Y91" i="5"/>
  <c r="AI91" i="5" s="1"/>
  <c r="Y94" i="5"/>
  <c r="AI94" i="5" s="1"/>
  <c r="AJ94" i="5" s="1"/>
  <c r="AY91" i="5"/>
  <c r="Y109" i="5"/>
  <c r="AI109" i="5" s="1"/>
  <c r="AJ109" i="5" s="1"/>
  <c r="Y108" i="5"/>
  <c r="AI108" i="5" s="1"/>
  <c r="AJ108" i="5" s="1"/>
  <c r="Y107" i="5"/>
  <c r="AI107" i="5" s="1"/>
  <c r="Y110" i="5"/>
  <c r="AI110" i="5" s="1"/>
  <c r="AJ110" i="5" s="1"/>
  <c r="AY107" i="5"/>
  <c r="Y117" i="5"/>
  <c r="AI117" i="5" s="1"/>
  <c r="AJ117" i="5" s="1"/>
  <c r="Y116" i="5"/>
  <c r="AI116" i="5" s="1"/>
  <c r="AJ116" i="5" s="1"/>
  <c r="Y115" i="5"/>
  <c r="AI115" i="5" s="1"/>
  <c r="Y118" i="5"/>
  <c r="AI118" i="5" s="1"/>
  <c r="AJ118" i="5" s="1"/>
  <c r="AY115" i="5"/>
  <c r="Y125" i="5"/>
  <c r="AI125" i="5" s="1"/>
  <c r="AJ125" i="5" s="1"/>
  <c r="Y124" i="5"/>
  <c r="AI124" i="5" s="1"/>
  <c r="AJ124" i="5" s="1"/>
  <c r="Y123" i="5"/>
  <c r="AI123" i="5" s="1"/>
  <c r="Y126" i="5"/>
  <c r="AI126" i="5" s="1"/>
  <c r="AJ126" i="5" s="1"/>
  <c r="AY123" i="5"/>
  <c r="Y165" i="5"/>
  <c r="AI165" i="5" s="1"/>
  <c r="AJ165" i="5" s="1"/>
  <c r="Y164" i="5"/>
  <c r="AI164" i="5" s="1"/>
  <c r="AJ164" i="5" s="1"/>
  <c r="Y163" i="5"/>
  <c r="AI163" i="5" s="1"/>
  <c r="Y166" i="5"/>
  <c r="AI166" i="5" s="1"/>
  <c r="AJ166" i="5" s="1"/>
  <c r="AY163" i="5"/>
  <c r="Y173" i="5"/>
  <c r="AI173" i="5" s="1"/>
  <c r="AJ173" i="5" s="1"/>
  <c r="Y172" i="5"/>
  <c r="AI172" i="5" s="1"/>
  <c r="AJ172" i="5" s="1"/>
  <c r="Y171" i="5"/>
  <c r="AI171" i="5" s="1"/>
  <c r="Y174" i="5"/>
  <c r="AI174" i="5" s="1"/>
  <c r="AJ174" i="5" s="1"/>
  <c r="AY171" i="5"/>
  <c r="Y181" i="5"/>
  <c r="AI181" i="5" s="1"/>
  <c r="AJ181" i="5" s="1"/>
  <c r="Y180" i="5"/>
  <c r="AI180" i="5" s="1"/>
  <c r="AJ180" i="5" s="1"/>
  <c r="Y179" i="5"/>
  <c r="AI179" i="5" s="1"/>
  <c r="Y182" i="5"/>
  <c r="AI182" i="5" s="1"/>
  <c r="AJ182" i="5" s="1"/>
  <c r="AY179" i="5"/>
  <c r="Y189" i="5"/>
  <c r="AI189" i="5" s="1"/>
  <c r="AJ189" i="5" s="1"/>
  <c r="Y188" i="5"/>
  <c r="AI188" i="5" s="1"/>
  <c r="AJ188" i="5" s="1"/>
  <c r="Y187" i="5"/>
  <c r="AI187" i="5" s="1"/>
  <c r="Y190" i="5"/>
  <c r="AI190" i="5" s="1"/>
  <c r="AJ190" i="5" s="1"/>
  <c r="AY187" i="5"/>
  <c r="Y197" i="5"/>
  <c r="AI197" i="5" s="1"/>
  <c r="AJ197" i="5" s="1"/>
  <c r="Y196" i="5"/>
  <c r="AI196" i="5" s="1"/>
  <c r="AJ196" i="5" s="1"/>
  <c r="Y195" i="5"/>
  <c r="AI195" i="5" s="1"/>
  <c r="Y198" i="5"/>
  <c r="AI198" i="5" s="1"/>
  <c r="AJ198" i="5" s="1"/>
  <c r="AY195" i="5"/>
  <c r="Y205" i="5"/>
  <c r="AI205" i="5" s="1"/>
  <c r="AJ205" i="5" s="1"/>
  <c r="Y204" i="5"/>
  <c r="AI204" i="5" s="1"/>
  <c r="AJ204" i="5" s="1"/>
  <c r="Y203" i="5"/>
  <c r="AI203" i="5" s="1"/>
  <c r="Y206" i="5"/>
  <c r="AI206" i="5" s="1"/>
  <c r="AJ206" i="5" s="1"/>
  <c r="AY203" i="5"/>
  <c r="Y213" i="5"/>
  <c r="AI213" i="5" s="1"/>
  <c r="AJ213" i="5" s="1"/>
  <c r="Y212" i="5"/>
  <c r="AI212" i="5" s="1"/>
  <c r="AJ212" i="5" s="1"/>
  <c r="Y211" i="5"/>
  <c r="AI211" i="5" s="1"/>
  <c r="Y214" i="5"/>
  <c r="AI214" i="5" s="1"/>
  <c r="AJ214" i="5" s="1"/>
  <c r="AY211" i="5"/>
  <c r="Y221" i="5"/>
  <c r="AI221" i="5" s="1"/>
  <c r="AJ221" i="5" s="1"/>
  <c r="Y220" i="5"/>
  <c r="AI220" i="5" s="1"/>
  <c r="AJ220" i="5" s="1"/>
  <c r="Y219" i="5"/>
  <c r="AI219" i="5" s="1"/>
  <c r="AY219" i="5"/>
  <c r="Y222" i="5"/>
  <c r="AI222" i="5" s="1"/>
  <c r="AJ222" i="5" s="1"/>
  <c r="Y229" i="5"/>
  <c r="AI229" i="5" s="1"/>
  <c r="AJ229" i="5" s="1"/>
  <c r="Y228" i="5"/>
  <c r="AI228" i="5" s="1"/>
  <c r="AJ228" i="5" s="1"/>
  <c r="Y227" i="5"/>
  <c r="AI227" i="5" s="1"/>
  <c r="Y230" i="5"/>
  <c r="AI230" i="5" s="1"/>
  <c r="AJ230" i="5" s="1"/>
  <c r="AY227" i="5"/>
  <c r="Y253" i="5"/>
  <c r="AI253" i="5" s="1"/>
  <c r="AJ253" i="5" s="1"/>
  <c r="Y252" i="5"/>
  <c r="AI252" i="5" s="1"/>
  <c r="AJ252" i="5" s="1"/>
  <c r="Y251" i="5"/>
  <c r="AI251" i="5" s="1"/>
  <c r="AY251" i="5"/>
  <c r="Y254" i="5"/>
  <c r="AI254" i="5" s="1"/>
  <c r="AJ254" i="5" s="1"/>
  <c r="Y261" i="5"/>
  <c r="AI261" i="5" s="1"/>
  <c r="AJ261" i="5" s="1"/>
  <c r="Y260" i="5"/>
  <c r="AI260" i="5" s="1"/>
  <c r="AJ260" i="5" s="1"/>
  <c r="Y259" i="5"/>
  <c r="AI259" i="5" s="1"/>
  <c r="Y262" i="5"/>
  <c r="AI262" i="5" s="1"/>
  <c r="AJ262" i="5" s="1"/>
  <c r="AY259" i="5"/>
  <c r="Y277" i="5"/>
  <c r="AI277" i="5" s="1"/>
  <c r="AJ277" i="5" s="1"/>
  <c r="Y276" i="5"/>
  <c r="AI276" i="5" s="1"/>
  <c r="AJ276" i="5" s="1"/>
  <c r="Y275" i="5"/>
  <c r="AI275" i="5" s="1"/>
  <c r="Y278" i="5"/>
  <c r="AI278" i="5" s="1"/>
  <c r="AJ278" i="5" s="1"/>
  <c r="AY275" i="5"/>
  <c r="K52" i="4"/>
  <c r="E52" i="1"/>
  <c r="K56" i="4"/>
  <c r="E56" i="1"/>
  <c r="K60" i="4"/>
  <c r="E60" i="1"/>
  <c r="K70" i="4"/>
  <c r="E70" i="1"/>
  <c r="K14" i="4"/>
  <c r="E14" i="1"/>
  <c r="K16" i="4"/>
  <c r="E16" i="1"/>
  <c r="K17" i="4"/>
  <c r="E17" i="1"/>
  <c r="K20" i="4"/>
  <c r="E20" i="1"/>
  <c r="K21" i="4"/>
  <c r="E21" i="1"/>
  <c r="K22" i="4"/>
  <c r="E22" i="1"/>
  <c r="K23" i="4"/>
  <c r="E23" i="1"/>
  <c r="K24" i="4"/>
  <c r="E24" i="1"/>
  <c r="K25" i="4"/>
  <c r="E25" i="1"/>
  <c r="K28" i="4"/>
  <c r="E28" i="1"/>
  <c r="K31" i="4"/>
  <c r="E31" i="1"/>
  <c r="K34" i="4"/>
  <c r="E34" i="1"/>
  <c r="K38" i="4"/>
  <c r="E38" i="1"/>
  <c r="K42" i="4"/>
  <c r="E42" i="1"/>
  <c r="K46" i="4"/>
  <c r="E46" i="1"/>
  <c r="K65" i="4"/>
  <c r="E65" i="1"/>
  <c r="Y18" i="5"/>
  <c r="AI18" i="5" s="1"/>
  <c r="Y17" i="5"/>
  <c r="AI17" i="5" s="1"/>
  <c r="AJ17" i="5" s="1"/>
  <c r="Y16" i="5"/>
  <c r="AI16" i="5" s="1"/>
  <c r="AJ16" i="5" s="1"/>
  <c r="AY15" i="5"/>
  <c r="Y15" i="5"/>
  <c r="AI15" i="5" s="1"/>
  <c r="Y14" i="5"/>
  <c r="AI14" i="5" s="1"/>
  <c r="AJ14" i="5" s="1"/>
  <c r="Y13" i="5"/>
  <c r="AI13" i="5" s="1"/>
  <c r="AJ13" i="5" s="1"/>
  <c r="Y12" i="5"/>
  <c r="AI12" i="5" s="1"/>
  <c r="AJ12" i="5" s="1"/>
  <c r="Y11" i="5"/>
  <c r="AI11" i="5" s="1"/>
  <c r="J4" i="4"/>
  <c r="J8" i="4"/>
  <c r="J12" i="4"/>
  <c r="AG61" i="5"/>
  <c r="AH61" i="5" s="1"/>
  <c r="AS59" i="5"/>
  <c r="AG62" i="5"/>
  <c r="AH62" i="5" s="1"/>
  <c r="AG60" i="5"/>
  <c r="AH60" i="5" s="1"/>
  <c r="AG59" i="5"/>
  <c r="AH59" i="5" s="1"/>
  <c r="AB59" i="5"/>
  <c r="S59" i="5"/>
  <c r="BF59" i="5"/>
  <c r="AG69" i="5"/>
  <c r="AH69" i="5" s="1"/>
  <c r="AG70" i="5"/>
  <c r="AH70" i="5" s="1"/>
  <c r="AS67" i="5"/>
  <c r="AG68" i="5"/>
  <c r="AH68" i="5" s="1"/>
  <c r="AG67" i="5"/>
  <c r="AH67" i="5" s="1"/>
  <c r="AB67" i="5"/>
  <c r="S67" i="5"/>
  <c r="S75" i="5"/>
  <c r="AS75" i="5"/>
  <c r="AG77" i="5"/>
  <c r="AH77" i="5" s="1"/>
  <c r="AG75" i="5"/>
  <c r="AH75" i="5" s="1"/>
  <c r="AG76" i="5"/>
  <c r="AH76" i="5" s="1"/>
  <c r="AB75" i="5"/>
  <c r="AG78" i="5"/>
  <c r="AH78" i="5" s="1"/>
  <c r="AG85" i="5"/>
  <c r="AH85" i="5" s="1"/>
  <c r="AG84" i="5"/>
  <c r="AH84" i="5" s="1"/>
  <c r="AG86" i="5"/>
  <c r="AH86" i="5" s="1"/>
  <c r="S83" i="5"/>
  <c r="AS83" i="5"/>
  <c r="AB83" i="5"/>
  <c r="AG83" i="5"/>
  <c r="AH83" i="5" s="1"/>
  <c r="S99" i="5"/>
  <c r="AG100" i="5"/>
  <c r="AH100" i="5" s="1"/>
  <c r="AB99" i="5"/>
  <c r="AG102" i="5"/>
  <c r="AH102" i="5" s="1"/>
  <c r="AG101" i="5"/>
  <c r="AH101" i="5" s="1"/>
  <c r="AG99" i="5"/>
  <c r="AH99" i="5" s="1"/>
  <c r="AS99" i="5"/>
  <c r="S131" i="5"/>
  <c r="AG133" i="5"/>
  <c r="AH133" i="5" s="1"/>
  <c r="AG132" i="5"/>
  <c r="AH132" i="5" s="1"/>
  <c r="AG131" i="5"/>
  <c r="AH131" i="5" s="1"/>
  <c r="AB131" i="5"/>
  <c r="AS131" i="5"/>
  <c r="AG134" i="5"/>
  <c r="AH134" i="5" s="1"/>
  <c r="S139" i="5"/>
  <c r="AS139" i="5"/>
  <c r="AG142" i="5"/>
  <c r="AH142" i="5" s="1"/>
  <c r="AG140" i="5"/>
  <c r="AH140" i="5" s="1"/>
  <c r="AG139" i="5"/>
  <c r="AH139" i="5" s="1"/>
  <c r="AB139" i="5"/>
  <c r="AG141" i="5"/>
  <c r="AH141" i="5" s="1"/>
  <c r="S147" i="5"/>
  <c r="AG148" i="5"/>
  <c r="AH148" i="5" s="1"/>
  <c r="AG147" i="5"/>
  <c r="AH147" i="5" s="1"/>
  <c r="AB147" i="5"/>
  <c r="AS147" i="5"/>
  <c r="AG149" i="5"/>
  <c r="AH149" i="5" s="1"/>
  <c r="AG150" i="5"/>
  <c r="AH150" i="5" s="1"/>
  <c r="AG158" i="5"/>
  <c r="AH158" i="5" s="1"/>
  <c r="AG157" i="5"/>
  <c r="AH157" i="5" s="1"/>
  <c r="AG156" i="5"/>
  <c r="AH156" i="5" s="1"/>
  <c r="S155" i="5"/>
  <c r="AB155" i="5"/>
  <c r="AG155" i="5"/>
  <c r="AH155" i="5" s="1"/>
  <c r="AS155" i="5"/>
  <c r="AG238" i="5"/>
  <c r="AH238" i="5" s="1"/>
  <c r="AG235" i="5"/>
  <c r="AH235" i="5" s="1"/>
  <c r="AB235" i="5"/>
  <c r="AG237" i="5"/>
  <c r="AH237" i="5" s="1"/>
  <c r="AS235" i="5"/>
  <c r="S235" i="5"/>
  <c r="AG236" i="5"/>
  <c r="AH236" i="5" s="1"/>
  <c r="AG245" i="5"/>
  <c r="AH245" i="5" s="1"/>
  <c r="S243" i="5"/>
  <c r="AG243" i="5"/>
  <c r="AH243" i="5" s="1"/>
  <c r="AB243" i="5"/>
  <c r="AG246" i="5"/>
  <c r="AH246" i="5" s="1"/>
  <c r="AS243" i="5"/>
  <c r="AG244" i="5"/>
  <c r="AH244" i="5" s="1"/>
  <c r="AG267" i="5"/>
  <c r="AH267" i="5" s="1"/>
  <c r="AG268" i="5"/>
  <c r="AH268" i="5" s="1"/>
  <c r="AB267" i="5"/>
  <c r="S267" i="5"/>
  <c r="AG269" i="5"/>
  <c r="AH269" i="5" s="1"/>
  <c r="AG270" i="5"/>
  <c r="AH270" i="5" s="1"/>
  <c r="AS267" i="5"/>
  <c r="AG350" i="5"/>
  <c r="AH350" i="5" s="1"/>
  <c r="AG348" i="5"/>
  <c r="AH348" i="5" s="1"/>
  <c r="AS347" i="5"/>
  <c r="AB347" i="5"/>
  <c r="AG349" i="5"/>
  <c r="AH349" i="5" s="1"/>
  <c r="AG347" i="5"/>
  <c r="AH347" i="5" s="1"/>
  <c r="S347" i="5"/>
  <c r="AG366" i="5"/>
  <c r="AH366" i="5" s="1"/>
  <c r="AG365" i="5"/>
  <c r="AH365" i="5" s="1"/>
  <c r="S363" i="5"/>
  <c r="AG363" i="5"/>
  <c r="AH363" i="5" s="1"/>
  <c r="AS363" i="5"/>
  <c r="AG364" i="5"/>
  <c r="AH364" i="5" s="1"/>
  <c r="AB363" i="5"/>
  <c r="N4" i="4"/>
  <c r="AG18" i="5"/>
  <c r="AH18" i="5" s="1"/>
  <c r="AG16" i="5"/>
  <c r="AH16" i="5" s="1"/>
  <c r="BF15" i="5"/>
  <c r="BI15" i="5" s="1"/>
  <c r="AB15" i="5"/>
  <c r="S15" i="5"/>
  <c r="AG17" i="5"/>
  <c r="AH17" i="5" s="1"/>
  <c r="AG15" i="5"/>
  <c r="AS15" i="5"/>
  <c r="AG25" i="5"/>
  <c r="AH25" i="5" s="1"/>
  <c r="AS23" i="5"/>
  <c r="AG24" i="5"/>
  <c r="AH24" i="5" s="1"/>
  <c r="BF23" i="5"/>
  <c r="S23" i="5"/>
  <c r="AG23" i="5"/>
  <c r="AG26" i="5"/>
  <c r="AH26" i="5" s="1"/>
  <c r="AB23" i="5"/>
  <c r="AG34" i="5"/>
  <c r="AH34" i="5" s="1"/>
  <c r="AG32" i="5"/>
  <c r="AH32" i="5" s="1"/>
  <c r="BF31" i="5"/>
  <c r="AB31" i="5"/>
  <c r="S31" i="5"/>
  <c r="AG33" i="5"/>
  <c r="AH33" i="5" s="1"/>
  <c r="AG31" i="5"/>
  <c r="AS31" i="5"/>
  <c r="AS39" i="5"/>
  <c r="AB39" i="5"/>
  <c r="AG42" i="5"/>
  <c r="AH42" i="5" s="1"/>
  <c r="AG41" i="5"/>
  <c r="AH41" i="5" s="1"/>
  <c r="BF39" i="5"/>
  <c r="S39" i="5"/>
  <c r="AG40" i="5"/>
  <c r="AG39" i="5"/>
  <c r="AG49" i="5"/>
  <c r="AH49" i="5" s="1"/>
  <c r="AS47" i="5"/>
  <c r="AG47" i="5"/>
  <c r="AG48" i="5"/>
  <c r="AH48" i="5" s="1"/>
  <c r="AG50" i="5"/>
  <c r="AH50" i="5" s="1"/>
  <c r="BF47" i="5"/>
  <c r="AB47" i="5"/>
  <c r="S47" i="5"/>
  <c r="AG94" i="5"/>
  <c r="AH94" i="5" s="1"/>
  <c r="AG93" i="5"/>
  <c r="AH93" i="5" s="1"/>
  <c r="AG92" i="5"/>
  <c r="AH92" i="5" s="1"/>
  <c r="S91" i="5"/>
  <c r="AS91" i="5"/>
  <c r="AB91" i="5"/>
  <c r="AG91" i="5"/>
  <c r="AH91" i="5" s="1"/>
  <c r="AG109" i="5"/>
  <c r="AH109" i="5" s="1"/>
  <c r="AS107" i="5"/>
  <c r="S107" i="5"/>
  <c r="AG110" i="5"/>
  <c r="AH110" i="5" s="1"/>
  <c r="AG108" i="5"/>
  <c r="AH108" i="5" s="1"/>
  <c r="AB107" i="5"/>
  <c r="AG107" i="5"/>
  <c r="AH107" i="5" s="1"/>
  <c r="S115" i="5"/>
  <c r="AG117" i="5"/>
  <c r="AH117" i="5" s="1"/>
  <c r="AG118" i="5"/>
  <c r="AH118" i="5" s="1"/>
  <c r="AG115" i="5"/>
  <c r="AH115" i="5" s="1"/>
  <c r="AB115" i="5"/>
  <c r="AG116" i="5"/>
  <c r="AH116" i="5" s="1"/>
  <c r="AS115" i="5"/>
  <c r="S123" i="5"/>
  <c r="AS123" i="5"/>
  <c r="AG125" i="5"/>
  <c r="AH125" i="5" s="1"/>
  <c r="AG124" i="5"/>
  <c r="AH124" i="5" s="1"/>
  <c r="AG126" i="5"/>
  <c r="AH126" i="5" s="1"/>
  <c r="AB123" i="5"/>
  <c r="AG123" i="5"/>
  <c r="AH123" i="5" s="1"/>
  <c r="AG163" i="5"/>
  <c r="AH163" i="5" s="1"/>
  <c r="AB163" i="5"/>
  <c r="S163" i="5"/>
  <c r="AG166" i="5"/>
  <c r="AH166" i="5" s="1"/>
  <c r="AG165" i="5"/>
  <c r="AH165" i="5" s="1"/>
  <c r="AG164" i="5"/>
  <c r="AH164" i="5" s="1"/>
  <c r="AS163" i="5"/>
  <c r="AG171" i="5"/>
  <c r="AH171" i="5" s="1"/>
  <c r="AB171" i="5"/>
  <c r="S171" i="5"/>
  <c r="AG174" i="5"/>
  <c r="AH174" i="5" s="1"/>
  <c r="AG173" i="5"/>
  <c r="AH173" i="5" s="1"/>
  <c r="AS171" i="5"/>
  <c r="AG172" i="5"/>
  <c r="AH172" i="5" s="1"/>
  <c r="AG182" i="5"/>
  <c r="AH182" i="5" s="1"/>
  <c r="AG181" i="5"/>
  <c r="AH181" i="5" s="1"/>
  <c r="AG180" i="5"/>
  <c r="AH180" i="5" s="1"/>
  <c r="AS179" i="5"/>
  <c r="AB179" i="5"/>
  <c r="AG179" i="5"/>
  <c r="AH179" i="5" s="1"/>
  <c r="S179" i="5"/>
  <c r="AG190" i="5"/>
  <c r="AH190" i="5" s="1"/>
  <c r="AG188" i="5"/>
  <c r="AH188" i="5" s="1"/>
  <c r="AG189" i="5"/>
  <c r="AH189" i="5" s="1"/>
  <c r="AG187" i="5"/>
  <c r="AH187" i="5" s="1"/>
  <c r="AB187" i="5"/>
  <c r="S187" i="5"/>
  <c r="AS187" i="5"/>
  <c r="AG198" i="5"/>
  <c r="AH198" i="5" s="1"/>
  <c r="AG195" i="5"/>
  <c r="AH195" i="5" s="1"/>
  <c r="AB195" i="5"/>
  <c r="S195" i="5"/>
  <c r="AG197" i="5"/>
  <c r="AH197" i="5" s="1"/>
  <c r="AS195" i="5"/>
  <c r="AG196" i="5"/>
  <c r="AH196" i="5" s="1"/>
  <c r="AG206" i="5"/>
  <c r="AH206" i="5" s="1"/>
  <c r="AS203" i="5"/>
  <c r="AG205" i="5"/>
  <c r="AH205" i="5" s="1"/>
  <c r="S203" i="5"/>
  <c r="AG204" i="5"/>
  <c r="AH204" i="5" s="1"/>
  <c r="AB203" i="5"/>
  <c r="AG203" i="5"/>
  <c r="AH203" i="5" s="1"/>
  <c r="AS211" i="5"/>
  <c r="AG214" i="5"/>
  <c r="AH214" i="5" s="1"/>
  <c r="AG213" i="5"/>
  <c r="AH213" i="5" s="1"/>
  <c r="AB211" i="5"/>
  <c r="S211" i="5"/>
  <c r="AG211" i="5"/>
  <c r="AH211" i="5" s="1"/>
  <c r="AG212" i="5"/>
  <c r="AH212" i="5" s="1"/>
  <c r="AS219" i="5"/>
  <c r="AG222" i="5"/>
  <c r="AH222" i="5" s="1"/>
  <c r="AG221" i="5"/>
  <c r="AH221" i="5" s="1"/>
  <c r="AG220" i="5"/>
  <c r="AH220" i="5" s="1"/>
  <c r="S219" i="5"/>
  <c r="AB219" i="5"/>
  <c r="AG219" i="5"/>
  <c r="AH219" i="5" s="1"/>
  <c r="AS227" i="5"/>
  <c r="AB227" i="5"/>
  <c r="AG227" i="5"/>
  <c r="AH227" i="5" s="1"/>
  <c r="AG230" i="5"/>
  <c r="AH230" i="5" s="1"/>
  <c r="AG229" i="5"/>
  <c r="AH229" i="5" s="1"/>
  <c r="AG228" i="5"/>
  <c r="AH228" i="5" s="1"/>
  <c r="S227" i="5"/>
  <c r="AG254" i="5"/>
  <c r="AH254" i="5" s="1"/>
  <c r="AB251" i="5"/>
  <c r="S251" i="5"/>
  <c r="AG252" i="5"/>
  <c r="AH252" i="5" s="1"/>
  <c r="AS251" i="5"/>
  <c r="AG251" i="5"/>
  <c r="AH251" i="5" s="1"/>
  <c r="AG253" i="5"/>
  <c r="AH253" i="5" s="1"/>
  <c r="AS259" i="5"/>
  <c r="AG261" i="5"/>
  <c r="AH261" i="5" s="1"/>
  <c r="AG262" i="5"/>
  <c r="AH262" i="5" s="1"/>
  <c r="AG260" i="5"/>
  <c r="AH260" i="5" s="1"/>
  <c r="S259" i="5"/>
  <c r="AG259" i="5"/>
  <c r="AH259" i="5" s="1"/>
  <c r="AB259" i="5"/>
  <c r="AS275" i="5"/>
  <c r="AG277" i="5"/>
  <c r="AH277" i="5" s="1"/>
  <c r="AG278" i="5"/>
  <c r="AH278" i="5" s="1"/>
  <c r="AG276" i="5"/>
  <c r="AH276" i="5" s="1"/>
  <c r="S275" i="5"/>
  <c r="AB275" i="5"/>
  <c r="AG275" i="5"/>
  <c r="AH275" i="5" s="1"/>
  <c r="AG285" i="5"/>
  <c r="AH285" i="5" s="1"/>
  <c r="AG286" i="5"/>
  <c r="AH286" i="5" s="1"/>
  <c r="AS283" i="5"/>
  <c r="AG283" i="5"/>
  <c r="AH283" i="5" s="1"/>
  <c r="AG284" i="5"/>
  <c r="AH284" i="5" s="1"/>
  <c r="AB283" i="5"/>
  <c r="S283" i="5"/>
  <c r="BA283" i="5"/>
  <c r="AG294" i="5"/>
  <c r="AH294" i="5" s="1"/>
  <c r="BA291" i="5"/>
  <c r="AB291" i="5"/>
  <c r="AS291" i="5"/>
  <c r="AG291" i="5"/>
  <c r="AH291" i="5" s="1"/>
  <c r="S291" i="5"/>
  <c r="AG293" i="5"/>
  <c r="AH293" i="5" s="1"/>
  <c r="AG292" i="5"/>
  <c r="AH292" i="5" s="1"/>
  <c r="AG300" i="5"/>
  <c r="AH300" i="5" s="1"/>
  <c r="AS299" i="5"/>
  <c r="AG299" i="5"/>
  <c r="AH299" i="5" s="1"/>
  <c r="AB299" i="5"/>
  <c r="AG302" i="5"/>
  <c r="AH302" i="5" s="1"/>
  <c r="BA299" i="5"/>
  <c r="S299" i="5"/>
  <c r="AG301" i="5"/>
  <c r="AH301" i="5" s="1"/>
  <c r="AG308" i="5"/>
  <c r="AH308" i="5" s="1"/>
  <c r="AS307" i="5"/>
  <c r="AB307" i="5"/>
  <c r="AG309" i="5"/>
  <c r="AH309" i="5" s="1"/>
  <c r="S307" i="5"/>
  <c r="AG310" i="5"/>
  <c r="AH310" i="5" s="1"/>
  <c r="AG307" i="5"/>
  <c r="AH307" i="5" s="1"/>
  <c r="AG317" i="5"/>
  <c r="AH317" i="5" s="1"/>
  <c r="AG315" i="5"/>
  <c r="AH315" i="5" s="1"/>
  <c r="S315" i="5"/>
  <c r="AB315" i="5"/>
  <c r="AG318" i="5"/>
  <c r="AH318" i="5" s="1"/>
  <c r="AG316" i="5"/>
  <c r="AH316" i="5" s="1"/>
  <c r="AS315" i="5"/>
  <c r="AG325" i="5"/>
  <c r="AH325" i="5" s="1"/>
  <c r="AG326" i="5"/>
  <c r="AH326" i="5" s="1"/>
  <c r="AG323" i="5"/>
  <c r="AH323" i="5" s="1"/>
  <c r="S323" i="5"/>
  <c r="AS323" i="5"/>
  <c r="AB323" i="5"/>
  <c r="AG324" i="5"/>
  <c r="AH324" i="5" s="1"/>
  <c r="AG331" i="5"/>
  <c r="AH331" i="5" s="1"/>
  <c r="S331" i="5"/>
  <c r="AB331" i="5"/>
  <c r="AG333" i="5"/>
  <c r="AH333" i="5" s="1"/>
  <c r="AG334" i="5"/>
  <c r="AH334" i="5" s="1"/>
  <c r="AS331" i="5"/>
  <c r="AG332" i="5"/>
  <c r="AH332" i="5" s="1"/>
  <c r="AG341" i="5"/>
  <c r="AH341" i="5" s="1"/>
  <c r="AB339" i="5"/>
  <c r="AG342" i="5"/>
  <c r="AH342" i="5" s="1"/>
  <c r="AS339" i="5"/>
  <c r="S339" i="5"/>
  <c r="AG340" i="5"/>
  <c r="AH340" i="5" s="1"/>
  <c r="AG339" i="5"/>
  <c r="AH339" i="5" s="1"/>
  <c r="AG355" i="5"/>
  <c r="AH355" i="5" s="1"/>
  <c r="S355" i="5"/>
  <c r="AG358" i="5"/>
  <c r="AH358" i="5" s="1"/>
  <c r="AG357" i="5"/>
  <c r="AH357" i="5" s="1"/>
  <c r="AG356" i="5"/>
  <c r="AH356" i="5" s="1"/>
  <c r="AB355" i="5"/>
  <c r="AS355" i="5"/>
  <c r="AG374" i="5"/>
  <c r="AH374" i="5" s="1"/>
  <c r="BA371" i="5"/>
  <c r="AG371" i="5"/>
  <c r="AH371" i="5" s="1"/>
  <c r="AB371" i="5"/>
  <c r="AS371" i="5"/>
  <c r="AG372" i="5"/>
  <c r="AH372" i="5" s="1"/>
  <c r="S371" i="5"/>
  <c r="AG373" i="5"/>
  <c r="AH373" i="5" s="1"/>
  <c r="AG382" i="5"/>
  <c r="AH382" i="5" s="1"/>
  <c r="AG380" i="5"/>
  <c r="AH380" i="5" s="1"/>
  <c r="AG379" i="5"/>
  <c r="AH379" i="5" s="1"/>
  <c r="AB379" i="5"/>
  <c r="S379" i="5"/>
  <c r="AG381" i="5"/>
  <c r="AH381" i="5" s="1"/>
  <c r="AS379" i="5"/>
  <c r="AG388" i="5"/>
  <c r="AH388" i="5" s="1"/>
  <c r="S387" i="5"/>
  <c r="AS387" i="5"/>
  <c r="AG387" i="5"/>
  <c r="AH387" i="5" s="1"/>
  <c r="AG390" i="5"/>
  <c r="AH390" i="5" s="1"/>
  <c r="AB387" i="5"/>
  <c r="AG389" i="5"/>
  <c r="AH389" i="5" s="1"/>
  <c r="AG396" i="5"/>
  <c r="AH396" i="5" s="1"/>
  <c r="BA395" i="5"/>
  <c r="S395" i="5"/>
  <c r="AG398" i="5"/>
  <c r="AH398" i="5" s="1"/>
  <c r="AS395" i="5"/>
  <c r="AG395" i="5"/>
  <c r="AH395" i="5" s="1"/>
  <c r="AG397" i="5"/>
  <c r="AH397" i="5" s="1"/>
  <c r="AB395" i="5"/>
  <c r="AG406" i="5"/>
  <c r="AH406" i="5" s="1"/>
  <c r="AG405" i="5"/>
  <c r="AH405" i="5" s="1"/>
  <c r="AG404" i="5"/>
  <c r="AH404" i="5" s="1"/>
  <c r="BA403" i="5"/>
  <c r="S403" i="5"/>
  <c r="AS403" i="5"/>
  <c r="AG403" i="5"/>
  <c r="AH403" i="5" s="1"/>
  <c r="AB403" i="5"/>
  <c r="E5" i="1"/>
  <c r="J5" i="4"/>
  <c r="J9" i="4"/>
  <c r="J11" i="4"/>
  <c r="J13" i="4"/>
  <c r="AG22" i="5"/>
  <c r="AH22" i="5" s="1"/>
  <c r="AG20" i="5"/>
  <c r="AH20" i="5" s="1"/>
  <c r="AG21" i="5"/>
  <c r="AH21" i="5" s="1"/>
  <c r="AS19" i="5"/>
  <c r="AG19" i="5"/>
  <c r="BF19" i="5"/>
  <c r="AB19" i="5"/>
  <c r="S19" i="5"/>
  <c r="AG27" i="5"/>
  <c r="AH27" i="5" s="1"/>
  <c r="AS27" i="5"/>
  <c r="AG30" i="5"/>
  <c r="AH30" i="5" s="1"/>
  <c r="AG28" i="5"/>
  <c r="AH28" i="5" s="1"/>
  <c r="AB27" i="5"/>
  <c r="S27" i="5"/>
  <c r="AG29" i="5"/>
  <c r="AH29" i="5" s="1"/>
  <c r="AG38" i="5"/>
  <c r="AH38" i="5" s="1"/>
  <c r="S35" i="5"/>
  <c r="AG37" i="5"/>
  <c r="AS35" i="5"/>
  <c r="AG35" i="5"/>
  <c r="AH35" i="5" s="1"/>
  <c r="BF35" i="5"/>
  <c r="AB35" i="5"/>
  <c r="AG36" i="5"/>
  <c r="AG45" i="5"/>
  <c r="AH45" i="5" s="1"/>
  <c r="AS43" i="5"/>
  <c r="S43" i="5"/>
  <c r="BF43" i="5"/>
  <c r="AG46" i="5"/>
  <c r="AH46" i="5" s="1"/>
  <c r="AG44" i="5"/>
  <c r="AH44" i="5" s="1"/>
  <c r="AG43" i="5"/>
  <c r="AH43" i="5" s="1"/>
  <c r="AB43" i="5"/>
  <c r="AG51" i="5"/>
  <c r="AH51" i="5" s="1"/>
  <c r="AG54" i="5"/>
  <c r="AH54" i="5" s="1"/>
  <c r="AG52" i="5"/>
  <c r="AH52" i="5" s="1"/>
  <c r="BF51" i="5"/>
  <c r="AB51" i="5"/>
  <c r="S51" i="5"/>
  <c r="AS51" i="5"/>
  <c r="AG53" i="5"/>
  <c r="AH53" i="5" s="1"/>
  <c r="AG58" i="5"/>
  <c r="AH58" i="5" s="1"/>
  <c r="AG56" i="5"/>
  <c r="AH56" i="5" s="1"/>
  <c r="BF55" i="5"/>
  <c r="AB55" i="5"/>
  <c r="S55" i="5"/>
  <c r="AS55" i="5"/>
  <c r="AG57" i="5"/>
  <c r="AH57" i="5" s="1"/>
  <c r="AG55" i="5"/>
  <c r="AH55" i="5" s="1"/>
  <c r="AS63" i="5"/>
  <c r="AG65" i="5"/>
  <c r="AH65" i="5" s="1"/>
  <c r="AG63" i="5"/>
  <c r="AH63" i="5" s="1"/>
  <c r="BF63" i="5"/>
  <c r="AB63" i="5"/>
  <c r="S63" i="5"/>
  <c r="AG66" i="5"/>
  <c r="AH66" i="5" s="1"/>
  <c r="AG64" i="5"/>
  <c r="AH64" i="5" s="1"/>
  <c r="AG71" i="5"/>
  <c r="AH71" i="5" s="1"/>
  <c r="AB71" i="5"/>
  <c r="AG73" i="5"/>
  <c r="AH73" i="5" s="1"/>
  <c r="AS71" i="5"/>
  <c r="AG72" i="5"/>
  <c r="AH72" i="5" s="1"/>
  <c r="AG74" i="5"/>
  <c r="AH74" i="5" s="1"/>
  <c r="S71" i="5"/>
  <c r="AG82" i="5"/>
  <c r="AH82" i="5" s="1"/>
  <c r="AG81" i="5"/>
  <c r="AH81" i="5" s="1"/>
  <c r="AG80" i="5"/>
  <c r="AH80" i="5" s="1"/>
  <c r="AG79" i="5"/>
  <c r="AH79" i="5" s="1"/>
  <c r="AB79" i="5"/>
  <c r="AS79" i="5"/>
  <c r="S79" i="5"/>
  <c r="AG90" i="5"/>
  <c r="AH90" i="5" s="1"/>
  <c r="AG89" i="5"/>
  <c r="AH89" i="5" s="1"/>
  <c r="AG87" i="5"/>
  <c r="AH87" i="5" s="1"/>
  <c r="S87" i="5"/>
  <c r="AS87" i="5"/>
  <c r="AB87" i="5"/>
  <c r="AG88" i="5"/>
  <c r="AH88" i="5" s="1"/>
  <c r="AS95" i="5"/>
  <c r="AG97" i="5"/>
  <c r="AH97" i="5" s="1"/>
  <c r="AG98" i="5"/>
  <c r="AH98" i="5" s="1"/>
  <c r="AG95" i="5"/>
  <c r="AH95" i="5" s="1"/>
  <c r="AB95" i="5"/>
  <c r="S95" i="5"/>
  <c r="AG96" i="5"/>
  <c r="AH96" i="5" s="1"/>
  <c r="AS103" i="5"/>
  <c r="AG103" i="5"/>
  <c r="AH103" i="5" s="1"/>
  <c r="AB103" i="5"/>
  <c r="S103" i="5"/>
  <c r="AG104" i="5"/>
  <c r="AH104" i="5" s="1"/>
  <c r="AG105" i="5"/>
  <c r="AH105" i="5" s="1"/>
  <c r="AG106" i="5"/>
  <c r="AH106" i="5" s="1"/>
  <c r="AS111" i="5"/>
  <c r="AG111" i="5"/>
  <c r="AH111" i="5" s="1"/>
  <c r="AB111" i="5"/>
  <c r="AG114" i="5"/>
  <c r="AH114" i="5" s="1"/>
  <c r="AG113" i="5"/>
  <c r="AH113" i="5" s="1"/>
  <c r="AG112" i="5"/>
  <c r="AH112" i="5" s="1"/>
  <c r="S111" i="5"/>
  <c r="AS119" i="5"/>
  <c r="AG119" i="5"/>
  <c r="AH119" i="5" s="1"/>
  <c r="AB119" i="5"/>
  <c r="AG122" i="5"/>
  <c r="AH122" i="5" s="1"/>
  <c r="AG121" i="5"/>
  <c r="AH121" i="5" s="1"/>
  <c r="AG120" i="5"/>
  <c r="AH120" i="5" s="1"/>
  <c r="S119" i="5"/>
  <c r="AS127" i="5"/>
  <c r="AG127" i="5"/>
  <c r="AH127" i="5" s="1"/>
  <c r="AB127" i="5"/>
  <c r="AG130" i="5"/>
  <c r="AH130" i="5" s="1"/>
  <c r="AG129" i="5"/>
  <c r="AH129" i="5" s="1"/>
  <c r="AG128" i="5"/>
  <c r="AH128" i="5" s="1"/>
  <c r="S127" i="5"/>
  <c r="AS135" i="5"/>
  <c r="AG135" i="5"/>
  <c r="AH135" i="5" s="1"/>
  <c r="AB135" i="5"/>
  <c r="AG138" i="5"/>
  <c r="AH138" i="5" s="1"/>
  <c r="AG137" i="5"/>
  <c r="AH137" i="5" s="1"/>
  <c r="AG136" i="5"/>
  <c r="AH136" i="5" s="1"/>
  <c r="S135" i="5"/>
  <c r="AS143" i="5"/>
  <c r="AG143" i="5"/>
  <c r="AH143" i="5" s="1"/>
  <c r="AB143" i="5"/>
  <c r="AG146" i="5"/>
  <c r="AH146" i="5" s="1"/>
  <c r="AG145" i="5"/>
  <c r="AH145" i="5" s="1"/>
  <c r="AG144" i="5"/>
  <c r="AH144" i="5" s="1"/>
  <c r="S143" i="5"/>
  <c r="AS151" i="5"/>
  <c r="AG151" i="5"/>
  <c r="AH151" i="5" s="1"/>
  <c r="AB151" i="5"/>
  <c r="AG154" i="5"/>
  <c r="AH154" i="5" s="1"/>
  <c r="AG153" i="5"/>
  <c r="AH153" i="5" s="1"/>
  <c r="AG152" i="5"/>
  <c r="AH152" i="5" s="1"/>
  <c r="S151" i="5"/>
  <c r="AG162" i="5"/>
  <c r="AH162" i="5" s="1"/>
  <c r="S159" i="5"/>
  <c r="AG161" i="5"/>
  <c r="AH161" i="5" s="1"/>
  <c r="AS159" i="5"/>
  <c r="AG159" i="5"/>
  <c r="AH159" i="5" s="1"/>
  <c r="AB159" i="5"/>
  <c r="AG160" i="5"/>
  <c r="AH160" i="5" s="1"/>
  <c r="AG170" i="5"/>
  <c r="AH170" i="5" s="1"/>
  <c r="AG167" i="5"/>
  <c r="AH167" i="5" s="1"/>
  <c r="AB167" i="5"/>
  <c r="S167" i="5"/>
  <c r="AG169" i="5"/>
  <c r="AH169" i="5" s="1"/>
  <c r="AG168" i="5"/>
  <c r="AH168" i="5" s="1"/>
  <c r="AS167" i="5"/>
  <c r="AG177" i="5"/>
  <c r="AH177" i="5" s="1"/>
  <c r="AG175" i="5"/>
  <c r="AH175" i="5" s="1"/>
  <c r="AB175" i="5"/>
  <c r="S175" i="5"/>
  <c r="AG178" i="5"/>
  <c r="AH178" i="5" s="1"/>
  <c r="AS175" i="5"/>
  <c r="AG176" i="5"/>
  <c r="AH176" i="5" s="1"/>
  <c r="AG184" i="5"/>
  <c r="AH184" i="5" s="1"/>
  <c r="AS183" i="5"/>
  <c r="AG183" i="5"/>
  <c r="AH183" i="5" s="1"/>
  <c r="AG186" i="5"/>
  <c r="AH186" i="5" s="1"/>
  <c r="AG185" i="5"/>
  <c r="AH185" i="5" s="1"/>
  <c r="S183" i="5"/>
  <c r="AB183" i="5"/>
  <c r="AG193" i="5"/>
  <c r="AH193" i="5" s="1"/>
  <c r="AG191" i="5"/>
  <c r="AH191" i="5" s="1"/>
  <c r="AB191" i="5"/>
  <c r="S191" i="5"/>
  <c r="AS191" i="5"/>
  <c r="AG194" i="5"/>
  <c r="AH194" i="5" s="1"/>
  <c r="AG192" i="5"/>
  <c r="AH192" i="5" s="1"/>
  <c r="AG202" i="5"/>
  <c r="AH202" i="5" s="1"/>
  <c r="AG200" i="5"/>
  <c r="AH200" i="5" s="1"/>
  <c r="AS199" i="5"/>
  <c r="AG201" i="5"/>
  <c r="AH201" i="5" s="1"/>
  <c r="S199" i="5"/>
  <c r="AG199" i="5"/>
  <c r="AH199" i="5" s="1"/>
  <c r="AB199" i="5"/>
  <c r="AG209" i="5"/>
  <c r="AH209" i="5" s="1"/>
  <c r="AG207" i="5"/>
  <c r="AH207" i="5" s="1"/>
  <c r="AB207" i="5"/>
  <c r="S207" i="5"/>
  <c r="AG210" i="5"/>
  <c r="AH210" i="5" s="1"/>
  <c r="AS207" i="5"/>
  <c r="AG208" i="5"/>
  <c r="AH208" i="5" s="1"/>
  <c r="AG218" i="5"/>
  <c r="AH218" i="5" s="1"/>
  <c r="AG216" i="5"/>
  <c r="AH216" i="5" s="1"/>
  <c r="AG217" i="5"/>
  <c r="AH217" i="5" s="1"/>
  <c r="AS215" i="5"/>
  <c r="S215" i="5"/>
  <c r="AB215" i="5"/>
  <c r="AG215" i="5"/>
  <c r="AH215" i="5" s="1"/>
  <c r="AG225" i="5"/>
  <c r="AH225" i="5" s="1"/>
  <c r="AG223" i="5"/>
  <c r="AH223" i="5" s="1"/>
  <c r="AB223" i="5"/>
  <c r="S223" i="5"/>
  <c r="AG226" i="5"/>
  <c r="AH226" i="5" s="1"/>
  <c r="AG224" i="5"/>
  <c r="AH224" i="5" s="1"/>
  <c r="AS223" i="5"/>
  <c r="AG233" i="5"/>
  <c r="AH233" i="5" s="1"/>
  <c r="AS231" i="5"/>
  <c r="AG232" i="5"/>
  <c r="AH232" i="5" s="1"/>
  <c r="AG231" i="5"/>
  <c r="AH231" i="5" s="1"/>
  <c r="AB231" i="5"/>
  <c r="S231" i="5"/>
  <c r="AG234" i="5"/>
  <c r="AH234" i="5" s="1"/>
  <c r="AS239" i="5"/>
  <c r="S239" i="5"/>
  <c r="AB239" i="5"/>
  <c r="AG241" i="5"/>
  <c r="AH241" i="5" s="1"/>
  <c r="AG239" i="5"/>
  <c r="AH239" i="5" s="1"/>
  <c r="AG242" i="5"/>
  <c r="AH242" i="5" s="1"/>
  <c r="AG240" i="5"/>
  <c r="AH240" i="5" s="1"/>
  <c r="AG247" i="5"/>
  <c r="AH247" i="5" s="1"/>
  <c r="AG250" i="5"/>
  <c r="AH250" i="5" s="1"/>
  <c r="AG248" i="5"/>
  <c r="AH248" i="5" s="1"/>
  <c r="AB247" i="5"/>
  <c r="S247" i="5"/>
  <c r="AS247" i="5"/>
  <c r="AG249" i="5"/>
  <c r="AH249" i="5" s="1"/>
  <c r="AG258" i="5"/>
  <c r="AH258" i="5" s="1"/>
  <c r="AG256" i="5"/>
  <c r="AH256" i="5" s="1"/>
  <c r="AS255" i="5"/>
  <c r="AG255" i="5"/>
  <c r="AH255" i="5" s="1"/>
  <c r="AB255" i="5"/>
  <c r="S255" i="5"/>
  <c r="AG257" i="5"/>
  <c r="AH257" i="5" s="1"/>
  <c r="AG265" i="5"/>
  <c r="AH265" i="5" s="1"/>
  <c r="AG263" i="5"/>
  <c r="AH263" i="5" s="1"/>
  <c r="AG264" i="5"/>
  <c r="AH264" i="5" s="1"/>
  <c r="AB263" i="5"/>
  <c r="S263" i="5"/>
  <c r="AS263" i="5"/>
  <c r="AG266" i="5"/>
  <c r="AH266" i="5" s="1"/>
  <c r="AG274" i="5"/>
  <c r="AH274" i="5" s="1"/>
  <c r="AG272" i="5"/>
  <c r="AH272" i="5" s="1"/>
  <c r="AB271" i="5"/>
  <c r="S271" i="5"/>
  <c r="AS271" i="5"/>
  <c r="AG273" i="5"/>
  <c r="AH273" i="5" s="1"/>
  <c r="AG271" i="5"/>
  <c r="AH271" i="5" s="1"/>
  <c r="AS279" i="5"/>
  <c r="AG282" i="5"/>
  <c r="AH282" i="5" s="1"/>
  <c r="AG281" i="5"/>
  <c r="AH281" i="5" s="1"/>
  <c r="AG280" i="5"/>
  <c r="AH280" i="5" s="1"/>
  <c r="AG279" i="5"/>
  <c r="AH279" i="5" s="1"/>
  <c r="AB279" i="5"/>
  <c r="S279" i="5"/>
  <c r="AG288" i="5"/>
  <c r="AH288" i="5" s="1"/>
  <c r="AS287" i="5"/>
  <c r="AG287" i="5"/>
  <c r="AH287" i="5" s="1"/>
  <c r="S287" i="5"/>
  <c r="BA287" i="5"/>
  <c r="AB287" i="5"/>
  <c r="AG290" i="5"/>
  <c r="AH290" i="5" s="1"/>
  <c r="AG289" i="5"/>
  <c r="AH289" i="5" s="1"/>
  <c r="AG298" i="5"/>
  <c r="AH298" i="5" s="1"/>
  <c r="AG295" i="5"/>
  <c r="AH295" i="5" s="1"/>
  <c r="AB295" i="5"/>
  <c r="BA295" i="5"/>
  <c r="S295" i="5"/>
  <c r="AS295" i="5"/>
  <c r="AG297" i="5"/>
  <c r="AH297" i="5" s="1"/>
  <c r="AG296" i="5"/>
  <c r="AH296" i="5" s="1"/>
  <c r="AG306" i="5"/>
  <c r="AH306" i="5" s="1"/>
  <c r="AG304" i="5"/>
  <c r="AH304" i="5" s="1"/>
  <c r="AG303" i="5"/>
  <c r="AH303" i="5" s="1"/>
  <c r="AB303" i="5"/>
  <c r="AG305" i="5"/>
  <c r="AH305" i="5" s="1"/>
  <c r="AS303" i="5"/>
  <c r="S303" i="5"/>
  <c r="BA303" i="5"/>
  <c r="BA311" i="5"/>
  <c r="AG311" i="5"/>
  <c r="AH311" i="5" s="1"/>
  <c r="AB311" i="5"/>
  <c r="AG314" i="5"/>
  <c r="AH314" i="5" s="1"/>
  <c r="AS311" i="5"/>
  <c r="S311" i="5"/>
  <c r="AG313" i="5"/>
  <c r="AH313" i="5" s="1"/>
  <c r="AG312" i="5"/>
  <c r="AH312" i="5" s="1"/>
  <c r="AG321" i="5"/>
  <c r="AH321" i="5" s="1"/>
  <c r="AG322" i="5"/>
  <c r="AH322" i="5" s="1"/>
  <c r="S319" i="5"/>
  <c r="AG320" i="5"/>
  <c r="AH320" i="5" s="1"/>
  <c r="BA319" i="5"/>
  <c r="AB319" i="5"/>
  <c r="AG319" i="5"/>
  <c r="AH319" i="5" s="1"/>
  <c r="AS319" i="5"/>
  <c r="AG329" i="5"/>
  <c r="AH329" i="5" s="1"/>
  <c r="AS327" i="5"/>
  <c r="S327" i="5"/>
  <c r="AG328" i="5"/>
  <c r="AH328" i="5" s="1"/>
  <c r="BA327" i="5"/>
  <c r="AG327" i="5"/>
  <c r="AH327" i="5" s="1"/>
  <c r="AB327" i="5"/>
  <c r="AG330" i="5"/>
  <c r="AH330" i="5" s="1"/>
  <c r="AG337" i="5"/>
  <c r="AH337" i="5" s="1"/>
  <c r="AG336" i="5"/>
  <c r="AH336" i="5" s="1"/>
  <c r="AG335" i="5"/>
  <c r="AH335" i="5" s="1"/>
  <c r="AB335" i="5"/>
  <c r="AG338" i="5"/>
  <c r="AH338" i="5" s="1"/>
  <c r="S335" i="5"/>
  <c r="AS335" i="5"/>
  <c r="AG346" i="5"/>
  <c r="AH346" i="5" s="1"/>
  <c r="AG344" i="5"/>
  <c r="AH344" i="5" s="1"/>
  <c r="AG343" i="5"/>
  <c r="AH343" i="5" s="1"/>
  <c r="AB343" i="5"/>
  <c r="AS343" i="5"/>
  <c r="AG345" i="5"/>
  <c r="AH345" i="5" s="1"/>
  <c r="S343" i="5"/>
  <c r="AG354" i="5"/>
  <c r="AH354" i="5" s="1"/>
  <c r="AG353" i="5"/>
  <c r="AH353" i="5" s="1"/>
  <c r="AG352" i="5"/>
  <c r="AH352" i="5" s="1"/>
  <c r="AS351" i="5"/>
  <c r="AB351" i="5"/>
  <c r="AG351" i="5"/>
  <c r="AH351" i="5" s="1"/>
  <c r="S351" i="5"/>
  <c r="AG360" i="5"/>
  <c r="AH360" i="5" s="1"/>
  <c r="AS359" i="5"/>
  <c r="AG359" i="5"/>
  <c r="AH359" i="5" s="1"/>
  <c r="AB359" i="5"/>
  <c r="AG361" i="5"/>
  <c r="AH361" i="5" s="1"/>
  <c r="S359" i="5"/>
  <c r="AG362" i="5"/>
  <c r="AH362" i="5" s="1"/>
  <c r="AG370" i="5"/>
  <c r="AH370" i="5" s="1"/>
  <c r="AG368" i="5"/>
  <c r="AH368" i="5" s="1"/>
  <c r="AS367" i="5"/>
  <c r="AG367" i="5"/>
  <c r="AH367" i="5" s="1"/>
  <c r="AB367" i="5"/>
  <c r="AG369" i="5"/>
  <c r="AH369" i="5" s="1"/>
  <c r="S367" i="5"/>
  <c r="AG378" i="5"/>
  <c r="AH378" i="5" s="1"/>
  <c r="S375" i="5"/>
  <c r="AG376" i="5"/>
  <c r="AH376" i="5" s="1"/>
  <c r="AS375" i="5"/>
  <c r="AG377" i="5"/>
  <c r="AH377" i="5" s="1"/>
  <c r="AB375" i="5"/>
  <c r="AG375" i="5"/>
  <c r="AH375" i="5" s="1"/>
  <c r="AG386" i="5"/>
  <c r="AH386" i="5" s="1"/>
  <c r="AG384" i="5"/>
  <c r="AH384" i="5" s="1"/>
  <c r="AS383" i="5"/>
  <c r="AB383" i="5"/>
  <c r="AG385" i="5"/>
  <c r="AH385" i="5" s="1"/>
  <c r="BA383" i="5"/>
  <c r="S383" i="5"/>
  <c r="AG383" i="5"/>
  <c r="AH383" i="5" s="1"/>
  <c r="AG394" i="5"/>
  <c r="AH394" i="5" s="1"/>
  <c r="AB391" i="5"/>
  <c r="AG393" i="5"/>
  <c r="AH393" i="5" s="1"/>
  <c r="AG392" i="5"/>
  <c r="AH392" i="5" s="1"/>
  <c r="BA391" i="5"/>
  <c r="S391" i="5"/>
  <c r="AS391" i="5"/>
  <c r="AG391" i="5"/>
  <c r="AH391" i="5" s="1"/>
  <c r="AG401" i="5"/>
  <c r="AH401" i="5" s="1"/>
  <c r="AG400" i="5"/>
  <c r="AH400" i="5" s="1"/>
  <c r="BA399" i="5"/>
  <c r="S399" i="5"/>
  <c r="AG402" i="5"/>
  <c r="AH402" i="5" s="1"/>
  <c r="AS399" i="5"/>
  <c r="AB399" i="5"/>
  <c r="AG399" i="5"/>
  <c r="AH399" i="5" s="1"/>
  <c r="J3" i="4"/>
  <c r="G3" i="4"/>
  <c r="AG13" i="5"/>
  <c r="AH13" i="5" s="1"/>
  <c r="AS11" i="5"/>
  <c r="AG11" i="5"/>
  <c r="AG14" i="5"/>
  <c r="AH14" i="5" s="1"/>
  <c r="AG12" i="5"/>
  <c r="AH12" i="5" s="1"/>
  <c r="AY11" i="5"/>
  <c r="AB11" i="5"/>
  <c r="S11" i="5"/>
  <c r="I2" i="4"/>
  <c r="C26" i="10"/>
  <c r="F26" i="10" s="1"/>
  <c r="C78" i="10"/>
  <c r="F78" i="10" s="1"/>
  <c r="N7" i="4"/>
  <c r="J7" i="4"/>
  <c r="E8" i="1"/>
  <c r="K8" i="4"/>
  <c r="E10" i="1"/>
  <c r="K10" i="4"/>
  <c r="E11" i="1"/>
  <c r="K11" i="4"/>
  <c r="E12" i="1"/>
  <c r="K12" i="4"/>
  <c r="E7" i="10"/>
  <c r="K7" i="11"/>
  <c r="E8" i="10"/>
  <c r="K8" i="11"/>
  <c r="E9" i="10"/>
  <c r="K9" i="11"/>
  <c r="E10" i="10"/>
  <c r="K10" i="11"/>
  <c r="E11" i="10"/>
  <c r="K11" i="11"/>
  <c r="N6" i="11"/>
  <c r="J6" i="11"/>
  <c r="N6" i="4"/>
  <c r="J6" i="4"/>
  <c r="E7" i="1"/>
  <c r="K7" i="4"/>
  <c r="E9" i="1"/>
  <c r="K9" i="4"/>
  <c r="J10" i="4"/>
  <c r="N10" i="4"/>
  <c r="E13" i="1"/>
  <c r="K13" i="4"/>
  <c r="C18" i="10"/>
  <c r="F18" i="10" s="1"/>
  <c r="C70" i="10"/>
  <c r="F70" i="10" s="1"/>
  <c r="E3" i="1"/>
  <c r="K3" i="4"/>
  <c r="C4" i="10"/>
  <c r="F4" i="10" s="1"/>
  <c r="E2" i="1"/>
  <c r="K2" i="4"/>
  <c r="N5" i="11"/>
  <c r="J5" i="11"/>
  <c r="N4" i="11"/>
  <c r="J4" i="11"/>
  <c r="N3" i="11"/>
  <c r="J3" i="11"/>
  <c r="E3" i="10"/>
  <c r="K3" i="11"/>
  <c r="L2" i="11"/>
  <c r="L4" i="11"/>
  <c r="L3" i="11"/>
  <c r="G11" i="11"/>
  <c r="I11" i="11" s="1"/>
  <c r="P11" i="11"/>
  <c r="G11" i="10"/>
  <c r="N11" i="11"/>
  <c r="D11" i="10"/>
  <c r="C10" i="10"/>
  <c r="F10" i="10" s="1"/>
  <c r="P10" i="11"/>
  <c r="G10" i="10"/>
  <c r="G10" i="11"/>
  <c r="I10" i="11" s="1"/>
  <c r="N10" i="11"/>
  <c r="D10" i="10"/>
  <c r="P9" i="11"/>
  <c r="G9" i="10"/>
  <c r="G9" i="11"/>
  <c r="I9" i="11" s="1"/>
  <c r="N9" i="11"/>
  <c r="D9" i="10"/>
  <c r="P8" i="11"/>
  <c r="G8" i="10"/>
  <c r="G8" i="11"/>
  <c r="N8" i="11"/>
  <c r="D8" i="10"/>
  <c r="P7" i="11"/>
  <c r="G7" i="10"/>
  <c r="G7" i="11"/>
  <c r="N7" i="11"/>
  <c r="D7" i="10"/>
  <c r="C3" i="10"/>
  <c r="F3" i="10" s="1"/>
  <c r="P13" i="4"/>
  <c r="G13" i="1"/>
  <c r="N13" i="4"/>
  <c r="D13" i="1"/>
  <c r="P12" i="4"/>
  <c r="G12" i="1"/>
  <c r="N12" i="4"/>
  <c r="D12" i="1"/>
  <c r="P11" i="4"/>
  <c r="G11" i="1"/>
  <c r="N11" i="4"/>
  <c r="D11" i="1"/>
  <c r="P10" i="4"/>
  <c r="G10" i="1"/>
  <c r="D10" i="1"/>
  <c r="P9" i="4"/>
  <c r="G9" i="1"/>
  <c r="N9" i="4"/>
  <c r="D9" i="1"/>
  <c r="G8" i="1"/>
  <c r="N8" i="4"/>
  <c r="D8" i="1"/>
  <c r="G7" i="1"/>
  <c r="G6" i="1"/>
  <c r="C19" i="1"/>
  <c r="F19" i="1" s="1"/>
  <c r="C23" i="1"/>
  <c r="F23" i="1" s="1"/>
  <c r="C59" i="1"/>
  <c r="F59" i="1" s="1"/>
  <c r="C27" i="1"/>
  <c r="F27" i="1" s="1"/>
  <c r="B6" i="1"/>
  <c r="B81" i="1"/>
  <c r="C35" i="1"/>
  <c r="F35" i="1" s="1"/>
  <c r="B10" i="1"/>
  <c r="B14" i="1"/>
  <c r="B18" i="1"/>
  <c r="B22" i="1"/>
  <c r="B26" i="1"/>
  <c r="B30" i="1"/>
  <c r="B34" i="1"/>
  <c r="B38" i="1"/>
  <c r="B42" i="1"/>
  <c r="B46" i="1"/>
  <c r="B50" i="1"/>
  <c r="B54" i="1"/>
  <c r="B58" i="1"/>
  <c r="B62" i="1"/>
  <c r="B66" i="1"/>
  <c r="B70" i="1"/>
  <c r="C11" i="1"/>
  <c r="F11" i="1" s="1"/>
  <c r="C7" i="1"/>
  <c r="F7" i="1" s="1"/>
  <c r="C31" i="1"/>
  <c r="F31" i="1" s="1"/>
  <c r="C47" i="1"/>
  <c r="F47" i="1" s="1"/>
  <c r="B100" i="1"/>
  <c r="B74" i="1"/>
  <c r="C15" i="1"/>
  <c r="F15" i="1" s="1"/>
  <c r="C39" i="1"/>
  <c r="F39" i="1" s="1"/>
  <c r="C51" i="1"/>
  <c r="F51" i="1" s="1"/>
  <c r="B72" i="1"/>
  <c r="B31" i="1"/>
  <c r="B41" i="1"/>
  <c r="B47" i="1"/>
  <c r="B55" i="1"/>
  <c r="B65" i="1"/>
  <c r="G4" i="1"/>
  <c r="B73" i="1"/>
  <c r="C74" i="1"/>
  <c r="F74" i="1" s="1"/>
  <c r="B71" i="1"/>
  <c r="B57" i="1"/>
  <c r="B67" i="1"/>
  <c r="B33" i="1"/>
  <c r="B39" i="1"/>
  <c r="B49" i="1"/>
  <c r="B59" i="1"/>
  <c r="B25" i="1"/>
  <c r="B37" i="1"/>
  <c r="B45" i="1"/>
  <c r="B51" i="1"/>
  <c r="B61" i="1"/>
  <c r="B69" i="1"/>
  <c r="G5" i="1"/>
  <c r="G101" i="1"/>
  <c r="D101" i="1"/>
  <c r="C5" i="1"/>
  <c r="F5" i="1" s="1"/>
  <c r="B9" i="1"/>
  <c r="B19" i="1"/>
  <c r="B11" i="1"/>
  <c r="B17" i="1"/>
  <c r="B7" i="1"/>
  <c r="B5" i="1"/>
  <c r="B85" i="1"/>
  <c r="B88" i="1"/>
  <c r="C81" i="1"/>
  <c r="F81" i="1" s="1"/>
  <c r="B13" i="1"/>
  <c r="B15" i="1"/>
  <c r="B23" i="1"/>
  <c r="B21" i="1"/>
  <c r="B27" i="1"/>
  <c r="C73" i="1"/>
  <c r="F73" i="1" s="1"/>
  <c r="C89" i="1"/>
  <c r="F89" i="1" s="1"/>
  <c r="H11" i="11"/>
  <c r="C11" i="10"/>
  <c r="F11" i="10" s="1"/>
  <c r="C54" i="10"/>
  <c r="F54" i="10" s="1"/>
  <c r="H32" i="11"/>
  <c r="C32" i="10"/>
  <c r="F32" i="10" s="1"/>
  <c r="C62" i="10"/>
  <c r="F62" i="10" s="1"/>
  <c r="H43" i="11"/>
  <c r="C43" i="10"/>
  <c r="F43" i="10" s="1"/>
  <c r="C82" i="10"/>
  <c r="F82" i="10" s="1"/>
  <c r="C38" i="10"/>
  <c r="F38" i="10" s="1"/>
  <c r="C6" i="10"/>
  <c r="F6" i="10" s="1"/>
  <c r="C91" i="10"/>
  <c r="F91" i="10" s="1"/>
  <c r="H55" i="11"/>
  <c r="C55" i="10"/>
  <c r="F55" i="10" s="1"/>
  <c r="C14" i="10"/>
  <c r="F14" i="10" s="1"/>
  <c r="C66" i="10"/>
  <c r="F66" i="10" s="1"/>
  <c r="H72" i="11"/>
  <c r="C72" i="10"/>
  <c r="F72" i="10" s="1"/>
  <c r="C86" i="10"/>
  <c r="F86" i="10" s="1"/>
  <c r="C42" i="10"/>
  <c r="F42" i="10" s="1"/>
  <c r="C94" i="10"/>
  <c r="F94" i="10" s="1"/>
  <c r="C46" i="10"/>
  <c r="F46" i="10" s="1"/>
  <c r="H80" i="11"/>
  <c r="C80" i="10"/>
  <c r="F80" i="10" s="1"/>
  <c r="C75" i="10"/>
  <c r="F75" i="10" s="1"/>
  <c r="C83" i="10"/>
  <c r="F83" i="10" s="1"/>
  <c r="C95" i="10"/>
  <c r="F95" i="10" s="1"/>
  <c r="C50" i="10"/>
  <c r="F50" i="10" s="1"/>
  <c r="C22" i="10"/>
  <c r="F22" i="10" s="1"/>
  <c r="C59" i="10"/>
  <c r="F59" i="10" s="1"/>
  <c r="C34" i="10"/>
  <c r="F34" i="10" s="1"/>
  <c r="H40" i="11"/>
  <c r="C40" i="10"/>
  <c r="F40" i="10" s="1"/>
  <c r="C79" i="10"/>
  <c r="F79" i="10" s="1"/>
  <c r="C87" i="10"/>
  <c r="F87" i="10" s="1"/>
  <c r="C99" i="10"/>
  <c r="F99" i="10" s="1"/>
  <c r="C77" i="1"/>
  <c r="F77" i="1" s="1"/>
  <c r="C78" i="1"/>
  <c r="F78" i="1" s="1"/>
  <c r="C82" i="1"/>
  <c r="F82" i="1" s="1"/>
  <c r="C86" i="1"/>
  <c r="F86" i="1" s="1"/>
  <c r="C71" i="1"/>
  <c r="F71" i="1" s="1"/>
  <c r="C75" i="1"/>
  <c r="F75" i="1" s="1"/>
  <c r="C79" i="1"/>
  <c r="F79" i="1" s="1"/>
  <c r="C83" i="1"/>
  <c r="F83" i="1" s="1"/>
  <c r="C87" i="1"/>
  <c r="F87" i="1" s="1"/>
  <c r="C72" i="1"/>
  <c r="F72" i="1" s="1"/>
  <c r="C76" i="1"/>
  <c r="F76" i="1" s="1"/>
  <c r="C80" i="1"/>
  <c r="F80" i="1" s="1"/>
  <c r="C84" i="1"/>
  <c r="F84" i="1" s="1"/>
  <c r="C88" i="1"/>
  <c r="F88" i="1" s="1"/>
  <c r="C4" i="1"/>
  <c r="F4" i="1" s="1"/>
  <c r="D5" i="1"/>
  <c r="D3" i="10"/>
  <c r="G4" i="10"/>
  <c r="D3" i="1"/>
  <c r="N3" i="4"/>
  <c r="G3" i="1"/>
  <c r="P3" i="4"/>
  <c r="G2" i="1"/>
  <c r="P2" i="4"/>
  <c r="D2" i="1"/>
  <c r="N2" i="4"/>
  <c r="B101" i="1"/>
  <c r="B3" i="10"/>
  <c r="B14" i="10"/>
  <c r="B30" i="10"/>
  <c r="B46" i="10"/>
  <c r="C12" i="10"/>
  <c r="F12" i="10" s="1"/>
  <c r="C28" i="10"/>
  <c r="F28" i="10" s="1"/>
  <c r="B31" i="10"/>
  <c r="C84" i="10"/>
  <c r="F84" i="10" s="1"/>
  <c r="C36" i="10"/>
  <c r="F36" i="10" s="1"/>
  <c r="C67" i="10"/>
  <c r="F67" i="10" s="1"/>
  <c r="B83" i="10"/>
  <c r="B94" i="10"/>
  <c r="C37" i="10"/>
  <c r="F37" i="10" s="1"/>
  <c r="C69" i="10"/>
  <c r="F69" i="10" s="1"/>
  <c r="C25" i="10"/>
  <c r="F25" i="10" s="1"/>
  <c r="C73" i="10"/>
  <c r="F73" i="10" s="1"/>
  <c r="B18" i="10"/>
  <c r="B34" i="10"/>
  <c r="B50" i="10"/>
  <c r="B70" i="10"/>
  <c r="C16" i="10"/>
  <c r="F16" i="10" s="1"/>
  <c r="C63" i="10"/>
  <c r="F63" i="10" s="1"/>
  <c r="B4" i="1"/>
  <c r="B5" i="10"/>
  <c r="B7" i="10"/>
  <c r="C35" i="10"/>
  <c r="F35" i="10" s="1"/>
  <c r="B91" i="10"/>
  <c r="B11" i="10"/>
  <c r="B39" i="10"/>
  <c r="B72" i="10"/>
  <c r="B90" i="10"/>
  <c r="B62" i="10"/>
  <c r="C96" i="10"/>
  <c r="F96" i="10" s="1"/>
  <c r="B86" i="10"/>
  <c r="B22" i="10"/>
  <c r="B38" i="10"/>
  <c r="B54" i="10"/>
  <c r="C20" i="10"/>
  <c r="F20" i="10" s="1"/>
  <c r="C44" i="10"/>
  <c r="F44" i="10" s="1"/>
  <c r="B75" i="10"/>
  <c r="B98" i="10"/>
  <c r="C52" i="10"/>
  <c r="F52" i="10" s="1"/>
  <c r="B74" i="10"/>
  <c r="C92" i="10"/>
  <c r="F92" i="10" s="1"/>
  <c r="C88" i="10"/>
  <c r="F88" i="10" s="1"/>
  <c r="C21" i="10"/>
  <c r="F21" i="10" s="1"/>
  <c r="C53" i="10"/>
  <c r="F53" i="10" s="1"/>
  <c r="C85" i="10"/>
  <c r="F85" i="10" s="1"/>
  <c r="C9" i="10"/>
  <c r="F9" i="10" s="1"/>
  <c r="C41" i="10"/>
  <c r="F41" i="10" s="1"/>
  <c r="C57" i="10"/>
  <c r="F57" i="10" s="1"/>
  <c r="C89" i="10"/>
  <c r="F89" i="10" s="1"/>
  <c r="C13" i="10"/>
  <c r="F13" i="10" s="1"/>
  <c r="C29" i="10"/>
  <c r="F29" i="10" s="1"/>
  <c r="C45" i="10"/>
  <c r="F45" i="10" s="1"/>
  <c r="C61" i="10"/>
  <c r="F61" i="10" s="1"/>
  <c r="C77" i="10"/>
  <c r="F77" i="10" s="1"/>
  <c r="C93" i="10"/>
  <c r="F93" i="10" s="1"/>
  <c r="B3" i="1"/>
  <c r="C17" i="10"/>
  <c r="F17" i="10" s="1"/>
  <c r="C33" i="10"/>
  <c r="F33" i="10" s="1"/>
  <c r="C49" i="10"/>
  <c r="F49" i="10" s="1"/>
  <c r="C65" i="10"/>
  <c r="F65" i="10" s="1"/>
  <c r="C81" i="10"/>
  <c r="F81" i="10" s="1"/>
  <c r="C97" i="10"/>
  <c r="F97" i="10" s="1"/>
  <c r="B10" i="10"/>
  <c r="B26" i="10"/>
  <c r="B42" i="10"/>
  <c r="C64" i="10"/>
  <c r="F64" i="10" s="1"/>
  <c r="C8" i="10"/>
  <c r="F8" i="10" s="1"/>
  <c r="C24" i="10"/>
  <c r="F24" i="10" s="1"/>
  <c r="B4" i="10"/>
  <c r="B82" i="10"/>
  <c r="C100" i="10"/>
  <c r="F100" i="10" s="1"/>
  <c r="B55" i="10"/>
  <c r="C76" i="10"/>
  <c r="F76" i="10" s="1"/>
  <c r="B99" i="10"/>
  <c r="B2" i="1"/>
  <c r="C100" i="1"/>
  <c r="F100" i="1" s="1"/>
  <c r="C92" i="1"/>
  <c r="F92" i="1" s="1"/>
  <c r="C96" i="1"/>
  <c r="F96" i="1" s="1"/>
  <c r="C101" i="1"/>
  <c r="F101" i="1" s="1"/>
  <c r="C2" i="1"/>
  <c r="F2" i="1" s="1"/>
  <c r="C93" i="1"/>
  <c r="F93" i="1" s="1"/>
  <c r="C97" i="1"/>
  <c r="F97" i="1" s="1"/>
  <c r="C3" i="1"/>
  <c r="F3" i="1" s="1"/>
  <c r="C90" i="1"/>
  <c r="F90" i="1" s="1"/>
  <c r="C94" i="1"/>
  <c r="F94" i="1" s="1"/>
  <c r="C98" i="1"/>
  <c r="F98" i="1" s="1"/>
  <c r="C91" i="1"/>
  <c r="F91" i="1" s="1"/>
  <c r="C95" i="1"/>
  <c r="F95" i="1" s="1"/>
  <c r="C99" i="1"/>
  <c r="F99" i="1" s="1"/>
  <c r="L69" i="4" l="1"/>
  <c r="I7" i="11"/>
  <c r="I8" i="11"/>
  <c r="AH36" i="5"/>
  <c r="AH37" i="5"/>
  <c r="V31" i="5"/>
  <c r="V27" i="5"/>
  <c r="X27" i="5" s="1"/>
  <c r="BC27" i="5" s="1"/>
  <c r="AH19" i="5"/>
  <c r="V19" i="5"/>
  <c r="AH15" i="5"/>
  <c r="V15" i="5"/>
  <c r="W15" i="5" s="1"/>
  <c r="AH11" i="5"/>
  <c r="V7" i="5"/>
  <c r="V11" i="5"/>
  <c r="D9" i="12"/>
  <c r="D8" i="12"/>
  <c r="D13" i="12"/>
  <c r="D11" i="12"/>
  <c r="D12" i="12"/>
  <c r="D10" i="12"/>
  <c r="AN40" i="5"/>
  <c r="AM2" i="5"/>
  <c r="AI2" i="5"/>
  <c r="Z404" i="6"/>
  <c r="BD404" i="6" s="1"/>
  <c r="AQ404" i="6"/>
  <c r="AR404" i="6" s="1"/>
  <c r="AM404" i="6"/>
  <c r="AN404" i="6" s="1"/>
  <c r="X403" i="6"/>
  <c r="BC403" i="6" s="1"/>
  <c r="W403" i="6"/>
  <c r="AM406" i="6"/>
  <c r="AN406" i="6" s="1"/>
  <c r="Z406" i="6"/>
  <c r="BD406" i="6" s="1"/>
  <c r="AQ406" i="6"/>
  <c r="AR406" i="6" s="1"/>
  <c r="Z403" i="6"/>
  <c r="BD403" i="6" s="1"/>
  <c r="AQ403" i="6"/>
  <c r="AR403" i="6" s="1"/>
  <c r="AM403" i="6"/>
  <c r="AN403" i="6" s="1"/>
  <c r="AV403" i="6"/>
  <c r="Z405" i="6"/>
  <c r="BD405" i="6" s="1"/>
  <c r="AM405" i="6"/>
  <c r="AN405" i="6" s="1"/>
  <c r="AQ405" i="6"/>
  <c r="AR405" i="6" s="1"/>
  <c r="U403" i="6"/>
  <c r="BB403" i="6" s="1"/>
  <c r="T403" i="6"/>
  <c r="AJ11" i="5"/>
  <c r="X18" i="9" a="1"/>
  <c r="X18" i="9" s="1"/>
  <c r="D8" i="9"/>
  <c r="N18" i="9" a="1"/>
  <c r="N18" i="9" s="1"/>
  <c r="X11" i="9"/>
  <c r="N6" i="9"/>
  <c r="N15" i="9"/>
  <c r="N9" i="9"/>
  <c r="X17" i="9"/>
  <c r="D10" i="9" a="1"/>
  <c r="D10" i="9" s="1"/>
  <c r="N17" i="9"/>
  <c r="N7" i="9"/>
  <c r="D17" i="9"/>
  <c r="X10" i="9" a="1"/>
  <c r="X10" i="9" s="1"/>
  <c r="N19" i="9"/>
  <c r="D14" i="9"/>
  <c r="X8" i="9"/>
  <c r="N16" i="9"/>
  <c r="D9" i="9"/>
  <c r="X19" i="9"/>
  <c r="D7" i="9"/>
  <c r="X16" i="9"/>
  <c r="D19" i="9"/>
  <c r="X7" i="9"/>
  <c r="D16" i="9"/>
  <c r="X6" i="9"/>
  <c r="X15" i="9"/>
  <c r="X9" i="9"/>
  <c r="D18" i="9" a="1"/>
  <c r="D18" i="9" s="1"/>
  <c r="N11" i="9"/>
  <c r="D6" i="9"/>
  <c r="D15" i="9"/>
  <c r="N8" i="9"/>
  <c r="X14" i="9"/>
  <c r="N14" i="9"/>
  <c r="N10" i="9" a="1"/>
  <c r="N10" i="9" s="1"/>
  <c r="D11" i="9"/>
  <c r="J9" i="12"/>
  <c r="J8" i="12"/>
  <c r="J13" i="12"/>
  <c r="J12" i="12"/>
  <c r="J11" i="12"/>
  <c r="J10" i="12"/>
  <c r="BI63" i="5"/>
  <c r="BL63" i="5" s="1"/>
  <c r="BI59" i="5"/>
  <c r="BL59" i="5" s="1"/>
  <c r="BI55" i="5"/>
  <c r="BL55" i="5" s="1"/>
  <c r="BI51" i="5"/>
  <c r="BL51" i="5" s="1"/>
  <c r="BI47" i="5"/>
  <c r="BL47" i="5" s="1"/>
  <c r="BI43" i="5"/>
  <c r="BL43" i="5" s="1"/>
  <c r="BI39" i="5"/>
  <c r="BL39" i="5" s="1"/>
  <c r="BI35" i="5"/>
  <c r="BL35" i="5" s="1"/>
  <c r="BI31" i="5"/>
  <c r="BL31" i="5" s="1"/>
  <c r="BI23" i="5"/>
  <c r="BL23" i="5" s="1"/>
  <c r="AH39" i="5"/>
  <c r="AH47" i="5"/>
  <c r="AH31" i="5"/>
  <c r="AH23" i="5"/>
  <c r="BI19" i="5"/>
  <c r="BL19" i="5" s="1"/>
  <c r="BF27" i="5"/>
  <c r="BF28" i="5"/>
  <c r="BF11" i="5"/>
  <c r="BI11" i="5" s="1"/>
  <c r="BF12" i="5"/>
  <c r="BI12" i="5" s="1"/>
  <c r="I15" i="4"/>
  <c r="L55" i="4"/>
  <c r="I84" i="4"/>
  <c r="I39" i="4"/>
  <c r="L21" i="4"/>
  <c r="L100" i="4"/>
  <c r="L74" i="4"/>
  <c r="L92" i="4"/>
  <c r="L80" i="4"/>
  <c r="L47" i="4"/>
  <c r="L8" i="4"/>
  <c r="I17" i="4"/>
  <c r="L35" i="4"/>
  <c r="L65" i="4"/>
  <c r="L27" i="4"/>
  <c r="I29" i="4"/>
  <c r="L7" i="4"/>
  <c r="AF23" i="5"/>
  <c r="AF19" i="5"/>
  <c r="L31" i="4"/>
  <c r="L37" i="4"/>
  <c r="I59" i="4"/>
  <c r="AJ251" i="5"/>
  <c r="AJ275" i="5"/>
  <c r="AJ219" i="5"/>
  <c r="AJ187" i="5"/>
  <c r="AJ123" i="5"/>
  <c r="AJ267" i="5"/>
  <c r="AJ147" i="5"/>
  <c r="AJ83" i="5"/>
  <c r="AJ271" i="5"/>
  <c r="AJ255" i="5"/>
  <c r="AJ239" i="5"/>
  <c r="AJ223" i="5"/>
  <c r="AJ207" i="5"/>
  <c r="AJ191" i="5"/>
  <c r="AJ175" i="5"/>
  <c r="AJ143" i="5"/>
  <c r="AJ111" i="5"/>
  <c r="AJ79" i="5"/>
  <c r="AJ55" i="5"/>
  <c r="AJ27" i="5"/>
  <c r="AJ259" i="5"/>
  <c r="AJ211" i="5"/>
  <c r="AJ179" i="5"/>
  <c r="AJ115" i="5"/>
  <c r="AJ47" i="5"/>
  <c r="AJ243" i="5"/>
  <c r="AJ139" i="5"/>
  <c r="AJ75" i="5"/>
  <c r="AJ167" i="5"/>
  <c r="AJ135" i="5"/>
  <c r="AJ103" i="5"/>
  <c r="AJ71" i="5"/>
  <c r="AJ51" i="5"/>
  <c r="AJ203" i="5"/>
  <c r="AJ171" i="5"/>
  <c r="AJ107" i="5"/>
  <c r="AJ39" i="5"/>
  <c r="AJ235" i="5"/>
  <c r="AJ131" i="5"/>
  <c r="AJ67" i="5"/>
  <c r="AJ279" i="5"/>
  <c r="AJ263" i="5"/>
  <c r="AJ247" i="5"/>
  <c r="AJ231" i="5"/>
  <c r="AJ215" i="5"/>
  <c r="AJ199" i="5"/>
  <c r="AJ159" i="5"/>
  <c r="AJ95" i="5"/>
  <c r="AJ227" i="5"/>
  <c r="AJ195" i="5"/>
  <c r="AJ163" i="5"/>
  <c r="AJ91" i="5"/>
  <c r="AJ31" i="5"/>
  <c r="AJ155" i="5"/>
  <c r="AJ59" i="5"/>
  <c r="AJ87" i="5"/>
  <c r="AJ35" i="5"/>
  <c r="AJ15" i="5"/>
  <c r="I10" i="4"/>
  <c r="I6" i="4"/>
  <c r="I33" i="4"/>
  <c r="I19" i="4"/>
  <c r="I45" i="4"/>
  <c r="I12" i="4"/>
  <c r="I49" i="4"/>
  <c r="AJ99" i="5"/>
  <c r="AJ183" i="5"/>
  <c r="AJ63" i="5"/>
  <c r="AJ119" i="5"/>
  <c r="AF11" i="5"/>
  <c r="AF235" i="5"/>
  <c r="AF119" i="5"/>
  <c r="AF183" i="5"/>
  <c r="AF211" i="5"/>
  <c r="AF135" i="5"/>
  <c r="AF195" i="5"/>
  <c r="AF111" i="5"/>
  <c r="AF39" i="5"/>
  <c r="AF255" i="5"/>
  <c r="AF263" i="5"/>
  <c r="AF107" i="5"/>
  <c r="AF123" i="5"/>
  <c r="AF275" i="5"/>
  <c r="AF191" i="5"/>
  <c r="AF63" i="5"/>
  <c r="AF43" i="5"/>
  <c r="AF187" i="5"/>
  <c r="AF75" i="5"/>
  <c r="AF167" i="5"/>
  <c r="AF179" i="5"/>
  <c r="AF103" i="5"/>
  <c r="AF175" i="5"/>
  <c r="AF99" i="5"/>
  <c r="AF71" i="5"/>
  <c r="AF51" i="5"/>
  <c r="AF47" i="5"/>
  <c r="AF27" i="5"/>
  <c r="AF271" i="5"/>
  <c r="AF139" i="5"/>
  <c r="AF259" i="5"/>
  <c r="AF155" i="5"/>
  <c r="AF131" i="5"/>
  <c r="AF171" i="5"/>
  <c r="AF199" i="5"/>
  <c r="AF127" i="5"/>
  <c r="AF203" i="5"/>
  <c r="AF83" i="5"/>
  <c r="AF279" i="5"/>
  <c r="AF79" i="5"/>
  <c r="AF215" i="5"/>
  <c r="AF151" i="5"/>
  <c r="AF115" i="5"/>
  <c r="AF59" i="5"/>
  <c r="AF55" i="5"/>
  <c r="AF35" i="5"/>
  <c r="AF207" i="5"/>
  <c r="AF87" i="5"/>
  <c r="AF223" i="5"/>
  <c r="AF267" i="5"/>
  <c r="AF239" i="5"/>
  <c r="AF231" i="5"/>
  <c r="AF251" i="5"/>
  <c r="AF163" i="5"/>
  <c r="AF247" i="5"/>
  <c r="AF143" i="5"/>
  <c r="AF227" i="5"/>
  <c r="AF95" i="5"/>
  <c r="AF91" i="5"/>
  <c r="AF243" i="5"/>
  <c r="AF159" i="5"/>
  <c r="AF147" i="5"/>
  <c r="AF67" i="5"/>
  <c r="AF31" i="5"/>
  <c r="AF219" i="5"/>
  <c r="AJ19" i="5"/>
  <c r="AJ127" i="5"/>
  <c r="AJ151" i="5"/>
  <c r="AJ43" i="5"/>
  <c r="AF15" i="5"/>
  <c r="AF13" i="5"/>
  <c r="AF12" i="5"/>
  <c r="AJ23" i="5"/>
  <c r="H9" i="12" a="1"/>
  <c r="H9" i="12" s="1"/>
  <c r="H12" i="12" a="1"/>
  <c r="H12" i="12" s="1"/>
  <c r="H10" i="12" a="1"/>
  <c r="H10" i="12" s="1"/>
  <c r="H13" i="12" a="1"/>
  <c r="H13" i="12" s="1"/>
  <c r="H11" i="12" a="1"/>
  <c r="H11" i="12" s="1"/>
  <c r="H8" i="12" a="1"/>
  <c r="H8" i="12" s="1"/>
  <c r="AJ18" i="5"/>
  <c r="Z406" i="5"/>
  <c r="BD406" i="5" s="1"/>
  <c r="AQ406" i="5"/>
  <c r="AR406" i="5" s="1"/>
  <c r="AQ398" i="5"/>
  <c r="AR398" i="5" s="1"/>
  <c r="Z398" i="5"/>
  <c r="BD398" i="5" s="1"/>
  <c r="AQ390" i="5"/>
  <c r="AR390" i="5" s="1"/>
  <c r="Z390" i="5"/>
  <c r="BD390" i="5" s="1"/>
  <c r="AQ382" i="5"/>
  <c r="AR382" i="5" s="1"/>
  <c r="Z382" i="5"/>
  <c r="BD382" i="5" s="1"/>
  <c r="Z374" i="5"/>
  <c r="BD374" i="5" s="1"/>
  <c r="AQ374" i="5"/>
  <c r="AR374" i="5" s="1"/>
  <c r="AQ358" i="5"/>
  <c r="AR358" i="5" s="1"/>
  <c r="Z358" i="5"/>
  <c r="BD358" i="5" s="1"/>
  <c r="Z342" i="5"/>
  <c r="BD342" i="5" s="1"/>
  <c r="AQ342" i="5"/>
  <c r="AR342" i="5" s="1"/>
  <c r="Z334" i="5"/>
  <c r="BD334" i="5" s="1"/>
  <c r="AQ334" i="5"/>
  <c r="AR334" i="5" s="1"/>
  <c r="Z326" i="5"/>
  <c r="BD326" i="5" s="1"/>
  <c r="AQ326" i="5"/>
  <c r="AR326" i="5" s="1"/>
  <c r="AQ318" i="5"/>
  <c r="AR318" i="5" s="1"/>
  <c r="Z318" i="5"/>
  <c r="BD318" i="5" s="1"/>
  <c r="AQ310" i="5"/>
  <c r="AR310" i="5" s="1"/>
  <c r="Z310" i="5"/>
  <c r="BD310" i="5" s="1"/>
  <c r="AQ302" i="5"/>
  <c r="AR302" i="5" s="1"/>
  <c r="Z302" i="5"/>
  <c r="BD302" i="5" s="1"/>
  <c r="Z294" i="5"/>
  <c r="BD294" i="5" s="1"/>
  <c r="AQ294" i="5"/>
  <c r="AR294" i="5" s="1"/>
  <c r="AQ286" i="5"/>
  <c r="AR286" i="5" s="1"/>
  <c r="Z286" i="5"/>
  <c r="BD286" i="5" s="1"/>
  <c r="Z364" i="5"/>
  <c r="BD364" i="5" s="1"/>
  <c r="AQ364" i="5"/>
  <c r="AR364" i="5" s="1"/>
  <c r="Z348" i="5"/>
  <c r="BD348" i="5" s="1"/>
  <c r="AQ348" i="5"/>
  <c r="AR348" i="5" s="1"/>
  <c r="AQ402" i="5"/>
  <c r="AR402" i="5" s="1"/>
  <c r="Z402" i="5"/>
  <c r="BD402" i="5" s="1"/>
  <c r="AQ393" i="5"/>
  <c r="AR393" i="5" s="1"/>
  <c r="Z393" i="5"/>
  <c r="BD393" i="5" s="1"/>
  <c r="AQ385" i="5"/>
  <c r="AR385" i="5" s="1"/>
  <c r="Z385" i="5"/>
  <c r="BD385" i="5" s="1"/>
  <c r="Z376" i="5"/>
  <c r="BD376" i="5" s="1"/>
  <c r="AQ376" i="5"/>
  <c r="AR376" i="5" s="1"/>
  <c r="AQ368" i="5"/>
  <c r="AR368" i="5" s="1"/>
  <c r="Z368" i="5"/>
  <c r="BD368" i="5" s="1"/>
  <c r="Z346" i="5"/>
  <c r="BD346" i="5" s="1"/>
  <c r="AQ346" i="5"/>
  <c r="AR346" i="5" s="1"/>
  <c r="Z338" i="5"/>
  <c r="BD338" i="5" s="1"/>
  <c r="AQ338" i="5"/>
  <c r="AR338" i="5" s="1"/>
  <c r="AQ329" i="5"/>
  <c r="AR329" i="5" s="1"/>
  <c r="Z329" i="5"/>
  <c r="BD329" i="5" s="1"/>
  <c r="AQ320" i="5"/>
  <c r="AR320" i="5" s="1"/>
  <c r="Z320" i="5"/>
  <c r="BD320" i="5" s="1"/>
  <c r="Z298" i="5"/>
  <c r="BD298" i="5" s="1"/>
  <c r="AQ298" i="5"/>
  <c r="AR298" i="5" s="1"/>
  <c r="AQ289" i="5"/>
  <c r="AR289" i="5" s="1"/>
  <c r="Z289" i="5"/>
  <c r="BD289" i="5" s="1"/>
  <c r="AQ365" i="5"/>
  <c r="AR365" i="5" s="1"/>
  <c r="Z365" i="5"/>
  <c r="BD365" i="5" s="1"/>
  <c r="Z349" i="5"/>
  <c r="BD349" i="5" s="1"/>
  <c r="AQ349" i="5"/>
  <c r="AR349" i="5" s="1"/>
  <c r="AQ394" i="5"/>
  <c r="AR394" i="5" s="1"/>
  <c r="Z394" i="5"/>
  <c r="BD394" i="5" s="1"/>
  <c r="Z386" i="5"/>
  <c r="BD386" i="5" s="1"/>
  <c r="AQ386" i="5"/>
  <c r="AR386" i="5" s="1"/>
  <c r="AQ377" i="5"/>
  <c r="AR377" i="5" s="1"/>
  <c r="Z377" i="5"/>
  <c r="BD377" i="5" s="1"/>
  <c r="AQ369" i="5"/>
  <c r="AR369" i="5" s="1"/>
  <c r="Z369" i="5"/>
  <c r="BD369" i="5" s="1"/>
  <c r="AQ360" i="5"/>
  <c r="AR360" i="5" s="1"/>
  <c r="Z360" i="5"/>
  <c r="BD360" i="5" s="1"/>
  <c r="Z352" i="5"/>
  <c r="BD352" i="5" s="1"/>
  <c r="AQ352" i="5"/>
  <c r="AR352" i="5" s="1"/>
  <c r="AQ330" i="5"/>
  <c r="AR330" i="5" s="1"/>
  <c r="Z330" i="5"/>
  <c r="BD330" i="5" s="1"/>
  <c r="AQ321" i="5"/>
  <c r="AR321" i="5" s="1"/>
  <c r="Z321" i="5"/>
  <c r="BD321" i="5" s="1"/>
  <c r="AQ312" i="5"/>
  <c r="AR312" i="5" s="1"/>
  <c r="Z312" i="5"/>
  <c r="BD312" i="5" s="1"/>
  <c r="AQ304" i="5"/>
  <c r="AR304" i="5" s="1"/>
  <c r="Z304" i="5"/>
  <c r="BD304" i="5" s="1"/>
  <c r="Z290" i="5"/>
  <c r="BD290" i="5" s="1"/>
  <c r="AQ290" i="5"/>
  <c r="AR290" i="5" s="1"/>
  <c r="Z404" i="5"/>
  <c r="BD404" i="5" s="1"/>
  <c r="AQ404" i="5"/>
  <c r="AR404" i="5" s="1"/>
  <c r="Z396" i="5"/>
  <c r="BD396" i="5" s="1"/>
  <c r="AQ396" i="5"/>
  <c r="AR396" i="5" s="1"/>
  <c r="Z388" i="5"/>
  <c r="BD388" i="5" s="1"/>
  <c r="AQ388" i="5"/>
  <c r="AR388" i="5" s="1"/>
  <c r="AQ380" i="5"/>
  <c r="AR380" i="5" s="1"/>
  <c r="Z380" i="5"/>
  <c r="BD380" i="5" s="1"/>
  <c r="AQ372" i="5"/>
  <c r="AR372" i="5" s="1"/>
  <c r="Z372" i="5"/>
  <c r="BD372" i="5" s="1"/>
  <c r="Z356" i="5"/>
  <c r="BD356" i="5" s="1"/>
  <c r="AQ356" i="5"/>
  <c r="AR356" i="5" s="1"/>
  <c r="Z340" i="5"/>
  <c r="BD340" i="5" s="1"/>
  <c r="AQ340" i="5"/>
  <c r="AR340" i="5" s="1"/>
  <c r="Z332" i="5"/>
  <c r="BD332" i="5" s="1"/>
  <c r="AQ332" i="5"/>
  <c r="AR332" i="5" s="1"/>
  <c r="AQ324" i="5"/>
  <c r="AR324" i="5" s="1"/>
  <c r="Z324" i="5"/>
  <c r="BD324" i="5" s="1"/>
  <c r="AQ316" i="5"/>
  <c r="AR316" i="5" s="1"/>
  <c r="Z316" i="5"/>
  <c r="BD316" i="5" s="1"/>
  <c r="Z308" i="5"/>
  <c r="BD308" i="5" s="1"/>
  <c r="AQ308" i="5"/>
  <c r="AR308" i="5" s="1"/>
  <c r="Z300" i="5"/>
  <c r="BD300" i="5" s="1"/>
  <c r="AQ300" i="5"/>
  <c r="AR300" i="5" s="1"/>
  <c r="AQ292" i="5"/>
  <c r="AR292" i="5" s="1"/>
  <c r="Z292" i="5"/>
  <c r="BD292" i="5" s="1"/>
  <c r="AQ284" i="5"/>
  <c r="AR284" i="5" s="1"/>
  <c r="Z284" i="5"/>
  <c r="BD284" i="5" s="1"/>
  <c r="AQ366" i="5"/>
  <c r="AR366" i="5" s="1"/>
  <c r="Z366" i="5"/>
  <c r="BD366" i="5" s="1"/>
  <c r="Z350" i="5"/>
  <c r="BD350" i="5" s="1"/>
  <c r="AQ350" i="5"/>
  <c r="AR350" i="5" s="1"/>
  <c r="Z400" i="5"/>
  <c r="BD400" i="5" s="1"/>
  <c r="AQ400" i="5"/>
  <c r="AR400" i="5" s="1"/>
  <c r="AQ378" i="5"/>
  <c r="AR378" i="5" s="1"/>
  <c r="Z378" i="5"/>
  <c r="BD378" i="5" s="1"/>
  <c r="AQ370" i="5"/>
  <c r="AR370" i="5" s="1"/>
  <c r="Z370" i="5"/>
  <c r="BD370" i="5" s="1"/>
  <c r="AQ361" i="5"/>
  <c r="AR361" i="5" s="1"/>
  <c r="Z361" i="5"/>
  <c r="BD361" i="5" s="1"/>
  <c r="Z353" i="5"/>
  <c r="BD353" i="5" s="1"/>
  <c r="AQ353" i="5"/>
  <c r="AR353" i="5" s="1"/>
  <c r="Z344" i="5"/>
  <c r="BD344" i="5" s="1"/>
  <c r="AQ344" i="5"/>
  <c r="AR344" i="5" s="1"/>
  <c r="AQ336" i="5"/>
  <c r="AR336" i="5" s="1"/>
  <c r="Z336" i="5"/>
  <c r="BD336" i="5" s="1"/>
  <c r="AQ322" i="5"/>
  <c r="AR322" i="5" s="1"/>
  <c r="Z322" i="5"/>
  <c r="BD322" i="5" s="1"/>
  <c r="AQ313" i="5"/>
  <c r="AR313" i="5" s="1"/>
  <c r="Z313" i="5"/>
  <c r="BD313" i="5" s="1"/>
  <c r="AQ305" i="5"/>
  <c r="AR305" i="5" s="1"/>
  <c r="Z305" i="5"/>
  <c r="BD305" i="5" s="1"/>
  <c r="AQ296" i="5"/>
  <c r="AR296" i="5" s="1"/>
  <c r="Z296" i="5"/>
  <c r="BD296" i="5" s="1"/>
  <c r="Z405" i="5"/>
  <c r="BD405" i="5" s="1"/>
  <c r="AQ405" i="5"/>
  <c r="AR405" i="5" s="1"/>
  <c r="AQ397" i="5"/>
  <c r="AR397" i="5" s="1"/>
  <c r="Z397" i="5"/>
  <c r="BD397" i="5" s="1"/>
  <c r="AQ389" i="5"/>
  <c r="AR389" i="5" s="1"/>
  <c r="Z389" i="5"/>
  <c r="BD389" i="5" s="1"/>
  <c r="AQ381" i="5"/>
  <c r="AR381" i="5" s="1"/>
  <c r="Z381" i="5"/>
  <c r="BD381" i="5" s="1"/>
  <c r="AQ373" i="5"/>
  <c r="AR373" i="5" s="1"/>
  <c r="Z373" i="5"/>
  <c r="BD373" i="5" s="1"/>
  <c r="Z357" i="5"/>
  <c r="BD357" i="5" s="1"/>
  <c r="AQ357" i="5"/>
  <c r="AR357" i="5" s="1"/>
  <c r="Z341" i="5"/>
  <c r="BD341" i="5" s="1"/>
  <c r="AQ341" i="5"/>
  <c r="AR341" i="5" s="1"/>
  <c r="AQ333" i="5"/>
  <c r="AR333" i="5" s="1"/>
  <c r="Z333" i="5"/>
  <c r="BD333" i="5" s="1"/>
  <c r="AQ325" i="5"/>
  <c r="AR325" i="5" s="1"/>
  <c r="Z325" i="5"/>
  <c r="BD325" i="5" s="1"/>
  <c r="AQ317" i="5"/>
  <c r="AR317" i="5" s="1"/>
  <c r="Z317" i="5"/>
  <c r="BD317" i="5" s="1"/>
  <c r="Z309" i="5"/>
  <c r="BD309" i="5" s="1"/>
  <c r="AQ309" i="5"/>
  <c r="AR309" i="5" s="1"/>
  <c r="AQ301" i="5"/>
  <c r="AR301" i="5" s="1"/>
  <c r="Z301" i="5"/>
  <c r="BD301" i="5" s="1"/>
  <c r="AQ293" i="5"/>
  <c r="AR293" i="5" s="1"/>
  <c r="Z293" i="5"/>
  <c r="BD293" i="5" s="1"/>
  <c r="AQ285" i="5"/>
  <c r="AR285" i="5" s="1"/>
  <c r="Z285" i="5"/>
  <c r="BD285" i="5" s="1"/>
  <c r="AQ401" i="5"/>
  <c r="AR401" i="5" s="1"/>
  <c r="Z401" i="5"/>
  <c r="BD401" i="5" s="1"/>
  <c r="AQ392" i="5"/>
  <c r="AR392" i="5" s="1"/>
  <c r="Z392" i="5"/>
  <c r="BD392" i="5" s="1"/>
  <c r="AQ384" i="5"/>
  <c r="AR384" i="5" s="1"/>
  <c r="Z384" i="5"/>
  <c r="BD384" i="5" s="1"/>
  <c r="Z362" i="5"/>
  <c r="BD362" i="5" s="1"/>
  <c r="AQ362" i="5"/>
  <c r="AR362" i="5" s="1"/>
  <c r="Z354" i="5"/>
  <c r="BD354" i="5" s="1"/>
  <c r="AQ354" i="5"/>
  <c r="AR354" i="5" s="1"/>
  <c r="Z345" i="5"/>
  <c r="BD345" i="5" s="1"/>
  <c r="AQ345" i="5"/>
  <c r="AR345" i="5" s="1"/>
  <c r="Z337" i="5"/>
  <c r="BD337" i="5" s="1"/>
  <c r="AQ337" i="5"/>
  <c r="AR337" i="5" s="1"/>
  <c r="AQ328" i="5"/>
  <c r="AR328" i="5" s="1"/>
  <c r="Z328" i="5"/>
  <c r="BD328" i="5" s="1"/>
  <c r="Z314" i="5"/>
  <c r="BD314" i="5" s="1"/>
  <c r="AQ314" i="5"/>
  <c r="AR314" i="5" s="1"/>
  <c r="Z306" i="5"/>
  <c r="BD306" i="5" s="1"/>
  <c r="AQ306" i="5"/>
  <c r="AR306" i="5" s="1"/>
  <c r="AQ297" i="5"/>
  <c r="AR297" i="5" s="1"/>
  <c r="Z297" i="5"/>
  <c r="BD297" i="5" s="1"/>
  <c r="Z288" i="5"/>
  <c r="BD288" i="5" s="1"/>
  <c r="AQ288" i="5"/>
  <c r="AR288" i="5" s="1"/>
  <c r="I4" i="4"/>
  <c r="L4" i="4"/>
  <c r="I3" i="4"/>
  <c r="L3" i="4"/>
  <c r="I70" i="4"/>
  <c r="L70" i="4"/>
  <c r="I66" i="4"/>
  <c r="L66" i="4"/>
  <c r="I62" i="4"/>
  <c r="L62" i="4"/>
  <c r="I58" i="4"/>
  <c r="L58" i="4"/>
  <c r="I54" i="4"/>
  <c r="L54" i="4"/>
  <c r="I50" i="4"/>
  <c r="L50" i="4"/>
  <c r="I46" i="4"/>
  <c r="L46" i="4"/>
  <c r="I68" i="4"/>
  <c r="L68" i="4"/>
  <c r="I64" i="4"/>
  <c r="L64" i="4"/>
  <c r="I60" i="4"/>
  <c r="L60" i="4"/>
  <c r="I56" i="4"/>
  <c r="L56" i="4"/>
  <c r="I52" i="4"/>
  <c r="L52" i="4"/>
  <c r="I48" i="4"/>
  <c r="L48" i="4"/>
  <c r="AH40" i="5"/>
  <c r="BA151" i="5"/>
  <c r="BA43" i="5"/>
  <c r="BA259" i="5"/>
  <c r="BA47" i="5"/>
  <c r="BA31" i="5"/>
  <c r="BA271" i="5"/>
  <c r="BA159" i="5"/>
  <c r="BA95" i="5"/>
  <c r="BA87" i="5"/>
  <c r="BA91" i="5"/>
  <c r="BA23" i="5"/>
  <c r="BA267" i="5"/>
  <c r="BA243" i="5"/>
  <c r="BA147" i="5"/>
  <c r="BA131" i="5"/>
  <c r="BA99" i="5"/>
  <c r="BA247" i="5"/>
  <c r="BA115" i="5"/>
  <c r="BA255" i="5"/>
  <c r="BA143" i="5"/>
  <c r="BA127" i="5"/>
  <c r="BA111" i="5"/>
  <c r="BA55" i="5"/>
  <c r="BA123" i="5"/>
  <c r="BA107" i="5"/>
  <c r="BA39" i="5"/>
  <c r="BA83" i="5"/>
  <c r="BA59" i="5"/>
  <c r="BA279" i="5"/>
  <c r="BA135" i="5"/>
  <c r="BA27" i="5"/>
  <c r="BA263" i="5"/>
  <c r="BA119" i="5"/>
  <c r="BA103" i="5"/>
  <c r="BA79" i="5"/>
  <c r="BA71" i="5"/>
  <c r="BA63" i="5"/>
  <c r="BA51" i="5"/>
  <c r="BA35" i="5"/>
  <c r="BA19" i="5"/>
  <c r="BA275" i="5"/>
  <c r="BA251" i="5"/>
  <c r="BA155" i="5"/>
  <c r="BA139" i="5"/>
  <c r="BA75" i="5"/>
  <c r="BA67" i="5"/>
  <c r="AQ276" i="5"/>
  <c r="AR276" i="5" s="1"/>
  <c r="Z276" i="5"/>
  <c r="BD276" i="5" s="1"/>
  <c r="Z229" i="5"/>
  <c r="BD229" i="5" s="1"/>
  <c r="AQ229" i="5"/>
  <c r="AR229" i="5" s="1"/>
  <c r="Z220" i="5"/>
  <c r="BD220" i="5" s="1"/>
  <c r="AQ220" i="5"/>
  <c r="AR220" i="5" s="1"/>
  <c r="AQ206" i="5"/>
  <c r="AR206" i="5" s="1"/>
  <c r="Z206" i="5"/>
  <c r="BD206" i="5" s="1"/>
  <c r="Z197" i="5"/>
  <c r="BD197" i="5" s="1"/>
  <c r="AQ197" i="5"/>
  <c r="AR197" i="5" s="1"/>
  <c r="Z188" i="5"/>
  <c r="BD188" i="5" s="1"/>
  <c r="AQ188" i="5"/>
  <c r="AR188" i="5" s="1"/>
  <c r="Z174" i="5"/>
  <c r="BD174" i="5" s="1"/>
  <c r="AQ174" i="5"/>
  <c r="AR174" i="5" s="1"/>
  <c r="AQ165" i="5"/>
  <c r="AR165" i="5" s="1"/>
  <c r="Z165" i="5"/>
  <c r="BD165" i="5" s="1"/>
  <c r="Z124" i="5"/>
  <c r="BD124" i="5" s="1"/>
  <c r="AQ124" i="5"/>
  <c r="AR124" i="5" s="1"/>
  <c r="Z110" i="5"/>
  <c r="BD110" i="5" s="1"/>
  <c r="AQ110" i="5"/>
  <c r="AR110" i="5" s="1"/>
  <c r="Z93" i="5"/>
  <c r="BD93" i="5" s="1"/>
  <c r="AQ93" i="5"/>
  <c r="AR93" i="5" s="1"/>
  <c r="AQ34" i="5"/>
  <c r="AR34" i="5" s="1"/>
  <c r="Z34" i="5"/>
  <c r="BD34" i="5" s="1"/>
  <c r="AQ24" i="5"/>
  <c r="AR24" i="5" s="1"/>
  <c r="Z24" i="5"/>
  <c r="BD24" i="5" s="1"/>
  <c r="AQ268" i="5"/>
  <c r="AR268" i="5" s="1"/>
  <c r="Z268" i="5"/>
  <c r="BD268" i="5" s="1"/>
  <c r="Z238" i="5"/>
  <c r="BD238" i="5" s="1"/>
  <c r="AQ238" i="5"/>
  <c r="AR238" i="5" s="1"/>
  <c r="Z158" i="5"/>
  <c r="BD158" i="5" s="1"/>
  <c r="AQ158" i="5"/>
  <c r="AR158" i="5" s="1"/>
  <c r="Z157" i="5"/>
  <c r="BD157" i="5" s="1"/>
  <c r="AQ157" i="5"/>
  <c r="AR157" i="5" s="1"/>
  <c r="Z148" i="5"/>
  <c r="BD148" i="5" s="1"/>
  <c r="AQ148" i="5"/>
  <c r="AR148" i="5" s="1"/>
  <c r="Z134" i="5"/>
  <c r="BD134" i="5" s="1"/>
  <c r="AQ134" i="5"/>
  <c r="AR134" i="5" s="1"/>
  <c r="Z101" i="5"/>
  <c r="BD101" i="5" s="1"/>
  <c r="AQ101" i="5"/>
  <c r="AR101" i="5" s="1"/>
  <c r="Z84" i="5"/>
  <c r="BD84" i="5" s="1"/>
  <c r="AQ84" i="5"/>
  <c r="AR84" i="5" s="1"/>
  <c r="Z70" i="5"/>
  <c r="BD70" i="5" s="1"/>
  <c r="AQ70" i="5"/>
  <c r="AR70" i="5" s="1"/>
  <c r="AQ61" i="5"/>
  <c r="AR61" i="5" s="1"/>
  <c r="Z61" i="5"/>
  <c r="BD61" i="5" s="1"/>
  <c r="Z272" i="5"/>
  <c r="BD272" i="5" s="1"/>
  <c r="AQ272" i="5"/>
  <c r="AR272" i="5" s="1"/>
  <c r="AQ266" i="5"/>
  <c r="AR266" i="5" s="1"/>
  <c r="Z266" i="5"/>
  <c r="BD266" i="5" s="1"/>
  <c r="Z256" i="5"/>
  <c r="BD256" i="5" s="1"/>
  <c r="AQ256" i="5"/>
  <c r="AR256" i="5" s="1"/>
  <c r="Z240" i="5"/>
  <c r="BD240" i="5" s="1"/>
  <c r="AQ240" i="5"/>
  <c r="AR240" i="5" s="1"/>
  <c r="Z234" i="5"/>
  <c r="BD234" i="5" s="1"/>
  <c r="AQ234" i="5"/>
  <c r="AR234" i="5" s="1"/>
  <c r="Z224" i="5"/>
  <c r="BD224" i="5" s="1"/>
  <c r="AQ224" i="5"/>
  <c r="AR224" i="5" s="1"/>
  <c r="Z218" i="5"/>
  <c r="BD218" i="5" s="1"/>
  <c r="AQ218" i="5"/>
  <c r="AR218" i="5" s="1"/>
  <c r="Z208" i="5"/>
  <c r="BD208" i="5" s="1"/>
  <c r="AQ208" i="5"/>
  <c r="AR208" i="5" s="1"/>
  <c r="Z202" i="5"/>
  <c r="BD202" i="5" s="1"/>
  <c r="AQ202" i="5"/>
  <c r="AR202" i="5" s="1"/>
  <c r="Z192" i="5"/>
  <c r="BD192" i="5" s="1"/>
  <c r="AQ192" i="5"/>
  <c r="AR192" i="5" s="1"/>
  <c r="AQ176" i="5"/>
  <c r="AR176" i="5" s="1"/>
  <c r="Z176" i="5"/>
  <c r="BD176" i="5" s="1"/>
  <c r="Z162" i="5"/>
  <c r="BD162" i="5" s="1"/>
  <c r="AQ162" i="5"/>
  <c r="AR162" i="5" s="1"/>
  <c r="Z154" i="5"/>
  <c r="BD154" i="5" s="1"/>
  <c r="AQ154" i="5"/>
  <c r="AR154" i="5" s="1"/>
  <c r="Z153" i="5"/>
  <c r="BD153" i="5" s="1"/>
  <c r="AQ153" i="5"/>
  <c r="AR153" i="5" s="1"/>
  <c r="Z144" i="5"/>
  <c r="BD144" i="5" s="1"/>
  <c r="AQ144" i="5"/>
  <c r="AR144" i="5" s="1"/>
  <c r="Z130" i="5"/>
  <c r="BD130" i="5" s="1"/>
  <c r="AQ130" i="5"/>
  <c r="AR130" i="5" s="1"/>
  <c r="Z121" i="5"/>
  <c r="BD121" i="5" s="1"/>
  <c r="AQ121" i="5"/>
  <c r="AR121" i="5" s="1"/>
  <c r="Z112" i="5"/>
  <c r="BD112" i="5" s="1"/>
  <c r="AQ112" i="5"/>
  <c r="AR112" i="5" s="1"/>
  <c r="Z98" i="5"/>
  <c r="BD98" i="5" s="1"/>
  <c r="AQ98" i="5"/>
  <c r="AR98" i="5" s="1"/>
  <c r="Z89" i="5"/>
  <c r="BD89" i="5" s="1"/>
  <c r="AQ89" i="5"/>
  <c r="AR89" i="5" s="1"/>
  <c r="Z80" i="5"/>
  <c r="BD80" i="5" s="1"/>
  <c r="AQ80" i="5"/>
  <c r="AR80" i="5" s="1"/>
  <c r="AQ66" i="5"/>
  <c r="AR66" i="5" s="1"/>
  <c r="Z66" i="5"/>
  <c r="BD66" i="5" s="1"/>
  <c r="Z56" i="5"/>
  <c r="BD56" i="5" s="1"/>
  <c r="AQ56" i="5"/>
  <c r="AR56" i="5" s="1"/>
  <c r="AQ46" i="5"/>
  <c r="AR46" i="5" s="1"/>
  <c r="Z46" i="5"/>
  <c r="BD46" i="5" s="1"/>
  <c r="AQ28" i="5"/>
  <c r="AR28" i="5" s="1"/>
  <c r="Z28" i="5"/>
  <c r="BD28" i="5" s="1"/>
  <c r="AQ277" i="5"/>
  <c r="AR277" i="5" s="1"/>
  <c r="Z277" i="5"/>
  <c r="BD277" i="5" s="1"/>
  <c r="Z222" i="5"/>
  <c r="BD222" i="5" s="1"/>
  <c r="AQ222" i="5"/>
  <c r="AR222" i="5" s="1"/>
  <c r="Z212" i="5"/>
  <c r="BD212" i="5" s="1"/>
  <c r="AQ212" i="5"/>
  <c r="AR212" i="5" s="1"/>
  <c r="AQ180" i="5"/>
  <c r="AR180" i="5" s="1"/>
  <c r="Z180" i="5"/>
  <c r="BD180" i="5" s="1"/>
  <c r="Z166" i="5"/>
  <c r="BD166" i="5" s="1"/>
  <c r="AQ166" i="5"/>
  <c r="AR166" i="5" s="1"/>
  <c r="Z116" i="5"/>
  <c r="BD116" i="5" s="1"/>
  <c r="AQ116" i="5"/>
  <c r="AR116" i="5" s="1"/>
  <c r="Z94" i="5"/>
  <c r="BD94" i="5" s="1"/>
  <c r="AQ94" i="5"/>
  <c r="AR94" i="5" s="1"/>
  <c r="AQ48" i="5"/>
  <c r="AR48" i="5" s="1"/>
  <c r="Z48" i="5"/>
  <c r="BD48" i="5" s="1"/>
  <c r="AQ26" i="5"/>
  <c r="AR26" i="5" s="1"/>
  <c r="Z26" i="5"/>
  <c r="BD26" i="5" s="1"/>
  <c r="AQ269" i="5"/>
  <c r="AR269" i="5" s="1"/>
  <c r="Z269" i="5"/>
  <c r="BD269" i="5" s="1"/>
  <c r="AQ244" i="5"/>
  <c r="AR244" i="5" s="1"/>
  <c r="Z244" i="5"/>
  <c r="BD244" i="5" s="1"/>
  <c r="Z149" i="5"/>
  <c r="BD149" i="5" s="1"/>
  <c r="AQ149" i="5"/>
  <c r="AR149" i="5" s="1"/>
  <c r="Z140" i="5"/>
  <c r="BD140" i="5" s="1"/>
  <c r="AQ140" i="5"/>
  <c r="AR140" i="5" s="1"/>
  <c r="AQ102" i="5"/>
  <c r="AR102" i="5" s="1"/>
  <c r="Z102" i="5"/>
  <c r="BD102" i="5" s="1"/>
  <c r="Z85" i="5"/>
  <c r="BD85" i="5" s="1"/>
  <c r="AQ85" i="5"/>
  <c r="AR85" i="5" s="1"/>
  <c r="Z76" i="5"/>
  <c r="BD76" i="5" s="1"/>
  <c r="AQ76" i="5"/>
  <c r="AR76" i="5" s="1"/>
  <c r="AQ62" i="5"/>
  <c r="AR62" i="5" s="1"/>
  <c r="Z62" i="5"/>
  <c r="BD62" i="5" s="1"/>
  <c r="AQ273" i="5"/>
  <c r="AR273" i="5" s="1"/>
  <c r="Z273" i="5"/>
  <c r="BD273" i="5" s="1"/>
  <c r="AQ257" i="5"/>
  <c r="AR257" i="5" s="1"/>
  <c r="Z257" i="5"/>
  <c r="BD257" i="5" s="1"/>
  <c r="Z241" i="5"/>
  <c r="BD241" i="5" s="1"/>
  <c r="AQ241" i="5"/>
  <c r="AR241" i="5" s="1"/>
  <c r="Z225" i="5"/>
  <c r="BD225" i="5" s="1"/>
  <c r="AQ225" i="5"/>
  <c r="AR225" i="5" s="1"/>
  <c r="Z209" i="5"/>
  <c r="BD209" i="5" s="1"/>
  <c r="AQ209" i="5"/>
  <c r="AR209" i="5" s="1"/>
  <c r="Z193" i="5"/>
  <c r="BD193" i="5" s="1"/>
  <c r="AQ193" i="5"/>
  <c r="AR193" i="5" s="1"/>
  <c r="AQ177" i="5"/>
  <c r="AR177" i="5" s="1"/>
  <c r="Z177" i="5"/>
  <c r="BD177" i="5" s="1"/>
  <c r="AQ168" i="5"/>
  <c r="AR168" i="5" s="1"/>
  <c r="Z168" i="5"/>
  <c r="BD168" i="5" s="1"/>
  <c r="Z145" i="5"/>
  <c r="BD145" i="5" s="1"/>
  <c r="AQ145" i="5"/>
  <c r="AR145" i="5" s="1"/>
  <c r="Z136" i="5"/>
  <c r="BD136" i="5" s="1"/>
  <c r="AQ136" i="5"/>
  <c r="AR136" i="5" s="1"/>
  <c r="Z122" i="5"/>
  <c r="BD122" i="5" s="1"/>
  <c r="AQ122" i="5"/>
  <c r="AR122" i="5" s="1"/>
  <c r="Z113" i="5"/>
  <c r="BD113" i="5" s="1"/>
  <c r="AQ113" i="5"/>
  <c r="AR113" i="5" s="1"/>
  <c r="Z104" i="5"/>
  <c r="BD104" i="5" s="1"/>
  <c r="AQ104" i="5"/>
  <c r="AR104" i="5" s="1"/>
  <c r="AQ90" i="5"/>
  <c r="AR90" i="5" s="1"/>
  <c r="Z90" i="5"/>
  <c r="BD90" i="5" s="1"/>
  <c r="Z81" i="5"/>
  <c r="BD81" i="5" s="1"/>
  <c r="AQ81" i="5"/>
  <c r="AR81" i="5" s="1"/>
  <c r="Z72" i="5"/>
  <c r="BD72" i="5" s="1"/>
  <c r="AQ72" i="5"/>
  <c r="AR72" i="5" s="1"/>
  <c r="Z58" i="5"/>
  <c r="BD58" i="5" s="1"/>
  <c r="AQ58" i="5"/>
  <c r="AR58" i="5" s="1"/>
  <c r="AQ52" i="5"/>
  <c r="AR52" i="5" s="1"/>
  <c r="Z52" i="5"/>
  <c r="BD52" i="5" s="1"/>
  <c r="AQ38" i="5"/>
  <c r="AR38" i="5" s="1"/>
  <c r="Z38" i="5"/>
  <c r="BD38" i="5" s="1"/>
  <c r="AQ20" i="5"/>
  <c r="AR20" i="5" s="1"/>
  <c r="Z20" i="5"/>
  <c r="BD20" i="5" s="1"/>
  <c r="AY3" i="5"/>
  <c r="AQ278" i="5"/>
  <c r="AR278" i="5" s="1"/>
  <c r="Z278" i="5"/>
  <c r="BD278" i="5" s="1"/>
  <c r="AQ261" i="5"/>
  <c r="AR261" i="5" s="1"/>
  <c r="Z261" i="5"/>
  <c r="BD261" i="5" s="1"/>
  <c r="AQ252" i="5"/>
  <c r="AR252" i="5" s="1"/>
  <c r="Z252" i="5"/>
  <c r="BD252" i="5" s="1"/>
  <c r="Z213" i="5"/>
  <c r="BD213" i="5" s="1"/>
  <c r="AQ213" i="5"/>
  <c r="AR213" i="5" s="1"/>
  <c r="Z204" i="5"/>
  <c r="BD204" i="5" s="1"/>
  <c r="AQ204" i="5"/>
  <c r="AR204" i="5" s="1"/>
  <c r="AQ190" i="5"/>
  <c r="AR190" i="5" s="1"/>
  <c r="Z190" i="5"/>
  <c r="BD190" i="5" s="1"/>
  <c r="AQ181" i="5"/>
  <c r="AR181" i="5" s="1"/>
  <c r="Z181" i="5"/>
  <c r="BD181" i="5" s="1"/>
  <c r="Z172" i="5"/>
  <c r="BD172" i="5" s="1"/>
  <c r="AQ172" i="5"/>
  <c r="AR172" i="5" s="1"/>
  <c r="Z126" i="5"/>
  <c r="BD126" i="5" s="1"/>
  <c r="AQ126" i="5"/>
  <c r="AR126" i="5" s="1"/>
  <c r="Z117" i="5"/>
  <c r="BD117" i="5" s="1"/>
  <c r="AQ117" i="5"/>
  <c r="AR117" i="5" s="1"/>
  <c r="Z108" i="5"/>
  <c r="BD108" i="5" s="1"/>
  <c r="AQ108" i="5"/>
  <c r="AR108" i="5" s="1"/>
  <c r="AQ50" i="5"/>
  <c r="AR50" i="5" s="1"/>
  <c r="Z50" i="5"/>
  <c r="BD50" i="5" s="1"/>
  <c r="AQ40" i="5"/>
  <c r="AR40" i="5" s="1"/>
  <c r="Z40" i="5"/>
  <c r="BD40" i="5" s="1"/>
  <c r="Z270" i="5"/>
  <c r="BD270" i="5" s="1"/>
  <c r="AQ270" i="5"/>
  <c r="AR270" i="5" s="1"/>
  <c r="AQ245" i="5"/>
  <c r="AR245" i="5" s="1"/>
  <c r="Z245" i="5"/>
  <c r="BD245" i="5" s="1"/>
  <c r="Z236" i="5"/>
  <c r="BD236" i="5" s="1"/>
  <c r="AQ236" i="5"/>
  <c r="AR236" i="5" s="1"/>
  <c r="Z150" i="5"/>
  <c r="BD150" i="5" s="1"/>
  <c r="AQ150" i="5"/>
  <c r="AR150" i="5" s="1"/>
  <c r="Z141" i="5"/>
  <c r="BD141" i="5" s="1"/>
  <c r="AQ141" i="5"/>
  <c r="AR141" i="5" s="1"/>
  <c r="Z132" i="5"/>
  <c r="BD132" i="5" s="1"/>
  <c r="AQ132" i="5"/>
  <c r="AR132" i="5" s="1"/>
  <c r="Z86" i="5"/>
  <c r="BD86" i="5" s="1"/>
  <c r="AQ86" i="5"/>
  <c r="AR86" i="5" s="1"/>
  <c r="Z77" i="5"/>
  <c r="BD77" i="5" s="1"/>
  <c r="AQ77" i="5"/>
  <c r="AR77" i="5" s="1"/>
  <c r="AQ68" i="5"/>
  <c r="AR68" i="5" s="1"/>
  <c r="Z68" i="5"/>
  <c r="BD68" i="5" s="1"/>
  <c r="AQ280" i="5"/>
  <c r="AR280" i="5" s="1"/>
  <c r="Z280" i="5"/>
  <c r="BD280" i="5" s="1"/>
  <c r="AQ274" i="5"/>
  <c r="AR274" i="5" s="1"/>
  <c r="Z274" i="5"/>
  <c r="BD274" i="5" s="1"/>
  <c r="Z264" i="5"/>
  <c r="BD264" i="5" s="1"/>
  <c r="AQ264" i="5"/>
  <c r="AR264" i="5" s="1"/>
  <c r="Z258" i="5"/>
  <c r="BD258" i="5" s="1"/>
  <c r="AQ258" i="5"/>
  <c r="AR258" i="5" s="1"/>
  <c r="AQ248" i="5"/>
  <c r="AR248" i="5" s="1"/>
  <c r="Z248" i="5"/>
  <c r="BD248" i="5" s="1"/>
  <c r="AQ242" i="5"/>
  <c r="AR242" i="5" s="1"/>
  <c r="Z242" i="5"/>
  <c r="BD242" i="5" s="1"/>
  <c r="AQ232" i="5"/>
  <c r="AR232" i="5" s="1"/>
  <c r="Z232" i="5"/>
  <c r="BD232" i="5" s="1"/>
  <c r="AQ226" i="5"/>
  <c r="AR226" i="5" s="1"/>
  <c r="Z226" i="5"/>
  <c r="BD226" i="5" s="1"/>
  <c r="Z216" i="5"/>
  <c r="BD216" i="5" s="1"/>
  <c r="AQ216" i="5"/>
  <c r="AR216" i="5" s="1"/>
  <c r="AQ210" i="5"/>
  <c r="AR210" i="5" s="1"/>
  <c r="Z210" i="5"/>
  <c r="BD210" i="5" s="1"/>
  <c r="Z200" i="5"/>
  <c r="BD200" i="5" s="1"/>
  <c r="AQ200" i="5"/>
  <c r="AR200" i="5" s="1"/>
  <c r="AQ194" i="5"/>
  <c r="AR194" i="5" s="1"/>
  <c r="Z194" i="5"/>
  <c r="BD194" i="5" s="1"/>
  <c r="Z184" i="5"/>
  <c r="BD184" i="5" s="1"/>
  <c r="AQ184" i="5"/>
  <c r="AR184" i="5" s="1"/>
  <c r="AQ178" i="5"/>
  <c r="AR178" i="5" s="1"/>
  <c r="Z178" i="5"/>
  <c r="BD178" i="5" s="1"/>
  <c r="AQ169" i="5"/>
  <c r="AR169" i="5" s="1"/>
  <c r="Z169" i="5"/>
  <c r="BD169" i="5" s="1"/>
  <c r="AQ160" i="5"/>
  <c r="AR160" i="5" s="1"/>
  <c r="Z160" i="5"/>
  <c r="BD160" i="5" s="1"/>
  <c r="Z146" i="5"/>
  <c r="BD146" i="5" s="1"/>
  <c r="AQ146" i="5"/>
  <c r="AR146" i="5" s="1"/>
  <c r="Z137" i="5"/>
  <c r="BD137" i="5" s="1"/>
  <c r="AQ137" i="5"/>
  <c r="AR137" i="5" s="1"/>
  <c r="Z128" i="5"/>
  <c r="BD128" i="5" s="1"/>
  <c r="AQ128" i="5"/>
  <c r="AR128" i="5" s="1"/>
  <c r="Z114" i="5"/>
  <c r="BD114" i="5" s="1"/>
  <c r="AQ114" i="5"/>
  <c r="AR114" i="5" s="1"/>
  <c r="Z105" i="5"/>
  <c r="BD105" i="5" s="1"/>
  <c r="AQ105" i="5"/>
  <c r="AR105" i="5" s="1"/>
  <c r="Z96" i="5"/>
  <c r="BD96" i="5" s="1"/>
  <c r="AQ96" i="5"/>
  <c r="AR96" i="5" s="1"/>
  <c r="Z82" i="5"/>
  <c r="BD82" i="5" s="1"/>
  <c r="AQ82" i="5"/>
  <c r="AR82" i="5" s="1"/>
  <c r="Z73" i="5"/>
  <c r="BD73" i="5" s="1"/>
  <c r="AQ73" i="5"/>
  <c r="AR73" i="5" s="1"/>
  <c r="Z64" i="5"/>
  <c r="BD64" i="5" s="1"/>
  <c r="AQ64" i="5"/>
  <c r="AR64" i="5" s="1"/>
  <c r="AQ57" i="5"/>
  <c r="AR57" i="5" s="1"/>
  <c r="Z57" i="5"/>
  <c r="BD57" i="5" s="1"/>
  <c r="AQ44" i="5"/>
  <c r="AR44" i="5" s="1"/>
  <c r="Z44" i="5"/>
  <c r="BD44" i="5" s="1"/>
  <c r="AQ30" i="5"/>
  <c r="AR30" i="5" s="1"/>
  <c r="Z30" i="5"/>
  <c r="BD30" i="5" s="1"/>
  <c r="Z260" i="5"/>
  <c r="BD260" i="5" s="1"/>
  <c r="AQ260" i="5"/>
  <c r="AR260" i="5" s="1"/>
  <c r="Z230" i="5"/>
  <c r="BD230" i="5" s="1"/>
  <c r="AQ230" i="5"/>
  <c r="AR230" i="5" s="1"/>
  <c r="Z221" i="5"/>
  <c r="BD221" i="5" s="1"/>
  <c r="AQ221" i="5"/>
  <c r="AR221" i="5" s="1"/>
  <c r="Z198" i="5"/>
  <c r="BD198" i="5" s="1"/>
  <c r="AQ198" i="5"/>
  <c r="AR198" i="5" s="1"/>
  <c r="Z189" i="5"/>
  <c r="BD189" i="5" s="1"/>
  <c r="AQ189" i="5"/>
  <c r="AR189" i="5" s="1"/>
  <c r="Z125" i="5"/>
  <c r="BD125" i="5" s="1"/>
  <c r="AQ125" i="5"/>
  <c r="AR125" i="5" s="1"/>
  <c r="AQ262" i="5"/>
  <c r="AR262" i="5" s="1"/>
  <c r="Z262" i="5"/>
  <c r="BD262" i="5" s="1"/>
  <c r="AQ254" i="5"/>
  <c r="AR254" i="5" s="1"/>
  <c r="Z254" i="5"/>
  <c r="BD254" i="5" s="1"/>
  <c r="AQ253" i="5"/>
  <c r="AR253" i="5" s="1"/>
  <c r="Z253" i="5"/>
  <c r="BD253" i="5" s="1"/>
  <c r="Z228" i="5"/>
  <c r="BD228" i="5" s="1"/>
  <c r="AQ228" i="5"/>
  <c r="AR228" i="5" s="1"/>
  <c r="Z214" i="5"/>
  <c r="BD214" i="5" s="1"/>
  <c r="AQ214" i="5"/>
  <c r="AR214" i="5" s="1"/>
  <c r="Z205" i="5"/>
  <c r="BD205" i="5" s="1"/>
  <c r="AQ205" i="5"/>
  <c r="AR205" i="5" s="1"/>
  <c r="Z196" i="5"/>
  <c r="BD196" i="5" s="1"/>
  <c r="AQ196" i="5"/>
  <c r="AR196" i="5" s="1"/>
  <c r="Z182" i="5"/>
  <c r="BD182" i="5" s="1"/>
  <c r="AQ182" i="5"/>
  <c r="AR182" i="5" s="1"/>
  <c r="AQ173" i="5"/>
  <c r="AR173" i="5" s="1"/>
  <c r="Z173" i="5"/>
  <c r="BD173" i="5" s="1"/>
  <c r="AQ164" i="5"/>
  <c r="AR164" i="5" s="1"/>
  <c r="Z164" i="5"/>
  <c r="BD164" i="5" s="1"/>
  <c r="Z118" i="5"/>
  <c r="BD118" i="5" s="1"/>
  <c r="AQ118" i="5"/>
  <c r="AR118" i="5" s="1"/>
  <c r="Z109" i="5"/>
  <c r="BD109" i="5" s="1"/>
  <c r="AQ109" i="5"/>
  <c r="AR109" i="5" s="1"/>
  <c r="Z92" i="5"/>
  <c r="BD92" i="5" s="1"/>
  <c r="AQ92" i="5"/>
  <c r="AR92" i="5" s="1"/>
  <c r="AQ42" i="5"/>
  <c r="AR42" i="5" s="1"/>
  <c r="Z42" i="5"/>
  <c r="BD42" i="5" s="1"/>
  <c r="AQ32" i="5"/>
  <c r="AR32" i="5" s="1"/>
  <c r="Z32" i="5"/>
  <c r="BD32" i="5" s="1"/>
  <c r="Z246" i="5"/>
  <c r="BD246" i="5" s="1"/>
  <c r="AQ246" i="5"/>
  <c r="AR246" i="5" s="1"/>
  <c r="Z237" i="5"/>
  <c r="BD237" i="5" s="1"/>
  <c r="AQ237" i="5"/>
  <c r="AR237" i="5" s="1"/>
  <c r="Z156" i="5"/>
  <c r="BD156" i="5" s="1"/>
  <c r="AQ156" i="5"/>
  <c r="AR156" i="5" s="1"/>
  <c r="Z142" i="5"/>
  <c r="BD142" i="5" s="1"/>
  <c r="AQ142" i="5"/>
  <c r="AR142" i="5" s="1"/>
  <c r="Z133" i="5"/>
  <c r="BD133" i="5" s="1"/>
  <c r="AQ133" i="5"/>
  <c r="AR133" i="5" s="1"/>
  <c r="Z100" i="5"/>
  <c r="BD100" i="5" s="1"/>
  <c r="AQ100" i="5"/>
  <c r="AR100" i="5" s="1"/>
  <c r="AQ78" i="5"/>
  <c r="AR78" i="5" s="1"/>
  <c r="Z78" i="5"/>
  <c r="BD78" i="5" s="1"/>
  <c r="AQ69" i="5"/>
  <c r="AR69" i="5" s="1"/>
  <c r="Z69" i="5"/>
  <c r="BD69" i="5" s="1"/>
  <c r="AQ60" i="5"/>
  <c r="AR60" i="5" s="1"/>
  <c r="Z60" i="5"/>
  <c r="BD60" i="5" s="1"/>
  <c r="Z282" i="5"/>
  <c r="BD282" i="5" s="1"/>
  <c r="AQ282" i="5"/>
  <c r="AR282" i="5" s="1"/>
  <c r="AQ281" i="5"/>
  <c r="AR281" i="5" s="1"/>
  <c r="Z281" i="5"/>
  <c r="BD281" i="5" s="1"/>
  <c r="AQ265" i="5"/>
  <c r="AR265" i="5" s="1"/>
  <c r="Z265" i="5"/>
  <c r="BD265" i="5" s="1"/>
  <c r="AQ250" i="5"/>
  <c r="AR250" i="5" s="1"/>
  <c r="Z250" i="5"/>
  <c r="BD250" i="5" s="1"/>
  <c r="AQ249" i="5"/>
  <c r="AR249" i="5" s="1"/>
  <c r="Z249" i="5"/>
  <c r="BD249" i="5" s="1"/>
  <c r="Z233" i="5"/>
  <c r="BD233" i="5" s="1"/>
  <c r="AQ233" i="5"/>
  <c r="AR233" i="5" s="1"/>
  <c r="Z217" i="5"/>
  <c r="BD217" i="5" s="1"/>
  <c r="AQ217" i="5"/>
  <c r="AR217" i="5" s="1"/>
  <c r="Z201" i="5"/>
  <c r="BD201" i="5" s="1"/>
  <c r="AQ201" i="5"/>
  <c r="AR201" i="5" s="1"/>
  <c r="AQ186" i="5"/>
  <c r="AR186" i="5" s="1"/>
  <c r="Z186" i="5"/>
  <c r="BD186" i="5" s="1"/>
  <c r="AQ185" i="5"/>
  <c r="AR185" i="5" s="1"/>
  <c r="Z185" i="5"/>
  <c r="BD185" i="5" s="1"/>
  <c r="AQ170" i="5"/>
  <c r="AR170" i="5" s="1"/>
  <c r="Z170" i="5"/>
  <c r="BD170" i="5" s="1"/>
  <c r="AQ161" i="5"/>
  <c r="AR161" i="5" s="1"/>
  <c r="Z161" i="5"/>
  <c r="BD161" i="5" s="1"/>
  <c r="Z152" i="5"/>
  <c r="BD152" i="5" s="1"/>
  <c r="AQ152" i="5"/>
  <c r="AR152" i="5" s="1"/>
  <c r="Z138" i="5"/>
  <c r="BD138" i="5" s="1"/>
  <c r="AQ138" i="5"/>
  <c r="AR138" i="5" s="1"/>
  <c r="Z129" i="5"/>
  <c r="BD129" i="5" s="1"/>
  <c r="AQ129" i="5"/>
  <c r="AR129" i="5" s="1"/>
  <c r="Z120" i="5"/>
  <c r="BD120" i="5" s="1"/>
  <c r="AQ120" i="5"/>
  <c r="AR120" i="5" s="1"/>
  <c r="Z106" i="5"/>
  <c r="BD106" i="5" s="1"/>
  <c r="AQ106" i="5"/>
  <c r="AR106" i="5" s="1"/>
  <c r="Z97" i="5"/>
  <c r="BD97" i="5" s="1"/>
  <c r="AQ97" i="5"/>
  <c r="AR97" i="5" s="1"/>
  <c r="AQ88" i="5"/>
  <c r="AR88" i="5" s="1"/>
  <c r="Z88" i="5"/>
  <c r="BD88" i="5" s="1"/>
  <c r="Z74" i="5"/>
  <c r="BD74" i="5" s="1"/>
  <c r="AQ74" i="5"/>
  <c r="AR74" i="5" s="1"/>
  <c r="AQ65" i="5"/>
  <c r="AR65" i="5" s="1"/>
  <c r="Z65" i="5"/>
  <c r="BD65" i="5" s="1"/>
  <c r="AQ54" i="5"/>
  <c r="AR54" i="5" s="1"/>
  <c r="Z54" i="5"/>
  <c r="BD54" i="5" s="1"/>
  <c r="AQ36" i="5"/>
  <c r="AR36" i="5" s="1"/>
  <c r="Z36" i="5"/>
  <c r="BD36" i="5" s="1"/>
  <c r="AQ22" i="5"/>
  <c r="AR22" i="5" s="1"/>
  <c r="Z22" i="5"/>
  <c r="BD22" i="5" s="1"/>
  <c r="BA15" i="5"/>
  <c r="AQ16" i="5"/>
  <c r="AR16" i="5" s="1"/>
  <c r="Z16" i="5"/>
  <c r="BD16" i="5" s="1"/>
  <c r="AQ18" i="5"/>
  <c r="AR18" i="5" s="1"/>
  <c r="Z18" i="5"/>
  <c r="BD18" i="5" s="1"/>
  <c r="AQ12" i="5"/>
  <c r="AR12" i="5" s="1"/>
  <c r="Z12" i="5"/>
  <c r="BD12" i="5" s="1"/>
  <c r="AQ14" i="5"/>
  <c r="AR14" i="5" s="1"/>
  <c r="Z14" i="5"/>
  <c r="BD14" i="5" s="1"/>
  <c r="AQ399" i="5"/>
  <c r="AR399" i="5" s="1"/>
  <c r="Z399" i="5"/>
  <c r="BD399" i="5" s="1"/>
  <c r="X375" i="5"/>
  <c r="BC375" i="5" s="1"/>
  <c r="W375" i="5"/>
  <c r="AV359" i="5"/>
  <c r="BA359" i="5"/>
  <c r="U351" i="5"/>
  <c r="BB351" i="5" s="1"/>
  <c r="T351" i="5"/>
  <c r="AV287" i="5"/>
  <c r="W231" i="5"/>
  <c r="X231" i="5"/>
  <c r="BC231" i="5" s="1"/>
  <c r="AQ215" i="5"/>
  <c r="AR215" i="5" s="1"/>
  <c r="Z215" i="5"/>
  <c r="BD215" i="5" s="1"/>
  <c r="U175" i="5"/>
  <c r="BB175" i="5" s="1"/>
  <c r="T175" i="5"/>
  <c r="AV151" i="5"/>
  <c r="AQ79" i="5"/>
  <c r="AR79" i="5" s="1"/>
  <c r="Z79" i="5"/>
  <c r="BD79" i="5" s="1"/>
  <c r="AV35" i="5"/>
  <c r="AQ391" i="5"/>
  <c r="AR391" i="5" s="1"/>
  <c r="Z391" i="5"/>
  <c r="BD391" i="5" s="1"/>
  <c r="AV279" i="5"/>
  <c r="U271" i="5"/>
  <c r="BB271" i="5" s="1"/>
  <c r="T271" i="5"/>
  <c r="U263" i="5"/>
  <c r="BB263" i="5" s="1"/>
  <c r="T263" i="5"/>
  <c r="X223" i="5"/>
  <c r="BC223" i="5" s="1"/>
  <c r="W223" i="5"/>
  <c r="AV191" i="5"/>
  <c r="BA191" i="5"/>
  <c r="AQ167" i="5"/>
  <c r="AR167" i="5" s="1"/>
  <c r="Z167" i="5"/>
  <c r="BD167" i="5" s="1"/>
  <c r="AQ127" i="5"/>
  <c r="AR127" i="5" s="1"/>
  <c r="Z127" i="5"/>
  <c r="BD127" i="5" s="1"/>
  <c r="T119" i="5"/>
  <c r="U119" i="5"/>
  <c r="BB119" i="5" s="1"/>
  <c r="AQ95" i="5"/>
  <c r="AR95" i="5" s="1"/>
  <c r="Z95" i="5"/>
  <c r="BD95" i="5" s="1"/>
  <c r="AV71" i="5"/>
  <c r="X71" i="5"/>
  <c r="BC71" i="5" s="1"/>
  <c r="W71" i="5"/>
  <c r="AQ63" i="5"/>
  <c r="Z63" i="5"/>
  <c r="BD63" i="5" s="1"/>
  <c r="U55" i="5"/>
  <c r="BB55" i="5" s="1"/>
  <c r="T55" i="5"/>
  <c r="X51" i="5"/>
  <c r="BC51" i="5" s="1"/>
  <c r="W51" i="5"/>
  <c r="X43" i="5"/>
  <c r="BC43" i="5" s="1"/>
  <c r="W43" i="5"/>
  <c r="AV43" i="5"/>
  <c r="W35" i="5"/>
  <c r="X35" i="5"/>
  <c r="BC35" i="5" s="1"/>
  <c r="AQ403" i="5"/>
  <c r="AR403" i="5" s="1"/>
  <c r="Z403" i="5"/>
  <c r="BD403" i="5" s="1"/>
  <c r="X403" i="5"/>
  <c r="BC403" i="5" s="1"/>
  <c r="W403" i="5"/>
  <c r="U387" i="5"/>
  <c r="BB387" i="5" s="1"/>
  <c r="T387" i="5"/>
  <c r="U371" i="5"/>
  <c r="BB371" i="5" s="1"/>
  <c r="T371" i="5"/>
  <c r="U339" i="5"/>
  <c r="BB339" i="5" s="1"/>
  <c r="T339" i="5"/>
  <c r="AV331" i="5"/>
  <c r="BA331" i="5"/>
  <c r="U323" i="5"/>
  <c r="BB323" i="5" s="1"/>
  <c r="T323" i="5"/>
  <c r="AV323" i="5"/>
  <c r="BA323" i="5"/>
  <c r="U307" i="5"/>
  <c r="BB307" i="5" s="1"/>
  <c r="T307" i="5"/>
  <c r="AV299" i="5"/>
  <c r="U291" i="5"/>
  <c r="BB291" i="5" s="1"/>
  <c r="T291" i="5"/>
  <c r="U283" i="5"/>
  <c r="BB283" i="5" s="1"/>
  <c r="T283" i="5"/>
  <c r="U275" i="5"/>
  <c r="BB275" i="5" s="1"/>
  <c r="T275" i="5"/>
  <c r="W259" i="5"/>
  <c r="X259" i="5"/>
  <c r="BC259" i="5" s="1"/>
  <c r="AQ251" i="5"/>
  <c r="AR251" i="5" s="1"/>
  <c r="Z251" i="5"/>
  <c r="BD251" i="5" s="1"/>
  <c r="W227" i="5"/>
  <c r="X227" i="5"/>
  <c r="BC227" i="5" s="1"/>
  <c r="AQ227" i="5"/>
  <c r="AR227" i="5" s="1"/>
  <c r="Z227" i="5"/>
  <c r="BD227" i="5" s="1"/>
  <c r="AV211" i="5"/>
  <c r="BA211" i="5"/>
  <c r="AV203" i="5"/>
  <c r="BA203" i="5"/>
  <c r="T195" i="5"/>
  <c r="U195" i="5"/>
  <c r="BB195" i="5" s="1"/>
  <c r="AQ195" i="5"/>
  <c r="AR195" i="5" s="1"/>
  <c r="Z195" i="5"/>
  <c r="BD195" i="5" s="1"/>
  <c r="AV187" i="5"/>
  <c r="BA187" i="5"/>
  <c r="U179" i="5"/>
  <c r="BB179" i="5" s="1"/>
  <c r="T179" i="5"/>
  <c r="AV179" i="5"/>
  <c r="BA179" i="5"/>
  <c r="X171" i="5"/>
  <c r="BC171" i="5" s="1"/>
  <c r="W171" i="5"/>
  <c r="X163" i="5"/>
  <c r="BC163" i="5" s="1"/>
  <c r="W163" i="5"/>
  <c r="AV123" i="5"/>
  <c r="T115" i="5"/>
  <c r="U115" i="5"/>
  <c r="BB115" i="5" s="1"/>
  <c r="T107" i="5"/>
  <c r="U107" i="5"/>
  <c r="BB107" i="5" s="1"/>
  <c r="AQ107" i="5"/>
  <c r="AR107" i="5" s="1"/>
  <c r="Z107" i="5"/>
  <c r="BD107" i="5" s="1"/>
  <c r="AV39" i="5"/>
  <c r="X363" i="5"/>
  <c r="BC363" i="5" s="1"/>
  <c r="W363" i="5"/>
  <c r="Z347" i="5"/>
  <c r="BD347" i="5" s="1"/>
  <c r="AQ347" i="5"/>
  <c r="AR347" i="5" s="1"/>
  <c r="AQ267" i="5"/>
  <c r="AR267" i="5" s="1"/>
  <c r="Z267" i="5"/>
  <c r="BD267" i="5" s="1"/>
  <c r="AV235" i="5"/>
  <c r="BA235" i="5"/>
  <c r="X235" i="5"/>
  <c r="BC235" i="5" s="1"/>
  <c r="W235" i="5"/>
  <c r="AV155" i="5"/>
  <c r="T155" i="5"/>
  <c r="U155" i="5"/>
  <c r="BB155" i="5" s="1"/>
  <c r="AQ147" i="5"/>
  <c r="AR147" i="5" s="1"/>
  <c r="Z147" i="5"/>
  <c r="BD147" i="5" s="1"/>
  <c r="AV131" i="5"/>
  <c r="W99" i="5"/>
  <c r="X99" i="5"/>
  <c r="BC99" i="5" s="1"/>
  <c r="T75" i="5"/>
  <c r="U75" i="5"/>
  <c r="BB75" i="5" s="1"/>
  <c r="AQ67" i="5"/>
  <c r="AR67" i="5" s="1"/>
  <c r="Z67" i="5"/>
  <c r="BD67" i="5" s="1"/>
  <c r="AQ49" i="5"/>
  <c r="AR49" i="5" s="1"/>
  <c r="Z49" i="5"/>
  <c r="BD49" i="5" s="1"/>
  <c r="AQ33" i="5"/>
  <c r="AR33" i="5" s="1"/>
  <c r="Z33" i="5"/>
  <c r="BD33" i="5" s="1"/>
  <c r="U383" i="5"/>
  <c r="BB383" i="5" s="1"/>
  <c r="T383" i="5"/>
  <c r="X367" i="5"/>
  <c r="BC367" i="5" s="1"/>
  <c r="W367" i="5"/>
  <c r="T359" i="5"/>
  <c r="U359" i="5"/>
  <c r="BB359" i="5" s="1"/>
  <c r="X359" i="5"/>
  <c r="BC359" i="5" s="1"/>
  <c r="W359" i="5"/>
  <c r="AV343" i="5"/>
  <c r="BA343" i="5"/>
  <c r="X327" i="5"/>
  <c r="BC327" i="5" s="1"/>
  <c r="W327" i="5"/>
  <c r="AV327" i="5"/>
  <c r="W311" i="5"/>
  <c r="X311" i="5"/>
  <c r="BC311" i="5" s="1"/>
  <c r="W303" i="5"/>
  <c r="X303" i="5"/>
  <c r="BC303" i="5" s="1"/>
  <c r="W295" i="5"/>
  <c r="X295" i="5"/>
  <c r="BC295" i="5" s="1"/>
  <c r="Z295" i="5"/>
  <c r="BD295" i="5" s="1"/>
  <c r="AQ295" i="5"/>
  <c r="AR295" i="5" s="1"/>
  <c r="T287" i="5"/>
  <c r="U287" i="5"/>
  <c r="BB287" i="5" s="1"/>
  <c r="W271" i="5"/>
  <c r="X271" i="5"/>
  <c r="BC271" i="5" s="1"/>
  <c r="AV263" i="5"/>
  <c r="AQ263" i="5"/>
  <c r="AR263" i="5" s="1"/>
  <c r="Z263" i="5"/>
  <c r="BD263" i="5" s="1"/>
  <c r="U255" i="5"/>
  <c r="BB255" i="5" s="1"/>
  <c r="T255" i="5"/>
  <c r="X255" i="5"/>
  <c r="BC255" i="5" s="1"/>
  <c r="W255" i="5"/>
  <c r="AV239" i="5"/>
  <c r="BA239" i="5"/>
  <c r="U239" i="5"/>
  <c r="BB239" i="5" s="1"/>
  <c r="T239" i="5"/>
  <c r="AV231" i="5"/>
  <c r="BA231" i="5"/>
  <c r="U223" i="5"/>
  <c r="BB223" i="5" s="1"/>
  <c r="T223" i="5"/>
  <c r="AQ223" i="5"/>
  <c r="AR223" i="5" s="1"/>
  <c r="Z223" i="5"/>
  <c r="BD223" i="5" s="1"/>
  <c r="T215" i="5"/>
  <c r="U215" i="5"/>
  <c r="BB215" i="5" s="1"/>
  <c r="AQ191" i="5"/>
  <c r="AR191" i="5" s="1"/>
  <c r="Z191" i="5"/>
  <c r="BD191" i="5" s="1"/>
  <c r="AV183" i="5"/>
  <c r="BA183" i="5"/>
  <c r="AV167" i="5"/>
  <c r="BA167" i="5"/>
  <c r="X159" i="5"/>
  <c r="BC159" i="5" s="1"/>
  <c r="W159" i="5"/>
  <c r="W151" i="5"/>
  <c r="X151" i="5"/>
  <c r="BC151" i="5" s="1"/>
  <c r="AQ143" i="5"/>
  <c r="AR143" i="5" s="1"/>
  <c r="Z143" i="5"/>
  <c r="BD143" i="5" s="1"/>
  <c r="AV127" i="5"/>
  <c r="W119" i="5"/>
  <c r="X119" i="5"/>
  <c r="BC119" i="5" s="1"/>
  <c r="W111" i="5"/>
  <c r="X111" i="5"/>
  <c r="BC111" i="5" s="1"/>
  <c r="AQ103" i="5"/>
  <c r="AR103" i="5" s="1"/>
  <c r="Z103" i="5"/>
  <c r="BD103" i="5" s="1"/>
  <c r="AV95" i="5"/>
  <c r="T79" i="5"/>
  <c r="U79" i="5"/>
  <c r="BB79" i="5" s="1"/>
  <c r="T71" i="5"/>
  <c r="U71" i="5"/>
  <c r="BB71" i="5" s="1"/>
  <c r="AQ71" i="5"/>
  <c r="AR71" i="5" s="1"/>
  <c r="Z71" i="5"/>
  <c r="BD71" i="5" s="1"/>
  <c r="AV63" i="5"/>
  <c r="AV55" i="5"/>
  <c r="AQ51" i="5"/>
  <c r="AR51" i="5" s="1"/>
  <c r="Z51" i="5"/>
  <c r="BD51" i="5" s="1"/>
  <c r="AV51" i="5"/>
  <c r="U19" i="5"/>
  <c r="BB19" i="5" s="1"/>
  <c r="T19" i="5"/>
  <c r="AQ19" i="5"/>
  <c r="Z19" i="5"/>
  <c r="BD19" i="5" s="1"/>
  <c r="AQ53" i="5"/>
  <c r="AR53" i="5" s="1"/>
  <c r="Z53" i="5"/>
  <c r="BD53" i="5" s="1"/>
  <c r="AQ395" i="5"/>
  <c r="AR395" i="5" s="1"/>
  <c r="Z395" i="5"/>
  <c r="BD395" i="5" s="1"/>
  <c r="U395" i="5"/>
  <c r="BB395" i="5" s="1"/>
  <c r="T395" i="5"/>
  <c r="X387" i="5"/>
  <c r="BC387" i="5" s="1"/>
  <c r="W387" i="5"/>
  <c r="Z387" i="5"/>
  <c r="BD387" i="5" s="1"/>
  <c r="AQ387" i="5"/>
  <c r="AR387" i="5" s="1"/>
  <c r="Z379" i="5"/>
  <c r="BD379" i="5" s="1"/>
  <c r="AQ379" i="5"/>
  <c r="AR379" i="5" s="1"/>
  <c r="U379" i="5"/>
  <c r="BB379" i="5" s="1"/>
  <c r="T379" i="5"/>
  <c r="X379" i="5"/>
  <c r="BC379" i="5" s="1"/>
  <c r="W379" i="5"/>
  <c r="Z339" i="5"/>
  <c r="BD339" i="5" s="1"/>
  <c r="AQ339" i="5"/>
  <c r="AR339" i="5" s="1"/>
  <c r="U331" i="5"/>
  <c r="BB331" i="5" s="1"/>
  <c r="T331" i="5"/>
  <c r="AV315" i="5"/>
  <c r="BA315" i="5"/>
  <c r="Z307" i="5"/>
  <c r="BD307" i="5" s="1"/>
  <c r="AQ307" i="5"/>
  <c r="AR307" i="5" s="1"/>
  <c r="T299" i="5"/>
  <c r="U299" i="5"/>
  <c r="BB299" i="5" s="1"/>
  <c r="W299" i="5"/>
  <c r="X299" i="5"/>
  <c r="BC299" i="5" s="1"/>
  <c r="AQ299" i="5"/>
  <c r="AR299" i="5" s="1"/>
  <c r="Z299" i="5"/>
  <c r="BD299" i="5" s="1"/>
  <c r="Z291" i="5"/>
  <c r="BD291" i="5" s="1"/>
  <c r="AQ291" i="5"/>
  <c r="AR291" i="5" s="1"/>
  <c r="W283" i="5"/>
  <c r="X283" i="5"/>
  <c r="BC283" i="5" s="1"/>
  <c r="AV283" i="5"/>
  <c r="W275" i="5"/>
  <c r="X275" i="5"/>
  <c r="BC275" i="5" s="1"/>
  <c r="AV251" i="5"/>
  <c r="AV227" i="5"/>
  <c r="BA227" i="5"/>
  <c r="X219" i="5"/>
  <c r="BC219" i="5" s="1"/>
  <c r="W219" i="5"/>
  <c r="Z203" i="5"/>
  <c r="BD203" i="5" s="1"/>
  <c r="AQ203" i="5"/>
  <c r="AR203" i="5" s="1"/>
  <c r="Z179" i="5"/>
  <c r="BD179" i="5" s="1"/>
  <c r="AQ179" i="5"/>
  <c r="AR179" i="5" s="1"/>
  <c r="X123" i="5"/>
  <c r="BC123" i="5" s="1"/>
  <c r="W123" i="5"/>
  <c r="T123" i="5"/>
  <c r="U123" i="5"/>
  <c r="BB123" i="5" s="1"/>
  <c r="AV115" i="5"/>
  <c r="X115" i="5"/>
  <c r="BC115" i="5" s="1"/>
  <c r="W115" i="5"/>
  <c r="AQ115" i="5"/>
  <c r="AR115" i="5" s="1"/>
  <c r="Z115" i="5"/>
  <c r="BD115" i="5" s="1"/>
  <c r="X107" i="5"/>
  <c r="BC107" i="5" s="1"/>
  <c r="W107" i="5"/>
  <c r="AV91" i="5"/>
  <c r="X47" i="5"/>
  <c r="BC47" i="5" s="1"/>
  <c r="W47" i="5"/>
  <c r="AQ47" i="5"/>
  <c r="AR47" i="5" s="1"/>
  <c r="Z47" i="5"/>
  <c r="BD47" i="5" s="1"/>
  <c r="W39" i="5"/>
  <c r="X39" i="5"/>
  <c r="BC39" i="5" s="1"/>
  <c r="AQ31" i="5"/>
  <c r="Z31" i="5"/>
  <c r="BD31" i="5" s="1"/>
  <c r="T31" i="5"/>
  <c r="U31" i="5"/>
  <c r="BB31" i="5" s="1"/>
  <c r="AQ15" i="5"/>
  <c r="Z15" i="5"/>
  <c r="BD15" i="5" s="1"/>
  <c r="U347" i="5"/>
  <c r="BB347" i="5" s="1"/>
  <c r="T347" i="5"/>
  <c r="AV347" i="5"/>
  <c r="BA347" i="5"/>
  <c r="T267" i="5"/>
  <c r="U267" i="5"/>
  <c r="BB267" i="5" s="1"/>
  <c r="X243" i="5"/>
  <c r="BC243" i="5" s="1"/>
  <c r="W243" i="5"/>
  <c r="AQ235" i="5"/>
  <c r="AR235" i="5" s="1"/>
  <c r="Z235" i="5"/>
  <c r="BD235" i="5" s="1"/>
  <c r="AQ155" i="5"/>
  <c r="AR155" i="5" s="1"/>
  <c r="Z155" i="5"/>
  <c r="BD155" i="5" s="1"/>
  <c r="AV139" i="5"/>
  <c r="T131" i="5"/>
  <c r="U131" i="5"/>
  <c r="BB131" i="5" s="1"/>
  <c r="AQ99" i="5"/>
  <c r="AR99" i="5" s="1"/>
  <c r="Z99" i="5"/>
  <c r="BD99" i="5" s="1"/>
  <c r="T99" i="5"/>
  <c r="U99" i="5"/>
  <c r="BB99" i="5" s="1"/>
  <c r="AV83" i="5"/>
  <c r="X75" i="5"/>
  <c r="BC75" i="5" s="1"/>
  <c r="W75" i="5"/>
  <c r="U67" i="5"/>
  <c r="BB67" i="5" s="1"/>
  <c r="T67" i="5"/>
  <c r="X67" i="5"/>
  <c r="BC67" i="5" s="1"/>
  <c r="W67" i="5"/>
  <c r="U59" i="5"/>
  <c r="BB59" i="5" s="1"/>
  <c r="T59" i="5"/>
  <c r="X59" i="5"/>
  <c r="BC59" i="5" s="1"/>
  <c r="W59" i="5"/>
  <c r="AQ17" i="5"/>
  <c r="AR17" i="5" s="1"/>
  <c r="Z17" i="5"/>
  <c r="BD17" i="5" s="1"/>
  <c r="AV351" i="5"/>
  <c r="BA351" i="5"/>
  <c r="AQ335" i="5"/>
  <c r="AR335" i="5" s="1"/>
  <c r="Z335" i="5"/>
  <c r="BD335" i="5" s="1"/>
  <c r="Z327" i="5"/>
  <c r="BD327" i="5" s="1"/>
  <c r="AQ327" i="5"/>
  <c r="AR327" i="5" s="1"/>
  <c r="T303" i="5"/>
  <c r="U303" i="5"/>
  <c r="BB303" i="5" s="1"/>
  <c r="U295" i="5"/>
  <c r="BB295" i="5" s="1"/>
  <c r="T295" i="5"/>
  <c r="AQ255" i="5"/>
  <c r="AR255" i="5" s="1"/>
  <c r="Z255" i="5"/>
  <c r="BD255" i="5" s="1"/>
  <c r="AQ247" i="5"/>
  <c r="AR247" i="5" s="1"/>
  <c r="Z247" i="5"/>
  <c r="BD247" i="5" s="1"/>
  <c r="Z239" i="5"/>
  <c r="BD239" i="5" s="1"/>
  <c r="AQ239" i="5"/>
  <c r="AR239" i="5" s="1"/>
  <c r="Z231" i="5"/>
  <c r="BD231" i="5" s="1"/>
  <c r="AQ231" i="5"/>
  <c r="AR231" i="5" s="1"/>
  <c r="Z183" i="5"/>
  <c r="BD183" i="5" s="1"/>
  <c r="AQ183" i="5"/>
  <c r="AR183" i="5" s="1"/>
  <c r="T159" i="5"/>
  <c r="U159" i="5"/>
  <c r="BB159" i="5" s="1"/>
  <c r="U399" i="5"/>
  <c r="BB399" i="5" s="1"/>
  <c r="T399" i="5"/>
  <c r="X399" i="5"/>
  <c r="BC399" i="5" s="1"/>
  <c r="W399" i="5"/>
  <c r="AV391" i="5"/>
  <c r="Z383" i="5"/>
  <c r="BD383" i="5" s="1"/>
  <c r="AQ383" i="5"/>
  <c r="AR383" i="5" s="1"/>
  <c r="AQ375" i="5"/>
  <c r="AR375" i="5" s="1"/>
  <c r="Z375" i="5"/>
  <c r="BD375" i="5" s="1"/>
  <c r="U375" i="5"/>
  <c r="BB375" i="5" s="1"/>
  <c r="T375" i="5"/>
  <c r="U367" i="5"/>
  <c r="BB367" i="5" s="1"/>
  <c r="T367" i="5"/>
  <c r="Z367" i="5"/>
  <c r="BD367" i="5" s="1"/>
  <c r="AQ367" i="5"/>
  <c r="AR367" i="5" s="1"/>
  <c r="X351" i="5"/>
  <c r="BC351" i="5" s="1"/>
  <c r="W351" i="5"/>
  <c r="U343" i="5"/>
  <c r="BB343" i="5" s="1"/>
  <c r="T343" i="5"/>
  <c r="W343" i="5"/>
  <c r="X343" i="5"/>
  <c r="BC343" i="5" s="1"/>
  <c r="T335" i="5"/>
  <c r="U335" i="5"/>
  <c r="BB335" i="5" s="1"/>
  <c r="U319" i="5"/>
  <c r="BB319" i="5" s="1"/>
  <c r="T319" i="5"/>
  <c r="U311" i="5"/>
  <c r="BB311" i="5" s="1"/>
  <c r="T311" i="5"/>
  <c r="Z303" i="5"/>
  <c r="BD303" i="5" s="1"/>
  <c r="AQ303" i="5"/>
  <c r="AR303" i="5" s="1"/>
  <c r="AV303" i="5"/>
  <c r="AQ287" i="5"/>
  <c r="AR287" i="5" s="1"/>
  <c r="Z287" i="5"/>
  <c r="BD287" i="5" s="1"/>
  <c r="U279" i="5"/>
  <c r="BB279" i="5" s="1"/>
  <c r="T279" i="5"/>
  <c r="X279" i="5"/>
  <c r="BC279" i="5" s="1"/>
  <c r="W279" i="5"/>
  <c r="AQ271" i="5"/>
  <c r="AR271" i="5" s="1"/>
  <c r="Z271" i="5"/>
  <c r="BD271" i="5" s="1"/>
  <c r="X263" i="5"/>
  <c r="BC263" i="5" s="1"/>
  <c r="W263" i="5"/>
  <c r="AV247" i="5"/>
  <c r="AV223" i="5"/>
  <c r="BA223" i="5"/>
  <c r="X215" i="5"/>
  <c r="BC215" i="5" s="1"/>
  <c r="W215" i="5"/>
  <c r="W207" i="5"/>
  <c r="X207" i="5"/>
  <c r="BC207" i="5" s="1"/>
  <c r="AV207" i="5"/>
  <c r="BA207" i="5"/>
  <c r="X199" i="5"/>
  <c r="BC199" i="5" s="1"/>
  <c r="W199" i="5"/>
  <c r="AQ199" i="5"/>
  <c r="AR199" i="5" s="1"/>
  <c r="Z199" i="5"/>
  <c r="BD199" i="5" s="1"/>
  <c r="Z175" i="5"/>
  <c r="BD175" i="5" s="1"/>
  <c r="AQ175" i="5"/>
  <c r="AR175" i="5" s="1"/>
  <c r="X175" i="5"/>
  <c r="BC175" i="5" s="1"/>
  <c r="W175" i="5"/>
  <c r="X167" i="5"/>
  <c r="BC167" i="5" s="1"/>
  <c r="W167" i="5"/>
  <c r="AV159" i="5"/>
  <c r="T151" i="5"/>
  <c r="U151" i="5"/>
  <c r="BB151" i="5" s="1"/>
  <c r="T143" i="5"/>
  <c r="U143" i="5"/>
  <c r="BB143" i="5" s="1"/>
  <c r="AQ135" i="5"/>
  <c r="AR135" i="5" s="1"/>
  <c r="Z135" i="5"/>
  <c r="BD135" i="5" s="1"/>
  <c r="AV135" i="5"/>
  <c r="W127" i="5"/>
  <c r="X127" i="5"/>
  <c r="BC127" i="5" s="1"/>
  <c r="X103" i="5"/>
  <c r="BC103" i="5" s="1"/>
  <c r="W103" i="5"/>
  <c r="T103" i="5"/>
  <c r="U103" i="5"/>
  <c r="BB103" i="5" s="1"/>
  <c r="AV103" i="5"/>
  <c r="X87" i="5"/>
  <c r="BC87" i="5" s="1"/>
  <c r="W87" i="5"/>
  <c r="AV87" i="5"/>
  <c r="X79" i="5"/>
  <c r="BC79" i="5" s="1"/>
  <c r="W79" i="5"/>
  <c r="X63" i="5"/>
  <c r="BC63" i="5" s="1"/>
  <c r="W63" i="5"/>
  <c r="AQ55" i="5"/>
  <c r="AR55" i="5" s="1"/>
  <c r="Z55" i="5"/>
  <c r="BD55" i="5" s="1"/>
  <c r="W55" i="5"/>
  <c r="X55" i="5"/>
  <c r="BC55" i="5" s="1"/>
  <c r="T51" i="5"/>
  <c r="U51" i="5"/>
  <c r="BB51" i="5" s="1"/>
  <c r="U43" i="5"/>
  <c r="BB43" i="5" s="1"/>
  <c r="T43" i="5"/>
  <c r="U35" i="5"/>
  <c r="BB35" i="5" s="1"/>
  <c r="T35" i="5"/>
  <c r="AQ27" i="5"/>
  <c r="Z27" i="5"/>
  <c r="BD27" i="5" s="1"/>
  <c r="T27" i="5"/>
  <c r="U27" i="5"/>
  <c r="BB27" i="5" s="1"/>
  <c r="AV19" i="5"/>
  <c r="X19" i="5"/>
  <c r="BC19" i="5" s="1"/>
  <c r="AQ29" i="5"/>
  <c r="AR29" i="5" s="1"/>
  <c r="Z29" i="5"/>
  <c r="BD29" i="5" s="1"/>
  <c r="AV403" i="5"/>
  <c r="X395" i="5"/>
  <c r="BC395" i="5" s="1"/>
  <c r="W395" i="5"/>
  <c r="AV371" i="5"/>
  <c r="AV355" i="5"/>
  <c r="BA355" i="5"/>
  <c r="U355" i="5"/>
  <c r="BB355" i="5" s="1"/>
  <c r="T355" i="5"/>
  <c r="W339" i="5"/>
  <c r="X339" i="5"/>
  <c r="BC339" i="5" s="1"/>
  <c r="Z331" i="5"/>
  <c r="BD331" i="5" s="1"/>
  <c r="AQ331" i="5"/>
  <c r="AR331" i="5" s="1"/>
  <c r="X331" i="5"/>
  <c r="BC331" i="5" s="1"/>
  <c r="W331" i="5"/>
  <c r="Z315" i="5"/>
  <c r="BD315" i="5" s="1"/>
  <c r="AQ315" i="5"/>
  <c r="AR315" i="5" s="1"/>
  <c r="U315" i="5"/>
  <c r="BB315" i="5" s="1"/>
  <c r="T315" i="5"/>
  <c r="AV291" i="5"/>
  <c r="U259" i="5"/>
  <c r="BB259" i="5" s="1"/>
  <c r="T259" i="5"/>
  <c r="AQ259" i="5"/>
  <c r="AR259" i="5" s="1"/>
  <c r="Z259" i="5"/>
  <c r="BD259" i="5" s="1"/>
  <c r="AV259" i="5"/>
  <c r="T227" i="5"/>
  <c r="U227" i="5"/>
  <c r="BB227" i="5" s="1"/>
  <c r="AV219" i="5"/>
  <c r="BA219" i="5"/>
  <c r="W211" i="5"/>
  <c r="X211" i="5"/>
  <c r="BC211" i="5" s="1"/>
  <c r="Z211" i="5"/>
  <c r="BD211" i="5" s="1"/>
  <c r="AQ211" i="5"/>
  <c r="AR211" i="5" s="1"/>
  <c r="T203" i="5"/>
  <c r="U203" i="5"/>
  <c r="BB203" i="5" s="1"/>
  <c r="W195" i="5"/>
  <c r="X195" i="5"/>
  <c r="BC195" i="5" s="1"/>
  <c r="W179" i="5"/>
  <c r="X179" i="5"/>
  <c r="BC179" i="5" s="1"/>
  <c r="Z171" i="5"/>
  <c r="BD171" i="5" s="1"/>
  <c r="AQ171" i="5"/>
  <c r="AR171" i="5" s="1"/>
  <c r="AV163" i="5"/>
  <c r="BA163" i="5"/>
  <c r="U163" i="5"/>
  <c r="BB163" i="5" s="1"/>
  <c r="T163" i="5"/>
  <c r="AQ123" i="5"/>
  <c r="AR123" i="5" s="1"/>
  <c r="Z123" i="5"/>
  <c r="BD123" i="5" s="1"/>
  <c r="AV107" i="5"/>
  <c r="X91" i="5"/>
  <c r="BC91" i="5" s="1"/>
  <c r="W91" i="5"/>
  <c r="T91" i="5"/>
  <c r="U91" i="5"/>
  <c r="BB91" i="5" s="1"/>
  <c r="AQ91" i="5"/>
  <c r="AR91" i="5" s="1"/>
  <c r="Z91" i="5"/>
  <c r="BD91" i="5" s="1"/>
  <c r="U47" i="5"/>
  <c r="BB47" i="5" s="1"/>
  <c r="T47" i="5"/>
  <c r="AV47" i="5"/>
  <c r="U39" i="5"/>
  <c r="BB39" i="5" s="1"/>
  <c r="T39" i="5"/>
  <c r="AQ23" i="5"/>
  <c r="AR23" i="5" s="1"/>
  <c r="Z23" i="5"/>
  <c r="BD23" i="5" s="1"/>
  <c r="AV15" i="5"/>
  <c r="T363" i="5"/>
  <c r="U363" i="5"/>
  <c r="BB363" i="5" s="1"/>
  <c r="AV363" i="5"/>
  <c r="BA363" i="5"/>
  <c r="AQ243" i="5"/>
  <c r="AR243" i="5" s="1"/>
  <c r="Z243" i="5"/>
  <c r="BD243" i="5" s="1"/>
  <c r="AV243" i="5"/>
  <c r="X139" i="5"/>
  <c r="BC139" i="5" s="1"/>
  <c r="W139" i="5"/>
  <c r="T139" i="5"/>
  <c r="U139" i="5"/>
  <c r="BB139" i="5" s="1"/>
  <c r="X131" i="5"/>
  <c r="BC131" i="5" s="1"/>
  <c r="W131" i="5"/>
  <c r="AQ131" i="5"/>
  <c r="AR131" i="5" s="1"/>
  <c r="Z131" i="5"/>
  <c r="BD131" i="5" s="1"/>
  <c r="AV99" i="5"/>
  <c r="T83" i="5"/>
  <c r="U83" i="5"/>
  <c r="BB83" i="5" s="1"/>
  <c r="AQ75" i="5"/>
  <c r="AR75" i="5" s="1"/>
  <c r="Z75" i="5"/>
  <c r="BD75" i="5" s="1"/>
  <c r="AV67" i="5"/>
  <c r="AQ59" i="5"/>
  <c r="AR59" i="5" s="1"/>
  <c r="Z59" i="5"/>
  <c r="BD59" i="5" s="1"/>
  <c r="W391" i="5"/>
  <c r="X391" i="5"/>
  <c r="BC391" i="5" s="1"/>
  <c r="AV367" i="5"/>
  <c r="BA367" i="5"/>
  <c r="X319" i="5"/>
  <c r="BC319" i="5" s="1"/>
  <c r="W319" i="5"/>
  <c r="Z311" i="5"/>
  <c r="BD311" i="5" s="1"/>
  <c r="AQ311" i="5"/>
  <c r="AR311" i="5" s="1"/>
  <c r="AV215" i="5"/>
  <c r="BA215" i="5"/>
  <c r="U199" i="5"/>
  <c r="BB199" i="5" s="1"/>
  <c r="T199" i="5"/>
  <c r="AQ159" i="5"/>
  <c r="AR159" i="5" s="1"/>
  <c r="Z159" i="5"/>
  <c r="BD159" i="5" s="1"/>
  <c r="AQ151" i="5"/>
  <c r="AR151" i="5" s="1"/>
  <c r="Z151" i="5"/>
  <c r="BD151" i="5" s="1"/>
  <c r="W143" i="5"/>
  <c r="X143" i="5"/>
  <c r="BC143" i="5" s="1"/>
  <c r="T135" i="5"/>
  <c r="U135" i="5"/>
  <c r="BB135" i="5" s="1"/>
  <c r="AV119" i="5"/>
  <c r="AQ111" i="5"/>
  <c r="AR111" i="5" s="1"/>
  <c r="Z111" i="5"/>
  <c r="BD111" i="5" s="1"/>
  <c r="X95" i="5"/>
  <c r="BC95" i="5" s="1"/>
  <c r="W95" i="5"/>
  <c r="AV399" i="5"/>
  <c r="U391" i="5"/>
  <c r="BB391" i="5" s="1"/>
  <c r="T391" i="5"/>
  <c r="W383" i="5"/>
  <c r="X383" i="5"/>
  <c r="BC383" i="5" s="1"/>
  <c r="AV383" i="5"/>
  <c r="AV375" i="5"/>
  <c r="BA375" i="5"/>
  <c r="AQ359" i="5"/>
  <c r="AR359" i="5" s="1"/>
  <c r="Z359" i="5"/>
  <c r="BD359" i="5" s="1"/>
  <c r="AQ351" i="5"/>
  <c r="AR351" i="5" s="1"/>
  <c r="Z351" i="5"/>
  <c r="BD351" i="5" s="1"/>
  <c r="AQ343" i="5"/>
  <c r="AR343" i="5" s="1"/>
  <c r="Z343" i="5"/>
  <c r="BD343" i="5" s="1"/>
  <c r="W335" i="5"/>
  <c r="X335" i="5"/>
  <c r="BC335" i="5" s="1"/>
  <c r="AV335" i="5"/>
  <c r="BA335" i="5"/>
  <c r="U327" i="5"/>
  <c r="BB327" i="5" s="1"/>
  <c r="T327" i="5"/>
  <c r="AV319" i="5"/>
  <c r="Z319" i="5"/>
  <c r="BD319" i="5" s="1"/>
  <c r="AQ319" i="5"/>
  <c r="AR319" i="5" s="1"/>
  <c r="AV311" i="5"/>
  <c r="AV295" i="5"/>
  <c r="X287" i="5"/>
  <c r="BC287" i="5" s="1"/>
  <c r="W287" i="5"/>
  <c r="AQ279" i="5"/>
  <c r="AR279" i="5" s="1"/>
  <c r="Z279" i="5"/>
  <c r="BD279" i="5" s="1"/>
  <c r="AV271" i="5"/>
  <c r="AV255" i="5"/>
  <c r="X247" i="5"/>
  <c r="BC247" i="5" s="1"/>
  <c r="W247" i="5"/>
  <c r="T247" i="5"/>
  <c r="U247" i="5"/>
  <c r="BB247" i="5" s="1"/>
  <c r="W239" i="5"/>
  <c r="X239" i="5"/>
  <c r="BC239" i="5" s="1"/>
  <c r="U231" i="5"/>
  <c r="BB231" i="5" s="1"/>
  <c r="T231" i="5"/>
  <c r="U207" i="5"/>
  <c r="BB207" i="5" s="1"/>
  <c r="T207" i="5"/>
  <c r="Z207" i="5"/>
  <c r="BD207" i="5" s="1"/>
  <c r="AQ207" i="5"/>
  <c r="AR207" i="5" s="1"/>
  <c r="AV199" i="5"/>
  <c r="BA199" i="5"/>
  <c r="U191" i="5"/>
  <c r="BB191" i="5" s="1"/>
  <c r="T191" i="5"/>
  <c r="X191" i="5"/>
  <c r="BC191" i="5" s="1"/>
  <c r="W191" i="5"/>
  <c r="U183" i="5"/>
  <c r="BB183" i="5" s="1"/>
  <c r="T183" i="5"/>
  <c r="W183" i="5"/>
  <c r="X183" i="5"/>
  <c r="BC183" i="5" s="1"/>
  <c r="AV175" i="5"/>
  <c r="BA175" i="5"/>
  <c r="U167" i="5"/>
  <c r="BB167" i="5" s="1"/>
  <c r="T167" i="5"/>
  <c r="AV143" i="5"/>
  <c r="W135" i="5"/>
  <c r="X135" i="5"/>
  <c r="BC135" i="5" s="1"/>
  <c r="T127" i="5"/>
  <c r="U127" i="5"/>
  <c r="BB127" i="5" s="1"/>
  <c r="AQ119" i="5"/>
  <c r="AR119" i="5" s="1"/>
  <c r="Z119" i="5"/>
  <c r="BD119" i="5" s="1"/>
  <c r="T111" i="5"/>
  <c r="U111" i="5"/>
  <c r="BB111" i="5" s="1"/>
  <c r="AV111" i="5"/>
  <c r="T95" i="5"/>
  <c r="U95" i="5"/>
  <c r="BB95" i="5" s="1"/>
  <c r="AQ87" i="5"/>
  <c r="AR87" i="5" s="1"/>
  <c r="Z87" i="5"/>
  <c r="BD87" i="5" s="1"/>
  <c r="T87" i="5"/>
  <c r="U87" i="5"/>
  <c r="BB87" i="5" s="1"/>
  <c r="AV79" i="5"/>
  <c r="U63" i="5"/>
  <c r="BB63" i="5" s="1"/>
  <c r="T63" i="5"/>
  <c r="AQ43" i="5"/>
  <c r="AR43" i="5" s="1"/>
  <c r="Z43" i="5"/>
  <c r="BD43" i="5" s="1"/>
  <c r="AQ35" i="5"/>
  <c r="AR35" i="5" s="1"/>
  <c r="Z35" i="5"/>
  <c r="BD35" i="5" s="1"/>
  <c r="W27" i="5"/>
  <c r="AV27" i="5"/>
  <c r="AQ45" i="5"/>
  <c r="AR45" i="5" s="1"/>
  <c r="Z45" i="5"/>
  <c r="BD45" i="5" s="1"/>
  <c r="AQ37" i="5"/>
  <c r="AR37" i="5" s="1"/>
  <c r="Z37" i="5"/>
  <c r="BD37" i="5" s="1"/>
  <c r="AQ21" i="5"/>
  <c r="AR21" i="5" s="1"/>
  <c r="Z21" i="5"/>
  <c r="BD21" i="5" s="1"/>
  <c r="U403" i="5"/>
  <c r="BB403" i="5" s="1"/>
  <c r="T403" i="5"/>
  <c r="AV395" i="5"/>
  <c r="AV387" i="5"/>
  <c r="BA387" i="5"/>
  <c r="AV379" i="5"/>
  <c r="BA379" i="5"/>
  <c r="X371" i="5"/>
  <c r="BC371" i="5" s="1"/>
  <c r="W371" i="5"/>
  <c r="AQ371" i="5"/>
  <c r="AR371" i="5" s="1"/>
  <c r="Z371" i="5"/>
  <c r="BD371" i="5" s="1"/>
  <c r="X355" i="5"/>
  <c r="BC355" i="5" s="1"/>
  <c r="W355" i="5"/>
  <c r="AQ355" i="5"/>
  <c r="AR355" i="5" s="1"/>
  <c r="Z355" i="5"/>
  <c r="BD355" i="5" s="1"/>
  <c r="AV339" i="5"/>
  <c r="BA339" i="5"/>
  <c r="X323" i="5"/>
  <c r="BC323" i="5" s="1"/>
  <c r="W323" i="5"/>
  <c r="Z323" i="5"/>
  <c r="BD323" i="5" s="1"/>
  <c r="AQ323" i="5"/>
  <c r="AR323" i="5" s="1"/>
  <c r="X315" i="5"/>
  <c r="BC315" i="5" s="1"/>
  <c r="W315" i="5"/>
  <c r="W307" i="5"/>
  <c r="X307" i="5"/>
  <c r="BC307" i="5" s="1"/>
  <c r="AV307" i="5"/>
  <c r="BA307" i="5"/>
  <c r="W291" i="5"/>
  <c r="X291" i="5"/>
  <c r="BC291" i="5" s="1"/>
  <c r="AQ283" i="5"/>
  <c r="AR283" i="5" s="1"/>
  <c r="Z283" i="5"/>
  <c r="BD283" i="5" s="1"/>
  <c r="AQ275" i="5"/>
  <c r="AR275" i="5" s="1"/>
  <c r="Z275" i="5"/>
  <c r="BD275" i="5" s="1"/>
  <c r="AV275" i="5"/>
  <c r="W251" i="5"/>
  <c r="X251" i="5"/>
  <c r="BC251" i="5" s="1"/>
  <c r="T251" i="5"/>
  <c r="U251" i="5"/>
  <c r="BB251" i="5" s="1"/>
  <c r="U219" i="5"/>
  <c r="BB219" i="5" s="1"/>
  <c r="T219" i="5"/>
  <c r="AQ219" i="5"/>
  <c r="AR219" i="5" s="1"/>
  <c r="Z219" i="5"/>
  <c r="BD219" i="5" s="1"/>
  <c r="U211" i="5"/>
  <c r="BB211" i="5" s="1"/>
  <c r="T211" i="5"/>
  <c r="X203" i="5"/>
  <c r="BC203" i="5" s="1"/>
  <c r="W203" i="5"/>
  <c r="AV195" i="5"/>
  <c r="BA195" i="5"/>
  <c r="U187" i="5"/>
  <c r="BB187" i="5" s="1"/>
  <c r="T187" i="5"/>
  <c r="X187" i="5"/>
  <c r="BC187" i="5" s="1"/>
  <c r="W187" i="5"/>
  <c r="AQ187" i="5"/>
  <c r="AR187" i="5" s="1"/>
  <c r="Z187" i="5"/>
  <c r="BD187" i="5" s="1"/>
  <c r="AV171" i="5"/>
  <c r="BA171" i="5"/>
  <c r="U171" i="5"/>
  <c r="BB171" i="5" s="1"/>
  <c r="T171" i="5"/>
  <c r="AQ163" i="5"/>
  <c r="AR163" i="5" s="1"/>
  <c r="Z163" i="5"/>
  <c r="BD163" i="5" s="1"/>
  <c r="AQ39" i="5"/>
  <c r="AR39" i="5" s="1"/>
  <c r="Z39" i="5"/>
  <c r="BD39" i="5" s="1"/>
  <c r="AV31" i="5"/>
  <c r="W31" i="5"/>
  <c r="X31" i="5"/>
  <c r="BC31" i="5" s="1"/>
  <c r="U23" i="5"/>
  <c r="BB23" i="5" s="1"/>
  <c r="T23" i="5"/>
  <c r="AV23" i="5"/>
  <c r="T15" i="5"/>
  <c r="U15" i="5"/>
  <c r="BB15" i="5" s="1"/>
  <c r="Z363" i="5"/>
  <c r="BD363" i="5" s="1"/>
  <c r="AQ363" i="5"/>
  <c r="AR363" i="5" s="1"/>
  <c r="X347" i="5"/>
  <c r="BC347" i="5" s="1"/>
  <c r="W347" i="5"/>
  <c r="AV267" i="5"/>
  <c r="X267" i="5"/>
  <c r="BC267" i="5" s="1"/>
  <c r="W267" i="5"/>
  <c r="T243" i="5"/>
  <c r="U243" i="5"/>
  <c r="BB243" i="5" s="1"/>
  <c r="U235" i="5"/>
  <c r="BB235" i="5" s="1"/>
  <c r="T235" i="5"/>
  <c r="X155" i="5"/>
  <c r="BC155" i="5" s="1"/>
  <c r="W155" i="5"/>
  <c r="X147" i="5"/>
  <c r="BC147" i="5" s="1"/>
  <c r="W147" i="5"/>
  <c r="AV147" i="5"/>
  <c r="T147" i="5"/>
  <c r="U147" i="5"/>
  <c r="BB147" i="5" s="1"/>
  <c r="AQ139" i="5"/>
  <c r="AR139" i="5" s="1"/>
  <c r="Z139" i="5"/>
  <c r="BD139" i="5" s="1"/>
  <c r="AQ83" i="5"/>
  <c r="AR83" i="5" s="1"/>
  <c r="Z83" i="5"/>
  <c r="BD83" i="5" s="1"/>
  <c r="X83" i="5"/>
  <c r="BC83" i="5" s="1"/>
  <c r="W83" i="5"/>
  <c r="AV75" i="5"/>
  <c r="AV59" i="5"/>
  <c r="AQ41" i="5"/>
  <c r="AR41" i="5" s="1"/>
  <c r="Z41" i="5"/>
  <c r="BD41" i="5" s="1"/>
  <c r="AQ25" i="5"/>
  <c r="AR25" i="5" s="1"/>
  <c r="Z25" i="5"/>
  <c r="BD25" i="5" s="1"/>
  <c r="BA11" i="5"/>
  <c r="U11" i="5"/>
  <c r="BB11" i="5" s="1"/>
  <c r="T11" i="5"/>
  <c r="AQ11" i="5"/>
  <c r="Z11" i="5"/>
  <c r="BD11" i="5" s="1"/>
  <c r="X11" i="5"/>
  <c r="BC11" i="5" s="1"/>
  <c r="W11" i="5"/>
  <c r="AV11" i="5"/>
  <c r="AQ13" i="5"/>
  <c r="AR13" i="5" s="1"/>
  <c r="Z13" i="5"/>
  <c r="BD13" i="5" s="1"/>
  <c r="AR31" i="5" l="1"/>
  <c r="AR27" i="5"/>
  <c r="X7" i="5"/>
  <c r="BC7" i="5" s="1"/>
  <c r="W7" i="5"/>
  <c r="BI27" i="5"/>
  <c r="BL27" i="5" s="1"/>
  <c r="BM7" i="5"/>
  <c r="BM3" i="5" s="1"/>
  <c r="H6" i="8" a="1"/>
  <c r="H6" i="8" s="1"/>
  <c r="E11" i="8"/>
  <c r="D8" i="8"/>
  <c r="P8" i="8" s="1"/>
  <c r="D11" i="8"/>
  <c r="P11" i="8" s="1"/>
  <c r="H7" i="8" a="1"/>
  <c r="H7" i="8" s="1"/>
  <c r="H10" i="8" a="1"/>
  <c r="H10" i="8" s="1"/>
  <c r="G7" i="8"/>
  <c r="G10" i="8"/>
  <c r="F7" i="8"/>
  <c r="F10" i="8"/>
  <c r="E7" i="8"/>
  <c r="E10" i="8"/>
  <c r="D7" i="8"/>
  <c r="P7" i="8" s="1"/>
  <c r="D10" i="8"/>
  <c r="P10" i="8" s="1"/>
  <c r="H9" i="8" a="1"/>
  <c r="H9" i="8" s="1"/>
  <c r="G6" i="8"/>
  <c r="G9" i="8"/>
  <c r="F6" i="8"/>
  <c r="F9" i="8"/>
  <c r="E6" i="8"/>
  <c r="E9" i="8"/>
  <c r="D6" i="8"/>
  <c r="D9" i="8"/>
  <c r="P9" i="8" s="1"/>
  <c r="H8" i="8" a="1"/>
  <c r="H8" i="8" s="1"/>
  <c r="H11" i="8" a="1"/>
  <c r="H11" i="8" s="1"/>
  <c r="G8" i="8"/>
  <c r="G11" i="8"/>
  <c r="F8" i="8"/>
  <c r="F11" i="8"/>
  <c r="E8" i="8"/>
  <c r="AL101" i="4" a="1"/>
  <c r="AL101" i="4" s="1"/>
  <c r="AO101" i="4" s="1"/>
  <c r="AR63" i="5"/>
  <c r="L2" i="1"/>
  <c r="W17" i="4" a="1"/>
  <c r="W17" i="4" s="1"/>
  <c r="AG16" i="4" a="1"/>
  <c r="AG16" i="4" s="1"/>
  <c r="AB16" i="4" a="1"/>
  <c r="AB16" i="4" s="1"/>
  <c r="AB20" i="4" a="1"/>
  <c r="AB20" i="4" s="1"/>
  <c r="AB3" i="4" a="1"/>
  <c r="AB3" i="4" s="1"/>
  <c r="AL70" i="4" a="1"/>
  <c r="AL70" i="4" s="1"/>
  <c r="AB7" i="4" a="1"/>
  <c r="AB7" i="4" s="1"/>
  <c r="W26" i="4" a="1"/>
  <c r="W26" i="4" s="1"/>
  <c r="AG45" i="4" a="1"/>
  <c r="AG45" i="4" s="1"/>
  <c r="AB8" i="4" a="1"/>
  <c r="AB8" i="4" s="1"/>
  <c r="AG22" i="4" a="1"/>
  <c r="AG22" i="4" s="1"/>
  <c r="AG41" i="4" a="1"/>
  <c r="AG41" i="4" s="1"/>
  <c r="AB4" i="4" a="1"/>
  <c r="AB4" i="4" s="1"/>
  <c r="AL22" i="4" a="1"/>
  <c r="AL22" i="4" s="1"/>
  <c r="W47" i="4" a="1"/>
  <c r="W47" i="4" s="1"/>
  <c r="W40" i="4" a="1"/>
  <c r="W40" i="4" s="1"/>
  <c r="AL55" i="4" a="1"/>
  <c r="AL55" i="4" s="1"/>
  <c r="AG79" i="4" a="1"/>
  <c r="AG79" i="4" s="1"/>
  <c r="W53" i="4" a="1"/>
  <c r="W53" i="4" s="1"/>
  <c r="AG73" i="4" a="1"/>
  <c r="AG73" i="4" s="1"/>
  <c r="AB32" i="4" a="1"/>
  <c r="AB32" i="4" s="1"/>
  <c r="AB50" i="4" a="1"/>
  <c r="AB50" i="4" s="1"/>
  <c r="AL75" i="4" a="1"/>
  <c r="AL75" i="4" s="1"/>
  <c r="W71" i="4" a="1"/>
  <c r="W71" i="4" s="1"/>
  <c r="W84" i="4" a="1"/>
  <c r="W84" i="4" s="1"/>
  <c r="AL56" i="4" a="1"/>
  <c r="AL56" i="4" s="1"/>
  <c r="AB72" i="4" a="1"/>
  <c r="AB72" i="4" s="1"/>
  <c r="AG91" i="4" a="1"/>
  <c r="AG91" i="4" s="1"/>
  <c r="AB25" i="4" a="1"/>
  <c r="AB25" i="4" s="1"/>
  <c r="W19" i="4" a="1"/>
  <c r="W19" i="4" s="1"/>
  <c r="AL34" i="4" a="1"/>
  <c r="AL34" i="4" s="1"/>
  <c r="AG80" i="4" a="1"/>
  <c r="AG80" i="4" s="1"/>
  <c r="W16" i="4" a="1"/>
  <c r="W16" i="4" s="1"/>
  <c r="AL31" i="4" a="1"/>
  <c r="AL31" i="4" s="1"/>
  <c r="W73" i="4" a="1"/>
  <c r="W73" i="4" s="1"/>
  <c r="AB14" i="4" a="1"/>
  <c r="AB14" i="4" s="1"/>
  <c r="W32" i="4" a="1"/>
  <c r="W32" i="4" s="1"/>
  <c r="AG33" i="4" a="1"/>
  <c r="AG33" i="4" s="1"/>
  <c r="W49" i="4" a="1"/>
  <c r="W49" i="4" s="1"/>
  <c r="AG67" i="4" a="1"/>
  <c r="AG67" i="4" s="1"/>
  <c r="AB96" i="4" a="1"/>
  <c r="AB96" i="4" s="1"/>
  <c r="AB63" i="4" a="1"/>
  <c r="AB63" i="4" s="1"/>
  <c r="W92" i="4" a="1"/>
  <c r="W92" i="4" s="1"/>
  <c r="W41" i="4" a="1"/>
  <c r="W41" i="4" s="1"/>
  <c r="AG63" i="4" a="1"/>
  <c r="AG63" i="4" s="1"/>
  <c r="AG93" i="4" a="1"/>
  <c r="AG93" i="4" s="1"/>
  <c r="W79" i="4" a="1"/>
  <c r="W79" i="4" s="1"/>
  <c r="AL95" i="4" a="1"/>
  <c r="AL95" i="4" s="1"/>
  <c r="AL64" i="4" a="1"/>
  <c r="AL64" i="4" s="1"/>
  <c r="W86" i="4" a="1"/>
  <c r="W86" i="4" s="1"/>
  <c r="AG100" i="4" a="1"/>
  <c r="AG100" i="4" s="1"/>
  <c r="AL39" i="4" a="1"/>
  <c r="AL39" i="4" s="1"/>
  <c r="AL35" i="4" a="1"/>
  <c r="AL35" i="4" s="1"/>
  <c r="AL11" i="4" a="1"/>
  <c r="AL11" i="4" s="1"/>
  <c r="AG24" i="4" a="1"/>
  <c r="AG24" i="4" s="1"/>
  <c r="AG46" i="4" a="1"/>
  <c r="AG46" i="4" s="1"/>
  <c r="AB6" i="4" a="1"/>
  <c r="AB6" i="4" s="1"/>
  <c r="AL24" i="4" a="1"/>
  <c r="AL24" i="4" s="1"/>
  <c r="AG53" i="4" a="1"/>
  <c r="AG53" i="4" s="1"/>
  <c r="AG42" i="4" a="1"/>
  <c r="AG42" i="4" s="1"/>
  <c r="AG58" i="4" a="1"/>
  <c r="AG58" i="4" s="1"/>
  <c r="W85" i="4" a="1"/>
  <c r="W85" i="4" s="1"/>
  <c r="AB55" i="4" a="1"/>
  <c r="AB55" i="4" s="1"/>
  <c r="W80" i="4" a="1"/>
  <c r="W80" i="4" s="1"/>
  <c r="AB34" i="4" a="1"/>
  <c r="AB34" i="4" s="1"/>
  <c r="W52" i="4" a="1"/>
  <c r="W52" i="4" s="1"/>
  <c r="W81" i="4" a="1"/>
  <c r="W81" i="4" s="1"/>
  <c r="AG74" i="4" a="1"/>
  <c r="AG74" i="4" s="1"/>
  <c r="AG88" i="4" a="1"/>
  <c r="AG88" i="4" s="1"/>
  <c r="AL57" i="4" a="1"/>
  <c r="AL57" i="4" s="1"/>
  <c r="W74" i="4" a="1"/>
  <c r="W74" i="4" s="1"/>
  <c r="AB94" i="4" a="1"/>
  <c r="AB94" i="4" s="1"/>
  <c r="AB2" i="4" a="1"/>
  <c r="AB2" i="4" s="1"/>
  <c r="AB19" i="4" a="1"/>
  <c r="AB19" i="4" s="1"/>
  <c r="W20" i="4" a="1"/>
  <c r="W20" i="4" s="1"/>
  <c r="AB18" i="4" a="1"/>
  <c r="AB18" i="4" s="1"/>
  <c r="AB21" i="4" a="1"/>
  <c r="AB21" i="4" s="1"/>
  <c r="AL59" i="4" a="1"/>
  <c r="AL59" i="4" s="1"/>
  <c r="AG6" i="4" a="1"/>
  <c r="AG6" i="4" s="1"/>
  <c r="W25" i="4" a="1"/>
  <c r="W25" i="4" s="1"/>
  <c r="W44" i="4" a="1"/>
  <c r="W44" i="4" s="1"/>
  <c r="AG7" i="4" a="1"/>
  <c r="AG7" i="4" s="1"/>
  <c r="AG21" i="4" a="1"/>
  <c r="AG21" i="4" s="1"/>
  <c r="AG40" i="4" a="1"/>
  <c r="AG40" i="4" s="1"/>
  <c r="AG3" i="4" a="1"/>
  <c r="AG3" i="4" s="1"/>
  <c r="AL21" i="4" a="1"/>
  <c r="AL21" i="4" s="1"/>
  <c r="AL44" i="4" a="1"/>
  <c r="AL44" i="4" s="1"/>
  <c r="AB39" i="4" a="1"/>
  <c r="AB39" i="4" s="1"/>
  <c r="AB54" i="4" a="1"/>
  <c r="AB54" i="4" s="1"/>
  <c r="AG77" i="4" a="1"/>
  <c r="AG77" i="4" s="1"/>
  <c r="AB52" i="4" a="1"/>
  <c r="AB52" i="4" s="1"/>
  <c r="AG72" i="4" a="1"/>
  <c r="AG72" i="4" s="1"/>
  <c r="AB31" i="4" a="1"/>
  <c r="AB31" i="4" s="1"/>
  <c r="AL49" i="4" a="1"/>
  <c r="AL49" i="4" s="1"/>
  <c r="AL73" i="4" a="1"/>
  <c r="AL73" i="4" s="1"/>
  <c r="AG70" i="4" a="1"/>
  <c r="AG70" i="4" s="1"/>
  <c r="AB83" i="4" a="1"/>
  <c r="AB83" i="4" s="1"/>
  <c r="AG55" i="4" a="1"/>
  <c r="AG55" i="4" s="1"/>
  <c r="AL71" i="4" a="1"/>
  <c r="AL71" i="4" s="1"/>
  <c r="AL90" i="4" a="1"/>
  <c r="AL90" i="4" s="1"/>
  <c r="W46" i="4" a="1"/>
  <c r="W46" i="4" s="1"/>
  <c r="AL7" i="4" a="1"/>
  <c r="AL7" i="4" s="1"/>
  <c r="AG31" i="4" a="1"/>
  <c r="AG31" i="4" s="1"/>
  <c r="W13" i="4" a="1"/>
  <c r="W13" i="4" s="1"/>
  <c r="AB22" i="4" a="1"/>
  <c r="AB22" i="4" s="1"/>
  <c r="AB97" i="4" a="1"/>
  <c r="AB97" i="4" s="1"/>
  <c r="W11" i="4" a="1"/>
  <c r="W11" i="4" s="1"/>
  <c r="W30" i="4" a="1"/>
  <c r="W30" i="4" s="1"/>
  <c r="AG52" i="4" a="1"/>
  <c r="AG52" i="4" s="1"/>
  <c r="AG12" i="4" a="1"/>
  <c r="AG12" i="4" s="1"/>
  <c r="AG26" i="4" a="1"/>
  <c r="AG26" i="4" s="1"/>
  <c r="AL48" i="4" a="1"/>
  <c r="AL48" i="4" s="1"/>
  <c r="AL9" i="4" a="1"/>
  <c r="AL9" i="4" s="1"/>
  <c r="AL26" i="4" a="1"/>
  <c r="AL26" i="4" s="1"/>
  <c r="AB62" i="4" a="1"/>
  <c r="AB62" i="4" s="1"/>
  <c r="AG44" i="4" a="1"/>
  <c r="AG44" i="4" s="1"/>
  <c r="AL60" i="4" a="1"/>
  <c r="AL60" i="4" s="1"/>
  <c r="AB87" i="4" a="1"/>
  <c r="AB87" i="4" s="1"/>
  <c r="AG56" i="4" a="1"/>
  <c r="AG56" i="4" s="1"/>
  <c r="W83" i="4" a="1"/>
  <c r="W83" i="4" s="1"/>
  <c r="AB36" i="4" a="1"/>
  <c r="AB36" i="4" s="1"/>
  <c r="W57" i="4" a="1"/>
  <c r="W57" i="4" s="1"/>
  <c r="AG84" i="4" a="1"/>
  <c r="AG84" i="4" s="1"/>
  <c r="AG75" i="4" a="1"/>
  <c r="AG75" i="4" s="1"/>
  <c r="AB91" i="4" a="1"/>
  <c r="AB91" i="4" s="1"/>
  <c r="W59" i="4" a="1"/>
  <c r="W59" i="4" s="1"/>
  <c r="W76" i="4" a="1"/>
  <c r="W76" i="4" s="1"/>
  <c r="AG95" i="4" a="1"/>
  <c r="AG95" i="4" s="1"/>
  <c r="AB23" i="4" a="1"/>
  <c r="AB23" i="4" s="1"/>
  <c r="W23" i="4" a="1"/>
  <c r="W23" i="4" s="1"/>
  <c r="AB41" i="4" a="1"/>
  <c r="AB41" i="4" s="1"/>
  <c r="AG5" i="4" a="1"/>
  <c r="AG5" i="4" s="1"/>
  <c r="AG19" i="4" a="1"/>
  <c r="AG19" i="4" s="1"/>
  <c r="W37" i="4" a="1"/>
  <c r="W37" i="4" s="1"/>
  <c r="AG99" i="4" a="1"/>
  <c r="AG99" i="4" s="1"/>
  <c r="AL19" i="4" a="1"/>
  <c r="AL19" i="4" s="1"/>
  <c r="W42" i="4" a="1"/>
  <c r="W42" i="4" s="1"/>
  <c r="AG37" i="4" a="1"/>
  <c r="AG37" i="4" s="1"/>
  <c r="AB53" i="4" a="1"/>
  <c r="AB53" i="4" s="1"/>
  <c r="AB75" i="4" a="1"/>
  <c r="AB75" i="4" s="1"/>
  <c r="AB51" i="4" a="1"/>
  <c r="AB51" i="4" s="1"/>
  <c r="AB69" i="4" a="1"/>
  <c r="AB69" i="4" s="1"/>
  <c r="AL98" i="4" a="1"/>
  <c r="AL98" i="4" s="1"/>
  <c r="AG48" i="4" a="1"/>
  <c r="AG48" i="4" s="1"/>
  <c r="AB71" i="4" a="1"/>
  <c r="AB71" i="4" s="1"/>
  <c r="AL67" i="4" a="1"/>
  <c r="AL67" i="4" s="1"/>
  <c r="AG81" i="4" a="1"/>
  <c r="AG81" i="4" s="1"/>
  <c r="AB100" i="4" a="1"/>
  <c r="AB100" i="4" s="1"/>
  <c r="AB67" i="4" a="1"/>
  <c r="AB67" i="4" s="1"/>
  <c r="W89" i="4" a="1"/>
  <c r="W89" i="4" s="1"/>
  <c r="AB9" i="4" a="1"/>
  <c r="AB9" i="4" s="1"/>
  <c r="AB24" i="4" a="1"/>
  <c r="AB24" i="4" s="1"/>
  <c r="AL42" i="4" a="1"/>
  <c r="AL42" i="4" s="1"/>
  <c r="AG14" i="4" a="1"/>
  <c r="AG14" i="4" s="1"/>
  <c r="AG28" i="4" a="1"/>
  <c r="AG28" i="4" s="1"/>
  <c r="AB61" i="4" a="1"/>
  <c r="AB61" i="4" s="1"/>
  <c r="AG10" i="4" a="1"/>
  <c r="AG10" i="4" s="1"/>
  <c r="AL28" i="4" a="1"/>
  <c r="AL28" i="4" s="1"/>
  <c r="AB78" i="4" a="1"/>
  <c r="AB78" i="4" s="1"/>
  <c r="AL45" i="4" a="1"/>
  <c r="AL45" i="4" s="1"/>
  <c r="W65" i="4" a="1"/>
  <c r="W65" i="4" s="1"/>
  <c r="AG89" i="4" a="1"/>
  <c r="AG89" i="4" s="1"/>
  <c r="W61" i="4" a="1"/>
  <c r="W61" i="4" s="1"/>
  <c r="AL86" i="4" a="1"/>
  <c r="AL86" i="4" s="1"/>
  <c r="AB38" i="4" a="1"/>
  <c r="AB38" i="4" s="1"/>
  <c r="AB60" i="4" a="1"/>
  <c r="AB60" i="4" s="1"/>
  <c r="AL88" i="4" a="1"/>
  <c r="AL88" i="4" s="1"/>
  <c r="W77" i="4" a="1"/>
  <c r="W77" i="4" s="1"/>
  <c r="AG92" i="4" a="1"/>
  <c r="AG92" i="4" s="1"/>
  <c r="AG61" i="4" a="1"/>
  <c r="AG61" i="4" s="1"/>
  <c r="AG83" i="4" a="1"/>
  <c r="AG83" i="4" s="1"/>
  <c r="AB98" i="4" a="1"/>
  <c r="AB98" i="4" s="1"/>
  <c r="AB79" i="4" a="1"/>
  <c r="AB79" i="4" s="1"/>
  <c r="AB26" i="4" a="1"/>
  <c r="AB26" i="4" s="1"/>
  <c r="W28" i="4" a="1"/>
  <c r="W28" i="4" s="1"/>
  <c r="AL10" i="4" a="1"/>
  <c r="AL10" i="4" s="1"/>
  <c r="W14" i="4" a="1"/>
  <c r="W14" i="4" s="1"/>
  <c r="W88" i="4" a="1"/>
  <c r="W88" i="4" s="1"/>
  <c r="AB10" i="4" a="1"/>
  <c r="AB10" i="4" s="1"/>
  <c r="W29" i="4" a="1"/>
  <c r="W29" i="4" s="1"/>
  <c r="AL50" i="4" a="1"/>
  <c r="AL50" i="4" s="1"/>
  <c r="W12" i="4" a="1"/>
  <c r="W12" i="4" s="1"/>
  <c r="AG25" i="4" a="1"/>
  <c r="AG25" i="4" s="1"/>
  <c r="AL47" i="4" a="1"/>
  <c r="AL47" i="4" s="1"/>
  <c r="W7" i="4" a="1"/>
  <c r="W7" i="4" s="1"/>
  <c r="AL25" i="4" a="1"/>
  <c r="AL25" i="4" s="1"/>
  <c r="AB56" i="4" a="1"/>
  <c r="AB56" i="4" s="1"/>
  <c r="AL43" i="4" a="1"/>
  <c r="AL43" i="4" s="1"/>
  <c r="AB59" i="4" a="1"/>
  <c r="AB59" i="4" s="1"/>
  <c r="AB86" i="4" a="1"/>
  <c r="AB86" i="4" s="1"/>
  <c r="W56" i="4" a="1"/>
  <c r="W56" i="4" s="1"/>
  <c r="AL81" i="4" a="1"/>
  <c r="AL81" i="4" s="1"/>
  <c r="AB35" i="4" a="1"/>
  <c r="AB35" i="4" s="1"/>
  <c r="AL54" i="4" a="1"/>
  <c r="AL54" i="4" s="1"/>
  <c r="W82" i="4" a="1"/>
  <c r="W82" i="4" s="1"/>
  <c r="W75" i="4" a="1"/>
  <c r="W75" i="4" s="1"/>
  <c r="W90" i="4" a="1"/>
  <c r="W90" i="4" s="1"/>
  <c r="AB58" i="4" a="1"/>
  <c r="AB58" i="4" s="1"/>
  <c r="AL74" i="4" a="1"/>
  <c r="AL74" i="4" s="1"/>
  <c r="AL94" i="4" a="1"/>
  <c r="AL94" i="4" s="1"/>
  <c r="AG38" i="4" a="1"/>
  <c r="AG38" i="4" s="1"/>
  <c r="AB47" i="4" a="1"/>
  <c r="AB47" i="4" s="1"/>
  <c r="AG49" i="4" a="1"/>
  <c r="AG49" i="4" s="1"/>
  <c r="W2" i="4" a="1"/>
  <c r="W2" i="4" s="1"/>
  <c r="AB30" i="4" a="1"/>
  <c r="AB30" i="4" s="1"/>
  <c r="AB28" i="4" a="1"/>
  <c r="AB28" i="4" s="1"/>
  <c r="W18" i="4" a="1"/>
  <c r="W18" i="4" s="1"/>
  <c r="AL33" i="4" a="1"/>
  <c r="AL33" i="4" s="1"/>
  <c r="AL63" i="4" a="1"/>
  <c r="AL63" i="4" s="1"/>
  <c r="AL15" i="4" a="1"/>
  <c r="AL15" i="4" s="1"/>
  <c r="AG30" i="4" a="1"/>
  <c r="AG30" i="4" s="1"/>
  <c r="AL68" i="4" a="1"/>
  <c r="AL68" i="4" s="1"/>
  <c r="AL12" i="4" a="1"/>
  <c r="AL12" i="4" s="1"/>
  <c r="AL30" i="4" a="1"/>
  <c r="AL30" i="4" s="1"/>
  <c r="W96" i="4" a="1"/>
  <c r="W96" i="4" s="1"/>
  <c r="AB48" i="4" a="1"/>
  <c r="AB48" i="4" s="1"/>
  <c r="AG66" i="4" a="1"/>
  <c r="AG66" i="4" s="1"/>
  <c r="W95" i="4" a="1"/>
  <c r="W95" i="4" s="1"/>
  <c r="AG62" i="4" a="1"/>
  <c r="AG62" i="4" s="1"/>
  <c r="AL89" i="4" a="1"/>
  <c r="AL89" i="4" s="1"/>
  <c r="AB40" i="4" a="1"/>
  <c r="AB40" i="4" s="1"/>
  <c r="AL62" i="4" a="1"/>
  <c r="AL62" i="4" s="1"/>
  <c r="AB92" i="4" a="1"/>
  <c r="AB92" i="4" s="1"/>
  <c r="AG78" i="4" a="1"/>
  <c r="AG78" i="4" s="1"/>
  <c r="AB95" i="4" a="1"/>
  <c r="AB95" i="4" s="1"/>
  <c r="AB64" i="4" a="1"/>
  <c r="AB64" i="4" s="1"/>
  <c r="AB85" i="4" a="1"/>
  <c r="AB85" i="4" s="1"/>
  <c r="AL99" i="4" a="1"/>
  <c r="AL99" i="4" s="1"/>
  <c r="AL8" i="4" a="1"/>
  <c r="AL8" i="4" s="1"/>
  <c r="W27" i="4" a="1"/>
  <c r="W27" i="4" s="1"/>
  <c r="AB46" i="4" a="1"/>
  <c r="AB46" i="4" s="1"/>
  <c r="W9" i="4" a="1"/>
  <c r="W9" i="4" s="1"/>
  <c r="AG23" i="4" a="1"/>
  <c r="AG23" i="4" s="1"/>
  <c r="AB44" i="4" a="1"/>
  <c r="AB44" i="4" s="1"/>
  <c r="W5" i="4" a="1"/>
  <c r="W5" i="4" s="1"/>
  <c r="AL23" i="4" a="1"/>
  <c r="AL23" i="4" s="1"/>
  <c r="W48" i="4" a="1"/>
  <c r="W48" i="4" s="1"/>
  <c r="AL41" i="4" a="1"/>
  <c r="AL41" i="4" s="1"/>
  <c r="W58" i="4" a="1"/>
  <c r="W58" i="4" s="1"/>
  <c r="AL82" i="4" a="1"/>
  <c r="AL82" i="4" s="1"/>
  <c r="W54" i="4" a="1"/>
  <c r="W54" i="4" s="1"/>
  <c r="AL77" i="4" a="1"/>
  <c r="AL77" i="4" s="1"/>
  <c r="AB33" i="4" a="1"/>
  <c r="AB33" i="4" s="1"/>
  <c r="W51" i="4" a="1"/>
  <c r="W51" i="4" s="1"/>
  <c r="AL76" i="4" a="1"/>
  <c r="AL76" i="4" s="1"/>
  <c r="AG71" i="4" a="1"/>
  <c r="AG71" i="4" s="1"/>
  <c r="AL84" i="4" a="1"/>
  <c r="AL84" i="4" s="1"/>
  <c r="AB57" i="4" a="1"/>
  <c r="AB57" i="4" s="1"/>
  <c r="AB73" i="4" a="1"/>
  <c r="AB73" i="4" s="1"/>
  <c r="W93" i="4" a="1"/>
  <c r="W93" i="4" s="1"/>
  <c r="AL32" i="4" a="1"/>
  <c r="AL32" i="4" s="1"/>
  <c r="AG9" i="4" a="1"/>
  <c r="AG9" i="4" s="1"/>
  <c r="AB89" i="4" a="1"/>
  <c r="AB89" i="4" s="1"/>
  <c r="AL16" i="4" a="1"/>
  <c r="AL16" i="4" s="1"/>
  <c r="W34" i="4" a="1"/>
  <c r="W34" i="4" s="1"/>
  <c r="AB77" i="4" a="1"/>
  <c r="AB77" i="4" s="1"/>
  <c r="AB15" i="4" a="1"/>
  <c r="AB15" i="4" s="1"/>
  <c r="AG32" i="4" a="1"/>
  <c r="AG32" i="4" s="1"/>
  <c r="AG34" i="4" a="1"/>
  <c r="AG34" i="4" s="1"/>
  <c r="AG50" i="4" a="1"/>
  <c r="AG50" i="4" s="1"/>
  <c r="W70" i="4" a="1"/>
  <c r="W70" i="4" s="1"/>
  <c r="AG97" i="4" a="1"/>
  <c r="AG97" i="4" s="1"/>
  <c r="AL65" i="4" a="1"/>
  <c r="AL65" i="4" s="1"/>
  <c r="AB93" i="4" a="1"/>
  <c r="AB93" i="4" s="1"/>
  <c r="W43" i="4" a="1"/>
  <c r="W43" i="4" s="1"/>
  <c r="AB66" i="4" a="1"/>
  <c r="AB66" i="4" s="1"/>
  <c r="AL96" i="4" a="1"/>
  <c r="AL96" i="4" s="1"/>
  <c r="AL79" i="4" a="1"/>
  <c r="AL79" i="4" s="1"/>
  <c r="AG96" i="4" a="1"/>
  <c r="AG96" i="4" s="1"/>
  <c r="AB65" i="4" a="1"/>
  <c r="AB65" i="4" s="1"/>
  <c r="AG86" i="4" a="1"/>
  <c r="AG86" i="4" s="1"/>
  <c r="W101" i="4" a="1"/>
  <c r="W101" i="4" s="1"/>
  <c r="AB5" i="4" a="1"/>
  <c r="AB5" i="4" s="1"/>
  <c r="AL83" i="4" a="1"/>
  <c r="AL83" i="4" s="1"/>
  <c r="AG57" i="4" a="1"/>
  <c r="AG57" i="4" s="1"/>
  <c r="R2" i="4" a="1"/>
  <c r="R2" i="4" s="1"/>
  <c r="S2" i="4" s="1"/>
  <c r="T2" i="4" s="1"/>
  <c r="AB29" i="4" a="1"/>
  <c r="AB29" i="4" s="1"/>
  <c r="AB27" i="4" a="1"/>
  <c r="AB27" i="4" s="1"/>
  <c r="AB17" i="4" a="1"/>
  <c r="AB17" i="4" s="1"/>
  <c r="W33" i="4" a="1"/>
  <c r="W33" i="4" s="1"/>
  <c r="AG60" i="4" a="1"/>
  <c r="AG60" i="4" s="1"/>
  <c r="W15" i="4" a="1"/>
  <c r="W15" i="4" s="1"/>
  <c r="AG29" i="4" a="1"/>
  <c r="AG29" i="4" s="1"/>
  <c r="AG64" i="4" a="1"/>
  <c r="AG64" i="4" s="1"/>
  <c r="AB11" i="4" a="1"/>
  <c r="AB11" i="4" s="1"/>
  <c r="AL29" i="4" a="1"/>
  <c r="AL29" i="4" s="1"/>
  <c r="AG82" i="4" a="1"/>
  <c r="AG82" i="4" s="1"/>
  <c r="AL46" i="4" a="1"/>
  <c r="AL46" i="4" s="1"/>
  <c r="AG65" i="4" a="1"/>
  <c r="AG65" i="4" s="1"/>
  <c r="AL92" i="4" a="1"/>
  <c r="AL92" i="4" s="1"/>
  <c r="AL61" i="4" a="1"/>
  <c r="AL61" i="4" s="1"/>
  <c r="AG87" i="4" a="1"/>
  <c r="AG87" i="4" s="1"/>
  <c r="W39" i="4" a="1"/>
  <c r="W39" i="4" s="1"/>
  <c r="W62" i="4" a="1"/>
  <c r="W62" i="4" s="1"/>
  <c r="W91" i="4" a="1"/>
  <c r="W91" i="4" s="1"/>
  <c r="W78" i="4" a="1"/>
  <c r="W78" i="4" s="1"/>
  <c r="W94" i="4" a="1"/>
  <c r="W94" i="4" s="1"/>
  <c r="W63" i="4" a="1"/>
  <c r="W63" i="4" s="1"/>
  <c r="AB84" i="4" a="1"/>
  <c r="AB84" i="4" s="1"/>
  <c r="AB99" i="4" a="1"/>
  <c r="AB99" i="4" s="1"/>
  <c r="W8" i="4" a="1"/>
  <c r="W8" i="4" s="1"/>
  <c r="AB12" i="4" a="1"/>
  <c r="AB12" i="4" s="1"/>
  <c r="AL3" i="4" a="1"/>
  <c r="AL3" i="4" s="1"/>
  <c r="AL5" i="4" a="1"/>
  <c r="AL5" i="4" s="1"/>
  <c r="AG15" i="4" a="1"/>
  <c r="AG15" i="4" s="1"/>
  <c r="AG43" i="4" a="1"/>
  <c r="AG43" i="4" s="1"/>
  <c r="AG4" i="4" a="1"/>
  <c r="AG4" i="4" s="1"/>
  <c r="W22" i="4" a="1"/>
  <c r="W22" i="4" s="1"/>
  <c r="AL37" i="4" a="1"/>
  <c r="AL37" i="4" s="1"/>
  <c r="AL4" i="4" a="1"/>
  <c r="AL4" i="4" s="1"/>
  <c r="AG18" i="4" a="1"/>
  <c r="AG18" i="4" s="1"/>
  <c r="W36" i="4" a="1"/>
  <c r="W36" i="4" s="1"/>
  <c r="AG90" i="4" a="1"/>
  <c r="AG90" i="4" s="1"/>
  <c r="AL18" i="4" a="1"/>
  <c r="AL18" i="4" s="1"/>
  <c r="AL40" i="4" a="1"/>
  <c r="AL40" i="4" s="1"/>
  <c r="AG36" i="4" a="1"/>
  <c r="AG36" i="4" s="1"/>
  <c r="AL52" i="4" a="1"/>
  <c r="AL52" i="4" s="1"/>
  <c r="AB74" i="4" a="1"/>
  <c r="AB74" i="4" s="1"/>
  <c r="AL100" i="4" a="1"/>
  <c r="AL100" i="4" s="1"/>
  <c r="W68" i="4" a="1"/>
  <c r="W68" i="4" s="1"/>
  <c r="AL97" i="4" a="1"/>
  <c r="AL97" i="4" s="1"/>
  <c r="AG47" i="4" a="1"/>
  <c r="AG47" i="4" s="1"/>
  <c r="AG69" i="4" a="1"/>
  <c r="AG69" i="4" s="1"/>
  <c r="AG101" i="4" a="1"/>
  <c r="AG101" i="4" s="1"/>
  <c r="AL80" i="4" a="1"/>
  <c r="AL80" i="4" s="1"/>
  <c r="W99" i="4" a="1"/>
  <c r="W99" i="4" s="1"/>
  <c r="AL66" i="4" a="1"/>
  <c r="AL66" i="4" s="1"/>
  <c r="AL87" i="4" a="1"/>
  <c r="AL87" i="4" s="1"/>
  <c r="AL14" i="4" a="1"/>
  <c r="AL14" i="4" s="1"/>
  <c r="AB13" i="4" a="1"/>
  <c r="AB13" i="4" s="1"/>
  <c r="W31" i="4" a="1"/>
  <c r="W31" i="4" s="1"/>
  <c r="W55" i="4" a="1"/>
  <c r="W55" i="4" s="1"/>
  <c r="AG13" i="4" a="1"/>
  <c r="AG13" i="4" s="1"/>
  <c r="AG27" i="4" a="1"/>
  <c r="AG27" i="4" s="1"/>
  <c r="W50" i="4" a="1"/>
  <c r="W50" i="4" s="1"/>
  <c r="W10" i="4" a="1"/>
  <c r="W10" i="4" s="1"/>
  <c r="AL27" i="4" a="1"/>
  <c r="AL27" i="4" s="1"/>
  <c r="AL69" i="4" a="1"/>
  <c r="AL69" i="4" s="1"/>
  <c r="AB45" i="4" a="1"/>
  <c r="AB45" i="4" s="1"/>
  <c r="W64" i="4" a="1"/>
  <c r="W64" i="4" s="1"/>
  <c r="AB88" i="4" a="1"/>
  <c r="AB88" i="4" s="1"/>
  <c r="AL58" i="4" a="1"/>
  <c r="AL58" i="4" s="1"/>
  <c r="AG85" i="4" a="1"/>
  <c r="AG85" i="4" s="1"/>
  <c r="AB37" i="4" a="1"/>
  <c r="AB37" i="4" s="1"/>
  <c r="AG59" i="4" a="1"/>
  <c r="AG59" i="4" s="1"/>
  <c r="AL85" i="4" a="1"/>
  <c r="AL85" i="4" s="1"/>
  <c r="AG76" i="4" a="1"/>
  <c r="AG76" i="4" s="1"/>
  <c r="AL91" i="4" a="1"/>
  <c r="AL91" i="4" s="1"/>
  <c r="W60" i="4" a="1"/>
  <c r="W60" i="4" s="1"/>
  <c r="AL78" i="4" a="1"/>
  <c r="AL78" i="4" s="1"/>
  <c r="W97" i="4" a="1"/>
  <c r="W97" i="4" s="1"/>
  <c r="AG11" i="4" a="1"/>
  <c r="AG11" i="4" s="1"/>
  <c r="W24" i="4" a="1"/>
  <c r="W24" i="4" s="1"/>
  <c r="AL6" i="4" a="1"/>
  <c r="AL6" i="4" s="1"/>
  <c r="AG20" i="4" a="1"/>
  <c r="AG20" i="4" s="1"/>
  <c r="W38" i="4" a="1"/>
  <c r="W38" i="4" s="1"/>
  <c r="AL2" i="4" a="1"/>
  <c r="AL2" i="4" s="1"/>
  <c r="AL20" i="4" a="1"/>
  <c r="AL20" i="4" s="1"/>
  <c r="AB43" i="4" a="1"/>
  <c r="AB43" i="4" s="1"/>
  <c r="AL38" i="4" a="1"/>
  <c r="AL38" i="4" s="1"/>
  <c r="AL53" i="4" a="1"/>
  <c r="AL53" i="4" s="1"/>
  <c r="AB76" i="4" a="1"/>
  <c r="AB76" i="4" s="1"/>
  <c r="AL51" i="4" a="1"/>
  <c r="AL51" i="4" s="1"/>
  <c r="AB70" i="4" a="1"/>
  <c r="AB70" i="4" s="1"/>
  <c r="AB101" i="4" a="1"/>
  <c r="AB101" i="4" s="1"/>
  <c r="AB49" i="4" a="1"/>
  <c r="AB49" i="4" s="1"/>
  <c r="AL72" i="4" a="1"/>
  <c r="AL72" i="4" s="1"/>
  <c r="W69" i="4" a="1"/>
  <c r="W69" i="4" s="1"/>
  <c r="AB82" i="4" a="1"/>
  <c r="AB82" i="4" s="1"/>
  <c r="AG54" i="4" a="1"/>
  <c r="AG54" i="4" s="1"/>
  <c r="AG68" i="4" a="1"/>
  <c r="AG68" i="4" s="1"/>
  <c r="AB90" i="4" a="1"/>
  <c r="AB90" i="4" s="1"/>
  <c r="W3" i="4" a="1"/>
  <c r="W3" i="4" s="1"/>
  <c r="AG8" i="4" a="1"/>
  <c r="AG8" i="4" s="1"/>
  <c r="W6" i="4" a="1"/>
  <c r="W6" i="4" s="1"/>
  <c r="AG2" i="4" a="1"/>
  <c r="AG2" i="4" s="1"/>
  <c r="AL13" i="4" a="1"/>
  <c r="AL13" i="4" s="1"/>
  <c r="AB42" i="4" a="1"/>
  <c r="AB42" i="4" s="1"/>
  <c r="W4" i="4" a="1"/>
  <c r="W4" i="4" s="1"/>
  <c r="W21" i="4" a="1"/>
  <c r="W21" i="4" s="1"/>
  <c r="AL36" i="4" a="1"/>
  <c r="AL36" i="4" s="1"/>
  <c r="AL93" i="4" a="1"/>
  <c r="AL93" i="4" s="1"/>
  <c r="AG17" i="4" a="1"/>
  <c r="AG17" i="4" s="1"/>
  <c r="W35" i="4" a="1"/>
  <c r="W35" i="4" s="1"/>
  <c r="AB81" i="4" a="1"/>
  <c r="AB81" i="4" s="1"/>
  <c r="AL17" i="4" a="1"/>
  <c r="AL17" i="4" s="1"/>
  <c r="AG39" i="4" a="1"/>
  <c r="AG39" i="4" s="1"/>
  <c r="AG35" i="4" a="1"/>
  <c r="AG35" i="4" s="1"/>
  <c r="AG51" i="4" a="1"/>
  <c r="AG51" i="4" s="1"/>
  <c r="W72" i="4" a="1"/>
  <c r="W72" i="4" s="1"/>
  <c r="AG98" i="4" a="1"/>
  <c r="AG98" i="4" s="1"/>
  <c r="W67" i="4" a="1"/>
  <c r="W67" i="4" s="1"/>
  <c r="AG94" i="4" a="1"/>
  <c r="AG94" i="4" s="1"/>
  <c r="W45" i="4" a="1"/>
  <c r="W45" i="4" s="1"/>
  <c r="AB68" i="4" a="1"/>
  <c r="AB68" i="4" s="1"/>
  <c r="W100" i="4" a="1"/>
  <c r="W100" i="4" s="1"/>
  <c r="AB80" i="4" a="1"/>
  <c r="AB80" i="4" s="1"/>
  <c r="W98" i="4" a="1"/>
  <c r="W98" i="4" s="1"/>
  <c r="W66" i="4" a="1"/>
  <c r="W66" i="4" s="1"/>
  <c r="W87" i="4" a="1"/>
  <c r="W87" i="4" s="1"/>
  <c r="AG8" i="9"/>
  <c r="AH8" i="9"/>
  <c r="AH6" i="9"/>
  <c r="AG6" i="9"/>
  <c r="AG10" i="9"/>
  <c r="AH10" i="9"/>
  <c r="AG7" i="9"/>
  <c r="AK3" i="9" s="1"/>
  <c r="AH7" i="9"/>
  <c r="AH9" i="9"/>
  <c r="AG9" i="9"/>
  <c r="AG11" i="9"/>
  <c r="AH11" i="9"/>
  <c r="L3" i="1"/>
  <c r="X23" i="5"/>
  <c r="BC23" i="5" s="1"/>
  <c r="AR11" i="5"/>
  <c r="W19" i="5"/>
  <c r="AR19" i="5"/>
  <c r="W23" i="5"/>
  <c r="AR15" i="5"/>
  <c r="O5" i="1"/>
  <c r="L98" i="1"/>
  <c r="L95" i="1"/>
  <c r="N30" i="1"/>
  <c r="L83" i="1"/>
  <c r="M97" i="1"/>
  <c r="L89" i="1"/>
  <c r="M90" i="1"/>
  <c r="N26" i="1"/>
  <c r="M42" i="1"/>
  <c r="L63" i="1"/>
  <c r="O84" i="1"/>
  <c r="O20" i="1"/>
  <c r="N90" i="1"/>
  <c r="N41" i="1"/>
  <c r="M57" i="1"/>
  <c r="L78" i="1"/>
  <c r="L14" i="1"/>
  <c r="O35" i="1"/>
  <c r="N97" i="1"/>
  <c r="N48" i="1"/>
  <c r="M64" i="1"/>
  <c r="L85" i="1"/>
  <c r="L21" i="1"/>
  <c r="O42" i="1"/>
  <c r="N39" i="1"/>
  <c r="M55" i="1"/>
  <c r="L76" i="1"/>
  <c r="L12" i="1"/>
  <c r="O33" i="1"/>
  <c r="L94" i="1"/>
  <c r="M54" i="1"/>
  <c r="O80" i="1"/>
  <c r="O16" i="1"/>
  <c r="M85" i="1"/>
  <c r="N37" i="1"/>
  <c r="M53" i="1"/>
  <c r="L74" i="1"/>
  <c r="L10" i="1"/>
  <c r="O31" i="1"/>
  <c r="N93" i="1"/>
  <c r="N44" i="1"/>
  <c r="M60" i="1"/>
  <c r="L81" i="1"/>
  <c r="L17" i="1"/>
  <c r="O38" i="1"/>
  <c r="N35" i="1"/>
  <c r="M51" i="1"/>
  <c r="L72" i="1"/>
  <c r="L8" i="1"/>
  <c r="O29" i="1"/>
  <c r="M101" i="1"/>
  <c r="N6" i="1"/>
  <c r="L75" i="1"/>
  <c r="N95" i="1"/>
  <c r="L101" i="1"/>
  <c r="N88" i="1"/>
  <c r="N34" i="1"/>
  <c r="M50" i="1"/>
  <c r="L71" i="1"/>
  <c r="L7" i="1"/>
  <c r="O28" i="1"/>
  <c r="N98" i="1"/>
  <c r="N49" i="1"/>
  <c r="M65" i="1"/>
  <c r="L86" i="1"/>
  <c r="L22" i="1"/>
  <c r="O43" i="1"/>
  <c r="N87" i="1"/>
  <c r="N56" i="1"/>
  <c r="M72" i="1"/>
  <c r="M8" i="1"/>
  <c r="L29" i="1"/>
  <c r="O50" i="1"/>
  <c r="N47" i="1"/>
  <c r="M63" i="1"/>
  <c r="L84" i="1"/>
  <c r="L20" i="1"/>
  <c r="O41" i="1"/>
  <c r="N99" i="1"/>
  <c r="N14" i="1"/>
  <c r="L35" i="1"/>
  <c r="O40" i="1"/>
  <c r="O92" i="1"/>
  <c r="N61" i="1"/>
  <c r="M77" i="1"/>
  <c r="M13" i="1"/>
  <c r="L34" i="1"/>
  <c r="O55" i="1"/>
  <c r="O99" i="1"/>
  <c r="N68" i="1"/>
  <c r="N4" i="1"/>
  <c r="M20" i="1"/>
  <c r="L41" i="1"/>
  <c r="O62" i="1"/>
  <c r="N59" i="1"/>
  <c r="M75" i="1"/>
  <c r="M11" i="1"/>
  <c r="L32" i="1"/>
  <c r="O53" i="1"/>
  <c r="O101" i="1"/>
  <c r="M2" i="1"/>
  <c r="N79" i="1"/>
  <c r="M78" i="1"/>
  <c r="L51" i="1"/>
  <c r="L97" i="1"/>
  <c r="N91" i="1"/>
  <c r="N74" i="1"/>
  <c r="N10" i="1"/>
  <c r="M26" i="1"/>
  <c r="L47" i="1"/>
  <c r="O68" i="1"/>
  <c r="O4" i="1"/>
  <c r="M92" i="1"/>
  <c r="N25" i="1"/>
  <c r="M41" i="1"/>
  <c r="L62" i="1"/>
  <c r="O83" i="1"/>
  <c r="O19" i="1"/>
  <c r="M99" i="1"/>
  <c r="N32" i="1"/>
  <c r="M48" i="1"/>
  <c r="L69" i="1"/>
  <c r="L5" i="1"/>
  <c r="O26" i="1"/>
  <c r="N23" i="1"/>
  <c r="M39" i="1"/>
  <c r="L60" i="1"/>
  <c r="O81" i="1"/>
  <c r="O17" i="1"/>
  <c r="N75" i="1"/>
  <c r="M6" i="1"/>
  <c r="O64" i="1"/>
  <c r="L100" i="1"/>
  <c r="M88" i="1"/>
  <c r="N21" i="1"/>
  <c r="M37" i="1"/>
  <c r="L58" i="1"/>
  <c r="O79" i="1"/>
  <c r="O15" i="1"/>
  <c r="M95" i="1"/>
  <c r="N28" i="1"/>
  <c r="M44" i="1"/>
  <c r="L65" i="1"/>
  <c r="O86" i="1"/>
  <c r="O22" i="1"/>
  <c r="N19" i="1"/>
  <c r="M35" i="1"/>
  <c r="L56" i="1"/>
  <c r="O77" i="1"/>
  <c r="O13" i="1"/>
  <c r="N96" i="1"/>
  <c r="M70" i="1"/>
  <c r="L43" i="1"/>
  <c r="N71" i="1"/>
  <c r="O89" i="1"/>
  <c r="N82" i="1"/>
  <c r="N18" i="1"/>
  <c r="M34" i="1"/>
  <c r="L55" i="1"/>
  <c r="O76" i="1"/>
  <c r="O12" i="1"/>
  <c r="M100" i="1"/>
  <c r="N33" i="1"/>
  <c r="M49" i="1"/>
  <c r="L70" i="1"/>
  <c r="L6" i="1"/>
  <c r="O27" i="1"/>
  <c r="N89" i="1"/>
  <c r="N40" i="1"/>
  <c r="M56" i="1"/>
  <c r="L77" i="1"/>
  <c r="L13" i="1"/>
  <c r="O34" i="1"/>
  <c r="N31" i="1"/>
  <c r="M47" i="1"/>
  <c r="L68" i="1"/>
  <c r="L4" i="1"/>
  <c r="O25" i="1"/>
  <c r="O94" i="1"/>
  <c r="M62" i="1"/>
  <c r="O24" i="1"/>
  <c r="N94" i="1"/>
  <c r="N45" i="1"/>
  <c r="M61" i="1"/>
  <c r="L82" i="1"/>
  <c r="L18" i="1"/>
  <c r="O39" i="1"/>
  <c r="N101" i="1"/>
  <c r="N52" i="1"/>
  <c r="M68" i="1"/>
  <c r="M4" i="1"/>
  <c r="L25" i="1"/>
  <c r="O46" i="1"/>
  <c r="N43" i="1"/>
  <c r="M59" i="1"/>
  <c r="L80" i="1"/>
  <c r="L16" i="1"/>
  <c r="O37" i="1"/>
  <c r="N83" i="1"/>
  <c r="M87" i="1"/>
  <c r="M98" i="1"/>
  <c r="M46" i="1"/>
  <c r="L19" i="1"/>
  <c r="N100" i="1"/>
  <c r="L99" i="1"/>
  <c r="N58" i="1"/>
  <c r="M74" i="1"/>
  <c r="M10" i="1"/>
  <c r="L31" i="1"/>
  <c r="O52" i="1"/>
  <c r="L88" i="1"/>
  <c r="N73" i="1"/>
  <c r="N9" i="1"/>
  <c r="M25" i="1"/>
  <c r="L46" i="1"/>
  <c r="O67" i="1"/>
  <c r="O3" i="1"/>
  <c r="N80" i="1"/>
  <c r="N16" i="1"/>
  <c r="M32" i="1"/>
  <c r="L53" i="1"/>
  <c r="O74" i="1"/>
  <c r="O10" i="1"/>
  <c r="N7" i="1"/>
  <c r="M23" i="1"/>
  <c r="L44" i="1"/>
  <c r="O65" i="1"/>
  <c r="N92" i="1"/>
  <c r="N54" i="1"/>
  <c r="L59" i="1"/>
  <c r="O48" i="1"/>
  <c r="O100" i="1"/>
  <c r="N69" i="1"/>
  <c r="N5" i="1"/>
  <c r="M21" i="1"/>
  <c r="L42" i="1"/>
  <c r="O63" i="1"/>
  <c r="L91" i="1"/>
  <c r="N76" i="1"/>
  <c r="N12" i="1"/>
  <c r="M28" i="1"/>
  <c r="L49" i="1"/>
  <c r="O70" i="1"/>
  <c r="O6" i="1"/>
  <c r="N3" i="1"/>
  <c r="M19" i="1"/>
  <c r="L40" i="1"/>
  <c r="O61" i="1"/>
  <c r="L90" i="1"/>
  <c r="N70" i="1"/>
  <c r="M38" i="1"/>
  <c r="L11" i="1"/>
  <c r="O98" i="1"/>
  <c r="M93" i="1"/>
  <c r="N66" i="1"/>
  <c r="M82" i="1"/>
  <c r="M18" i="1"/>
  <c r="L39" i="1"/>
  <c r="O60" i="1"/>
  <c r="L96" i="1"/>
  <c r="N81" i="1"/>
  <c r="N17" i="1"/>
  <c r="M33" i="1"/>
  <c r="L54" i="1"/>
  <c r="O75" i="1"/>
  <c r="O11" i="1"/>
  <c r="M91" i="1"/>
  <c r="N24" i="1"/>
  <c r="M40" i="1"/>
  <c r="L61" i="1"/>
  <c r="O82" i="1"/>
  <c r="O18" i="1"/>
  <c r="N15" i="1"/>
  <c r="M31" i="1"/>
  <c r="L52" i="1"/>
  <c r="O73" i="1"/>
  <c r="O9" i="1"/>
  <c r="N78" i="1"/>
  <c r="M14" i="1"/>
  <c r="O72" i="1"/>
  <c r="O8" i="1"/>
  <c r="M96" i="1"/>
  <c r="N29" i="1"/>
  <c r="M45" i="1"/>
  <c r="L66" i="1"/>
  <c r="O87" i="1"/>
  <c r="O23" i="1"/>
  <c r="M83" i="1"/>
  <c r="N36" i="1"/>
  <c r="M52" i="1"/>
  <c r="L73" i="1"/>
  <c r="L9" i="1"/>
  <c r="O30" i="1"/>
  <c r="N27" i="1"/>
  <c r="M43" i="1"/>
  <c r="L64" i="1"/>
  <c r="O85" i="1"/>
  <c r="O21" i="1"/>
  <c r="M89" i="1"/>
  <c r="O90" i="1"/>
  <c r="N62" i="1"/>
  <c r="M30" i="1"/>
  <c r="O93" i="1"/>
  <c r="N84" i="1"/>
  <c r="N85" i="1"/>
  <c r="N42" i="1"/>
  <c r="M58" i="1"/>
  <c r="L79" i="1"/>
  <c r="L15" i="1"/>
  <c r="O36" i="1"/>
  <c r="O88" i="1"/>
  <c r="N57" i="1"/>
  <c r="M73" i="1"/>
  <c r="M9" i="1"/>
  <c r="L30" i="1"/>
  <c r="O51" i="1"/>
  <c r="O95" i="1"/>
  <c r="N64" i="1"/>
  <c r="M80" i="1"/>
  <c r="M16" i="1"/>
  <c r="L37" i="1"/>
  <c r="O58" i="1"/>
  <c r="N55" i="1"/>
  <c r="M71" i="1"/>
  <c r="M7" i="1"/>
  <c r="L28" i="1"/>
  <c r="O49" i="1"/>
  <c r="O97" i="1"/>
  <c r="N22" i="1"/>
  <c r="L27" i="1"/>
  <c r="O32" i="1"/>
  <c r="O2" i="1"/>
  <c r="N53" i="1"/>
  <c r="M69" i="1"/>
  <c r="M5" i="1"/>
  <c r="L26" i="1"/>
  <c r="O47" i="1"/>
  <c r="O91" i="1"/>
  <c r="N60" i="1"/>
  <c r="M76" i="1"/>
  <c r="M12" i="1"/>
  <c r="L33" i="1"/>
  <c r="O54" i="1"/>
  <c r="N51" i="1"/>
  <c r="M67" i="1"/>
  <c r="M3" i="1"/>
  <c r="L24" i="1"/>
  <c r="O45" i="1"/>
  <c r="N67" i="1"/>
  <c r="N38" i="1"/>
  <c r="M22" i="1"/>
  <c r="L93" i="1"/>
  <c r="N2" i="1"/>
  <c r="M84" i="1"/>
  <c r="N50" i="1"/>
  <c r="M66" i="1"/>
  <c r="L87" i="1"/>
  <c r="L23" i="1"/>
  <c r="O44" i="1"/>
  <c r="O96" i="1"/>
  <c r="N65" i="1"/>
  <c r="M81" i="1"/>
  <c r="M17" i="1"/>
  <c r="L38" i="1"/>
  <c r="O59" i="1"/>
  <c r="M86" i="1"/>
  <c r="N72" i="1"/>
  <c r="N8" i="1"/>
  <c r="M24" i="1"/>
  <c r="L45" i="1"/>
  <c r="O66" i="1"/>
  <c r="N63" i="1"/>
  <c r="M79" i="1"/>
  <c r="M15" i="1"/>
  <c r="L36" i="1"/>
  <c r="O57" i="1"/>
  <c r="M94" i="1"/>
  <c r="N46" i="1"/>
  <c r="L67" i="1"/>
  <c r="O56" i="1"/>
  <c r="L92" i="1"/>
  <c r="N77" i="1"/>
  <c r="N13" i="1"/>
  <c r="M29" i="1"/>
  <c r="L50" i="1"/>
  <c r="O71" i="1"/>
  <c r="O7" i="1"/>
  <c r="N86" i="1"/>
  <c r="N20" i="1"/>
  <c r="M36" i="1"/>
  <c r="L57" i="1"/>
  <c r="O78" i="1"/>
  <c r="O14" i="1"/>
  <c r="N11" i="1"/>
  <c r="M27" i="1"/>
  <c r="L48" i="1"/>
  <c r="O69" i="1"/>
  <c r="BL17" i="5"/>
  <c r="BL15" i="5"/>
  <c r="BL14" i="5"/>
  <c r="BL13" i="5"/>
  <c r="BL12" i="5"/>
  <c r="X15" i="5"/>
  <c r="BC15" i="5" s="1"/>
  <c r="BF3" i="5"/>
  <c r="R40" i="4" a="1"/>
  <c r="R40" i="4" s="1"/>
  <c r="S40" i="4" s="1"/>
  <c r="T40" i="4" s="1"/>
  <c r="R39" i="4" a="1"/>
  <c r="R39" i="4" s="1"/>
  <c r="S39" i="4" s="1"/>
  <c r="T39" i="4" s="1"/>
  <c r="R82" i="4" a="1"/>
  <c r="R82" i="4" s="1"/>
  <c r="S82" i="4" s="1"/>
  <c r="T82" i="4" s="1"/>
  <c r="R9" i="4" a="1"/>
  <c r="R9" i="4" s="1"/>
  <c r="S9" i="4" s="1"/>
  <c r="T9" i="4" s="1"/>
  <c r="R5" i="4" a="1"/>
  <c r="R5" i="4" s="1"/>
  <c r="S5" i="4" s="1"/>
  <c r="T5" i="4" s="1"/>
  <c r="R93" i="4" a="1"/>
  <c r="R93" i="4" s="1"/>
  <c r="S93" i="4" s="1"/>
  <c r="T93" i="4" s="1"/>
  <c r="R63" i="4" a="1"/>
  <c r="R63" i="4" s="1"/>
  <c r="S63" i="4" s="1"/>
  <c r="T63" i="4" s="1"/>
  <c r="R88" i="4" a="1"/>
  <c r="R88" i="4" s="1"/>
  <c r="S88" i="4" s="1"/>
  <c r="T88" i="4" s="1"/>
  <c r="R37" i="4" a="1"/>
  <c r="R37" i="4" s="1"/>
  <c r="S37" i="4" s="1"/>
  <c r="T37" i="4" s="1"/>
  <c r="R76" i="4" a="1"/>
  <c r="R76" i="4" s="1"/>
  <c r="S76" i="4" s="1"/>
  <c r="T76" i="4" s="1"/>
  <c r="R74" i="4" a="1"/>
  <c r="R74" i="4" s="1"/>
  <c r="S74" i="4" s="1"/>
  <c r="T74" i="4" s="1"/>
  <c r="R27" i="4" a="1"/>
  <c r="R27" i="4" s="1"/>
  <c r="S27" i="4" s="1"/>
  <c r="T27" i="4" s="1"/>
  <c r="R48" i="4" a="1"/>
  <c r="R48" i="4" s="1"/>
  <c r="S48" i="4" s="1"/>
  <c r="T48" i="4" s="1"/>
  <c r="R69" i="4" a="1"/>
  <c r="R69" i="4" s="1"/>
  <c r="S69" i="4" s="1"/>
  <c r="T69" i="4" s="1"/>
  <c r="R4" i="4" a="1"/>
  <c r="R4" i="4" s="1"/>
  <c r="S4" i="4" s="1"/>
  <c r="T4" i="4" s="1"/>
  <c r="R68" i="4" a="1"/>
  <c r="R68" i="4" s="1"/>
  <c r="S68" i="4" s="1"/>
  <c r="T68" i="4" s="1"/>
  <c r="R41" i="4" a="1"/>
  <c r="R41" i="4" s="1"/>
  <c r="S41" i="4" s="1"/>
  <c r="T41" i="4" s="1"/>
  <c r="R32" i="4" a="1"/>
  <c r="R32" i="4" s="1"/>
  <c r="S32" i="4" s="1"/>
  <c r="T32" i="4" s="1"/>
  <c r="R6" i="4" a="1"/>
  <c r="R6" i="4" s="1"/>
  <c r="S6" i="4" s="1"/>
  <c r="T6" i="4" s="1"/>
  <c r="R100" i="4" a="1"/>
  <c r="R100" i="4" s="1"/>
  <c r="S100" i="4" s="1"/>
  <c r="T100" i="4" s="1"/>
  <c r="R78" i="4" a="1"/>
  <c r="R78" i="4" s="1"/>
  <c r="S78" i="4" s="1"/>
  <c r="T78" i="4" s="1"/>
  <c r="R50" i="4" a="1"/>
  <c r="R50" i="4" s="1"/>
  <c r="S50" i="4" s="1"/>
  <c r="T50" i="4" s="1"/>
  <c r="R23" i="4" a="1"/>
  <c r="R23" i="4" s="1"/>
  <c r="S23" i="4" s="1"/>
  <c r="T23" i="4" s="1"/>
  <c r="R42" i="4" a="1"/>
  <c r="R42" i="4" s="1"/>
  <c r="S42" i="4" s="1"/>
  <c r="T42" i="4" s="1"/>
  <c r="R34" i="4" a="1"/>
  <c r="R34" i="4" s="1"/>
  <c r="S34" i="4" s="1"/>
  <c r="T34" i="4" s="1"/>
  <c r="R64" i="4" a="1"/>
  <c r="R64" i="4" s="1"/>
  <c r="S64" i="4" s="1"/>
  <c r="T64" i="4" s="1"/>
  <c r="R33" i="4" a="1"/>
  <c r="R33" i="4" s="1"/>
  <c r="S33" i="4" s="1"/>
  <c r="T33" i="4" s="1"/>
  <c r="R3" i="4" a="1"/>
  <c r="R3" i="4" s="1"/>
  <c r="S3" i="4" s="1"/>
  <c r="T3" i="4" s="1"/>
  <c r="R26" i="4" a="1"/>
  <c r="R26" i="4" s="1"/>
  <c r="S26" i="4" s="1"/>
  <c r="T26" i="4" s="1"/>
  <c r="R46" i="4" a="1"/>
  <c r="R46" i="4" s="1"/>
  <c r="S46" i="4" s="1"/>
  <c r="T46" i="4" s="1"/>
  <c r="R80" i="4" a="1"/>
  <c r="R80" i="4" s="1"/>
  <c r="S80" i="4" s="1"/>
  <c r="T80" i="4" s="1"/>
  <c r="R21" i="4" a="1"/>
  <c r="R21" i="4" s="1"/>
  <c r="S21" i="4" s="1"/>
  <c r="T21" i="4" s="1"/>
  <c r="R75" i="4" a="1"/>
  <c r="R75" i="4" s="1"/>
  <c r="S75" i="4" s="1"/>
  <c r="T75" i="4" s="1"/>
  <c r="R56" i="4" a="1"/>
  <c r="R56" i="4" s="1"/>
  <c r="S56" i="4" s="1"/>
  <c r="T56" i="4" s="1"/>
  <c r="R31" i="4" a="1"/>
  <c r="R31" i="4" s="1"/>
  <c r="S31" i="4" s="1"/>
  <c r="T31" i="4" s="1"/>
  <c r="R98" i="4" a="1"/>
  <c r="R98" i="4" s="1"/>
  <c r="S98" i="4" s="1"/>
  <c r="T98" i="4" s="1"/>
  <c r="R8" i="4" a="1"/>
  <c r="R8" i="4" s="1"/>
  <c r="S8" i="4" s="1"/>
  <c r="T8" i="4" s="1"/>
  <c r="R29" i="4" a="1"/>
  <c r="R29" i="4" s="1"/>
  <c r="S29" i="4" s="1"/>
  <c r="T29" i="4" s="1"/>
  <c r="R17" i="4" a="1"/>
  <c r="R17" i="4" s="1"/>
  <c r="S17" i="4" s="1"/>
  <c r="T17" i="4" s="1"/>
  <c r="R20" i="4" a="1"/>
  <c r="R20" i="4" s="1"/>
  <c r="S20" i="4" s="1"/>
  <c r="T20" i="4" s="1"/>
  <c r="R54" i="4" a="1"/>
  <c r="R54" i="4" s="1"/>
  <c r="S54" i="4" s="1"/>
  <c r="T54" i="4" s="1"/>
  <c r="R101" i="4" a="1"/>
  <c r="R101" i="4" s="1"/>
  <c r="S101" i="4" s="1"/>
  <c r="T101" i="4" s="1"/>
  <c r="R28" i="4" a="1"/>
  <c r="R28" i="4" s="1"/>
  <c r="S28" i="4" s="1"/>
  <c r="T28" i="4" s="1"/>
  <c r="R95" i="4" a="1"/>
  <c r="R95" i="4" s="1"/>
  <c r="S95" i="4" s="1"/>
  <c r="T95" i="4" s="1"/>
  <c r="R86" i="4" a="1"/>
  <c r="R86" i="4" s="1"/>
  <c r="S86" i="4" s="1"/>
  <c r="T86" i="4" s="1"/>
  <c r="R81" i="4" a="1"/>
  <c r="R81" i="4" s="1"/>
  <c r="S81" i="4" s="1"/>
  <c r="T81" i="4" s="1"/>
  <c r="R58" i="4" a="1"/>
  <c r="R58" i="4" s="1"/>
  <c r="S58" i="4" s="1"/>
  <c r="T58" i="4" s="1"/>
  <c r="R53" i="4" a="1"/>
  <c r="R53" i="4" s="1"/>
  <c r="S53" i="4" s="1"/>
  <c r="T53" i="4" s="1"/>
  <c r="R97" i="4" a="1"/>
  <c r="R97" i="4" s="1"/>
  <c r="S97" i="4" s="1"/>
  <c r="T97" i="4" s="1"/>
  <c r="R25" i="4" a="1"/>
  <c r="R25" i="4" s="1"/>
  <c r="S25" i="4" s="1"/>
  <c r="T25" i="4" s="1"/>
  <c r="R11" i="4" a="1"/>
  <c r="R11" i="4" s="1"/>
  <c r="S11" i="4" s="1"/>
  <c r="T11" i="4" s="1"/>
  <c r="R49" i="4" a="1"/>
  <c r="R49" i="4" s="1"/>
  <c r="S49" i="4" s="1"/>
  <c r="T49" i="4" s="1"/>
  <c r="R96" i="4" a="1"/>
  <c r="R96" i="4" s="1"/>
  <c r="S96" i="4" s="1"/>
  <c r="T96" i="4" s="1"/>
  <c r="R52" i="4" a="1"/>
  <c r="R52" i="4" s="1"/>
  <c r="S52" i="4" s="1"/>
  <c r="T52" i="4" s="1"/>
  <c r="R22" i="4" a="1"/>
  <c r="R22" i="4" s="1"/>
  <c r="S22" i="4" s="1"/>
  <c r="T22" i="4" s="1"/>
  <c r="R67" i="4" a="1"/>
  <c r="R67" i="4" s="1"/>
  <c r="S67" i="4" s="1"/>
  <c r="T67" i="4" s="1"/>
  <c r="R73" i="4" a="1"/>
  <c r="R73" i="4" s="1"/>
  <c r="S73" i="4" s="1"/>
  <c r="T73" i="4" s="1"/>
  <c r="R92" i="4" a="1"/>
  <c r="R92" i="4" s="1"/>
  <c r="S92" i="4" s="1"/>
  <c r="T92" i="4" s="1"/>
  <c r="R70" i="4" a="1"/>
  <c r="R70" i="4" s="1"/>
  <c r="S70" i="4" s="1"/>
  <c r="T70" i="4" s="1"/>
  <c r="R14" i="4" a="1"/>
  <c r="R14" i="4" s="1"/>
  <c r="S14" i="4" s="1"/>
  <c r="T14" i="4" s="1"/>
  <c r="R94" i="4" a="1"/>
  <c r="R94" i="4" s="1"/>
  <c r="S94" i="4" s="1"/>
  <c r="T94" i="4" s="1"/>
  <c r="R45" i="4" a="1"/>
  <c r="R45" i="4" s="1"/>
  <c r="S45" i="4" s="1"/>
  <c r="T45" i="4" s="1"/>
  <c r="R85" i="4" a="1"/>
  <c r="R85" i="4" s="1"/>
  <c r="S85" i="4" s="1"/>
  <c r="T85" i="4" s="1"/>
  <c r="R16" i="4" a="1"/>
  <c r="R16" i="4" s="1"/>
  <c r="S16" i="4" s="1"/>
  <c r="T16" i="4" s="1"/>
  <c r="R43" i="4" a="1"/>
  <c r="R43" i="4" s="1"/>
  <c r="S43" i="4" s="1"/>
  <c r="T43" i="4" s="1"/>
  <c r="R61" i="4" a="1"/>
  <c r="R61" i="4" s="1"/>
  <c r="S61" i="4" s="1"/>
  <c r="T61" i="4" s="1"/>
  <c r="R59" i="4" a="1"/>
  <c r="R59" i="4" s="1"/>
  <c r="S59" i="4" s="1"/>
  <c r="T59" i="4" s="1"/>
  <c r="R30" i="4" a="1"/>
  <c r="R30" i="4" s="1"/>
  <c r="S30" i="4" s="1"/>
  <c r="T30" i="4" s="1"/>
  <c r="R65" i="4" a="1"/>
  <c r="R65" i="4" s="1"/>
  <c r="S65" i="4" s="1"/>
  <c r="T65" i="4" s="1"/>
  <c r="R84" i="4" a="1"/>
  <c r="R84" i="4" s="1"/>
  <c r="S84" i="4" s="1"/>
  <c r="T84" i="4" s="1"/>
  <c r="R66" i="4" a="1"/>
  <c r="R66" i="4" s="1"/>
  <c r="S66" i="4" s="1"/>
  <c r="T66" i="4" s="1"/>
  <c r="R10" i="4" a="1"/>
  <c r="R10" i="4" s="1"/>
  <c r="S10" i="4" s="1"/>
  <c r="T10" i="4" s="1"/>
  <c r="R90" i="4" a="1"/>
  <c r="R90" i="4" s="1"/>
  <c r="S90" i="4" s="1"/>
  <c r="T90" i="4" s="1"/>
  <c r="R44" i="4" a="1"/>
  <c r="R44" i="4" s="1"/>
  <c r="S44" i="4" s="1"/>
  <c r="T44" i="4" s="1"/>
  <c r="R83" i="4" a="1"/>
  <c r="R83" i="4" s="1"/>
  <c r="S83" i="4" s="1"/>
  <c r="T83" i="4" s="1"/>
  <c r="R13" i="4" a="1"/>
  <c r="R13" i="4" s="1"/>
  <c r="S13" i="4" s="1"/>
  <c r="T13" i="4" s="1"/>
  <c r="R35" i="4" a="1"/>
  <c r="R35" i="4" s="1"/>
  <c r="S35" i="4" s="1"/>
  <c r="T35" i="4" s="1"/>
  <c r="R18" i="4" a="1"/>
  <c r="R18" i="4" s="1"/>
  <c r="S18" i="4" s="1"/>
  <c r="T18" i="4" s="1"/>
  <c r="R71" i="4" a="1"/>
  <c r="R71" i="4" s="1"/>
  <c r="S71" i="4" s="1"/>
  <c r="T71" i="4" s="1"/>
  <c r="R15" i="4" a="1"/>
  <c r="R15" i="4" s="1"/>
  <c r="S15" i="4" s="1"/>
  <c r="T15" i="4" s="1"/>
  <c r="R24" i="4" a="1"/>
  <c r="R24" i="4" s="1"/>
  <c r="S24" i="4" s="1"/>
  <c r="T24" i="4" s="1"/>
  <c r="R57" i="4" a="1"/>
  <c r="R57" i="4" s="1"/>
  <c r="S57" i="4" s="1"/>
  <c r="T57" i="4" s="1"/>
  <c r="R89" i="4" a="1"/>
  <c r="R89" i="4" s="1"/>
  <c r="S89" i="4" s="1"/>
  <c r="T89" i="4" s="1"/>
  <c r="R60" i="4" a="1"/>
  <c r="R60" i="4" s="1"/>
  <c r="S60" i="4" s="1"/>
  <c r="T60" i="4" s="1"/>
  <c r="R99" i="4" a="1"/>
  <c r="R99" i="4" s="1"/>
  <c r="S99" i="4" s="1"/>
  <c r="T99" i="4" s="1"/>
  <c r="R51" i="4" a="1"/>
  <c r="R51" i="4" s="1"/>
  <c r="S51" i="4" s="1"/>
  <c r="T51" i="4" s="1"/>
  <c r="R79" i="4" a="1"/>
  <c r="R79" i="4" s="1"/>
  <c r="S79" i="4" s="1"/>
  <c r="T79" i="4" s="1"/>
  <c r="R36" i="4" a="1"/>
  <c r="R36" i="4" s="1"/>
  <c r="S36" i="4" s="1"/>
  <c r="T36" i="4" s="1"/>
  <c r="R72" i="4" a="1"/>
  <c r="R72" i="4" s="1"/>
  <c r="S72" i="4" s="1"/>
  <c r="T72" i="4" s="1"/>
  <c r="R7" i="4" a="1"/>
  <c r="R7" i="4" s="1"/>
  <c r="S7" i="4" s="1"/>
  <c r="T7" i="4" s="1"/>
  <c r="R38" i="4" a="1"/>
  <c r="R38" i="4" s="1"/>
  <c r="S38" i="4" s="1"/>
  <c r="T38" i="4" s="1"/>
  <c r="R12" i="4" a="1"/>
  <c r="R12" i="4" s="1"/>
  <c r="S12" i="4" s="1"/>
  <c r="T12" i="4" s="1"/>
  <c r="R87" i="4" a="1"/>
  <c r="R87" i="4" s="1"/>
  <c r="S87" i="4" s="1"/>
  <c r="T87" i="4" s="1"/>
  <c r="R55" i="4" a="1"/>
  <c r="R55" i="4" s="1"/>
  <c r="S55" i="4" s="1"/>
  <c r="T55" i="4" s="1"/>
  <c r="R91" i="4" a="1"/>
  <c r="R91" i="4" s="1"/>
  <c r="S91" i="4" s="1"/>
  <c r="T91" i="4" s="1"/>
  <c r="R47" i="4" a="1"/>
  <c r="R47" i="4" s="1"/>
  <c r="S47" i="4" s="1"/>
  <c r="T47" i="4" s="1"/>
  <c r="R77" i="4" a="1"/>
  <c r="R77" i="4" s="1"/>
  <c r="S77" i="4" s="1"/>
  <c r="T77" i="4" s="1"/>
  <c r="R19" i="4" a="1"/>
  <c r="R19" i="4" s="1"/>
  <c r="S19" i="4" s="1"/>
  <c r="T19" i="4" s="1"/>
  <c r="R62" i="4" a="1"/>
  <c r="R62" i="4" s="1"/>
  <c r="S62" i="4" s="1"/>
  <c r="T62" i="4" s="1"/>
  <c r="BL11" i="5"/>
  <c r="K3" i="12"/>
  <c r="BB3" i="5"/>
  <c r="L3" i="12"/>
  <c r="BD3" i="5"/>
  <c r="BA3" i="5"/>
  <c r="G3" i="12"/>
  <c r="AV3" i="5"/>
  <c r="J3" i="12"/>
  <c r="H3" i="12"/>
  <c r="I3" i="12"/>
  <c r="BN7" i="5" l="1"/>
  <c r="I6" i="13"/>
  <c r="I5" i="13"/>
  <c r="H6" i="13"/>
  <c r="H4" i="13"/>
  <c r="E17" i="8"/>
  <c r="F15" i="8"/>
  <c r="G14" i="8"/>
  <c r="D15" i="8"/>
  <c r="P15" i="8" s="1"/>
  <c r="F12" i="8"/>
  <c r="F16" i="8"/>
  <c r="H13" i="8" a="1"/>
  <c r="H13" i="8" s="1"/>
  <c r="D17" i="8"/>
  <c r="P17" i="8" s="1"/>
  <c r="D13" i="8"/>
  <c r="P13" i="8" s="1"/>
  <c r="H15" i="8" a="1"/>
  <c r="H15" i="8" s="1"/>
  <c r="G13" i="8"/>
  <c r="H17" i="8" a="1"/>
  <c r="H17" i="8" s="1"/>
  <c r="E14" i="8"/>
  <c r="D12" i="8"/>
  <c r="G15" i="8"/>
  <c r="F14" i="8"/>
  <c r="E12" i="8"/>
  <c r="F13" i="8"/>
  <c r="G17" i="8"/>
  <c r="D14" i="8"/>
  <c r="P14" i="8" s="1"/>
  <c r="G12" i="8"/>
  <c r="H14" i="8" a="1"/>
  <c r="H14" i="8" s="1"/>
  <c r="E13" i="8"/>
  <c r="H12" i="8" a="1"/>
  <c r="H12" i="8" s="1"/>
  <c r="E16" i="8"/>
  <c r="D16" i="8"/>
  <c r="P16" i="8" s="1"/>
  <c r="E15" i="8"/>
  <c r="H16" i="8" a="1"/>
  <c r="H16" i="8" s="1"/>
  <c r="G16" i="8"/>
  <c r="F17" i="8"/>
  <c r="I2" i="13"/>
  <c r="BN3" i="5"/>
  <c r="H2" i="13"/>
  <c r="H7" i="13"/>
  <c r="H5" i="13"/>
  <c r="I3" i="13"/>
  <c r="I4" i="13"/>
  <c r="I7" i="13"/>
  <c r="AM101" i="4"/>
  <c r="AN101" i="4" s="1"/>
  <c r="H3" i="13"/>
  <c r="BC3" i="5"/>
  <c r="BE7" i="5"/>
  <c r="Z98" i="4"/>
  <c r="X98" i="4"/>
  <c r="Z45" i="4"/>
  <c r="X45" i="4"/>
  <c r="Z72" i="4"/>
  <c r="X72" i="4"/>
  <c r="AO17" i="4"/>
  <c r="AM17" i="4"/>
  <c r="AM93" i="4"/>
  <c r="AO93" i="4"/>
  <c r="AC42" i="4"/>
  <c r="AE42" i="4"/>
  <c r="AH8" i="4"/>
  <c r="AJ8" i="4"/>
  <c r="AJ54" i="4"/>
  <c r="AH54" i="4"/>
  <c r="AC49" i="4"/>
  <c r="AE49" i="4"/>
  <c r="AC76" i="4"/>
  <c r="AE76" i="4"/>
  <c r="AO20" i="4"/>
  <c r="AM20" i="4"/>
  <c r="AM6" i="4"/>
  <c r="AO6" i="4"/>
  <c r="AO78" i="4"/>
  <c r="AM78" i="4"/>
  <c r="AM85" i="4"/>
  <c r="AO85" i="4"/>
  <c r="AO58" i="4"/>
  <c r="AM58" i="4"/>
  <c r="AM69" i="4"/>
  <c r="AO69" i="4"/>
  <c r="AH27" i="4"/>
  <c r="AJ27" i="4"/>
  <c r="AE13" i="4"/>
  <c r="AC13" i="4"/>
  <c r="Z99" i="4"/>
  <c r="X99" i="4"/>
  <c r="AH47" i="4"/>
  <c r="AJ47" i="4"/>
  <c r="AC74" i="4"/>
  <c r="AE74" i="4"/>
  <c r="AO18" i="4"/>
  <c r="AM18" i="4"/>
  <c r="AM4" i="4"/>
  <c r="AO4" i="4"/>
  <c r="AJ43" i="4"/>
  <c r="AH43" i="4"/>
  <c r="AE12" i="4"/>
  <c r="AC12" i="4"/>
  <c r="Z63" i="4"/>
  <c r="X63" i="4"/>
  <c r="X62" i="4"/>
  <c r="Z62" i="4"/>
  <c r="AM92" i="4"/>
  <c r="AO92" i="4"/>
  <c r="AO29" i="4"/>
  <c r="AM29" i="4"/>
  <c r="X15" i="4"/>
  <c r="Z15" i="4"/>
  <c r="AC27" i="4"/>
  <c r="AE27" i="4"/>
  <c r="AM83" i="4"/>
  <c r="AO83" i="4"/>
  <c r="AE65" i="4"/>
  <c r="AC65" i="4"/>
  <c r="AE66" i="4"/>
  <c r="AC66" i="4"/>
  <c r="AJ97" i="4"/>
  <c r="AH97" i="4"/>
  <c r="AH32" i="4"/>
  <c r="AJ32" i="4"/>
  <c r="AM16" i="4"/>
  <c r="AO16" i="4"/>
  <c r="Z93" i="4"/>
  <c r="X93" i="4"/>
  <c r="AJ71" i="4"/>
  <c r="AH71" i="4"/>
  <c r="AM77" i="4"/>
  <c r="AO77" i="4"/>
  <c r="AO41" i="4"/>
  <c r="AM41" i="4"/>
  <c r="AE44" i="4"/>
  <c r="AC44" i="4"/>
  <c r="Z27" i="4"/>
  <c r="X27" i="4"/>
  <c r="AC64" i="4"/>
  <c r="AE64" i="4"/>
  <c r="AO62" i="4"/>
  <c r="AM62" i="4"/>
  <c r="Z95" i="4"/>
  <c r="X95" i="4"/>
  <c r="AO30" i="4"/>
  <c r="AM30" i="4"/>
  <c r="AO15" i="4"/>
  <c r="AM15" i="4"/>
  <c r="AC28" i="4"/>
  <c r="AE28" i="4"/>
  <c r="AC47" i="4"/>
  <c r="AE47" i="4"/>
  <c r="AE58" i="4"/>
  <c r="AC58" i="4"/>
  <c r="AO54" i="4"/>
  <c r="AM54" i="4"/>
  <c r="AC86" i="4"/>
  <c r="AE86" i="4"/>
  <c r="AO25" i="4"/>
  <c r="AM25" i="4"/>
  <c r="Z12" i="4"/>
  <c r="X12" i="4"/>
  <c r="Z88" i="4"/>
  <c r="X88" i="4"/>
  <c r="AC26" i="4"/>
  <c r="AE26" i="4"/>
  <c r="AH61" i="4"/>
  <c r="AJ61" i="4"/>
  <c r="AE60" i="4"/>
  <c r="AC60" i="4"/>
  <c r="AJ89" i="4"/>
  <c r="AH89" i="4"/>
  <c r="AO28" i="4"/>
  <c r="AM28" i="4"/>
  <c r="AJ14" i="4"/>
  <c r="AH14" i="4"/>
  <c r="Z89" i="4"/>
  <c r="X89" i="4"/>
  <c r="AM67" i="4"/>
  <c r="AO67" i="4"/>
  <c r="AE69" i="4"/>
  <c r="AC69" i="4"/>
  <c r="AH37" i="4"/>
  <c r="AJ37" i="4"/>
  <c r="X37" i="4"/>
  <c r="Z37" i="4"/>
  <c r="Z23" i="4"/>
  <c r="X23" i="4"/>
  <c r="X59" i="4"/>
  <c r="Z59" i="4"/>
  <c r="Z57" i="4"/>
  <c r="X57" i="4"/>
  <c r="AC87" i="4"/>
  <c r="AE87" i="4"/>
  <c r="AO26" i="4"/>
  <c r="AM26" i="4"/>
  <c r="AH12" i="4"/>
  <c r="AJ12" i="4"/>
  <c r="AE97" i="4"/>
  <c r="AC97" i="4"/>
  <c r="AO7" i="4"/>
  <c r="AM7" i="4"/>
  <c r="AH55" i="4"/>
  <c r="AJ55" i="4"/>
  <c r="AO49" i="4"/>
  <c r="AM49" i="4"/>
  <c r="AJ77" i="4"/>
  <c r="AH77" i="4"/>
  <c r="AO21" i="4"/>
  <c r="AM21" i="4"/>
  <c r="AH7" i="4"/>
  <c r="AJ7" i="4"/>
  <c r="AO59" i="4"/>
  <c r="AM59" i="4"/>
  <c r="AC19" i="4"/>
  <c r="AE19" i="4"/>
  <c r="AO57" i="4"/>
  <c r="AM57" i="4"/>
  <c r="Z52" i="4"/>
  <c r="X52" i="4"/>
  <c r="X85" i="4"/>
  <c r="Z85" i="4"/>
  <c r="AO24" i="4"/>
  <c r="AM24" i="4"/>
  <c r="AO11" i="4"/>
  <c r="AM11" i="4"/>
  <c r="X86" i="4"/>
  <c r="Z86" i="4"/>
  <c r="AJ93" i="4"/>
  <c r="AH93" i="4"/>
  <c r="AE63" i="4"/>
  <c r="AC63" i="4"/>
  <c r="AH33" i="4"/>
  <c r="AJ33" i="4"/>
  <c r="AO31" i="4"/>
  <c r="AM31" i="4"/>
  <c r="Z19" i="4"/>
  <c r="X19" i="4"/>
  <c r="AO56" i="4"/>
  <c r="AM56" i="4"/>
  <c r="AE50" i="4"/>
  <c r="AC50" i="4"/>
  <c r="AJ79" i="4"/>
  <c r="AH79" i="4"/>
  <c r="AO22" i="4"/>
  <c r="AM22" i="4"/>
  <c r="AE8" i="4"/>
  <c r="AC8" i="4"/>
  <c r="AM70" i="4"/>
  <c r="AO70" i="4"/>
  <c r="AJ16" i="4"/>
  <c r="AH16" i="4"/>
  <c r="AC80" i="4"/>
  <c r="AE80" i="4"/>
  <c r="AJ94" i="4"/>
  <c r="AH94" i="4"/>
  <c r="AH51" i="4"/>
  <c r="AJ51" i="4"/>
  <c r="AE81" i="4"/>
  <c r="AC81" i="4"/>
  <c r="AO36" i="4"/>
  <c r="AM36" i="4"/>
  <c r="AO13" i="4"/>
  <c r="AM13" i="4"/>
  <c r="X3" i="4"/>
  <c r="Z3" i="4"/>
  <c r="AC82" i="4"/>
  <c r="AE82" i="4"/>
  <c r="AE101" i="4"/>
  <c r="AC101" i="4"/>
  <c r="AO53" i="4"/>
  <c r="AM53" i="4"/>
  <c r="AM2" i="4"/>
  <c r="AO2" i="4"/>
  <c r="Z24" i="4"/>
  <c r="X24" i="4"/>
  <c r="Z60" i="4"/>
  <c r="X60" i="4"/>
  <c r="AH59" i="4"/>
  <c r="AJ59" i="4"/>
  <c r="AE88" i="4"/>
  <c r="AC88" i="4"/>
  <c r="AO27" i="4"/>
  <c r="AM27" i="4"/>
  <c r="AH13" i="4"/>
  <c r="AJ13" i="4"/>
  <c r="AM14" i="4"/>
  <c r="AO14" i="4"/>
  <c r="AM80" i="4"/>
  <c r="AO80" i="4"/>
  <c r="AM97" i="4"/>
  <c r="AO97" i="4"/>
  <c r="AO52" i="4"/>
  <c r="AM52" i="4"/>
  <c r="AJ90" i="4"/>
  <c r="AH90" i="4"/>
  <c r="AO37" i="4"/>
  <c r="AM37" i="4"/>
  <c r="AH15" i="4"/>
  <c r="AJ15" i="4"/>
  <c r="Z8" i="4"/>
  <c r="X8" i="4"/>
  <c r="Z94" i="4"/>
  <c r="X94" i="4"/>
  <c r="Z39" i="4"/>
  <c r="X39" i="4"/>
  <c r="AH65" i="4"/>
  <c r="AJ65" i="4"/>
  <c r="AE11" i="4"/>
  <c r="AC11" i="4"/>
  <c r="AJ60" i="4"/>
  <c r="AH60" i="4"/>
  <c r="AC29" i="4"/>
  <c r="AE29" i="4"/>
  <c r="AE5" i="4"/>
  <c r="AC5" i="4"/>
  <c r="AH96" i="4"/>
  <c r="AJ96" i="4"/>
  <c r="Z43" i="4"/>
  <c r="X43" i="4"/>
  <c r="Z70" i="4"/>
  <c r="X70" i="4"/>
  <c r="AE15" i="4"/>
  <c r="AC15" i="4"/>
  <c r="AE89" i="4"/>
  <c r="AC89" i="4"/>
  <c r="AE73" i="4"/>
  <c r="AC73" i="4"/>
  <c r="AM76" i="4"/>
  <c r="AO76" i="4"/>
  <c r="X54" i="4"/>
  <c r="Z54" i="4"/>
  <c r="X48" i="4"/>
  <c r="Z48" i="4"/>
  <c r="AH23" i="4"/>
  <c r="AJ23" i="4"/>
  <c r="AM8" i="4"/>
  <c r="AO8" i="4"/>
  <c r="AE95" i="4"/>
  <c r="AC95" i="4"/>
  <c r="AC40" i="4"/>
  <c r="AE40" i="4"/>
  <c r="AJ66" i="4"/>
  <c r="AH66" i="4"/>
  <c r="AM12" i="4"/>
  <c r="AO12" i="4"/>
  <c r="AM63" i="4"/>
  <c r="AO63" i="4"/>
  <c r="AC30" i="4"/>
  <c r="AE30" i="4"/>
  <c r="AH38" i="4"/>
  <c r="AJ38" i="4"/>
  <c r="Z90" i="4"/>
  <c r="X90" i="4"/>
  <c r="AC35" i="4"/>
  <c r="AE35" i="4"/>
  <c r="AC59" i="4"/>
  <c r="AE59" i="4"/>
  <c r="X7" i="4"/>
  <c r="Z7" i="4"/>
  <c r="AO50" i="4"/>
  <c r="AM50" i="4"/>
  <c r="Z14" i="4"/>
  <c r="X14" i="4"/>
  <c r="AE79" i="4"/>
  <c r="AC79" i="4"/>
  <c r="AH92" i="4"/>
  <c r="AJ92" i="4"/>
  <c r="AE38" i="4"/>
  <c r="AC38" i="4"/>
  <c r="Z65" i="4"/>
  <c r="X65" i="4"/>
  <c r="AH10" i="4"/>
  <c r="AJ10" i="4"/>
  <c r="AO42" i="4"/>
  <c r="AM42" i="4"/>
  <c r="AE67" i="4"/>
  <c r="AC67" i="4"/>
  <c r="AE71" i="4"/>
  <c r="AC71" i="4"/>
  <c r="AC51" i="4"/>
  <c r="AE51" i="4"/>
  <c r="X42" i="4"/>
  <c r="Z42" i="4"/>
  <c r="AH19" i="4"/>
  <c r="AJ19" i="4"/>
  <c r="AC23" i="4"/>
  <c r="AE23" i="4"/>
  <c r="AE91" i="4"/>
  <c r="AC91" i="4"/>
  <c r="AC36" i="4"/>
  <c r="AE36" i="4"/>
  <c r="AO60" i="4"/>
  <c r="AM60" i="4"/>
  <c r="AO9" i="4"/>
  <c r="AM9" i="4"/>
  <c r="AJ52" i="4"/>
  <c r="AH52" i="4"/>
  <c r="AC22" i="4"/>
  <c r="AE22" i="4"/>
  <c r="Z46" i="4"/>
  <c r="X46" i="4"/>
  <c r="AE83" i="4"/>
  <c r="AC83" i="4"/>
  <c r="AC31" i="4"/>
  <c r="AE31" i="4"/>
  <c r="AE54" i="4"/>
  <c r="AC54" i="4"/>
  <c r="AH3" i="4"/>
  <c r="AJ3" i="4"/>
  <c r="X44" i="4"/>
  <c r="Z44" i="4"/>
  <c r="AC21" i="4"/>
  <c r="AE21" i="4"/>
  <c r="AE2" i="4"/>
  <c r="AC2" i="4"/>
  <c r="AH88" i="4"/>
  <c r="AJ88" i="4"/>
  <c r="AC34" i="4"/>
  <c r="AE34" i="4"/>
  <c r="AH58" i="4"/>
  <c r="AJ58" i="4"/>
  <c r="AE6" i="4"/>
  <c r="AC6" i="4"/>
  <c r="AO35" i="4"/>
  <c r="AM35" i="4"/>
  <c r="AO64" i="4"/>
  <c r="AM64" i="4"/>
  <c r="AH63" i="4"/>
  <c r="AJ63" i="4"/>
  <c r="AE96" i="4"/>
  <c r="AC96" i="4"/>
  <c r="Z32" i="4"/>
  <c r="X32" i="4"/>
  <c r="Z16" i="4"/>
  <c r="X16" i="4"/>
  <c r="AC25" i="4"/>
  <c r="AE25" i="4"/>
  <c r="X84" i="4"/>
  <c r="Z84" i="4"/>
  <c r="AC32" i="4"/>
  <c r="AE32" i="4"/>
  <c r="AO55" i="4"/>
  <c r="AM55" i="4"/>
  <c r="AE4" i="4"/>
  <c r="AC4" i="4"/>
  <c r="AJ45" i="4"/>
  <c r="AH45" i="4"/>
  <c r="AE3" i="4"/>
  <c r="AC3" i="4"/>
  <c r="X17" i="4"/>
  <c r="Z17" i="4"/>
  <c r="Z87" i="4"/>
  <c r="X87" i="4"/>
  <c r="Z100" i="4"/>
  <c r="X100" i="4"/>
  <c r="Z67" i="4"/>
  <c r="X67" i="4"/>
  <c r="AH35" i="4"/>
  <c r="AJ35" i="4"/>
  <c r="X35" i="4"/>
  <c r="Z35" i="4"/>
  <c r="Z21" i="4"/>
  <c r="X21" i="4"/>
  <c r="AH2" i="4"/>
  <c r="AJ2" i="4"/>
  <c r="AE90" i="4"/>
  <c r="AC90" i="4"/>
  <c r="Z69" i="4"/>
  <c r="X69" i="4"/>
  <c r="AC70" i="4"/>
  <c r="AE70" i="4"/>
  <c r="AO38" i="4"/>
  <c r="AM38" i="4"/>
  <c r="X38" i="4"/>
  <c r="Z38" i="4"/>
  <c r="AH11" i="4"/>
  <c r="AJ11" i="4"/>
  <c r="AM91" i="4"/>
  <c r="AO91" i="4"/>
  <c r="AC37" i="4"/>
  <c r="AE37" i="4"/>
  <c r="X64" i="4"/>
  <c r="Z64" i="4"/>
  <c r="Z10" i="4"/>
  <c r="X10" i="4"/>
  <c r="Z55" i="4"/>
  <c r="X55" i="4"/>
  <c r="AM87" i="4"/>
  <c r="AO87" i="4"/>
  <c r="AJ101" i="4"/>
  <c r="AH101" i="4"/>
  <c r="X68" i="4"/>
  <c r="Z68" i="4"/>
  <c r="AH36" i="4"/>
  <c r="AJ36" i="4"/>
  <c r="X36" i="4"/>
  <c r="Z36" i="4"/>
  <c r="Z22" i="4"/>
  <c r="X22" i="4"/>
  <c r="AM5" i="4"/>
  <c r="AO5" i="4"/>
  <c r="AC99" i="4"/>
  <c r="AE99" i="4"/>
  <c r="Z78" i="4"/>
  <c r="X78" i="4"/>
  <c r="AJ87" i="4"/>
  <c r="AH87" i="4"/>
  <c r="AO46" i="4"/>
  <c r="AM46" i="4"/>
  <c r="AJ64" i="4"/>
  <c r="AH64" i="4"/>
  <c r="Z33" i="4"/>
  <c r="X33" i="4"/>
  <c r="Z101" i="4"/>
  <c r="X101" i="4"/>
  <c r="AM79" i="4"/>
  <c r="AO79" i="4"/>
  <c r="AE93" i="4"/>
  <c r="AC93" i="4"/>
  <c r="AJ50" i="4"/>
  <c r="AH50" i="4"/>
  <c r="AC77" i="4"/>
  <c r="AE77" i="4"/>
  <c r="AH9" i="4"/>
  <c r="AJ9" i="4"/>
  <c r="AC57" i="4"/>
  <c r="AE57" i="4"/>
  <c r="Z51" i="4"/>
  <c r="X51" i="4"/>
  <c r="AO82" i="4"/>
  <c r="AM82" i="4"/>
  <c r="AO23" i="4"/>
  <c r="AM23" i="4"/>
  <c r="X9" i="4"/>
  <c r="Z9" i="4"/>
  <c r="AM99" i="4"/>
  <c r="AO99" i="4"/>
  <c r="AJ78" i="4"/>
  <c r="AH78" i="4"/>
  <c r="AM89" i="4"/>
  <c r="AO89" i="4"/>
  <c r="AE48" i="4"/>
  <c r="AC48" i="4"/>
  <c r="AM68" i="4"/>
  <c r="AO68" i="4"/>
  <c r="AO33" i="4"/>
  <c r="AM33" i="4"/>
  <c r="Z2" i="4"/>
  <c r="X2" i="4"/>
  <c r="AM94" i="4"/>
  <c r="AO94" i="4"/>
  <c r="X75" i="4"/>
  <c r="Z75" i="4"/>
  <c r="AM81" i="4"/>
  <c r="AO81" i="4"/>
  <c r="AO43" i="4"/>
  <c r="AM43" i="4"/>
  <c r="AO47" i="4"/>
  <c r="AM47" i="4"/>
  <c r="Z29" i="4"/>
  <c r="X29" i="4"/>
  <c r="AM10" i="4"/>
  <c r="AO10" i="4"/>
  <c r="AE98" i="4"/>
  <c r="AC98" i="4"/>
  <c r="Z77" i="4"/>
  <c r="X77" i="4"/>
  <c r="AO86" i="4"/>
  <c r="AM86" i="4"/>
  <c r="AO45" i="4"/>
  <c r="AM45" i="4"/>
  <c r="AE61" i="4"/>
  <c r="AC61" i="4"/>
  <c r="AC24" i="4"/>
  <c r="AE24" i="4"/>
  <c r="AE100" i="4"/>
  <c r="AC100" i="4"/>
  <c r="AJ48" i="4"/>
  <c r="AH48" i="4"/>
  <c r="AE75" i="4"/>
  <c r="AC75" i="4"/>
  <c r="AO19" i="4"/>
  <c r="AM19" i="4"/>
  <c r="AH5" i="4"/>
  <c r="AJ5" i="4"/>
  <c r="AJ95" i="4"/>
  <c r="AH95" i="4"/>
  <c r="AJ75" i="4"/>
  <c r="AH75" i="4"/>
  <c r="Z83" i="4"/>
  <c r="X83" i="4"/>
  <c r="AH44" i="4"/>
  <c r="AJ44" i="4"/>
  <c r="AO48" i="4"/>
  <c r="AM48" i="4"/>
  <c r="Z30" i="4"/>
  <c r="X30" i="4"/>
  <c r="X13" i="4"/>
  <c r="Z13" i="4"/>
  <c r="AM90" i="4"/>
  <c r="AO90" i="4"/>
  <c r="AJ70" i="4"/>
  <c r="AH70" i="4"/>
  <c r="AH72" i="4"/>
  <c r="AJ72" i="4"/>
  <c r="AC39" i="4"/>
  <c r="AE39" i="4"/>
  <c r="AH40" i="4"/>
  <c r="AJ40" i="4"/>
  <c r="Z25" i="4"/>
  <c r="X25" i="4"/>
  <c r="AC18" i="4"/>
  <c r="AE18" i="4"/>
  <c r="AE94" i="4"/>
  <c r="AC94" i="4"/>
  <c r="AH74" i="4"/>
  <c r="AJ74" i="4"/>
  <c r="X80" i="4"/>
  <c r="Z80" i="4"/>
  <c r="AH42" i="4"/>
  <c r="AJ42" i="4"/>
  <c r="AH46" i="4"/>
  <c r="AJ46" i="4"/>
  <c r="AM39" i="4"/>
  <c r="AO39" i="4"/>
  <c r="AM95" i="4"/>
  <c r="AO95" i="4"/>
  <c r="Z41" i="4"/>
  <c r="X41" i="4"/>
  <c r="AH67" i="4"/>
  <c r="AJ67" i="4"/>
  <c r="AE14" i="4"/>
  <c r="AC14" i="4"/>
  <c r="AJ80" i="4"/>
  <c r="AH80" i="4"/>
  <c r="AJ91" i="4"/>
  <c r="AH91" i="4"/>
  <c r="X71" i="4"/>
  <c r="Z71" i="4"/>
  <c r="AJ73" i="4"/>
  <c r="AH73" i="4"/>
  <c r="Z40" i="4"/>
  <c r="X40" i="4"/>
  <c r="AJ41" i="4"/>
  <c r="AH41" i="4"/>
  <c r="Z26" i="4"/>
  <c r="X26" i="4"/>
  <c r="AC20" i="4"/>
  <c r="AE20" i="4"/>
  <c r="X66" i="4"/>
  <c r="Z66" i="4"/>
  <c r="AE68" i="4"/>
  <c r="AC68" i="4"/>
  <c r="AJ98" i="4"/>
  <c r="AH98" i="4"/>
  <c r="AJ39" i="4"/>
  <c r="AH39" i="4"/>
  <c r="AH17" i="4"/>
  <c r="AJ17" i="4"/>
  <c r="Z4" i="4"/>
  <c r="X4" i="4"/>
  <c r="Z6" i="4"/>
  <c r="X6" i="4"/>
  <c r="AJ68" i="4"/>
  <c r="AH68" i="4"/>
  <c r="AO72" i="4"/>
  <c r="AM72" i="4"/>
  <c r="AO51" i="4"/>
  <c r="AM51" i="4"/>
  <c r="AC43" i="4"/>
  <c r="AE43" i="4"/>
  <c r="AH20" i="4"/>
  <c r="AJ20" i="4"/>
  <c r="Z97" i="4"/>
  <c r="X97" i="4"/>
  <c r="AJ76" i="4"/>
  <c r="AH76" i="4"/>
  <c r="AJ85" i="4"/>
  <c r="AH85" i="4"/>
  <c r="AC45" i="4"/>
  <c r="AE45" i="4"/>
  <c r="X50" i="4"/>
  <c r="Z50" i="4"/>
  <c r="Z31" i="4"/>
  <c r="X31" i="4"/>
  <c r="AO66" i="4"/>
  <c r="AM66" i="4"/>
  <c r="AJ69" i="4"/>
  <c r="AH69" i="4"/>
  <c r="AM100" i="4"/>
  <c r="AO100" i="4"/>
  <c r="AO40" i="4"/>
  <c r="AM40" i="4"/>
  <c r="AH18" i="4"/>
  <c r="AJ18" i="4"/>
  <c r="AH4" i="4"/>
  <c r="AJ4" i="4"/>
  <c r="AM3" i="4"/>
  <c r="AO3" i="4"/>
  <c r="AC84" i="4"/>
  <c r="AE84" i="4"/>
  <c r="Z91" i="4"/>
  <c r="X91" i="4"/>
  <c r="AO61" i="4"/>
  <c r="AM61" i="4"/>
  <c r="AJ82" i="4"/>
  <c r="AH82" i="4"/>
  <c r="AH29" i="4"/>
  <c r="AJ29" i="4"/>
  <c r="AE17" i="4"/>
  <c r="AC17" i="4"/>
  <c r="AH57" i="4"/>
  <c r="AJ57" i="4"/>
  <c r="AJ86" i="4"/>
  <c r="AH86" i="4"/>
  <c r="AM96" i="4"/>
  <c r="AO96" i="4"/>
  <c r="AM65" i="4"/>
  <c r="AO65" i="4"/>
  <c r="AH34" i="4"/>
  <c r="AJ34" i="4"/>
  <c r="X34" i="4"/>
  <c r="Z34" i="4"/>
  <c r="AO32" i="4"/>
  <c r="AM32" i="4"/>
  <c r="AM84" i="4"/>
  <c r="AO84" i="4"/>
  <c r="AC33" i="4"/>
  <c r="AE33" i="4"/>
  <c r="Z58" i="4"/>
  <c r="X58" i="4"/>
  <c r="X5" i="4"/>
  <c r="Z5" i="4"/>
  <c r="AE46" i="4"/>
  <c r="AC46" i="4"/>
  <c r="AC85" i="4"/>
  <c r="AE85" i="4"/>
  <c r="AE92" i="4"/>
  <c r="AC92" i="4"/>
  <c r="AJ62" i="4"/>
  <c r="AH62" i="4"/>
  <c r="Z96" i="4"/>
  <c r="X96" i="4"/>
  <c r="AH30" i="4"/>
  <c r="AJ30" i="4"/>
  <c r="Z18" i="4"/>
  <c r="X18" i="4"/>
  <c r="AH49" i="4"/>
  <c r="AJ49" i="4"/>
  <c r="AO74" i="4"/>
  <c r="AM74" i="4"/>
  <c r="X82" i="4"/>
  <c r="Z82" i="4"/>
  <c r="Z56" i="4"/>
  <c r="X56" i="4"/>
  <c r="AE56" i="4"/>
  <c r="AC56" i="4"/>
  <c r="AH25" i="4"/>
  <c r="AJ25" i="4"/>
  <c r="AE10" i="4"/>
  <c r="AC10" i="4"/>
  <c r="Z28" i="4"/>
  <c r="X28" i="4"/>
  <c r="AJ83" i="4"/>
  <c r="AH83" i="4"/>
  <c r="AM88" i="4"/>
  <c r="AO88" i="4"/>
  <c r="X61" i="4"/>
  <c r="Z61" i="4"/>
  <c r="AC78" i="4"/>
  <c r="AE78" i="4"/>
  <c r="AH28" i="4"/>
  <c r="AJ28" i="4"/>
  <c r="AC9" i="4"/>
  <c r="AE9" i="4"/>
  <c r="AH81" i="4"/>
  <c r="AJ81" i="4"/>
  <c r="AM98" i="4"/>
  <c r="AO98" i="4"/>
  <c r="AC53" i="4"/>
  <c r="AE53" i="4"/>
  <c r="AJ99" i="4"/>
  <c r="AH99" i="4"/>
  <c r="AC41" i="4"/>
  <c r="AE41" i="4"/>
  <c r="Z76" i="4"/>
  <c r="X76" i="4"/>
  <c r="AJ84" i="4"/>
  <c r="AH84" i="4"/>
  <c r="AH56" i="4"/>
  <c r="AJ56" i="4"/>
  <c r="AC62" i="4"/>
  <c r="AE62" i="4"/>
  <c r="AH26" i="4"/>
  <c r="AJ26" i="4"/>
  <c r="X11" i="4"/>
  <c r="Z11" i="4"/>
  <c r="AH31" i="4"/>
  <c r="AJ31" i="4"/>
  <c r="AO71" i="4"/>
  <c r="AM71" i="4"/>
  <c r="AO73" i="4"/>
  <c r="AM73" i="4"/>
  <c r="AE52" i="4"/>
  <c r="AC52" i="4"/>
  <c r="AO44" i="4"/>
  <c r="AM44" i="4"/>
  <c r="AH21" i="4"/>
  <c r="AJ21" i="4"/>
  <c r="AJ6" i="4"/>
  <c r="AH6" i="4"/>
  <c r="Z20" i="4"/>
  <c r="X20" i="4"/>
  <c r="Z74" i="4"/>
  <c r="X74" i="4"/>
  <c r="Z81" i="4"/>
  <c r="X81" i="4"/>
  <c r="AC55" i="4"/>
  <c r="AE55" i="4"/>
  <c r="AH53" i="4"/>
  <c r="AJ53" i="4"/>
  <c r="AH24" i="4"/>
  <c r="AJ24" i="4"/>
  <c r="AJ100" i="4"/>
  <c r="AH100" i="4"/>
  <c r="Z79" i="4"/>
  <c r="X79" i="4"/>
  <c r="Z92" i="4"/>
  <c r="X92" i="4"/>
  <c r="X49" i="4"/>
  <c r="Z49" i="4"/>
  <c r="X73" i="4"/>
  <c r="Z73" i="4"/>
  <c r="AO34" i="4"/>
  <c r="AM34" i="4"/>
  <c r="AC72" i="4"/>
  <c r="AE72" i="4"/>
  <c r="AO75" i="4"/>
  <c r="AM75" i="4"/>
  <c r="X53" i="4"/>
  <c r="Z53" i="4"/>
  <c r="X47" i="4"/>
  <c r="Z47" i="4"/>
  <c r="AH22" i="4"/>
  <c r="AJ22" i="4"/>
  <c r="AE7" i="4"/>
  <c r="AC7" i="4"/>
  <c r="AE16" i="4"/>
  <c r="AC16" i="4"/>
  <c r="P6" i="8"/>
  <c r="T6" i="8" s="1"/>
  <c r="O6" i="8"/>
  <c r="P12" i="8"/>
  <c r="T12" i="8" s="1"/>
  <c r="AI6" i="9"/>
  <c r="AJ6" i="9"/>
  <c r="AI11" i="9"/>
  <c r="AJ11" i="9"/>
  <c r="AI7" i="9"/>
  <c r="AJ7" i="9"/>
  <c r="AI9" i="9"/>
  <c r="AJ9" i="9"/>
  <c r="AI10" i="9"/>
  <c r="AJ10" i="9"/>
  <c r="AI8" i="9"/>
  <c r="AJ8" i="9"/>
  <c r="BI3" i="5"/>
  <c r="BL3" i="5"/>
  <c r="U19" i="4"/>
  <c r="U55" i="4"/>
  <c r="U12" i="4"/>
  <c r="U7" i="4"/>
  <c r="U36" i="4"/>
  <c r="U60" i="4"/>
  <c r="U57" i="4"/>
  <c r="U24" i="4"/>
  <c r="U67" i="4"/>
  <c r="U52" i="4"/>
  <c r="U86" i="4"/>
  <c r="U20" i="4"/>
  <c r="U31" i="4"/>
  <c r="U80" i="4"/>
  <c r="U46" i="4"/>
  <c r="U34" i="4"/>
  <c r="U78" i="4"/>
  <c r="U69" i="4"/>
  <c r="U76" i="4"/>
  <c r="U93" i="4"/>
  <c r="U62" i="4"/>
  <c r="U77" i="4"/>
  <c r="U47" i="4"/>
  <c r="U72" i="4"/>
  <c r="U79" i="4"/>
  <c r="U51" i="4"/>
  <c r="U18" i="4"/>
  <c r="U13" i="4"/>
  <c r="U44" i="4"/>
  <c r="U10" i="4"/>
  <c r="U84" i="4"/>
  <c r="U30" i="4"/>
  <c r="U61" i="4"/>
  <c r="U16" i="4"/>
  <c r="U45" i="4"/>
  <c r="U14" i="4"/>
  <c r="U92" i="4"/>
  <c r="U73" i="4"/>
  <c r="U11" i="4"/>
  <c r="U8" i="4"/>
  <c r="U75" i="4"/>
  <c r="U42" i="4"/>
  <c r="U100" i="4"/>
  <c r="U48" i="4"/>
  <c r="U88" i="4"/>
  <c r="U82" i="4"/>
  <c r="U40" i="4"/>
  <c r="U38" i="4"/>
  <c r="U89" i="4"/>
  <c r="U71" i="4"/>
  <c r="U35" i="4"/>
  <c r="U83" i="4"/>
  <c r="U90" i="4"/>
  <c r="U66" i="4"/>
  <c r="U43" i="4"/>
  <c r="U85" i="4"/>
  <c r="U94" i="4"/>
  <c r="U70" i="4"/>
  <c r="U22" i="4"/>
  <c r="U96" i="4"/>
  <c r="U49" i="4"/>
  <c r="U25" i="4"/>
  <c r="U53" i="4"/>
  <c r="U81" i="4"/>
  <c r="U95" i="4"/>
  <c r="U28" i="4"/>
  <c r="U54" i="4"/>
  <c r="U17" i="4"/>
  <c r="U98" i="4"/>
  <c r="U26" i="4"/>
  <c r="U23" i="4"/>
  <c r="U6" i="4"/>
  <c r="U27" i="4"/>
  <c r="U37" i="4"/>
  <c r="U63" i="4"/>
  <c r="U91" i="4"/>
  <c r="U87" i="4"/>
  <c r="U99" i="4"/>
  <c r="U15" i="4"/>
  <c r="U65" i="4"/>
  <c r="U59" i="4"/>
  <c r="U97" i="4"/>
  <c r="U58" i="4"/>
  <c r="U101" i="4"/>
  <c r="U29" i="4"/>
  <c r="U56" i="4"/>
  <c r="U21" i="4"/>
  <c r="U33" i="4"/>
  <c r="U64" i="4"/>
  <c r="U50" i="4"/>
  <c r="U32" i="4"/>
  <c r="U41" i="4"/>
  <c r="U68" i="4"/>
  <c r="U4" i="4"/>
  <c r="U74" i="4"/>
  <c r="U5" i="4"/>
  <c r="U9" i="4"/>
  <c r="U39" i="4"/>
  <c r="BE3" i="5"/>
  <c r="R6" i="8"/>
  <c r="BO7" i="5" l="1"/>
  <c r="BO147" i="5"/>
  <c r="BO215" i="5"/>
  <c r="BO99" i="5"/>
  <c r="BO39" i="5"/>
  <c r="BO227" i="5"/>
  <c r="BO307" i="5"/>
  <c r="BO43" i="5"/>
  <c r="BO155" i="5"/>
  <c r="BO247" i="5"/>
  <c r="BO259" i="5"/>
  <c r="BO295" i="5"/>
  <c r="BO359" i="5"/>
  <c r="BO271" i="5"/>
  <c r="BO103" i="5"/>
  <c r="BO263" i="5"/>
  <c r="BO143" i="5"/>
  <c r="BO107" i="5"/>
  <c r="BO187" i="5"/>
  <c r="BO183" i="5"/>
  <c r="BO199" i="5"/>
  <c r="BO163" i="5"/>
  <c r="BO311" i="5"/>
  <c r="BO123" i="5"/>
  <c r="BO115" i="5"/>
  <c r="BO87" i="5"/>
  <c r="BO387" i="5"/>
  <c r="BO71" i="5"/>
  <c r="BO159" i="5"/>
  <c r="BO399" i="5"/>
  <c r="BO339" i="5"/>
  <c r="BO367" i="5"/>
  <c r="BO275" i="5"/>
  <c r="BO327" i="5"/>
  <c r="BO27" i="5"/>
  <c r="BO347" i="5"/>
  <c r="BO75" i="5"/>
  <c r="BO351" i="5"/>
  <c r="BO59" i="5"/>
  <c r="BO211" i="5"/>
  <c r="BO319" i="5"/>
  <c r="BO179" i="5"/>
  <c r="BO403" i="5"/>
  <c r="BO191" i="5"/>
  <c r="BO83" i="5"/>
  <c r="BO355" i="5"/>
  <c r="BO343" i="5"/>
  <c r="BO299" i="5"/>
  <c r="BO283" i="5"/>
  <c r="BO47" i="5"/>
  <c r="BO203" i="5"/>
  <c r="BO323" i="5"/>
  <c r="BO223" i="5"/>
  <c r="BO67" i="5"/>
  <c r="BO243" i="5"/>
  <c r="BO31" i="5"/>
  <c r="BO55" i="5"/>
  <c r="BO251" i="5"/>
  <c r="BO135" i="5"/>
  <c r="BO51" i="5"/>
  <c r="BO331" i="5"/>
  <c r="BO195" i="5"/>
  <c r="BO235" i="5"/>
  <c r="BO379" i="5"/>
  <c r="BO167" i="5"/>
  <c r="BO267" i="5"/>
  <c r="BO119" i="5"/>
  <c r="BO111" i="5"/>
  <c r="BO231" i="5"/>
  <c r="BO363" i="5"/>
  <c r="BO35" i="5"/>
  <c r="BO375" i="5"/>
  <c r="BO255" i="5"/>
  <c r="BO175" i="5"/>
  <c r="BO131" i="5"/>
  <c r="BO279" i="5"/>
  <c r="BO219" i="5"/>
  <c r="BO291" i="5"/>
  <c r="BO19" i="5"/>
  <c r="BO207" i="5"/>
  <c r="BO239" i="5"/>
  <c r="BO11" i="5"/>
  <c r="BO63" i="5"/>
  <c r="BO139" i="5"/>
  <c r="BO335" i="5"/>
  <c r="BO79" i="5"/>
  <c r="BO371" i="5"/>
  <c r="BO95" i="5"/>
  <c r="BO395" i="5"/>
  <c r="BO315" i="5"/>
  <c r="BO287" i="5"/>
  <c r="BO171" i="5"/>
  <c r="BO127" i="5"/>
  <c r="BO391" i="5"/>
  <c r="BO91" i="5"/>
  <c r="BO151" i="5"/>
  <c r="BO303" i="5"/>
  <c r="BO383" i="5"/>
  <c r="BO15" i="5"/>
  <c r="BO23" i="5"/>
  <c r="AP101" i="4"/>
  <c r="R12" i="8"/>
  <c r="S12" i="8" s="1"/>
  <c r="V12" i="8" s="1"/>
  <c r="O12" i="8"/>
  <c r="Q12" i="8" s="1"/>
  <c r="Q6" i="8"/>
  <c r="AD16" i="4"/>
  <c r="AF16" i="4"/>
  <c r="Y81" i="4"/>
  <c r="AA81" i="4"/>
  <c r="AD52" i="4"/>
  <c r="AF52" i="4"/>
  <c r="AI84" i="4"/>
  <c r="AK84" i="4"/>
  <c r="AD10" i="4"/>
  <c r="AF10" i="4"/>
  <c r="AK62" i="4"/>
  <c r="AI62" i="4"/>
  <c r="AN61" i="4"/>
  <c r="AP61" i="4"/>
  <c r="AK69" i="4"/>
  <c r="AI69" i="4"/>
  <c r="AI76" i="4"/>
  <c r="AK76" i="4"/>
  <c r="AK68" i="4"/>
  <c r="AI68" i="4"/>
  <c r="AI39" i="4"/>
  <c r="AK39" i="4"/>
  <c r="Y26" i="4"/>
  <c r="AA26" i="4"/>
  <c r="AA40" i="4"/>
  <c r="Y40" i="4"/>
  <c r="AK80" i="4"/>
  <c r="AI80" i="4"/>
  <c r="AF94" i="4"/>
  <c r="AD94" i="4"/>
  <c r="AA25" i="4"/>
  <c r="Y25" i="4"/>
  <c r="AK70" i="4"/>
  <c r="AI70" i="4"/>
  <c r="AN48" i="4"/>
  <c r="AP48" i="4"/>
  <c r="Y83" i="4"/>
  <c r="AA83" i="4"/>
  <c r="AI95" i="4"/>
  <c r="AK95" i="4"/>
  <c r="AN19" i="4"/>
  <c r="AP19" i="4"/>
  <c r="AK48" i="4"/>
  <c r="AI48" i="4"/>
  <c r="AN45" i="4"/>
  <c r="AP45" i="4"/>
  <c r="Y77" i="4"/>
  <c r="AA77" i="4"/>
  <c r="AN47" i="4"/>
  <c r="AP47" i="4"/>
  <c r="AN33" i="4"/>
  <c r="AP33" i="4"/>
  <c r="AD48" i="4"/>
  <c r="AF48" i="4"/>
  <c r="AI78" i="4"/>
  <c r="AK78" i="4"/>
  <c r="AP82" i="4"/>
  <c r="AN82" i="4"/>
  <c r="AF93" i="4"/>
  <c r="AD93" i="4"/>
  <c r="Y101" i="4"/>
  <c r="AA101" i="4"/>
  <c r="AK64" i="4"/>
  <c r="AI64" i="4"/>
  <c r="AI87" i="4"/>
  <c r="AK87" i="4"/>
  <c r="Y22" i="4"/>
  <c r="AA22" i="4"/>
  <c r="AK101" i="4"/>
  <c r="AI101" i="4"/>
  <c r="AA55" i="4"/>
  <c r="Y55" i="4"/>
  <c r="AF90" i="4"/>
  <c r="AD90" i="4"/>
  <c r="AA21" i="4"/>
  <c r="Y21" i="4"/>
  <c r="Y100" i="4"/>
  <c r="AA100" i="4"/>
  <c r="AK45" i="4"/>
  <c r="AI45" i="4"/>
  <c r="AN55" i="4"/>
  <c r="AP55" i="4"/>
  <c r="AA16" i="4"/>
  <c r="Y16" i="4"/>
  <c r="AF96" i="4"/>
  <c r="AD96" i="4"/>
  <c r="AN64" i="4"/>
  <c r="AP64" i="4"/>
  <c r="AD6" i="4"/>
  <c r="AF6" i="4"/>
  <c r="AD2" i="4"/>
  <c r="AF2" i="4"/>
  <c r="AD54" i="4"/>
  <c r="AF54" i="4"/>
  <c r="AF83" i="4"/>
  <c r="AD83" i="4"/>
  <c r="AN9" i="4"/>
  <c r="AP9" i="4"/>
  <c r="AF71" i="4"/>
  <c r="AD71" i="4"/>
  <c r="AN42" i="4"/>
  <c r="AP42" i="4"/>
  <c r="AA65" i="4"/>
  <c r="Y65" i="4"/>
  <c r="AA14" i="4"/>
  <c r="Y14" i="4"/>
  <c r="AK66" i="4"/>
  <c r="AI66" i="4"/>
  <c r="AF95" i="4"/>
  <c r="AD95" i="4"/>
  <c r="AF73" i="4"/>
  <c r="AD73" i="4"/>
  <c r="AD15" i="4"/>
  <c r="AF15" i="4"/>
  <c r="Y43" i="4"/>
  <c r="AA43" i="4"/>
  <c r="AD5" i="4"/>
  <c r="AF5" i="4"/>
  <c r="AI60" i="4"/>
  <c r="AK60" i="4"/>
  <c r="Y94" i="4"/>
  <c r="AA94" i="4"/>
  <c r="AI90" i="4"/>
  <c r="AK90" i="4"/>
  <c r="AN27" i="4"/>
  <c r="AP27" i="4"/>
  <c r="Y24" i="4"/>
  <c r="AA24" i="4"/>
  <c r="AN53" i="4"/>
  <c r="AP53" i="4"/>
  <c r="AN13" i="4"/>
  <c r="AP13" i="4"/>
  <c r="AF81" i="4"/>
  <c r="AD81" i="4"/>
  <c r="AI94" i="4"/>
  <c r="AK94" i="4"/>
  <c r="AK16" i="4"/>
  <c r="AI16" i="4"/>
  <c r="AD8" i="4"/>
  <c r="AF8" i="4"/>
  <c r="AI79" i="4"/>
  <c r="AK79" i="4"/>
  <c r="AN56" i="4"/>
  <c r="AP56" i="4"/>
  <c r="AN31" i="4"/>
  <c r="AP31" i="4"/>
  <c r="AD63" i="4"/>
  <c r="AF63" i="4"/>
  <c r="AP24" i="4"/>
  <c r="AN24" i="4"/>
  <c r="Y52" i="4"/>
  <c r="AA52" i="4"/>
  <c r="AI77" i="4"/>
  <c r="AK77" i="4"/>
  <c r="AF97" i="4"/>
  <c r="AD97" i="4"/>
  <c r="AP26" i="4"/>
  <c r="AN26" i="4"/>
  <c r="AA57" i="4"/>
  <c r="Y57" i="4"/>
  <c r="AA23" i="4"/>
  <c r="Y23" i="4"/>
  <c r="AK14" i="4"/>
  <c r="AI14" i="4"/>
  <c r="AI89" i="4"/>
  <c r="AK89" i="4"/>
  <c r="Y88" i="4"/>
  <c r="AA88" i="4"/>
  <c r="AN25" i="4"/>
  <c r="AP25" i="4"/>
  <c r="AN54" i="4"/>
  <c r="AP54" i="4"/>
  <c r="AN15" i="4"/>
  <c r="AP15" i="4"/>
  <c r="Y95" i="4"/>
  <c r="AA95" i="4"/>
  <c r="AD44" i="4"/>
  <c r="AF44" i="4"/>
  <c r="Y93" i="4"/>
  <c r="AA93" i="4"/>
  <c r="AD66" i="4"/>
  <c r="AF66" i="4"/>
  <c r="AA63" i="4"/>
  <c r="Y63" i="4"/>
  <c r="AK43" i="4"/>
  <c r="AI43" i="4"/>
  <c r="AP18" i="4"/>
  <c r="AN18" i="4"/>
  <c r="AD13" i="4"/>
  <c r="AF13" i="4"/>
  <c r="AK54" i="4"/>
  <c r="AI54" i="4"/>
  <c r="AN17" i="4"/>
  <c r="AP17" i="4"/>
  <c r="AA45" i="4"/>
  <c r="Y45" i="4"/>
  <c r="Y92" i="4"/>
  <c r="AA92" i="4"/>
  <c r="Y20" i="4"/>
  <c r="AA20" i="4"/>
  <c r="AP71" i="4"/>
  <c r="AN71" i="4"/>
  <c r="AI83" i="4"/>
  <c r="AK83" i="4"/>
  <c r="AD56" i="4"/>
  <c r="AF56" i="4"/>
  <c r="AP32" i="4"/>
  <c r="AN32" i="4"/>
  <c r="AN40" i="4"/>
  <c r="AP40" i="4"/>
  <c r="AA31" i="4"/>
  <c r="Y31" i="4"/>
  <c r="AN51" i="4"/>
  <c r="AP51" i="4"/>
  <c r="AA4" i="4"/>
  <c r="Y4" i="4"/>
  <c r="AD68" i="4"/>
  <c r="AF68" i="4"/>
  <c r="AK22" i="4"/>
  <c r="AI22" i="4"/>
  <c r="AA53" i="4"/>
  <c r="Y53" i="4"/>
  <c r="AF72" i="4"/>
  <c r="AD72" i="4"/>
  <c r="Y73" i="4"/>
  <c r="AA73" i="4"/>
  <c r="AK53" i="4"/>
  <c r="AI53" i="4"/>
  <c r="AK21" i="4"/>
  <c r="AI21" i="4"/>
  <c r="AA11" i="4"/>
  <c r="Y11" i="4"/>
  <c r="AD62" i="4"/>
  <c r="AF62" i="4"/>
  <c r="AF41" i="4"/>
  <c r="AD41" i="4"/>
  <c r="AD53" i="4"/>
  <c r="AF53" i="4"/>
  <c r="AI81" i="4"/>
  <c r="AK81" i="4"/>
  <c r="AK28" i="4"/>
  <c r="AI28" i="4"/>
  <c r="AA61" i="4"/>
  <c r="Y61" i="4"/>
  <c r="Y82" i="4"/>
  <c r="AA82" i="4"/>
  <c r="AK49" i="4"/>
  <c r="AI49" i="4"/>
  <c r="AK30" i="4"/>
  <c r="AI30" i="4"/>
  <c r="AF85" i="4"/>
  <c r="AD85" i="4"/>
  <c r="AA5" i="4"/>
  <c r="Y5" i="4"/>
  <c r="AD33" i="4"/>
  <c r="AF33" i="4"/>
  <c r="AK34" i="4"/>
  <c r="AI34" i="4"/>
  <c r="AP96" i="4"/>
  <c r="AN96" i="4"/>
  <c r="AK57" i="4"/>
  <c r="AI57" i="4"/>
  <c r="AK29" i="4"/>
  <c r="AI29" i="4"/>
  <c r="AF84" i="4"/>
  <c r="AD84" i="4"/>
  <c r="AK4" i="4"/>
  <c r="AI4" i="4"/>
  <c r="AD45" i="4"/>
  <c r="AF45" i="4"/>
  <c r="AK20" i="4"/>
  <c r="AI20" i="4"/>
  <c r="Y71" i="4"/>
  <c r="AA71" i="4"/>
  <c r="AK67" i="4"/>
  <c r="AI67" i="4"/>
  <c r="AN95" i="4"/>
  <c r="AP95" i="4"/>
  <c r="AK46" i="4"/>
  <c r="AI46" i="4"/>
  <c r="Y80" i="4"/>
  <c r="AA80" i="4"/>
  <c r="AD39" i="4"/>
  <c r="AF39" i="4"/>
  <c r="AA13" i="4"/>
  <c r="Y13" i="4"/>
  <c r="AD24" i="4"/>
  <c r="AF24" i="4"/>
  <c r="AN10" i="4"/>
  <c r="AP10" i="4"/>
  <c r="AN81" i="4"/>
  <c r="AP81" i="4"/>
  <c r="AP94" i="4"/>
  <c r="AN94" i="4"/>
  <c r="AA9" i="4"/>
  <c r="Y9" i="4"/>
  <c r="AD57" i="4"/>
  <c r="AF57" i="4"/>
  <c r="AF77" i="4"/>
  <c r="AD77" i="4"/>
  <c r="AF99" i="4"/>
  <c r="AD99" i="4"/>
  <c r="AK36" i="4"/>
  <c r="AI36" i="4"/>
  <c r="AA64" i="4"/>
  <c r="Y64" i="4"/>
  <c r="AN91" i="4"/>
  <c r="AP91" i="4"/>
  <c r="Y38" i="4"/>
  <c r="AA38" i="4"/>
  <c r="AD70" i="4"/>
  <c r="AF70" i="4"/>
  <c r="AK35" i="4"/>
  <c r="AI35" i="4"/>
  <c r="AA17" i="4"/>
  <c r="Y17" i="4"/>
  <c r="Y84" i="4"/>
  <c r="AA84" i="4"/>
  <c r="AD34" i="4"/>
  <c r="AF34" i="4"/>
  <c r="AA44" i="4"/>
  <c r="Y44" i="4"/>
  <c r="AD22" i="4"/>
  <c r="AF22" i="4"/>
  <c r="AD36" i="4"/>
  <c r="AF36" i="4"/>
  <c r="AD23" i="4"/>
  <c r="AF23" i="4"/>
  <c r="AA42" i="4"/>
  <c r="Y42" i="4"/>
  <c r="AI92" i="4"/>
  <c r="AK92" i="4"/>
  <c r="AA7" i="4"/>
  <c r="Y7" i="4"/>
  <c r="AD35" i="4"/>
  <c r="AF35" i="4"/>
  <c r="AK38" i="4"/>
  <c r="AI38" i="4"/>
  <c r="AN63" i="4"/>
  <c r="AP63" i="4"/>
  <c r="AK23" i="4"/>
  <c r="AI23" i="4"/>
  <c r="AA54" i="4"/>
  <c r="Y54" i="4"/>
  <c r="AK65" i="4"/>
  <c r="AI65" i="4"/>
  <c r="AK15" i="4"/>
  <c r="AI15" i="4"/>
  <c r="AP97" i="4"/>
  <c r="AN97" i="4"/>
  <c r="AN14" i="4"/>
  <c r="AP14" i="4"/>
  <c r="AK59" i="4"/>
  <c r="AI59" i="4"/>
  <c r="AF82" i="4"/>
  <c r="AD82" i="4"/>
  <c r="Y86" i="4"/>
  <c r="AA86" i="4"/>
  <c r="AD19" i="4"/>
  <c r="AF19" i="4"/>
  <c r="AK7" i="4"/>
  <c r="AI7" i="4"/>
  <c r="AK55" i="4"/>
  <c r="AI55" i="4"/>
  <c r="AK37" i="4"/>
  <c r="AI37" i="4"/>
  <c r="AN67" i="4"/>
  <c r="AP67" i="4"/>
  <c r="AK61" i="4"/>
  <c r="AI61" i="4"/>
  <c r="AD47" i="4"/>
  <c r="AF47" i="4"/>
  <c r="AF64" i="4"/>
  <c r="AD64" i="4"/>
  <c r="AP77" i="4"/>
  <c r="AN77" i="4"/>
  <c r="AK32" i="4"/>
  <c r="AI32" i="4"/>
  <c r="AP83" i="4"/>
  <c r="AN83" i="4"/>
  <c r="AA15" i="4"/>
  <c r="Y15" i="4"/>
  <c r="AP92" i="4"/>
  <c r="AN92" i="4"/>
  <c r="AK47" i="4"/>
  <c r="AI47" i="4"/>
  <c r="AN69" i="4"/>
  <c r="AP69" i="4"/>
  <c r="AP85" i="4"/>
  <c r="AN85" i="4"/>
  <c r="AN6" i="4"/>
  <c r="AP6" i="4"/>
  <c r="AF76" i="4"/>
  <c r="AD76" i="4"/>
  <c r="AD42" i="4"/>
  <c r="AF42" i="4"/>
  <c r="AK100" i="4"/>
  <c r="AI100" i="4"/>
  <c r="AP75" i="4"/>
  <c r="AN75" i="4"/>
  <c r="Y79" i="4"/>
  <c r="AA79" i="4"/>
  <c r="AK6" i="4"/>
  <c r="AI6" i="4"/>
  <c r="AP73" i="4"/>
  <c r="AN73" i="4"/>
  <c r="AI99" i="4"/>
  <c r="AK99" i="4"/>
  <c r="Y28" i="4"/>
  <c r="AA28" i="4"/>
  <c r="AA56" i="4"/>
  <c r="Y56" i="4"/>
  <c r="AP74" i="4"/>
  <c r="AN74" i="4"/>
  <c r="Y18" i="4"/>
  <c r="AA18" i="4"/>
  <c r="Y96" i="4"/>
  <c r="AA96" i="4"/>
  <c r="AF92" i="4"/>
  <c r="AD92" i="4"/>
  <c r="AD46" i="4"/>
  <c r="AF46" i="4"/>
  <c r="AA58" i="4"/>
  <c r="Y58" i="4"/>
  <c r="AI86" i="4"/>
  <c r="AK86" i="4"/>
  <c r="AD17" i="4"/>
  <c r="AF17" i="4"/>
  <c r="AI82" i="4"/>
  <c r="AK82" i="4"/>
  <c r="Y91" i="4"/>
  <c r="AA91" i="4"/>
  <c r="AN66" i="4"/>
  <c r="AP66" i="4"/>
  <c r="AI85" i="4"/>
  <c r="AK85" i="4"/>
  <c r="Y97" i="4"/>
  <c r="AA97" i="4"/>
  <c r="AP72" i="4"/>
  <c r="AN72" i="4"/>
  <c r="AA6" i="4"/>
  <c r="Y6" i="4"/>
  <c r="AI98" i="4"/>
  <c r="AK98" i="4"/>
  <c r="AK41" i="4"/>
  <c r="AI41" i="4"/>
  <c r="AI73" i="4"/>
  <c r="AK73" i="4"/>
  <c r="AI91" i="4"/>
  <c r="AK91" i="4"/>
  <c r="AD14" i="4"/>
  <c r="AF14" i="4"/>
  <c r="Y41" i="4"/>
  <c r="AA41" i="4"/>
  <c r="Y30" i="4"/>
  <c r="AA30" i="4"/>
  <c r="AI75" i="4"/>
  <c r="AK75" i="4"/>
  <c r="AF75" i="4"/>
  <c r="AD75" i="4"/>
  <c r="AF100" i="4"/>
  <c r="AD100" i="4"/>
  <c r="AD61" i="4"/>
  <c r="AF61" i="4"/>
  <c r="AP86" i="4"/>
  <c r="AN86" i="4"/>
  <c r="AD98" i="4"/>
  <c r="AF98" i="4"/>
  <c r="AA29" i="4"/>
  <c r="Y29" i="4"/>
  <c r="AN43" i="4"/>
  <c r="AP43" i="4"/>
  <c r="AA2" i="4"/>
  <c r="Y2" i="4"/>
  <c r="AN23" i="4"/>
  <c r="AP23" i="4"/>
  <c r="AA51" i="4"/>
  <c r="Y51" i="4"/>
  <c r="AK50" i="4"/>
  <c r="AI50" i="4"/>
  <c r="AA33" i="4"/>
  <c r="Y33" i="4"/>
  <c r="AN46" i="4"/>
  <c r="AP46" i="4"/>
  <c r="Y78" i="4"/>
  <c r="AA78" i="4"/>
  <c r="AA10" i="4"/>
  <c r="Y10" i="4"/>
  <c r="AP38" i="4"/>
  <c r="AN38" i="4"/>
  <c r="AA69" i="4"/>
  <c r="Y69" i="4"/>
  <c r="AA67" i="4"/>
  <c r="Y67" i="4"/>
  <c r="Y87" i="4"/>
  <c r="AA87" i="4"/>
  <c r="AD3" i="4"/>
  <c r="AF3" i="4"/>
  <c r="AD4" i="4"/>
  <c r="AF4" i="4"/>
  <c r="Y32" i="4"/>
  <c r="AA32" i="4"/>
  <c r="AN35" i="4"/>
  <c r="AP35" i="4"/>
  <c r="Y46" i="4"/>
  <c r="AA46" i="4"/>
  <c r="AK52" i="4"/>
  <c r="AI52" i="4"/>
  <c r="AN60" i="4"/>
  <c r="AP60" i="4"/>
  <c r="AF91" i="4"/>
  <c r="AD91" i="4"/>
  <c r="AD67" i="4"/>
  <c r="AF67" i="4"/>
  <c r="AD38" i="4"/>
  <c r="AF38" i="4"/>
  <c r="AF79" i="4"/>
  <c r="AD79" i="4"/>
  <c r="AN50" i="4"/>
  <c r="AP50" i="4"/>
  <c r="Y90" i="4"/>
  <c r="AA90" i="4"/>
  <c r="AF89" i="4"/>
  <c r="AD89" i="4"/>
  <c r="AA70" i="4"/>
  <c r="Y70" i="4"/>
  <c r="AD11" i="4"/>
  <c r="AF11" i="4"/>
  <c r="AA39" i="4"/>
  <c r="Y39" i="4"/>
  <c r="AA8" i="4"/>
  <c r="Y8" i="4"/>
  <c r="AN37" i="4"/>
  <c r="AP37" i="4"/>
  <c r="AN52" i="4"/>
  <c r="AP52" i="4"/>
  <c r="AF88" i="4"/>
  <c r="AD88" i="4"/>
  <c r="Y60" i="4"/>
  <c r="AA60" i="4"/>
  <c r="AF101" i="4"/>
  <c r="AD101" i="4"/>
  <c r="AP36" i="4"/>
  <c r="AN36" i="4"/>
  <c r="AP22" i="4"/>
  <c r="AN22" i="4"/>
  <c r="AD50" i="4"/>
  <c r="AF50" i="4"/>
  <c r="AA19" i="4"/>
  <c r="Y19" i="4"/>
  <c r="AI93" i="4"/>
  <c r="AK93" i="4"/>
  <c r="AN11" i="4"/>
  <c r="AP11" i="4"/>
  <c r="AN57" i="4"/>
  <c r="AP57" i="4"/>
  <c r="AN59" i="4"/>
  <c r="AP59" i="4"/>
  <c r="AN21" i="4"/>
  <c r="AP21" i="4"/>
  <c r="AN49" i="4"/>
  <c r="AP49" i="4"/>
  <c r="AN7" i="4"/>
  <c r="AP7" i="4"/>
  <c r="AD69" i="4"/>
  <c r="AF69" i="4"/>
  <c r="Y89" i="4"/>
  <c r="AA89" i="4"/>
  <c r="AP28" i="4"/>
  <c r="AN28" i="4"/>
  <c r="AD60" i="4"/>
  <c r="AF60" i="4"/>
  <c r="AA12" i="4"/>
  <c r="Y12" i="4"/>
  <c r="AD58" i="4"/>
  <c r="AF58" i="4"/>
  <c r="AP30" i="4"/>
  <c r="AN30" i="4"/>
  <c r="AN62" i="4"/>
  <c r="AP62" i="4"/>
  <c r="AA27" i="4"/>
  <c r="Y27" i="4"/>
  <c r="AN41" i="4"/>
  <c r="AP41" i="4"/>
  <c r="AI71" i="4"/>
  <c r="AK71" i="4"/>
  <c r="AI97" i="4"/>
  <c r="AK97" i="4"/>
  <c r="AD65" i="4"/>
  <c r="AF65" i="4"/>
  <c r="AN29" i="4"/>
  <c r="AP29" i="4"/>
  <c r="AD12" i="4"/>
  <c r="AF12" i="4"/>
  <c r="Y99" i="4"/>
  <c r="AA99" i="4"/>
  <c r="AN58" i="4"/>
  <c r="AP58" i="4"/>
  <c r="AP78" i="4"/>
  <c r="AN78" i="4"/>
  <c r="AP20" i="4"/>
  <c r="AN20" i="4"/>
  <c r="Y72" i="4"/>
  <c r="AA72" i="4"/>
  <c r="Y98" i="4"/>
  <c r="AA98" i="4"/>
  <c r="AF7" i="4"/>
  <c r="AD7" i="4"/>
  <c r="AP34" i="4"/>
  <c r="AN34" i="4"/>
  <c r="Y74" i="4"/>
  <c r="AA74" i="4"/>
  <c r="AN44" i="4"/>
  <c r="AP44" i="4"/>
  <c r="Y76" i="4"/>
  <c r="AA76" i="4"/>
  <c r="AA47" i="4"/>
  <c r="Y47" i="4"/>
  <c r="Y49" i="4"/>
  <c r="AA49" i="4"/>
  <c r="AK24" i="4"/>
  <c r="AI24" i="4"/>
  <c r="AD55" i="4"/>
  <c r="AF55" i="4"/>
  <c r="AK31" i="4"/>
  <c r="AI31" i="4"/>
  <c r="AK26" i="4"/>
  <c r="AI26" i="4"/>
  <c r="AK56" i="4"/>
  <c r="AI56" i="4"/>
  <c r="AP98" i="4"/>
  <c r="AN98" i="4"/>
  <c r="AF9" i="4"/>
  <c r="AD9" i="4"/>
  <c r="AF78" i="4"/>
  <c r="AD78" i="4"/>
  <c r="AP88" i="4"/>
  <c r="AN88" i="4"/>
  <c r="AK25" i="4"/>
  <c r="AI25" i="4"/>
  <c r="AP84" i="4"/>
  <c r="AN84" i="4"/>
  <c r="Y34" i="4"/>
  <c r="AA34" i="4"/>
  <c r="AN65" i="4"/>
  <c r="AP65" i="4"/>
  <c r="AN3" i="4"/>
  <c r="AP3" i="4"/>
  <c r="AK18" i="4"/>
  <c r="AI18" i="4"/>
  <c r="AP100" i="4"/>
  <c r="AN100" i="4"/>
  <c r="Y50" i="4"/>
  <c r="AA50" i="4"/>
  <c r="AD43" i="4"/>
  <c r="AF43" i="4"/>
  <c r="AK17" i="4"/>
  <c r="AI17" i="4"/>
  <c r="AA66" i="4"/>
  <c r="Y66" i="4"/>
  <c r="AD20" i="4"/>
  <c r="AF20" i="4"/>
  <c r="AP39" i="4"/>
  <c r="AN39" i="4"/>
  <c r="AK42" i="4"/>
  <c r="AI42" i="4"/>
  <c r="AI74" i="4"/>
  <c r="AK74" i="4"/>
  <c r="AD18" i="4"/>
  <c r="AF18" i="4"/>
  <c r="AK40" i="4"/>
  <c r="AI40" i="4"/>
  <c r="AI72" i="4"/>
  <c r="AK72" i="4"/>
  <c r="AP90" i="4"/>
  <c r="AN90" i="4"/>
  <c r="AK44" i="4"/>
  <c r="AI44" i="4"/>
  <c r="AK5" i="4"/>
  <c r="AI5" i="4"/>
  <c r="AA75" i="4"/>
  <c r="Y75" i="4"/>
  <c r="AN68" i="4"/>
  <c r="AP68" i="4"/>
  <c r="AP89" i="4"/>
  <c r="AN89" i="4"/>
  <c r="AP99" i="4"/>
  <c r="AN99" i="4"/>
  <c r="AK9" i="4"/>
  <c r="AI9" i="4"/>
  <c r="AP79" i="4"/>
  <c r="AN79" i="4"/>
  <c r="AN5" i="4"/>
  <c r="AP5" i="4"/>
  <c r="Y36" i="4"/>
  <c r="AA36" i="4"/>
  <c r="AA68" i="4"/>
  <c r="Y68" i="4"/>
  <c r="AN87" i="4"/>
  <c r="AP87" i="4"/>
  <c r="AD37" i="4"/>
  <c r="AF37" i="4"/>
  <c r="AK11" i="4"/>
  <c r="AI11" i="4"/>
  <c r="AK2" i="4"/>
  <c r="AI2" i="4"/>
  <c r="AA35" i="4"/>
  <c r="Y35" i="4"/>
  <c r="AD32" i="4"/>
  <c r="AF32" i="4"/>
  <c r="AD25" i="4"/>
  <c r="AF25" i="4"/>
  <c r="AK63" i="4"/>
  <c r="AI63" i="4"/>
  <c r="AK58" i="4"/>
  <c r="AI58" i="4"/>
  <c r="AI88" i="4"/>
  <c r="AK88" i="4"/>
  <c r="AD21" i="4"/>
  <c r="AF21" i="4"/>
  <c r="AK3" i="4"/>
  <c r="AI3" i="4"/>
  <c r="AD31" i="4"/>
  <c r="AF31" i="4"/>
  <c r="AK19" i="4"/>
  <c r="AI19" i="4"/>
  <c r="AD51" i="4"/>
  <c r="AF51" i="4"/>
  <c r="AK10" i="4"/>
  <c r="AI10" i="4"/>
  <c r="AD59" i="4"/>
  <c r="AF59" i="4"/>
  <c r="AD30" i="4"/>
  <c r="AF30" i="4"/>
  <c r="AN12" i="4"/>
  <c r="AP12" i="4"/>
  <c r="AD40" i="4"/>
  <c r="AF40" i="4"/>
  <c r="AN8" i="4"/>
  <c r="AP8" i="4"/>
  <c r="AA48" i="4"/>
  <c r="Y48" i="4"/>
  <c r="AP76" i="4"/>
  <c r="AN76" i="4"/>
  <c r="AI96" i="4"/>
  <c r="AK96" i="4"/>
  <c r="AD29" i="4"/>
  <c r="AF29" i="4"/>
  <c r="AP80" i="4"/>
  <c r="AN80" i="4"/>
  <c r="AK13" i="4"/>
  <c r="AI13" i="4"/>
  <c r="AN2" i="4"/>
  <c r="AP2" i="4"/>
  <c r="AA3" i="4"/>
  <c r="Y3" i="4"/>
  <c r="AK51" i="4"/>
  <c r="AI51" i="4"/>
  <c r="AF80" i="4"/>
  <c r="AD80" i="4"/>
  <c r="AN70" i="4"/>
  <c r="AP70" i="4"/>
  <c r="AK33" i="4"/>
  <c r="AI33" i="4"/>
  <c r="Y85" i="4"/>
  <c r="AA85" i="4"/>
  <c r="AK12" i="4"/>
  <c r="AI12" i="4"/>
  <c r="AF87" i="4"/>
  <c r="AD87" i="4"/>
  <c r="AA59" i="4"/>
  <c r="Y59" i="4"/>
  <c r="AA37" i="4"/>
  <c r="Y37" i="4"/>
  <c r="AD26" i="4"/>
  <c r="AF26" i="4"/>
  <c r="AF86" i="4"/>
  <c r="AD86" i="4"/>
  <c r="AD28" i="4"/>
  <c r="AF28" i="4"/>
  <c r="AN16" i="4"/>
  <c r="AP16" i="4"/>
  <c r="AD27" i="4"/>
  <c r="AF27" i="4"/>
  <c r="AA62" i="4"/>
  <c r="Y62" i="4"/>
  <c r="AN4" i="4"/>
  <c r="AP4" i="4"/>
  <c r="AF74" i="4"/>
  <c r="AD74" i="4"/>
  <c r="AK27" i="4"/>
  <c r="AI27" i="4"/>
  <c r="AD49" i="4"/>
  <c r="AF49" i="4"/>
  <c r="AK8" i="4"/>
  <c r="AI8" i="4"/>
  <c r="AP93" i="4"/>
  <c r="AN93" i="4"/>
  <c r="AM10" i="9"/>
  <c r="AM11" i="9"/>
  <c r="BQ3" i="5"/>
  <c r="AM8" i="9"/>
  <c r="AM9" i="9"/>
  <c r="AM7" i="9"/>
  <c r="AM6" i="9"/>
  <c r="Y12" i="8"/>
  <c r="V9" i="4"/>
  <c r="V15" i="4"/>
  <c r="V27" i="4"/>
  <c r="V41" i="4"/>
  <c r="V65" i="4"/>
  <c r="V99" i="4"/>
  <c r="V91" i="4"/>
  <c r="V37" i="4"/>
  <c r="V54" i="4"/>
  <c r="V53" i="4"/>
  <c r="V96" i="4"/>
  <c r="V85" i="4"/>
  <c r="V38" i="4"/>
  <c r="V82" i="4"/>
  <c r="V88" i="4"/>
  <c r="V48" i="4"/>
  <c r="V92" i="4"/>
  <c r="V45" i="4"/>
  <c r="V61" i="4"/>
  <c r="V84" i="4"/>
  <c r="V44" i="4"/>
  <c r="V47" i="4"/>
  <c r="V93" i="4"/>
  <c r="V76" i="4"/>
  <c r="V78" i="4"/>
  <c r="V31" i="4"/>
  <c r="V20" i="4"/>
  <c r="V86" i="4"/>
  <c r="V52" i="4"/>
  <c r="V24" i="4"/>
  <c r="V36" i="4"/>
  <c r="V74" i="4"/>
  <c r="V32" i="4"/>
  <c r="V23" i="4"/>
  <c r="V39" i="4"/>
  <c r="V101" i="4"/>
  <c r="V4" i="4"/>
  <c r="V33" i="4"/>
  <c r="V21" i="4"/>
  <c r="V97" i="4"/>
  <c r="V17" i="4"/>
  <c r="V95" i="4"/>
  <c r="V70" i="4"/>
  <c r="V66" i="4"/>
  <c r="V83" i="4"/>
  <c r="V89" i="4"/>
  <c r="V42" i="4"/>
  <c r="V75" i="4"/>
  <c r="V8" i="4"/>
  <c r="V51" i="4"/>
  <c r="V72" i="4"/>
  <c r="V62" i="4"/>
  <c r="V80" i="4"/>
  <c r="V60" i="4"/>
  <c r="V55" i="4"/>
  <c r="V19" i="4"/>
  <c r="V81" i="4"/>
  <c r="V25" i="4"/>
  <c r="V22" i="4"/>
  <c r="V94" i="4"/>
  <c r="V40" i="4"/>
  <c r="V100" i="4"/>
  <c r="V11" i="4"/>
  <c r="V14" i="4"/>
  <c r="V16" i="4"/>
  <c r="V30" i="4"/>
  <c r="V18" i="4"/>
  <c r="V69" i="4"/>
  <c r="V46" i="4"/>
  <c r="V7" i="4"/>
  <c r="V68" i="4"/>
  <c r="V5" i="4"/>
  <c r="V50" i="4"/>
  <c r="V64" i="4"/>
  <c r="V56" i="4"/>
  <c r="V29" i="4"/>
  <c r="V58" i="4"/>
  <c r="V59" i="4"/>
  <c r="V87" i="4"/>
  <c r="V63" i="4"/>
  <c r="V6" i="4"/>
  <c r="V26" i="4"/>
  <c r="V98" i="4"/>
  <c r="V28" i="4"/>
  <c r="V49" i="4"/>
  <c r="V43" i="4"/>
  <c r="V90" i="4"/>
  <c r="V35" i="4"/>
  <c r="V71" i="4"/>
  <c r="V73" i="4"/>
  <c r="V10" i="4"/>
  <c r="V13" i="4"/>
  <c r="V79" i="4"/>
  <c r="V77" i="4"/>
  <c r="V34" i="4"/>
  <c r="V67" i="4"/>
  <c r="V57" i="4"/>
  <c r="V12" i="4"/>
  <c r="S6" i="8"/>
  <c r="Q4" i="5" l="1"/>
  <c r="Z12" i="8"/>
  <c r="V6" i="8"/>
  <c r="Y6" i="8" s="1"/>
  <c r="AC2" i="9"/>
  <c r="BP3" i="5" l="1"/>
  <c r="Z6" i="8" l="1"/>
  <c r="P28" i="7"/>
  <c r="E9" i="7"/>
  <c r="D4" i="8" l="1"/>
  <c r="P24" i="7" s="1"/>
  <c r="D30" i="7" s="1"/>
  <c r="R4" i="5"/>
  <c r="D6" i="4"/>
  <c r="D10" i="4"/>
  <c r="D14" i="4"/>
  <c r="D18" i="4"/>
  <c r="D22" i="4"/>
  <c r="D26" i="4"/>
  <c r="D30" i="4"/>
  <c r="D34" i="4"/>
  <c r="D38" i="4"/>
  <c r="D42" i="4"/>
  <c r="D46" i="4"/>
  <c r="D50" i="4"/>
  <c r="D54" i="4"/>
  <c r="D58" i="4"/>
  <c r="D62" i="4"/>
  <c r="D66" i="4"/>
  <c r="D70" i="4"/>
  <c r="D74" i="4"/>
  <c r="D78" i="4"/>
  <c r="D82" i="4"/>
  <c r="D86" i="4"/>
  <c r="D90" i="4"/>
  <c r="D94" i="4"/>
  <c r="D98" i="4"/>
  <c r="D2" i="4"/>
  <c r="D101" i="11"/>
  <c r="D99" i="11"/>
  <c r="D97" i="11"/>
  <c r="D95" i="11"/>
  <c r="D93" i="11"/>
  <c r="D91" i="11"/>
  <c r="D89" i="11"/>
  <c r="D87" i="11"/>
  <c r="D85" i="11"/>
  <c r="D83" i="11"/>
  <c r="D81" i="11"/>
  <c r="D79" i="11"/>
  <c r="D77" i="11"/>
  <c r="D75" i="11"/>
  <c r="D73" i="11"/>
  <c r="D71" i="11"/>
  <c r="D69" i="11"/>
  <c r="D67" i="11"/>
  <c r="D65" i="11"/>
  <c r="D63" i="11"/>
  <c r="D61" i="11"/>
  <c r="D59" i="11"/>
  <c r="D57" i="11"/>
  <c r="D55" i="11"/>
  <c r="D53" i="11"/>
  <c r="D51" i="11"/>
  <c r="D49" i="11"/>
  <c r="D47" i="11"/>
  <c r="D45" i="11"/>
  <c r="D43" i="11"/>
  <c r="D41" i="11"/>
  <c r="D39" i="11"/>
  <c r="D37" i="11"/>
  <c r="D35" i="11"/>
  <c r="D33" i="11"/>
  <c r="D31" i="11"/>
  <c r="D29" i="11"/>
  <c r="D27" i="11"/>
  <c r="D25" i="11"/>
  <c r="D23" i="11"/>
  <c r="D21" i="11"/>
  <c r="D19" i="11"/>
  <c r="D17" i="11"/>
  <c r="D15" i="11"/>
  <c r="D13" i="11"/>
  <c r="D11" i="11"/>
  <c r="D9" i="11"/>
  <c r="D7" i="11"/>
  <c r="D5" i="11"/>
  <c r="D3" i="11"/>
  <c r="D3" i="4"/>
  <c r="D7" i="4"/>
  <c r="D11" i="4"/>
  <c r="D15" i="4"/>
  <c r="D19" i="4"/>
  <c r="D23" i="4"/>
  <c r="D27" i="4"/>
  <c r="D31" i="4"/>
  <c r="D35" i="4"/>
  <c r="D39" i="4"/>
  <c r="D43" i="4"/>
  <c r="D47" i="4"/>
  <c r="D51" i="4"/>
  <c r="D55" i="4"/>
  <c r="D59" i="4"/>
  <c r="D63" i="4"/>
  <c r="D67" i="4"/>
  <c r="D71" i="4"/>
  <c r="D75" i="4"/>
  <c r="D79" i="4"/>
  <c r="D83" i="4"/>
  <c r="D87" i="4"/>
  <c r="D91" i="4"/>
  <c r="D95" i="4"/>
  <c r="D99" i="4"/>
  <c r="D4" i="4"/>
  <c r="D8" i="4"/>
  <c r="D12" i="4"/>
  <c r="D16" i="4"/>
  <c r="D20" i="4"/>
  <c r="D24" i="4"/>
  <c r="D28" i="4"/>
  <c r="D32" i="4"/>
  <c r="D36" i="4"/>
  <c r="D40" i="4"/>
  <c r="D44" i="4"/>
  <c r="D48" i="4"/>
  <c r="D52" i="4"/>
  <c r="D56" i="4"/>
  <c r="D60" i="4"/>
  <c r="D64" i="4"/>
  <c r="D68" i="4"/>
  <c r="D72" i="4"/>
  <c r="D76" i="4"/>
  <c r="D80" i="4"/>
  <c r="D84" i="4"/>
  <c r="D88" i="4"/>
  <c r="D92" i="4"/>
  <c r="D96" i="4"/>
  <c r="D100" i="4"/>
  <c r="D96" i="11"/>
  <c r="D88" i="11"/>
  <c r="D80" i="11"/>
  <c r="D72" i="11"/>
  <c r="D64" i="11"/>
  <c r="D56" i="11"/>
  <c r="D48" i="11"/>
  <c r="D40" i="11"/>
  <c r="D32" i="11"/>
  <c r="D24" i="11"/>
  <c r="D16" i="11"/>
  <c r="D8" i="11"/>
  <c r="D5" i="4"/>
  <c r="D21" i="4"/>
  <c r="D37" i="4"/>
  <c r="D53" i="4"/>
  <c r="D69" i="4"/>
  <c r="D85" i="4"/>
  <c r="D101" i="4"/>
  <c r="G9" i="12"/>
  <c r="G13" i="12"/>
  <c r="C4" i="12"/>
  <c r="D94" i="11"/>
  <c r="D86" i="11"/>
  <c r="D78" i="11"/>
  <c r="D70" i="11"/>
  <c r="D62" i="11"/>
  <c r="D54" i="11"/>
  <c r="D46" i="11"/>
  <c r="D38" i="11"/>
  <c r="D30" i="11"/>
  <c r="D22" i="11"/>
  <c r="D14" i="11"/>
  <c r="D6" i="11"/>
  <c r="D9" i="4"/>
  <c r="D25" i="4"/>
  <c r="D41" i="4"/>
  <c r="D57" i="4"/>
  <c r="D73" i="4"/>
  <c r="D89" i="4"/>
  <c r="G10" i="12"/>
  <c r="G8" i="12"/>
  <c r="C3" i="12"/>
  <c r="D98" i="11"/>
  <c r="D82" i="11"/>
  <c r="D66" i="11"/>
  <c r="D50" i="11"/>
  <c r="D34" i="11"/>
  <c r="D18" i="11"/>
  <c r="D2" i="11"/>
  <c r="D33" i="4"/>
  <c r="D65" i="4"/>
  <c r="D97" i="4"/>
  <c r="D100" i="11"/>
  <c r="D92" i="11"/>
  <c r="D84" i="11"/>
  <c r="D76" i="11"/>
  <c r="D68" i="11"/>
  <c r="D60" i="11"/>
  <c r="D52" i="11"/>
  <c r="D44" i="11"/>
  <c r="D36" i="11"/>
  <c r="D28" i="11"/>
  <c r="D20" i="11"/>
  <c r="D12" i="11"/>
  <c r="D4" i="11"/>
  <c r="D13" i="4"/>
  <c r="D29" i="4"/>
  <c r="D45" i="4"/>
  <c r="D61" i="4"/>
  <c r="D77" i="4"/>
  <c r="D93" i="4"/>
  <c r="G11" i="12"/>
  <c r="D90" i="11"/>
  <c r="D74" i="11"/>
  <c r="D58" i="11"/>
  <c r="D42" i="11"/>
  <c r="D26" i="11"/>
  <c r="D10" i="11"/>
  <c r="D17" i="4"/>
  <c r="D49" i="4"/>
  <c r="D81" i="4"/>
  <c r="G12" i="12"/>
  <c r="AX3" i="6" l="1"/>
  <c r="J2" i="11"/>
  <c r="AG10" i="6"/>
  <c r="Y8" i="6"/>
  <c r="S7" i="6"/>
  <c r="Y9" i="6"/>
  <c r="AG8" i="6"/>
  <c r="AH8" i="6" s="1"/>
  <c r="AB7" i="6"/>
  <c r="AG9" i="6"/>
  <c r="AH9" i="6" s="1"/>
  <c r="AG7" i="6"/>
  <c r="Y7" i="6"/>
  <c r="Y10" i="6"/>
  <c r="AY7" i="6"/>
  <c r="AY3" i="6" s="1"/>
  <c r="AS7" i="6"/>
  <c r="G2" i="11"/>
  <c r="P2" i="11"/>
  <c r="M2" i="11"/>
  <c r="E2" i="10"/>
  <c r="K2" i="11"/>
  <c r="G2" i="10"/>
  <c r="C2" i="10"/>
  <c r="F2" i="10" s="1"/>
  <c r="H2" i="11"/>
  <c r="D2" i="10"/>
  <c r="N2" i="11"/>
  <c r="H80" i="10"/>
  <c r="H91" i="10"/>
  <c r="H78" i="10"/>
  <c r="H14" i="10"/>
  <c r="H25" i="10"/>
  <c r="H71" i="10"/>
  <c r="H86" i="10"/>
  <c r="H22" i="10"/>
  <c r="H60" i="10"/>
  <c r="H21" i="10"/>
  <c r="H92" i="10"/>
  <c r="H8" i="10"/>
  <c r="H90" i="10"/>
  <c r="H26" i="10"/>
  <c r="H13" i="10"/>
  <c r="H15" i="10"/>
  <c r="H75" i="10"/>
  <c r="H62" i="10"/>
  <c r="H93" i="10"/>
  <c r="H43" i="10"/>
  <c r="H68" i="10"/>
  <c r="H70" i="10"/>
  <c r="H77" i="10"/>
  <c r="H64" i="10"/>
  <c r="H76" i="10"/>
  <c r="H87" i="10"/>
  <c r="H74" i="10"/>
  <c r="H10" i="10"/>
  <c r="H9" i="10"/>
  <c r="H31" i="10"/>
  <c r="H28" i="10"/>
  <c r="H89" i="10"/>
  <c r="H46" i="10"/>
  <c r="H33" i="10"/>
  <c r="H72" i="10"/>
  <c r="H52" i="10"/>
  <c r="H54" i="10"/>
  <c r="H37" i="10"/>
  <c r="H49" i="10"/>
  <c r="H40" i="10"/>
  <c r="H63" i="10"/>
  <c r="H58" i="10"/>
  <c r="H85" i="10"/>
  <c r="H53" i="10"/>
  <c r="H35" i="10"/>
  <c r="H5" i="10"/>
  <c r="H99" i="10"/>
  <c r="H69" i="10"/>
  <c r="H19" i="10"/>
  <c r="H84" i="10"/>
  <c r="H95" i="10"/>
  <c r="H82" i="10"/>
  <c r="H18" i="10"/>
  <c r="H41" i="10"/>
  <c r="H51" i="10"/>
  <c r="H88" i="10"/>
  <c r="H83" i="10"/>
  <c r="H65" i="10"/>
  <c r="H47" i="10"/>
  <c r="H48" i="10"/>
  <c r="H79" i="10"/>
  <c r="H66" i="10"/>
  <c r="H97" i="10"/>
  <c r="H11" i="10"/>
  <c r="H44" i="10"/>
  <c r="H36" i="10"/>
  <c r="H59" i="10"/>
  <c r="H61" i="10"/>
  <c r="B2" i="10"/>
  <c r="H32" i="10"/>
  <c r="H101" i="10"/>
  <c r="H50" i="10"/>
  <c r="H57" i="10"/>
  <c r="H55" i="10"/>
  <c r="H3" i="10"/>
  <c r="H20" i="10"/>
  <c r="H6" i="10"/>
  <c r="H67" i="10"/>
  <c r="H100" i="10"/>
  <c r="H16" i="10"/>
  <c r="H98" i="10"/>
  <c r="H34" i="10"/>
  <c r="H23" i="10"/>
  <c r="H96" i="10"/>
  <c r="H12" i="10"/>
  <c r="H94" i="10"/>
  <c r="H30" i="10"/>
  <c r="H29" i="10"/>
  <c r="H27" i="10"/>
  <c r="H73" i="10"/>
  <c r="H38" i="10"/>
  <c r="H7" i="10"/>
  <c r="H45" i="10"/>
  <c r="H4" i="10"/>
  <c r="H24" i="10"/>
  <c r="H81" i="10"/>
  <c r="H42" i="10"/>
  <c r="H17" i="10"/>
  <c r="H56" i="10"/>
  <c r="H39" i="10"/>
  <c r="H2" i="10"/>
  <c r="N35" i="9" l="1"/>
  <c r="D27" i="9"/>
  <c r="D35" i="9"/>
  <c r="N27" i="9"/>
  <c r="X27" i="9"/>
  <c r="X35" i="9"/>
  <c r="T11" i="6"/>
  <c r="U11" i="6"/>
  <c r="BB11" i="6" s="1"/>
  <c r="D33" i="9"/>
  <c r="X31" i="9"/>
  <c r="N30" i="9"/>
  <c r="AG26" i="9" s="1"/>
  <c r="N26" i="9" a="1"/>
  <c r="N26" i="9" s="1"/>
  <c r="D22" i="9"/>
  <c r="X34" i="9" a="1"/>
  <c r="X34" i="9" s="1"/>
  <c r="D34" i="9" a="1"/>
  <c r="D34" i="9" s="1"/>
  <c r="X32" i="9"/>
  <c r="N31" i="9"/>
  <c r="D30" i="9"/>
  <c r="AG25" i="9" s="1"/>
  <c r="X25" i="9"/>
  <c r="X24" i="9"/>
  <c r="X23" i="9"/>
  <c r="X33" i="9"/>
  <c r="N32" i="9"/>
  <c r="D31" i="9"/>
  <c r="X26" i="9" a="1"/>
  <c r="X26" i="9" s="1"/>
  <c r="D26" i="9" a="1"/>
  <c r="D26" i="9" s="1"/>
  <c r="N25" i="9"/>
  <c r="N24" i="9"/>
  <c r="N23" i="9"/>
  <c r="X22" i="9"/>
  <c r="AG24" i="9" s="1"/>
  <c r="N34" i="9" a="1"/>
  <c r="N34" i="9" s="1"/>
  <c r="N33" i="9"/>
  <c r="D32" i="9"/>
  <c r="X30" i="9"/>
  <c r="AG27" i="9" s="1"/>
  <c r="D25" i="9"/>
  <c r="D24" i="9"/>
  <c r="D23" i="9"/>
  <c r="N22" i="9"/>
  <c r="AG23" i="9" s="1"/>
  <c r="AI23" i="9" s="1"/>
  <c r="BF7" i="6"/>
  <c r="BF8" i="6"/>
  <c r="BI7" i="6"/>
  <c r="BI3" i="6" s="1"/>
  <c r="I2" i="11"/>
  <c r="AM10" i="6"/>
  <c r="AN10" i="6" s="1"/>
  <c r="AQ10" i="6"/>
  <c r="AR10" i="6" s="1"/>
  <c r="AQ8" i="6"/>
  <c r="AR8" i="6" s="1"/>
  <c r="AM8" i="6"/>
  <c r="AQ7" i="6"/>
  <c r="AM7" i="6"/>
  <c r="V23" i="6"/>
  <c r="V7" i="6"/>
  <c r="V15" i="6"/>
  <c r="V19" i="6"/>
  <c r="AM9" i="6"/>
  <c r="AQ9" i="6"/>
  <c r="AR9" i="6" s="1"/>
  <c r="AF7" i="6"/>
  <c r="Z11" i="6"/>
  <c r="BD11" i="6" s="1"/>
  <c r="Z19" i="6"/>
  <c r="BD19" i="6" s="1"/>
  <c r="Z23" i="6"/>
  <c r="BD23" i="6" s="1"/>
  <c r="Z15" i="6"/>
  <c r="BD15" i="6" s="1"/>
  <c r="AH10" i="6"/>
  <c r="AH7" i="6"/>
  <c r="AH11" i="6"/>
  <c r="U15" i="6"/>
  <c r="BB15" i="6" s="1"/>
  <c r="T23" i="6"/>
  <c r="T19" i="6"/>
  <c r="U23" i="6"/>
  <c r="BB23" i="6" s="1"/>
  <c r="U19" i="6"/>
  <c r="BB19" i="6" s="1"/>
  <c r="T15" i="6"/>
  <c r="BL8" i="6"/>
  <c r="BA7" i="6"/>
  <c r="BA3" i="6" s="1"/>
  <c r="Z10" i="6"/>
  <c r="BD10" i="6" s="1"/>
  <c r="C22" i="13"/>
  <c r="D18" i="13"/>
  <c r="D21" i="13"/>
  <c r="D20" i="13"/>
  <c r="C20" i="13"/>
  <c r="C18" i="13"/>
  <c r="C19" i="13"/>
  <c r="D19" i="13"/>
  <c r="E20" i="13"/>
  <c r="C17" i="13"/>
  <c r="E19" i="13"/>
  <c r="E22" i="13"/>
  <c r="E17" i="13"/>
  <c r="D17" i="13"/>
  <c r="E21" i="13"/>
  <c r="E18" i="13"/>
  <c r="D22" i="13"/>
  <c r="C21" i="13"/>
  <c r="Z8" i="6"/>
  <c r="BD8" i="6" s="1"/>
  <c r="Z7" i="6"/>
  <c r="BD7" i="6" s="1"/>
  <c r="AV7" i="6"/>
  <c r="Z9" i="6"/>
  <c r="BD9" i="6" s="1"/>
  <c r="U7" i="6"/>
  <c r="BB7" i="6" s="1"/>
  <c r="T7" i="6"/>
  <c r="AL101" i="11" l="1" a="1"/>
  <c r="AL101" i="11" s="1"/>
  <c r="AG100" i="11" a="1"/>
  <c r="AG100" i="11" s="1"/>
  <c r="AG99" i="11" a="1"/>
  <c r="AG99" i="11" s="1"/>
  <c r="AG98" i="11" a="1"/>
  <c r="AG98" i="11" s="1"/>
  <c r="AG97" i="11" a="1"/>
  <c r="AG97" i="11" s="1"/>
  <c r="AL96" i="11" a="1"/>
  <c r="AL96" i="11" s="1"/>
  <c r="AB96" i="11" a="1"/>
  <c r="AB96" i="11" s="1"/>
  <c r="AL95" i="11" a="1"/>
  <c r="AL95" i="11" s="1"/>
  <c r="AB95" i="11" a="1"/>
  <c r="AB95" i="11" s="1"/>
  <c r="AL93" i="11" a="1"/>
  <c r="AL93" i="11" s="1"/>
  <c r="AB93" i="11" a="1"/>
  <c r="AB93" i="11" s="1"/>
  <c r="W92" i="11" a="1"/>
  <c r="W92" i="11" s="1"/>
  <c r="AG90" i="11" a="1"/>
  <c r="AG90" i="11" s="1"/>
  <c r="AL88" i="11" a="1"/>
  <c r="AL88" i="11" s="1"/>
  <c r="AL87" i="11" a="1"/>
  <c r="AL87" i="11" s="1"/>
  <c r="W87" i="11" a="1"/>
  <c r="W87" i="11" s="1"/>
  <c r="AG86" i="11" a="1"/>
  <c r="AG86" i="11" s="1"/>
  <c r="AB85" i="11" a="1"/>
  <c r="AB85" i="11" s="1"/>
  <c r="AL83" i="11" a="1"/>
  <c r="AL83" i="11" s="1"/>
  <c r="W83" i="11" a="1"/>
  <c r="W83" i="11" s="1"/>
  <c r="AG82" i="11" a="1"/>
  <c r="AG82" i="11" s="1"/>
  <c r="AB81" i="11" a="1"/>
  <c r="AB81" i="11" s="1"/>
  <c r="AL79" i="11" a="1"/>
  <c r="AL79" i="11" s="1"/>
  <c r="W79" i="11" a="1"/>
  <c r="W79" i="11" s="1"/>
  <c r="AG75" i="11" a="1"/>
  <c r="AG75" i="11" s="1"/>
  <c r="W75" i="11" a="1"/>
  <c r="W75" i="11" s="1"/>
  <c r="AG74" i="11" a="1"/>
  <c r="AG74" i="11" s="1"/>
  <c r="AL71" i="11" a="1"/>
  <c r="AL71" i="11" s="1"/>
  <c r="AL70" i="11" a="1"/>
  <c r="AL70" i="11" s="1"/>
  <c r="W70" i="11" a="1"/>
  <c r="W70" i="11" s="1"/>
  <c r="AG69" i="11" a="1"/>
  <c r="AG69" i="11" s="1"/>
  <c r="W69" i="11" a="1"/>
  <c r="W69" i="11" s="1"/>
  <c r="AG68" i="11" a="1"/>
  <c r="AG68" i="11" s="1"/>
  <c r="AB67" i="11" a="1"/>
  <c r="AB67" i="11" s="1"/>
  <c r="AB66" i="11" a="1"/>
  <c r="AB66" i="11" s="1"/>
  <c r="AL63" i="11" a="1"/>
  <c r="AL63" i="11" s="1"/>
  <c r="W63" i="11" a="1"/>
  <c r="W63" i="11" s="1"/>
  <c r="AG62" i="11" a="1"/>
  <c r="AG62" i="11" s="1"/>
  <c r="AB61" i="11" a="1"/>
  <c r="AB61" i="11" s="1"/>
  <c r="AB60" i="11" a="1"/>
  <c r="AB60" i="11" s="1"/>
  <c r="AB59" i="11" a="1"/>
  <c r="AB59" i="11" s="1"/>
  <c r="W58" i="11" a="1"/>
  <c r="W58" i="11" s="1"/>
  <c r="AB57" i="11" a="1"/>
  <c r="AB57" i="11" s="1"/>
  <c r="AB56" i="11" a="1"/>
  <c r="AB56" i="11" s="1"/>
  <c r="AL55" i="11" a="1"/>
  <c r="AL55" i="11" s="1"/>
  <c r="AG101" i="11" a="1"/>
  <c r="AG101" i="11" s="1"/>
  <c r="AG96" i="11" a="1"/>
  <c r="AG96" i="11" s="1"/>
  <c r="AG95" i="11" a="1"/>
  <c r="AG95" i="11" s="1"/>
  <c r="AL94" i="11" a="1"/>
  <c r="AL94" i="11" s="1"/>
  <c r="AB94" i="11" a="1"/>
  <c r="AB94" i="11" s="1"/>
  <c r="AG93" i="11" a="1"/>
  <c r="AG93" i="11" s="1"/>
  <c r="W93" i="11" a="1"/>
  <c r="W93" i="11" s="1"/>
  <c r="AL91" i="11" a="1"/>
  <c r="AL91" i="11" s="1"/>
  <c r="AB91" i="11" a="1"/>
  <c r="AB91" i="11" s="1"/>
  <c r="W90" i="11" a="1"/>
  <c r="W90" i="11" s="1"/>
  <c r="AG88" i="11" a="1"/>
  <c r="AG88" i="11" s="1"/>
  <c r="W88" i="11" a="1"/>
  <c r="W88" i="11" s="1"/>
  <c r="AG87" i="11" a="1"/>
  <c r="AG87" i="11" s="1"/>
  <c r="AB86" i="11" a="1"/>
  <c r="AB86" i="11" s="1"/>
  <c r="AL84" i="11" a="1"/>
  <c r="AL84" i="11" s="1"/>
  <c r="W84" i="11" a="1"/>
  <c r="W84" i="11" s="1"/>
  <c r="AG83" i="11" a="1"/>
  <c r="AG83" i="11" s="1"/>
  <c r="AB82" i="11" a="1"/>
  <c r="AB82" i="11" s="1"/>
  <c r="AL80" i="11" a="1"/>
  <c r="AL80" i="11" s="1"/>
  <c r="W80" i="11" a="1"/>
  <c r="W80" i="11" s="1"/>
  <c r="AG79" i="11" a="1"/>
  <c r="AG79" i="11" s="1"/>
  <c r="AL78" i="11" a="1"/>
  <c r="AL78" i="11" s="1"/>
  <c r="W78" i="11" a="1"/>
  <c r="W78" i="11" s="1"/>
  <c r="AL76" i="11" a="1"/>
  <c r="AL76" i="11" s="1"/>
  <c r="W76" i="11" a="1"/>
  <c r="W76" i="11" s="1"/>
  <c r="AB75" i="11" a="1"/>
  <c r="AB75" i="11" s="1"/>
  <c r="AB74" i="11" a="1"/>
  <c r="AB74" i="11" s="1"/>
  <c r="AL73" i="11" a="1"/>
  <c r="AL73" i="11" s="1"/>
  <c r="AL72" i="11" a="1"/>
  <c r="AL72" i="11" s="1"/>
  <c r="W72" i="11" a="1"/>
  <c r="W72" i="11" s="1"/>
  <c r="AG71" i="11" a="1"/>
  <c r="AG71" i="11" s="1"/>
  <c r="W71" i="11" a="1"/>
  <c r="W71" i="11" s="1"/>
  <c r="AG70" i="11" a="1"/>
  <c r="AG70" i="11" s="1"/>
  <c r="AB69" i="11" a="1"/>
  <c r="AB69" i="11" s="1"/>
  <c r="AB68" i="11" a="1"/>
  <c r="AB68" i="11" s="1"/>
  <c r="AL65" i="11" a="1"/>
  <c r="AL65" i="11" s="1"/>
  <c r="AL64" i="11" a="1"/>
  <c r="AL64" i="11" s="1"/>
  <c r="W64" i="11" a="1"/>
  <c r="W64" i="11" s="1"/>
  <c r="AG63" i="11" a="1"/>
  <c r="AG63" i="11" s="1"/>
  <c r="AB62" i="11" a="1"/>
  <c r="AB62" i="11" s="1"/>
  <c r="AL60" i="11" a="1"/>
  <c r="AL60" i="11" s="1"/>
  <c r="AG94" i="11" a="1"/>
  <c r="AG94" i="11" s="1"/>
  <c r="AB92" i="11" a="1"/>
  <c r="AB92" i="11" s="1"/>
  <c r="W91" i="11" a="1"/>
  <c r="W91" i="11" s="1"/>
  <c r="AL89" i="11" a="1"/>
  <c r="AL89" i="11" s="1"/>
  <c r="AB87" i="11" a="1"/>
  <c r="AB87" i="11" s="1"/>
  <c r="W85" i="11" a="1"/>
  <c r="W85" i="11" s="1"/>
  <c r="AL81" i="11" a="1"/>
  <c r="AL81" i="11" s="1"/>
  <c r="AG80" i="11" a="1"/>
  <c r="AG80" i="11" s="1"/>
  <c r="AB79" i="11" a="1"/>
  <c r="AB79" i="11" s="1"/>
  <c r="W77" i="11" a="1"/>
  <c r="W77" i="11" s="1"/>
  <c r="AG73" i="11" a="1"/>
  <c r="AG73" i="11" s="1"/>
  <c r="AG72" i="11" a="1"/>
  <c r="AG72" i="11" s="1"/>
  <c r="AB71" i="11" a="1"/>
  <c r="AB71" i="11" s="1"/>
  <c r="AB70" i="11" a="1"/>
  <c r="AB70" i="11" s="1"/>
  <c r="W66" i="11" a="1"/>
  <c r="W66" i="11" s="1"/>
  <c r="W65" i="11" a="1"/>
  <c r="W65" i="11" s="1"/>
  <c r="AL61" i="11" a="1"/>
  <c r="AL61" i="11" s="1"/>
  <c r="W60" i="11" a="1"/>
  <c r="W60" i="11" s="1"/>
  <c r="AG58" i="11" a="1"/>
  <c r="AG58" i="11" s="1"/>
  <c r="AG57" i="11" a="1"/>
  <c r="AG57" i="11" s="1"/>
  <c r="AL56" i="11" a="1"/>
  <c r="AL56" i="11" s="1"/>
  <c r="W56" i="11" a="1"/>
  <c r="W56" i="11" s="1"/>
  <c r="AG54" i="11" a="1"/>
  <c r="AG54" i="11" s="1"/>
  <c r="W54" i="11" a="1"/>
  <c r="W54" i="11" s="1"/>
  <c r="AB53" i="11" a="1"/>
  <c r="AB53" i="11" s="1"/>
  <c r="AB52" i="11" a="1"/>
  <c r="AB52" i="11" s="1"/>
  <c r="AB51" i="11" a="1"/>
  <c r="AB51" i="11" s="1"/>
  <c r="AB50" i="11" a="1"/>
  <c r="AB50" i="11" s="1"/>
  <c r="AB49" i="11" a="1"/>
  <c r="AB49" i="11" s="1"/>
  <c r="AL48" i="11" a="1"/>
  <c r="AL48" i="11" s="1"/>
  <c r="AG47" i="11" a="1"/>
  <c r="AG47" i="11" s="1"/>
  <c r="AG45" i="11" a="1"/>
  <c r="AG45" i="11" s="1"/>
  <c r="AG44" i="11" a="1"/>
  <c r="AG44" i="11" s="1"/>
  <c r="AL43" i="11" a="1"/>
  <c r="AL43" i="11" s="1"/>
  <c r="W42" i="11" a="1"/>
  <c r="W42" i="11" s="1"/>
  <c r="AB41" i="11" a="1"/>
  <c r="AB41" i="11" s="1"/>
  <c r="AL40" i="11" a="1"/>
  <c r="AL40" i="11" s="1"/>
  <c r="W39" i="11" a="1"/>
  <c r="W39" i="11" s="1"/>
  <c r="AB38" i="11" a="1"/>
  <c r="AB38" i="11" s="1"/>
  <c r="AG37" i="11" a="1"/>
  <c r="AG37" i="11" s="1"/>
  <c r="AB36" i="11" a="1"/>
  <c r="AB36" i="11" s="1"/>
  <c r="AG35" i="11" a="1"/>
  <c r="AG35" i="11" s="1"/>
  <c r="AG34" i="11" a="1"/>
  <c r="AG34" i="11" s="1"/>
  <c r="AL33" i="11" a="1"/>
  <c r="AL33" i="11" s="1"/>
  <c r="W32" i="11" a="1"/>
  <c r="W32" i="11" s="1"/>
  <c r="AB31" i="11" a="1"/>
  <c r="AB31" i="11" s="1"/>
  <c r="AB101" i="11" a="1"/>
  <c r="AB101" i="11" s="1"/>
  <c r="AB100" i="11" a="1"/>
  <c r="AB100" i="11" s="1"/>
  <c r="AB99" i="11" a="1"/>
  <c r="AB99" i="11" s="1"/>
  <c r="AB98" i="11" a="1"/>
  <c r="AB98" i="11" s="1"/>
  <c r="AB97" i="11" a="1"/>
  <c r="AB97" i="11" s="1"/>
  <c r="AL90" i="11" a="1"/>
  <c r="AL90" i="11" s="1"/>
  <c r="AG89" i="11" a="1"/>
  <c r="AG89" i="11" s="1"/>
  <c r="AB88" i="11" a="1"/>
  <c r="AB88" i="11" s="1"/>
  <c r="W86" i="11" a="1"/>
  <c r="W86" i="11" s="1"/>
  <c r="AL82" i="11" a="1"/>
  <c r="AL82" i="11" s="1"/>
  <c r="AG81" i="11" a="1"/>
  <c r="AG81" i="11" s="1"/>
  <c r="AB80" i="11" a="1"/>
  <c r="AB80" i="11" s="1"/>
  <c r="AL77" i="11" a="1"/>
  <c r="AL77" i="11" s="1"/>
  <c r="AL75" i="11" a="1"/>
  <c r="AL75" i="11" s="1"/>
  <c r="AL74" i="11" a="1"/>
  <c r="AL74" i="11" s="1"/>
  <c r="AB73" i="11" a="1"/>
  <c r="AB73" i="11" s="1"/>
  <c r="AB72" i="11" a="1"/>
  <c r="AB72" i="11" s="1"/>
  <c r="W68" i="11" a="1"/>
  <c r="W68" i="11" s="1"/>
  <c r="W67" i="11" a="1"/>
  <c r="W67" i="11" s="1"/>
  <c r="AL62" i="11" a="1"/>
  <c r="AL62" i="11" s="1"/>
  <c r="AG61" i="11" a="1"/>
  <c r="AG61" i="11" s="1"/>
  <c r="AG60" i="11" a="1"/>
  <c r="AG60" i="11" s="1"/>
  <c r="W59" i="11" a="1"/>
  <c r="W59" i="11" s="1"/>
  <c r="AB58" i="11" a="1"/>
  <c r="AB58" i="11" s="1"/>
  <c r="W55" i="11" a="1"/>
  <c r="W55" i="11" s="1"/>
  <c r="AB54" i="11" a="1"/>
  <c r="AB54" i="11" s="1"/>
  <c r="AL52" i="11" a="1"/>
  <c r="AL52" i="11" s="1"/>
  <c r="AL51" i="11" a="1"/>
  <c r="AL51" i="11" s="1"/>
  <c r="AL50" i="11" a="1"/>
  <c r="AL50" i="11" s="1"/>
  <c r="AL49" i="11" a="1"/>
  <c r="AL49" i="11" s="1"/>
  <c r="AG48" i="11" a="1"/>
  <c r="AG48" i="11" s="1"/>
  <c r="W47" i="11" a="1"/>
  <c r="W47" i="11" s="1"/>
  <c r="AB46" i="11" a="1"/>
  <c r="AB46" i="11" s="1"/>
  <c r="W45" i="11" a="1"/>
  <c r="W45" i="11" s="1"/>
  <c r="AB44" i="11" a="1"/>
  <c r="AB44" i="11" s="1"/>
  <c r="AG43" i="11" a="1"/>
  <c r="AG43" i="11" s="1"/>
  <c r="AG42" i="11" a="1"/>
  <c r="AG42" i="11" s="1"/>
  <c r="AL41" i="11" a="1"/>
  <c r="AL41" i="11" s="1"/>
  <c r="W40" i="11" a="1"/>
  <c r="W40" i="11" s="1"/>
  <c r="AB39" i="11" a="1"/>
  <c r="AB39" i="11" s="1"/>
  <c r="AL38" i="11" a="1"/>
  <c r="AL38" i="11" s="1"/>
  <c r="W37" i="11" a="1"/>
  <c r="W37" i="11" s="1"/>
  <c r="W35" i="11" a="1"/>
  <c r="W35" i="11" s="1"/>
  <c r="AB34" i="11" a="1"/>
  <c r="AB34" i="11" s="1"/>
  <c r="AG33" i="11" a="1"/>
  <c r="AG33" i="11" s="1"/>
  <c r="AG32" i="11" a="1"/>
  <c r="AG32" i="11" s="1"/>
  <c r="AL31" i="11" a="1"/>
  <c r="AL31" i="11" s="1"/>
  <c r="W101" i="11" a="1"/>
  <c r="W101" i="11" s="1"/>
  <c r="W99" i="11" a="1"/>
  <c r="W99" i="11" s="1"/>
  <c r="W97" i="11" a="1"/>
  <c r="W97" i="11" s="1"/>
  <c r="AL92" i="11" a="1"/>
  <c r="AL92" i="11" s="1"/>
  <c r="AL85" i="11" a="1"/>
  <c r="AL85" i="11" s="1"/>
  <c r="AB83" i="11" a="1"/>
  <c r="AB83" i="11" s="1"/>
  <c r="W81" i="11" a="1"/>
  <c r="W81" i="11" s="1"/>
  <c r="AG78" i="11" a="1"/>
  <c r="AG78" i="11" s="1"/>
  <c r="AG76" i="11" a="1"/>
  <c r="AG76" i="11" s="1"/>
  <c r="AL67" i="11" a="1"/>
  <c r="AL67" i="11" s="1"/>
  <c r="AG65" i="11" a="1"/>
  <c r="AG65" i="11" s="1"/>
  <c r="AB63" i="11" a="1"/>
  <c r="AB63" i="11" s="1"/>
  <c r="W61" i="11" a="1"/>
  <c r="W61" i="11" s="1"/>
  <c r="AL59" i="11" a="1"/>
  <c r="AL59" i="11" s="1"/>
  <c r="AG56" i="11" a="1"/>
  <c r="AG56" i="11" s="1"/>
  <c r="AL53" i="11" a="1"/>
  <c r="AL53" i="11" s="1"/>
  <c r="AG52" i="11" a="1"/>
  <c r="AG52" i="11" s="1"/>
  <c r="AG51" i="11" a="1"/>
  <c r="AG51" i="11" s="1"/>
  <c r="AG50" i="11" a="1"/>
  <c r="AG50" i="11" s="1"/>
  <c r="AG49" i="11" a="1"/>
  <c r="AG49" i="11" s="1"/>
  <c r="AB47" i="11" a="1"/>
  <c r="AB47" i="11" s="1"/>
  <c r="W46" i="11" a="1"/>
  <c r="W46" i="11" s="1"/>
  <c r="AL44" i="11" a="1"/>
  <c r="AL44" i="11" s="1"/>
  <c r="AB42" i="11" a="1"/>
  <c r="AB42" i="11" s="1"/>
  <c r="AL39" i="11" a="1"/>
  <c r="AL39" i="11" s="1"/>
  <c r="AB37" i="11" a="1"/>
  <c r="AB37" i="11" s="1"/>
  <c r="W36" i="11" a="1"/>
  <c r="W36" i="11" s="1"/>
  <c r="AL34" i="11" a="1"/>
  <c r="AL34" i="11" s="1"/>
  <c r="AB32" i="11" a="1"/>
  <c r="AB32" i="11" s="1"/>
  <c r="AG30" i="11" a="1"/>
  <c r="AG30" i="11" s="1"/>
  <c r="AL29" i="11" a="1"/>
  <c r="AL29" i="11" s="1"/>
  <c r="W28" i="11" a="1"/>
  <c r="W28" i="11" s="1"/>
  <c r="AB27" i="11" a="1"/>
  <c r="AB27" i="11" s="1"/>
  <c r="AL26" i="11" a="1"/>
  <c r="AL26" i="11" s="1"/>
  <c r="W25" i="11" a="1"/>
  <c r="W25" i="11" s="1"/>
  <c r="AB24" i="11" a="1"/>
  <c r="AB24" i="11" s="1"/>
  <c r="AL23" i="11" a="1"/>
  <c r="AL23" i="11" s="1"/>
  <c r="AB23" i="11" a="1"/>
  <c r="AB23" i="11" s="1"/>
  <c r="AL22" i="11" a="1"/>
  <c r="AL22" i="11" s="1"/>
  <c r="AG21" i="11" a="1"/>
  <c r="AG21" i="11" s="1"/>
  <c r="AG20" i="11" a="1"/>
  <c r="AG20" i="11" s="1"/>
  <c r="AG19" i="11" a="1"/>
  <c r="AG19" i="11" s="1"/>
  <c r="AG18" i="11" a="1"/>
  <c r="AG18" i="11" s="1"/>
  <c r="W16" i="11" a="1"/>
  <c r="W16" i="11" s="1"/>
  <c r="W14" i="11" a="1"/>
  <c r="W14" i="11" s="1"/>
  <c r="AB13" i="11" a="1"/>
  <c r="AB13" i="11" s="1"/>
  <c r="AL12" i="11" a="1"/>
  <c r="AL12" i="11" s="1"/>
  <c r="AL10" i="11" a="1"/>
  <c r="AL10" i="11" s="1"/>
  <c r="AB10" i="11" a="1"/>
  <c r="AB10" i="11" s="1"/>
  <c r="AL9" i="11" a="1"/>
  <c r="AL9" i="11" s="1"/>
  <c r="AB9" i="11" a="1"/>
  <c r="AB9" i="11" s="1"/>
  <c r="W98" i="11" a="1"/>
  <c r="W98" i="11" s="1"/>
  <c r="AG84" i="11" a="1"/>
  <c r="AG84" i="11" s="1"/>
  <c r="W73" i="11" a="1"/>
  <c r="W73" i="11" s="1"/>
  <c r="AL100" i="11" a="1"/>
  <c r="AL100" i="11" s="1"/>
  <c r="AL98" i="11" a="1"/>
  <c r="AL98" i="11" s="1"/>
  <c r="W95" i="11" a="1"/>
  <c r="W95" i="11" s="1"/>
  <c r="AG92" i="11" a="1"/>
  <c r="AG92" i="11" s="1"/>
  <c r="AB90" i="11" a="1"/>
  <c r="AB90" i="11" s="1"/>
  <c r="AG85" i="11" a="1"/>
  <c r="AG85" i="11" s="1"/>
  <c r="AB78" i="11" a="1"/>
  <c r="AB78" i="11" s="1"/>
  <c r="AB76" i="11" a="1"/>
  <c r="AB76" i="11" s="1"/>
  <c r="W74" i="11" a="1"/>
  <c r="W74" i="11" s="1"/>
  <c r="AL69" i="11" a="1"/>
  <c r="AL69" i="11" s="1"/>
  <c r="AG67" i="11" a="1"/>
  <c r="AG67" i="11" s="1"/>
  <c r="AB65" i="11" a="1"/>
  <c r="AB65" i="11" s="1"/>
  <c r="AG59" i="11" a="1"/>
  <c r="AG59" i="11" s="1"/>
  <c r="AL57" i="11" a="1"/>
  <c r="AL57" i="11" s="1"/>
  <c r="AL54" i="11" a="1"/>
  <c r="AL54" i="11" s="1"/>
  <c r="AG53" i="11" a="1"/>
  <c r="AG53" i="11" s="1"/>
  <c r="AB48" i="11" a="1"/>
  <c r="AB48" i="11" s="1"/>
  <c r="AL45" i="11" a="1"/>
  <c r="AL45" i="11" s="1"/>
  <c r="AB43" i="11" a="1"/>
  <c r="AB43" i="11" s="1"/>
  <c r="W41" i="11" a="1"/>
  <c r="W41" i="11" s="1"/>
  <c r="AG39" i="11" a="1"/>
  <c r="AG39" i="11" s="1"/>
  <c r="AG38" i="11" a="1"/>
  <c r="AG38" i="11" s="1"/>
  <c r="AL35" i="11" a="1"/>
  <c r="AL35" i="11" s="1"/>
  <c r="AB33" i="11" a="1"/>
  <c r="AB33" i="11" s="1"/>
  <c r="W31" i="11" a="1"/>
  <c r="W31" i="11" s="1"/>
  <c r="AB30" i="11" a="1"/>
  <c r="AB30" i="11" s="1"/>
  <c r="AG29" i="11" a="1"/>
  <c r="AG29" i="11" s="1"/>
  <c r="AG28" i="11" a="1"/>
  <c r="AG28" i="11" s="1"/>
  <c r="AL27" i="11" a="1"/>
  <c r="AL27" i="11" s="1"/>
  <c r="W26" i="11" a="1"/>
  <c r="W26" i="11" s="1"/>
  <c r="AB25" i="11" a="1"/>
  <c r="AB25" i="11" s="1"/>
  <c r="AL24" i="11" a="1"/>
  <c r="AL24" i="11" s="1"/>
  <c r="AG23" i="11" a="1"/>
  <c r="AG23" i="11" s="1"/>
  <c r="AG22" i="11" a="1"/>
  <c r="AG22" i="11" s="1"/>
  <c r="W20" i="11" a="1"/>
  <c r="W20" i="11" s="1"/>
  <c r="W18" i="11" a="1"/>
  <c r="W18" i="11" s="1"/>
  <c r="W17" i="11" a="1"/>
  <c r="W17" i="11" s="1"/>
  <c r="AB16" i="11" a="1"/>
  <c r="AB16" i="11" s="1"/>
  <c r="W15" i="11" a="1"/>
  <c r="W15" i="11" s="1"/>
  <c r="AB14" i="11" a="1"/>
  <c r="AB14" i="11" s="1"/>
  <c r="AL13" i="11" a="1"/>
  <c r="AL13" i="11" s="1"/>
  <c r="AG12" i="11" a="1"/>
  <c r="AG12" i="11" s="1"/>
  <c r="W12" i="11" a="1"/>
  <c r="W12" i="11" s="1"/>
  <c r="AG11" i="11" a="1"/>
  <c r="AG11" i="11" s="1"/>
  <c r="W100" i="11" a="1"/>
  <c r="W100" i="11" s="1"/>
  <c r="AG91" i="11" a="1"/>
  <c r="AG91" i="11" s="1"/>
  <c r="AB89" i="11" a="1"/>
  <c r="AB89" i="11" s="1"/>
  <c r="AG77" i="11" a="1"/>
  <c r="AG77" i="11" s="1"/>
  <c r="AL66" i="11" a="1"/>
  <c r="AL66" i="11" s="1"/>
  <c r="AG64" i="11" a="1"/>
  <c r="AG64" i="11" s="1"/>
  <c r="AG55" i="11" a="1"/>
  <c r="AG55" i="11" s="1"/>
  <c r="W48" i="11" a="1"/>
  <c r="W48" i="11" s="1"/>
  <c r="AL46" i="11" a="1"/>
  <c r="AL46" i="11" s="1"/>
  <c r="AB45" i="11" a="1"/>
  <c r="AB45" i="11" s="1"/>
  <c r="W43" i="11" a="1"/>
  <c r="W43" i="11" s="1"/>
  <c r="AG41" i="11" a="1"/>
  <c r="AG41" i="11" s="1"/>
  <c r="AG40" i="11" a="1"/>
  <c r="AG40" i="11" s="1"/>
  <c r="W38" i="11" a="1"/>
  <c r="W38" i="11" s="1"/>
  <c r="AL36" i="11" a="1"/>
  <c r="AL36" i="11" s="1"/>
  <c r="AB35" i="11" a="1"/>
  <c r="AB35" i="11" s="1"/>
  <c r="W33" i="11" a="1"/>
  <c r="W33" i="11" s="1"/>
  <c r="AG31" i="11" a="1"/>
  <c r="AG31" i="11" s="1"/>
  <c r="AL30" i="11" a="1"/>
  <c r="AL30" i="11" s="1"/>
  <c r="W29" i="11" a="1"/>
  <c r="W29" i="11" s="1"/>
  <c r="AB28" i="11" a="1"/>
  <c r="AB28" i="11" s="1"/>
  <c r="AG27" i="11" a="1"/>
  <c r="AG27" i="11" s="1"/>
  <c r="AG26" i="11" a="1"/>
  <c r="AG26" i="11" s="1"/>
  <c r="AL25" i="11" a="1"/>
  <c r="AL25" i="11" s="1"/>
  <c r="AG24" i="11" a="1"/>
  <c r="AG24" i="11" s="1"/>
  <c r="AL99" i="11" a="1"/>
  <c r="AL99" i="11" s="1"/>
  <c r="W82" i="11" a="1"/>
  <c r="W82" i="11" s="1"/>
  <c r="AB64" i="11" a="1"/>
  <c r="AB64" i="11" s="1"/>
  <c r="W57" i="11" a="1"/>
  <c r="W57" i="11" s="1"/>
  <c r="W52" i="11" a="1"/>
  <c r="W52" i="11" s="1"/>
  <c r="AL47" i="11" a="1"/>
  <c r="AL47" i="11" s="1"/>
  <c r="AL42" i="11" a="1"/>
  <c r="AL42" i="11" s="1"/>
  <c r="AL37" i="11" a="1"/>
  <c r="AL37" i="11" s="1"/>
  <c r="AL32" i="11" a="1"/>
  <c r="AL32" i="11" s="1"/>
  <c r="AB29" i="11" a="1"/>
  <c r="AB29" i="11" s="1"/>
  <c r="W27" i="11" a="1"/>
  <c r="W27" i="11" s="1"/>
  <c r="AB20" i="11" a="1"/>
  <c r="AB20" i="11" s="1"/>
  <c r="AB18" i="11" a="1"/>
  <c r="AB18" i="11" s="1"/>
  <c r="AB17" i="11" a="1"/>
  <c r="AB17" i="11" s="1"/>
  <c r="AB15" i="11" a="1"/>
  <c r="AB15" i="11" s="1"/>
  <c r="W11" i="11" a="1"/>
  <c r="W11" i="11" s="1"/>
  <c r="W10" i="11" a="1"/>
  <c r="W10" i="11" s="1"/>
  <c r="W9" i="11" a="1"/>
  <c r="W9" i="11" s="1"/>
  <c r="AB26" i="11" a="1"/>
  <c r="AB26" i="11" s="1"/>
  <c r="AB22" i="11" a="1"/>
  <c r="AB22" i="11" s="1"/>
  <c r="AB19" i="11" a="1"/>
  <c r="AB19" i="11" s="1"/>
  <c r="W13" i="11" a="1"/>
  <c r="W13" i="11" s="1"/>
  <c r="W96" i="11" a="1"/>
  <c r="W96" i="11" s="1"/>
  <c r="AL68" i="11" a="1"/>
  <c r="AL68" i="11" s="1"/>
  <c r="AB40" i="11" a="1"/>
  <c r="AB40" i="11" s="1"/>
  <c r="W22" i="11" a="1"/>
  <c r="W22" i="11" s="1"/>
  <c r="W19" i="11" a="1"/>
  <c r="W19" i="11" s="1"/>
  <c r="AL16" i="11" a="1"/>
  <c r="AL16" i="11" s="1"/>
  <c r="AL14" i="11" a="1"/>
  <c r="AL14" i="11" s="1"/>
  <c r="W94" i="11" a="1"/>
  <c r="W94" i="11" s="1"/>
  <c r="AG66" i="11" a="1"/>
  <c r="AG66" i="11" s="1"/>
  <c r="W53" i="11" a="1"/>
  <c r="W53" i="11" s="1"/>
  <c r="W44" i="11" a="1"/>
  <c r="W44" i="11" s="1"/>
  <c r="W30" i="11" a="1"/>
  <c r="W30" i="11" s="1"/>
  <c r="AL21" i="11" a="1"/>
  <c r="AL21" i="11" s="1"/>
  <c r="AL19" i="11" a="1"/>
  <c r="AL19" i="11" s="1"/>
  <c r="AG17" i="11" a="1"/>
  <c r="AG17" i="11" s="1"/>
  <c r="AG15" i="11" a="1"/>
  <c r="AG15" i="11" s="1"/>
  <c r="AB12" i="11" a="1"/>
  <c r="AB12" i="11" s="1"/>
  <c r="AG10" i="11" a="1"/>
  <c r="AG10" i="11" s="1"/>
  <c r="AL97" i="11" a="1"/>
  <c r="AL97" i="11" s="1"/>
  <c r="W89" i="11" a="1"/>
  <c r="W89" i="11" s="1"/>
  <c r="W62" i="11" a="1"/>
  <c r="W62" i="11" s="1"/>
  <c r="AB55" i="11" a="1"/>
  <c r="AB55" i="11" s="1"/>
  <c r="W51" i="11" a="1"/>
  <c r="W51" i="11" s="1"/>
  <c r="AG46" i="11" a="1"/>
  <c r="AG46" i="11" s="1"/>
  <c r="AG36" i="11" a="1"/>
  <c r="AG36" i="11" s="1"/>
  <c r="AL28" i="11" a="1"/>
  <c r="AL28" i="11" s="1"/>
  <c r="W24" i="11" a="1"/>
  <c r="W24" i="11" s="1"/>
  <c r="AB21" i="11" a="1"/>
  <c r="AB21" i="11" s="1"/>
  <c r="AL11" i="11" a="1"/>
  <c r="AL11" i="11" s="1"/>
  <c r="AL86" i="11" a="1"/>
  <c r="AL86" i="11" s="1"/>
  <c r="AB77" i="11" a="1"/>
  <c r="AB77" i="11" s="1"/>
  <c r="W50" i="11" a="1"/>
  <c r="W50" i="11" s="1"/>
  <c r="AG25" i="11" a="1"/>
  <c r="AG25" i="11" s="1"/>
  <c r="W21" i="11" a="1"/>
  <c r="W21" i="11" s="1"/>
  <c r="AL17" i="11" a="1"/>
  <c r="AL17" i="11" s="1"/>
  <c r="AL15" i="11" a="1"/>
  <c r="AL15" i="11" s="1"/>
  <c r="AG13" i="11" a="1"/>
  <c r="AG13" i="11" s="1"/>
  <c r="AB84" i="11" a="1"/>
  <c r="AB84" i="11" s="1"/>
  <c r="AL58" i="11" a="1"/>
  <c r="AL58" i="11" s="1"/>
  <c r="W49" i="11" a="1"/>
  <c r="W49" i="11" s="1"/>
  <c r="W34" i="11" a="1"/>
  <c r="W34" i="11" s="1"/>
  <c r="W23" i="11" a="1"/>
  <c r="W23" i="11" s="1"/>
  <c r="AL20" i="11" a="1"/>
  <c r="AL20" i="11" s="1"/>
  <c r="AL18" i="11" a="1"/>
  <c r="AL18" i="11" s="1"/>
  <c r="AG16" i="11" a="1"/>
  <c r="AG16" i="11" s="1"/>
  <c r="AG14" i="11" a="1"/>
  <c r="AG14" i="11" s="1"/>
  <c r="AB11" i="11" a="1"/>
  <c r="AB11" i="11" s="1"/>
  <c r="AG9" i="11" a="1"/>
  <c r="AG9" i="11" s="1"/>
  <c r="AG5" i="11" a="1"/>
  <c r="AG5" i="11" s="1"/>
  <c r="AL3" i="11" a="1"/>
  <c r="AL3" i="11" s="1"/>
  <c r="AL4" i="11" a="1"/>
  <c r="AL4" i="11" s="1"/>
  <c r="AB6" i="11" a="1"/>
  <c r="AB6" i="11" s="1"/>
  <c r="AL5" i="11" a="1"/>
  <c r="AL5" i="11" s="1"/>
  <c r="AG3" i="11" a="1"/>
  <c r="AG3" i="11" s="1"/>
  <c r="W4" i="11" a="1"/>
  <c r="W4" i="11" s="1"/>
  <c r="W6" i="11" a="1"/>
  <c r="W6" i="11" s="1"/>
  <c r="AB5" i="11" a="1"/>
  <c r="AB5" i="11" s="1"/>
  <c r="AB3" i="11" a="1"/>
  <c r="AB3" i="11" s="1"/>
  <c r="AG4" i="11" a="1"/>
  <c r="AG4" i="11" s="1"/>
  <c r="AG6" i="11" a="1"/>
  <c r="AG6" i="11" s="1"/>
  <c r="W5" i="11" a="1"/>
  <c r="W5" i="11" s="1"/>
  <c r="W3" i="11" a="1"/>
  <c r="W3" i="11" s="1"/>
  <c r="AB4" i="11" a="1"/>
  <c r="AB4" i="11" s="1"/>
  <c r="AL6" i="11" a="1"/>
  <c r="AL6" i="11" s="1"/>
  <c r="AG7" i="11" a="1"/>
  <c r="AG7" i="11" s="1"/>
  <c r="W8" i="11" a="1"/>
  <c r="W8" i="11" s="1"/>
  <c r="AL7" i="11" a="1"/>
  <c r="AL7" i="11" s="1"/>
  <c r="AG8" i="11" a="1"/>
  <c r="AG8" i="11" s="1"/>
  <c r="AB7" i="11" a="1"/>
  <c r="AB7" i="11" s="1"/>
  <c r="AL8" i="11" a="1"/>
  <c r="AL8" i="11" s="1"/>
  <c r="W7" i="11" a="1"/>
  <c r="W7" i="11" s="1"/>
  <c r="AB8" i="11" a="1"/>
  <c r="AB8" i="11" s="1"/>
  <c r="W2" i="11" a="1"/>
  <c r="W2" i="11" s="1"/>
  <c r="AL2" i="11" a="1"/>
  <c r="AL2" i="11" s="1"/>
  <c r="AB2" i="11" a="1"/>
  <c r="AB2" i="11" s="1"/>
  <c r="AG2" i="11" a="1"/>
  <c r="AG2" i="11" s="1"/>
  <c r="X15" i="6"/>
  <c r="BC15" i="6" s="1"/>
  <c r="X7" i="6"/>
  <c r="BC7" i="6" s="1"/>
  <c r="X27" i="6"/>
  <c r="BC27" i="6" s="1"/>
  <c r="W27" i="6"/>
  <c r="X23" i="6"/>
  <c r="BC23" i="6" s="1"/>
  <c r="X19" i="6"/>
  <c r="BC19" i="6" s="1"/>
  <c r="AN19" i="6"/>
  <c r="AN9" i="6"/>
  <c r="BM7" i="6"/>
  <c r="BM3" i="6" s="1"/>
  <c r="AV3" i="6"/>
  <c r="AG22" i="9"/>
  <c r="AH22" i="9"/>
  <c r="AJ22" i="9" s="1"/>
  <c r="R2" i="11" a="1"/>
  <c r="R2" i="11" s="1"/>
  <c r="S2" i="11" s="1"/>
  <c r="T2" i="11" s="1"/>
  <c r="AN11" i="6"/>
  <c r="BF3" i="6"/>
  <c r="G26" i="8"/>
  <c r="H25" i="8" a="1"/>
  <c r="H25" i="8" s="1"/>
  <c r="D25" i="8"/>
  <c r="P25" i="8" s="1"/>
  <c r="E24" i="8"/>
  <c r="F23" i="8"/>
  <c r="G22" i="8"/>
  <c r="H21" i="8" a="1"/>
  <c r="H21" i="8" s="1"/>
  <c r="D21" i="8"/>
  <c r="F26" i="8"/>
  <c r="G25" i="8"/>
  <c r="H24" i="8" a="1"/>
  <c r="H24" i="8" s="1"/>
  <c r="D24" i="8"/>
  <c r="P24" i="8" s="1"/>
  <c r="E23" i="8"/>
  <c r="F22" i="8"/>
  <c r="G21" i="8"/>
  <c r="E26" i="8"/>
  <c r="F25" i="8"/>
  <c r="G24" i="8"/>
  <c r="H23" i="8" a="1"/>
  <c r="H23" i="8" s="1"/>
  <c r="D23" i="8"/>
  <c r="P23" i="8" s="1"/>
  <c r="E22" i="8"/>
  <c r="F21" i="8"/>
  <c r="H26" i="8" a="1"/>
  <c r="H26" i="8" s="1"/>
  <c r="D26" i="8"/>
  <c r="P26" i="8" s="1"/>
  <c r="E25" i="8"/>
  <c r="F24" i="8"/>
  <c r="G23" i="8"/>
  <c r="H22" i="8" a="1"/>
  <c r="H22" i="8" s="1"/>
  <c r="D22" i="8"/>
  <c r="P22" i="8" s="1"/>
  <c r="E21" i="8"/>
  <c r="W7" i="6"/>
  <c r="L37" i="10"/>
  <c r="L2" i="10"/>
  <c r="N87" i="10"/>
  <c r="N76" i="10"/>
  <c r="M86" i="10"/>
  <c r="N63" i="10"/>
  <c r="N36" i="10"/>
  <c r="BB3" i="6"/>
  <c r="O2" i="10"/>
  <c r="M95" i="10"/>
  <c r="O72" i="10"/>
  <c r="N89" i="10"/>
  <c r="M90" i="10"/>
  <c r="N43" i="10"/>
  <c r="N100" i="10"/>
  <c r="M42" i="10"/>
  <c r="M59" i="10"/>
  <c r="N51" i="10"/>
  <c r="O64" i="10"/>
  <c r="M101" i="10"/>
  <c r="O69" i="10"/>
  <c r="N33" i="10"/>
  <c r="AR7" i="6"/>
  <c r="N92" i="10"/>
  <c r="M66" i="10"/>
  <c r="N96" i="10"/>
  <c r="N25" i="10"/>
  <c r="N84" i="10"/>
  <c r="O49" i="10"/>
  <c r="M24" i="10"/>
  <c r="N2" i="10"/>
  <c r="N88" i="10"/>
  <c r="N67" i="10"/>
  <c r="N99" i="10"/>
  <c r="M82" i="10"/>
  <c r="O60" i="10"/>
  <c r="N98" i="10"/>
  <c r="O80" i="10"/>
  <c r="N59" i="10"/>
  <c r="N101" i="10"/>
  <c r="O84" i="10"/>
  <c r="O52" i="10"/>
  <c r="M38" i="10"/>
  <c r="N23" i="10"/>
  <c r="M99" i="10"/>
  <c r="M94" i="10"/>
  <c r="M89" i="10"/>
  <c r="O81" i="10"/>
  <c r="M75" i="10"/>
  <c r="O65" i="10"/>
  <c r="O57" i="10"/>
  <c r="N48" i="10"/>
  <c r="N28" i="10"/>
  <c r="L99" i="10"/>
  <c r="N4" i="10"/>
  <c r="L77" i="10"/>
  <c r="M2" i="10"/>
  <c r="N83" i="10"/>
  <c r="M62" i="10"/>
  <c r="N95" i="10"/>
  <c r="O76" i="10"/>
  <c r="N55" i="10"/>
  <c r="N94" i="10"/>
  <c r="N75" i="10"/>
  <c r="M54" i="10"/>
  <c r="N97" i="10"/>
  <c r="M74" i="10"/>
  <c r="N47" i="10"/>
  <c r="N35" i="10"/>
  <c r="N13" i="10"/>
  <c r="M98" i="10"/>
  <c r="M93" i="10"/>
  <c r="M87" i="10"/>
  <c r="N80" i="10"/>
  <c r="O73" i="10"/>
  <c r="N64" i="10"/>
  <c r="M55" i="10"/>
  <c r="N44" i="10"/>
  <c r="O18" i="10"/>
  <c r="L91" i="10"/>
  <c r="O89" i="10"/>
  <c r="M78" i="10"/>
  <c r="O56" i="10"/>
  <c r="N91" i="10"/>
  <c r="N71" i="10"/>
  <c r="M50" i="10"/>
  <c r="N90" i="10"/>
  <c r="M70" i="10"/>
  <c r="O48" i="10"/>
  <c r="N93" i="10"/>
  <c r="O68" i="10"/>
  <c r="N5" i="10"/>
  <c r="M30" i="10"/>
  <c r="N7" i="10"/>
  <c r="M97" i="10"/>
  <c r="M91" i="10"/>
  <c r="O85" i="10"/>
  <c r="M79" i="10"/>
  <c r="M71" i="10"/>
  <c r="M63" i="10"/>
  <c r="N52" i="10"/>
  <c r="O37" i="10"/>
  <c r="O8" i="10"/>
  <c r="M76" i="10"/>
  <c r="O47" i="10"/>
  <c r="L45" i="10"/>
  <c r="O25" i="10"/>
  <c r="L61" i="10"/>
  <c r="O41" i="10"/>
  <c r="O26" i="10"/>
  <c r="O28" i="10"/>
  <c r="O54" i="10"/>
  <c r="M69" i="10"/>
  <c r="M8" i="10"/>
  <c r="L25" i="10"/>
  <c r="L96" i="10"/>
  <c r="O70" i="10"/>
  <c r="M28" i="10"/>
  <c r="M85" i="10"/>
  <c r="N42" i="10"/>
  <c r="M20" i="10"/>
  <c r="L73" i="10"/>
  <c r="L41" i="10"/>
  <c r="M43" i="10"/>
  <c r="O33" i="10"/>
  <c r="O16" i="10"/>
  <c r="N17" i="10"/>
  <c r="L88" i="10"/>
  <c r="N49" i="10"/>
  <c r="O101" i="10"/>
  <c r="O63" i="10"/>
  <c r="O17" i="10"/>
  <c r="M4" i="10"/>
  <c r="L57" i="10"/>
  <c r="L10" i="10"/>
  <c r="M31" i="10"/>
  <c r="O20" i="10"/>
  <c r="O10" i="10"/>
  <c r="N31" i="10"/>
  <c r="L100" i="10"/>
  <c r="L92" i="10"/>
  <c r="N81" i="10"/>
  <c r="M60" i="10"/>
  <c r="O38" i="10"/>
  <c r="N12" i="10"/>
  <c r="O93" i="10"/>
  <c r="N74" i="10"/>
  <c r="M53" i="10"/>
  <c r="O31" i="10"/>
  <c r="N3" i="10"/>
  <c r="M12" i="10"/>
  <c r="L81" i="10"/>
  <c r="L65" i="10"/>
  <c r="L49" i="10"/>
  <c r="L33" i="10"/>
  <c r="W19" i="6"/>
  <c r="N68" i="10"/>
  <c r="N60" i="10"/>
  <c r="O53" i="10"/>
  <c r="M47" i="10"/>
  <c r="M39" i="10"/>
  <c r="N32" i="10"/>
  <c r="O24" i="10"/>
  <c r="O12" i="10"/>
  <c r="O40" i="10"/>
  <c r="N15" i="10"/>
  <c r="L95" i="10"/>
  <c r="O86" i="10"/>
  <c r="N65" i="10"/>
  <c r="M44" i="10"/>
  <c r="N20" i="10"/>
  <c r="O97" i="10"/>
  <c r="O79" i="10"/>
  <c r="N58" i="10"/>
  <c r="M37" i="10"/>
  <c r="O9" i="10"/>
  <c r="M16" i="10"/>
  <c r="L85" i="10"/>
  <c r="L69" i="10"/>
  <c r="L53" i="10"/>
  <c r="L7" i="10"/>
  <c r="L5" i="10"/>
  <c r="L21" i="10"/>
  <c r="L31" i="10"/>
  <c r="L36" i="10"/>
  <c r="L40" i="10"/>
  <c r="L44" i="10"/>
  <c r="L48" i="10"/>
  <c r="L52" i="10"/>
  <c r="L56" i="10"/>
  <c r="L60" i="10"/>
  <c r="L64" i="10"/>
  <c r="L68" i="10"/>
  <c r="L72" i="10"/>
  <c r="L76" i="10"/>
  <c r="L80" i="10"/>
  <c r="L84" i="10"/>
  <c r="M3" i="10"/>
  <c r="M7" i="10"/>
  <c r="M11" i="10"/>
  <c r="M15" i="10"/>
  <c r="M19" i="10"/>
  <c r="M23" i="10"/>
  <c r="M27" i="10"/>
  <c r="O7" i="10"/>
  <c r="O15" i="10"/>
  <c r="O23" i="10"/>
  <c r="N30" i="10"/>
  <c r="O35" i="10"/>
  <c r="M41" i="10"/>
  <c r="N46" i="10"/>
  <c r="O51" i="10"/>
  <c r="M57" i="10"/>
  <c r="N62" i="10"/>
  <c r="O67" i="10"/>
  <c r="M73" i="10"/>
  <c r="N78" i="10"/>
  <c r="O83" i="10"/>
  <c r="O88" i="10"/>
  <c r="O92" i="10"/>
  <c r="O96" i="10"/>
  <c r="O100" i="10"/>
  <c r="M46" i="10"/>
  <c r="N10" i="10"/>
  <c r="N18" i="10"/>
  <c r="N26" i="10"/>
  <c r="M32" i="10"/>
  <c r="N37" i="10"/>
  <c r="O42" i="10"/>
  <c r="M48" i="10"/>
  <c r="N53" i="10"/>
  <c r="O58" i="10"/>
  <c r="M64" i="10"/>
  <c r="N69" i="10"/>
  <c r="O74" i="10"/>
  <c r="M80" i="10"/>
  <c r="N85" i="10"/>
  <c r="L90" i="10"/>
  <c r="L94" i="10"/>
  <c r="L98" i="10"/>
  <c r="N9" i="10"/>
  <c r="N27" i="10"/>
  <c r="O36" i="10"/>
  <c r="O6" i="10"/>
  <c r="O14" i="10"/>
  <c r="O22" i="10"/>
  <c r="O29" i="10"/>
  <c r="M35" i="10"/>
  <c r="N40" i="10"/>
  <c r="O45" i="10"/>
  <c r="M51" i="10"/>
  <c r="N56" i="10"/>
  <c r="O61" i="10"/>
  <c r="M67" i="10"/>
  <c r="N72" i="10"/>
  <c r="O77" i="10"/>
  <c r="M83" i="10"/>
  <c r="M88" i="10"/>
  <c r="M92" i="10"/>
  <c r="M96" i="10"/>
  <c r="M100" i="10"/>
  <c r="N19" i="10"/>
  <c r="O32" i="10"/>
  <c r="O44" i="10"/>
  <c r="M58" i="10"/>
  <c r="N79" i="10"/>
  <c r="L14" i="10"/>
  <c r="L27" i="10"/>
  <c r="L34" i="10"/>
  <c r="L38" i="10"/>
  <c r="L42" i="10"/>
  <c r="L46" i="10"/>
  <c r="L50" i="10"/>
  <c r="L54" i="10"/>
  <c r="L58" i="10"/>
  <c r="L62" i="10"/>
  <c r="L66" i="10"/>
  <c r="L70" i="10"/>
  <c r="L74" i="10"/>
  <c r="L78" i="10"/>
  <c r="L82" i="10"/>
  <c r="L86" i="10"/>
  <c r="M5" i="10"/>
  <c r="M9" i="10"/>
  <c r="M13" i="10"/>
  <c r="M17" i="10"/>
  <c r="M21" i="10"/>
  <c r="M25" i="10"/>
  <c r="O3" i="10"/>
  <c r="O11" i="10"/>
  <c r="O19" i="10"/>
  <c r="O27" i="10"/>
  <c r="M33" i="10"/>
  <c r="N38" i="10"/>
  <c r="O43" i="10"/>
  <c r="M49" i="10"/>
  <c r="N54" i="10"/>
  <c r="O59" i="10"/>
  <c r="M65" i="10"/>
  <c r="N70" i="10"/>
  <c r="O75" i="10"/>
  <c r="M81" i="10"/>
  <c r="N86" i="10"/>
  <c r="O90" i="10"/>
  <c r="O94" i="10"/>
  <c r="O98" i="10"/>
  <c r="N11" i="10"/>
  <c r="N6" i="10"/>
  <c r="N14" i="10"/>
  <c r="N22" i="10"/>
  <c r="N29" i="10"/>
  <c r="O34" i="10"/>
  <c r="M40" i="10"/>
  <c r="N45" i="10"/>
  <c r="O50" i="10"/>
  <c r="M56" i="10"/>
  <c r="N61" i="10"/>
  <c r="O66" i="10"/>
  <c r="M72" i="10"/>
  <c r="N77" i="10"/>
  <c r="O82" i="10"/>
  <c r="L17" i="10"/>
  <c r="L29" i="10"/>
  <c r="L35" i="10"/>
  <c r="L39" i="10"/>
  <c r="L43" i="10"/>
  <c r="L47" i="10"/>
  <c r="L51" i="10"/>
  <c r="L55" i="10"/>
  <c r="L59" i="10"/>
  <c r="L63" i="10"/>
  <c r="L67" i="10"/>
  <c r="L71" i="10"/>
  <c r="L75" i="10"/>
  <c r="L79" i="10"/>
  <c r="L83" i="10"/>
  <c r="L87" i="10"/>
  <c r="M6" i="10"/>
  <c r="M10" i="10"/>
  <c r="M14" i="10"/>
  <c r="M18" i="10"/>
  <c r="M22" i="10"/>
  <c r="M26" i="10"/>
  <c r="O5" i="10"/>
  <c r="O13" i="10"/>
  <c r="O21" i="10"/>
  <c r="M29" i="10"/>
  <c r="N34" i="10"/>
  <c r="O39" i="10"/>
  <c r="M45" i="10"/>
  <c r="N50" i="10"/>
  <c r="O55" i="10"/>
  <c r="M61" i="10"/>
  <c r="N66" i="10"/>
  <c r="O71" i="10"/>
  <c r="M77" i="10"/>
  <c r="N82" i="10"/>
  <c r="O87" i="10"/>
  <c r="O91" i="10"/>
  <c r="O95" i="10"/>
  <c r="O99" i="10"/>
  <c r="N39" i="10"/>
  <c r="N8" i="10"/>
  <c r="N16" i="10"/>
  <c r="N24" i="10"/>
  <c r="O30" i="10"/>
  <c r="M36" i="10"/>
  <c r="N41" i="10"/>
  <c r="O46" i="10"/>
  <c r="M52" i="10"/>
  <c r="N57" i="10"/>
  <c r="O62" i="10"/>
  <c r="M68" i="10"/>
  <c r="N73" i="10"/>
  <c r="O78" i="10"/>
  <c r="M84" i="10"/>
  <c r="L89" i="10"/>
  <c r="L93" i="10"/>
  <c r="L97" i="10"/>
  <c r="L101" i="10"/>
  <c r="N21" i="10"/>
  <c r="M34" i="10"/>
  <c r="O4" i="10"/>
  <c r="L30" i="10"/>
  <c r="L26" i="10"/>
  <c r="L20" i="10"/>
  <c r="L12" i="10"/>
  <c r="L3" i="10"/>
  <c r="W15" i="6"/>
  <c r="L32" i="10"/>
  <c r="L28" i="10"/>
  <c r="L22" i="10"/>
  <c r="L16" i="10"/>
  <c r="L6" i="10"/>
  <c r="L9" i="10"/>
  <c r="AH26" i="9"/>
  <c r="AJ26" i="9" s="1"/>
  <c r="AI26" i="9"/>
  <c r="AI27" i="9"/>
  <c r="AH27" i="9"/>
  <c r="AJ27" i="9" s="1"/>
  <c r="AH23" i="9"/>
  <c r="AJ23" i="9" s="1"/>
  <c r="AI24" i="9"/>
  <c r="AH24" i="9"/>
  <c r="AJ24" i="9" s="1"/>
  <c r="AH25" i="9"/>
  <c r="AJ25" i="9" s="1"/>
  <c r="AI25" i="9"/>
  <c r="AN8" i="6"/>
  <c r="W23" i="6"/>
  <c r="R3" i="11" a="1"/>
  <c r="R3" i="11" s="1"/>
  <c r="AN7" i="6"/>
  <c r="AR11" i="6"/>
  <c r="R50" i="11" a="1"/>
  <c r="R50" i="11" s="1"/>
  <c r="R100" i="11" a="1"/>
  <c r="R100" i="11" s="1"/>
  <c r="R66" i="11" a="1"/>
  <c r="R66" i="11" s="1"/>
  <c r="R30" i="11" a="1"/>
  <c r="R30" i="11" s="1"/>
  <c r="R58" i="11" a="1"/>
  <c r="R58" i="11" s="1"/>
  <c r="R14" i="11" a="1"/>
  <c r="R14" i="11" s="1"/>
  <c r="R73" i="11" a="1"/>
  <c r="R73" i="11" s="1"/>
  <c r="R54" i="11" a="1"/>
  <c r="R54" i="11" s="1"/>
  <c r="R95" i="11" a="1"/>
  <c r="R95" i="11" s="1"/>
  <c r="R53" i="11" a="1"/>
  <c r="R53" i="11" s="1"/>
  <c r="R5" i="11" a="1"/>
  <c r="R5" i="11" s="1"/>
  <c r="R83" i="11" a="1"/>
  <c r="R83" i="11" s="1"/>
  <c r="R84" i="11" a="1"/>
  <c r="R84" i="11" s="1"/>
  <c r="R26" i="11" a="1"/>
  <c r="R26" i="11" s="1"/>
  <c r="R42" i="11" a="1"/>
  <c r="R42" i="11" s="1"/>
  <c r="R38" i="11" a="1"/>
  <c r="R38" i="11" s="1"/>
  <c r="R87" i="11" a="1"/>
  <c r="R87" i="11" s="1"/>
  <c r="R37" i="11" a="1"/>
  <c r="R37" i="11" s="1"/>
  <c r="R34" i="11" a="1"/>
  <c r="R34" i="11" s="1"/>
  <c r="R80" i="11" a="1"/>
  <c r="R80" i="11" s="1"/>
  <c r="R10" i="11" a="1"/>
  <c r="R10" i="11" s="1"/>
  <c r="R96" i="11" a="1"/>
  <c r="R96" i="11" s="1"/>
  <c r="R88" i="11" a="1"/>
  <c r="R88" i="11" s="1"/>
  <c r="R22" i="11" a="1"/>
  <c r="R22" i="11" s="1"/>
  <c r="R79" i="11" a="1"/>
  <c r="R79" i="11" s="1"/>
  <c r="R33" i="11" a="1"/>
  <c r="R33" i="11" s="1"/>
  <c r="R57" i="11" a="1"/>
  <c r="R57" i="11" s="1"/>
  <c r="R62" i="11" a="1"/>
  <c r="R62" i="11" s="1"/>
  <c r="R69" i="11" a="1"/>
  <c r="R69" i="11" s="1"/>
  <c r="R45" i="11" a="1"/>
  <c r="R45" i="11" s="1"/>
  <c r="R86" i="11" a="1"/>
  <c r="R86" i="11" s="1"/>
  <c r="R68" i="11" a="1"/>
  <c r="R68" i="11" s="1"/>
  <c r="R52" i="11" a="1"/>
  <c r="R52" i="11" s="1"/>
  <c r="R36" i="11" a="1"/>
  <c r="R36" i="11" s="1"/>
  <c r="R20" i="11" a="1"/>
  <c r="R20" i="11" s="1"/>
  <c r="R4" i="11" a="1"/>
  <c r="R4" i="11" s="1"/>
  <c r="R65" i="11" a="1"/>
  <c r="R65" i="11" s="1"/>
  <c r="R17" i="11" a="1"/>
  <c r="R17" i="11" s="1"/>
  <c r="R90" i="11" a="1"/>
  <c r="R90" i="11" s="1"/>
  <c r="R93" i="11" a="1"/>
  <c r="R93" i="11" s="1"/>
  <c r="R77" i="11" a="1"/>
  <c r="R77" i="11" s="1"/>
  <c r="R63" i="11" a="1"/>
  <c r="R63" i="11" s="1"/>
  <c r="R47" i="11" a="1"/>
  <c r="R47" i="11" s="1"/>
  <c r="R31" i="11" a="1"/>
  <c r="R31" i="11" s="1"/>
  <c r="R15" i="11" a="1"/>
  <c r="R15" i="11" s="1"/>
  <c r="R6" i="11" a="1"/>
  <c r="R6" i="11" s="1"/>
  <c r="R61" i="11" a="1"/>
  <c r="R61" i="11" s="1"/>
  <c r="R25" i="11" a="1"/>
  <c r="R25" i="11" s="1"/>
  <c r="R78" i="11" a="1"/>
  <c r="R78" i="11" s="1"/>
  <c r="R64" i="11" a="1"/>
  <c r="R64" i="11" s="1"/>
  <c r="R48" i="11" a="1"/>
  <c r="R48" i="11" s="1"/>
  <c r="R32" i="11" a="1"/>
  <c r="R32" i="11" s="1"/>
  <c r="R16" i="11" a="1"/>
  <c r="R16" i="11" s="1"/>
  <c r="R99" i="11" a="1"/>
  <c r="R99" i="11" s="1"/>
  <c r="R49" i="11" a="1"/>
  <c r="R49" i="11" s="1"/>
  <c r="R9" i="11" a="1"/>
  <c r="R9" i="11" s="1"/>
  <c r="R82" i="11" a="1"/>
  <c r="R82" i="11" s="1"/>
  <c r="R89" i="11" a="1"/>
  <c r="R89" i="11" s="1"/>
  <c r="R74" i="11" a="1"/>
  <c r="R74" i="11" s="1"/>
  <c r="R59" i="11" a="1"/>
  <c r="R59" i="11" s="1"/>
  <c r="R43" i="11" a="1"/>
  <c r="R43" i="11" s="1"/>
  <c r="R27" i="11" a="1"/>
  <c r="R27" i="11" s="1"/>
  <c r="R92" i="11" a="1"/>
  <c r="R92" i="11" s="1"/>
  <c r="R46" i="11" a="1"/>
  <c r="R46" i="11" s="1"/>
  <c r="R21" i="11" a="1"/>
  <c r="R21" i="11" s="1"/>
  <c r="R13" i="11" a="1"/>
  <c r="R13" i="11" s="1"/>
  <c r="R75" i="11" a="1"/>
  <c r="R75" i="11" s="1"/>
  <c r="R60" i="11" a="1"/>
  <c r="R60" i="11" s="1"/>
  <c r="R44" i="11" a="1"/>
  <c r="R44" i="11" s="1"/>
  <c r="R28" i="11" a="1"/>
  <c r="R28" i="11" s="1"/>
  <c r="R12" i="11" a="1"/>
  <c r="R12" i="11" s="1"/>
  <c r="R91" i="11" a="1"/>
  <c r="R91" i="11" s="1"/>
  <c r="R41" i="11" a="1"/>
  <c r="R41" i="11" s="1"/>
  <c r="R101" i="11" a="1"/>
  <c r="R101" i="11" s="1"/>
  <c r="R85" i="11" a="1"/>
  <c r="R85" i="11" s="1"/>
  <c r="R70" i="11" a="1"/>
  <c r="R70" i="11" s="1"/>
  <c r="R55" i="11" a="1"/>
  <c r="R55" i="11" s="1"/>
  <c r="R39" i="11" a="1"/>
  <c r="R39" i="11" s="1"/>
  <c r="R23" i="11" a="1"/>
  <c r="R23" i="11" s="1"/>
  <c r="R7" i="11" a="1"/>
  <c r="R7" i="11" s="1"/>
  <c r="R18" i="11" a="1"/>
  <c r="R18" i="11" s="1"/>
  <c r="R94" i="11" a="1"/>
  <c r="R94" i="11" s="1"/>
  <c r="R24" i="11" a="1"/>
  <c r="R24" i="11" s="1"/>
  <c r="R29" i="11" a="1"/>
  <c r="R29" i="11" s="1"/>
  <c r="R81" i="11" a="1"/>
  <c r="R81" i="11" s="1"/>
  <c r="R19" i="11" a="1"/>
  <c r="R19" i="11" s="1"/>
  <c r="R71" i="11" a="1"/>
  <c r="R71" i="11" s="1"/>
  <c r="R8" i="11" a="1"/>
  <c r="R8" i="11" s="1"/>
  <c r="R67" i="11" a="1"/>
  <c r="R67" i="11" s="1"/>
  <c r="R11" i="11" a="1"/>
  <c r="R11" i="11" s="1"/>
  <c r="R72" i="11" a="1"/>
  <c r="R72" i="11" s="1"/>
  <c r="R56" i="11" a="1"/>
  <c r="R56" i="11" s="1"/>
  <c r="R98" i="11" a="1"/>
  <c r="R98" i="11" s="1"/>
  <c r="R51" i="11" a="1"/>
  <c r="R51" i="11" s="1"/>
  <c r="R35" i="11" a="1"/>
  <c r="R35" i="11" s="1"/>
  <c r="R40" i="11" a="1"/>
  <c r="R40" i="11" s="1"/>
  <c r="R76" i="11" a="1"/>
  <c r="R76" i="11" s="1"/>
  <c r="R97" i="11" a="1"/>
  <c r="R97" i="11" s="1"/>
  <c r="BC3" i="6"/>
  <c r="L24" i="10"/>
  <c r="L18" i="10"/>
  <c r="L13" i="10"/>
  <c r="L8" i="10"/>
  <c r="L23" i="10"/>
  <c r="L19" i="10"/>
  <c r="L15" i="10"/>
  <c r="L11" i="10"/>
  <c r="L4" i="10"/>
  <c r="BD3" i="6"/>
  <c r="I4" i="12"/>
  <c r="K4" i="12"/>
  <c r="G4" i="12"/>
  <c r="H4" i="12"/>
  <c r="J4" i="12"/>
  <c r="L4" i="12"/>
  <c r="S81" i="11" l="1"/>
  <c r="T81" i="11" s="1"/>
  <c r="S56" i="11"/>
  <c r="T56" i="11" s="1"/>
  <c r="S91" i="11"/>
  <c r="T91" i="11" s="1"/>
  <c r="S59" i="11"/>
  <c r="T59" i="11" s="1"/>
  <c r="S35" i="11"/>
  <c r="T35" i="11" s="1"/>
  <c r="S72" i="11"/>
  <c r="T72" i="11" s="1"/>
  <c r="S71" i="11"/>
  <c r="T71" i="11" s="1"/>
  <c r="S24" i="11"/>
  <c r="T24" i="11" s="1"/>
  <c r="S23" i="11"/>
  <c r="T23" i="11" s="1"/>
  <c r="S85" i="11"/>
  <c r="T85" i="11" s="1"/>
  <c r="S12" i="11"/>
  <c r="T12" i="11" s="1"/>
  <c r="S75" i="11"/>
  <c r="T75" i="11" s="1"/>
  <c r="S92" i="11"/>
  <c r="T92" i="11" s="1"/>
  <c r="S74" i="11"/>
  <c r="T74" i="11" s="1"/>
  <c r="S49" i="11"/>
  <c r="T49" i="11" s="1"/>
  <c r="S48" i="11"/>
  <c r="T48" i="11" s="1"/>
  <c r="S61" i="11"/>
  <c r="T61" i="11" s="1"/>
  <c r="S47" i="11"/>
  <c r="T47" i="11" s="1"/>
  <c r="S90" i="11"/>
  <c r="T90" i="11" s="1"/>
  <c r="S20" i="11"/>
  <c r="T20" i="11" s="1"/>
  <c r="S86" i="11"/>
  <c r="T86" i="11" s="1"/>
  <c r="S57" i="11"/>
  <c r="T57" i="11" s="1"/>
  <c r="S88" i="11"/>
  <c r="T88" i="11" s="1"/>
  <c r="S34" i="11"/>
  <c r="T34" i="11" s="1"/>
  <c r="S42" i="11"/>
  <c r="T42" i="11" s="1"/>
  <c r="S5" i="11"/>
  <c r="T5" i="11" s="1"/>
  <c r="S73" i="11"/>
  <c r="T73" i="11" s="1"/>
  <c r="S66" i="11"/>
  <c r="T66" i="11" s="1"/>
  <c r="AH2" i="11"/>
  <c r="AJ2" i="11"/>
  <c r="AE8" i="11"/>
  <c r="AC8" i="11"/>
  <c r="AJ8" i="11"/>
  <c r="AH8" i="11"/>
  <c r="AM6" i="11"/>
  <c r="AO6" i="11"/>
  <c r="AJ6" i="11"/>
  <c r="AH6" i="11"/>
  <c r="Z6" i="11"/>
  <c r="X6" i="11"/>
  <c r="AC6" i="11"/>
  <c r="AE6" i="11"/>
  <c r="AJ9" i="11"/>
  <c r="AH9" i="11"/>
  <c r="AM18" i="11"/>
  <c r="AO18" i="11"/>
  <c r="Z49" i="11"/>
  <c r="X49" i="11"/>
  <c r="AO15" i="11"/>
  <c r="AM15" i="11"/>
  <c r="Z50" i="11"/>
  <c r="X50" i="11"/>
  <c r="AC21" i="11"/>
  <c r="AE21" i="11"/>
  <c r="AJ46" i="11"/>
  <c r="AH46" i="11"/>
  <c r="X89" i="11"/>
  <c r="Z89" i="11"/>
  <c r="AJ15" i="11"/>
  <c r="AH15" i="11"/>
  <c r="X30" i="11"/>
  <c r="Z30" i="11"/>
  <c r="X94" i="11"/>
  <c r="Z94" i="11"/>
  <c r="Z22" i="11"/>
  <c r="X22" i="11"/>
  <c r="Z13" i="11"/>
  <c r="X13" i="11"/>
  <c r="Z9" i="11"/>
  <c r="X9" i="11"/>
  <c r="AC17" i="11"/>
  <c r="AE17" i="11"/>
  <c r="AE29" i="11"/>
  <c r="AC29" i="11"/>
  <c r="AO47" i="11"/>
  <c r="AM47" i="11"/>
  <c r="X82" i="11"/>
  <c r="Z82" i="11"/>
  <c r="AH26" i="11"/>
  <c r="AJ26" i="11"/>
  <c r="AM30" i="11"/>
  <c r="AO30" i="11"/>
  <c r="AM36" i="11"/>
  <c r="AO36" i="11"/>
  <c r="Z43" i="11"/>
  <c r="X43" i="11"/>
  <c r="AJ55" i="11"/>
  <c r="AH55" i="11"/>
  <c r="AE89" i="11"/>
  <c r="AC89" i="11"/>
  <c r="Z12" i="11"/>
  <c r="X12" i="11"/>
  <c r="X15" i="11"/>
  <c r="Z15" i="11"/>
  <c r="X20" i="11"/>
  <c r="Z20" i="11"/>
  <c r="AE25" i="11"/>
  <c r="AC25" i="11"/>
  <c r="AJ29" i="11"/>
  <c r="AH29" i="11"/>
  <c r="AO35" i="11"/>
  <c r="AM35" i="11"/>
  <c r="AE43" i="11"/>
  <c r="AC43" i="11"/>
  <c r="AO54" i="11"/>
  <c r="AM54" i="11"/>
  <c r="AJ67" i="11"/>
  <c r="AH67" i="11"/>
  <c r="AC78" i="11"/>
  <c r="AE78" i="11"/>
  <c r="Z95" i="11"/>
  <c r="X95" i="11"/>
  <c r="AJ84" i="11"/>
  <c r="AH84" i="11"/>
  <c r="AC10" i="11"/>
  <c r="AE10" i="11"/>
  <c r="Z14" i="11"/>
  <c r="X14" i="11"/>
  <c r="AH20" i="11"/>
  <c r="AJ20" i="11"/>
  <c r="AO23" i="11"/>
  <c r="AM23" i="11"/>
  <c r="AE27" i="11"/>
  <c r="AC27" i="11"/>
  <c r="AE32" i="11"/>
  <c r="AC32" i="11"/>
  <c r="AO39" i="11"/>
  <c r="AM39" i="11"/>
  <c r="AC47" i="11"/>
  <c r="AE47" i="11"/>
  <c r="AJ52" i="11"/>
  <c r="AH52" i="11"/>
  <c r="X61" i="11"/>
  <c r="Z61" i="11"/>
  <c r="AH76" i="11"/>
  <c r="AJ76" i="11"/>
  <c r="AO85" i="11"/>
  <c r="AM85" i="11"/>
  <c r="Z101" i="11"/>
  <c r="X101" i="11"/>
  <c r="AE34" i="11"/>
  <c r="AC34" i="11"/>
  <c r="AE39" i="11"/>
  <c r="AC39" i="11"/>
  <c r="AJ43" i="11"/>
  <c r="AH43" i="11"/>
  <c r="X47" i="11"/>
  <c r="Z47" i="11"/>
  <c r="AO51" i="11"/>
  <c r="AM51" i="11"/>
  <c r="AE58" i="11"/>
  <c r="AC58" i="11"/>
  <c r="AO62" i="11"/>
  <c r="AM62" i="11"/>
  <c r="AE73" i="11"/>
  <c r="AC73" i="11"/>
  <c r="AE80" i="11"/>
  <c r="AC80" i="11"/>
  <c r="AE88" i="11"/>
  <c r="AC88" i="11"/>
  <c r="AE98" i="11"/>
  <c r="AC98" i="11"/>
  <c r="AE31" i="11"/>
  <c r="AC31" i="11"/>
  <c r="AJ35" i="11"/>
  <c r="AH35" i="11"/>
  <c r="Z39" i="11"/>
  <c r="X39" i="11"/>
  <c r="AO43" i="11"/>
  <c r="AM43" i="11"/>
  <c r="AO48" i="11"/>
  <c r="AM48" i="11"/>
  <c r="AC52" i="11"/>
  <c r="AE52" i="11"/>
  <c r="Z56" i="11"/>
  <c r="X56" i="11"/>
  <c r="X60" i="11"/>
  <c r="Z60" i="11"/>
  <c r="AC70" i="11"/>
  <c r="AE70" i="11"/>
  <c r="X77" i="11"/>
  <c r="Z77" i="11"/>
  <c r="X85" i="11"/>
  <c r="Z85" i="11"/>
  <c r="AE92" i="11"/>
  <c r="AC92" i="11"/>
  <c r="AH63" i="11"/>
  <c r="AJ63" i="11"/>
  <c r="AC68" i="11"/>
  <c r="AE68" i="11"/>
  <c r="AH71" i="11"/>
  <c r="AJ71" i="11"/>
  <c r="AC74" i="11"/>
  <c r="AE74" i="11"/>
  <c r="Z78" i="11"/>
  <c r="X78" i="11"/>
  <c r="AM80" i="11"/>
  <c r="AO80" i="11"/>
  <c r="AM84" i="11"/>
  <c r="AO84" i="11"/>
  <c r="AJ88" i="11"/>
  <c r="AH88" i="11"/>
  <c r="Z93" i="11"/>
  <c r="X93" i="11"/>
  <c r="AH95" i="11"/>
  <c r="AJ95" i="11"/>
  <c r="AC56" i="11"/>
  <c r="AE56" i="11"/>
  <c r="AC60" i="11"/>
  <c r="AE60" i="11"/>
  <c r="AO63" i="11"/>
  <c r="AM63" i="11"/>
  <c r="X69" i="11"/>
  <c r="Z69" i="11"/>
  <c r="AO71" i="11"/>
  <c r="AM71" i="11"/>
  <c r="X79" i="11"/>
  <c r="Z79" i="11"/>
  <c r="X83" i="11"/>
  <c r="Z83" i="11"/>
  <c r="X87" i="11"/>
  <c r="Z87" i="11"/>
  <c r="X92" i="11"/>
  <c r="Z92" i="11"/>
  <c r="AO95" i="11"/>
  <c r="AM95" i="11"/>
  <c r="AJ98" i="11"/>
  <c r="AH98" i="11"/>
  <c r="S76" i="11"/>
  <c r="T76" i="11" s="1"/>
  <c r="S67" i="11"/>
  <c r="T67" i="11" s="1"/>
  <c r="S40" i="11"/>
  <c r="T40" i="11" s="1"/>
  <c r="S8" i="11"/>
  <c r="T8" i="11" s="1"/>
  <c r="S70" i="11"/>
  <c r="T70" i="11" s="1"/>
  <c r="S46" i="11"/>
  <c r="T46" i="11" s="1"/>
  <c r="S97" i="11"/>
  <c r="T97" i="11" s="1"/>
  <c r="S51" i="11"/>
  <c r="T51" i="11" s="1"/>
  <c r="S11" i="11"/>
  <c r="T11" i="11" s="1"/>
  <c r="S19" i="11"/>
  <c r="T19" i="11" s="1"/>
  <c r="S94" i="11"/>
  <c r="T94" i="11" s="1"/>
  <c r="S39" i="11"/>
  <c r="T39" i="11" s="1"/>
  <c r="S101" i="11"/>
  <c r="T101" i="11" s="1"/>
  <c r="S28" i="11"/>
  <c r="T28" i="11" s="1"/>
  <c r="S13" i="11"/>
  <c r="T13" i="11" s="1"/>
  <c r="S27" i="11"/>
  <c r="T27" i="11" s="1"/>
  <c r="S89" i="11"/>
  <c r="T89" i="11" s="1"/>
  <c r="S99" i="11"/>
  <c r="T99" i="11" s="1"/>
  <c r="S64" i="11"/>
  <c r="T64" i="11" s="1"/>
  <c r="S6" i="11"/>
  <c r="T6" i="11" s="1"/>
  <c r="S63" i="11"/>
  <c r="T63" i="11" s="1"/>
  <c r="S17" i="11"/>
  <c r="T17" i="11" s="1"/>
  <c r="S36" i="11"/>
  <c r="T36" i="11" s="1"/>
  <c r="S45" i="11"/>
  <c r="T45" i="11" s="1"/>
  <c r="S33" i="11"/>
  <c r="T33" i="11" s="1"/>
  <c r="S96" i="11"/>
  <c r="T96" i="11" s="1"/>
  <c r="S37" i="11"/>
  <c r="T37" i="11" s="1"/>
  <c r="S26" i="11"/>
  <c r="T26" i="11" s="1"/>
  <c r="S53" i="11"/>
  <c r="T53" i="11" s="1"/>
  <c r="S14" i="11"/>
  <c r="T14" i="11" s="1"/>
  <c r="S100" i="11"/>
  <c r="T100" i="11" s="1"/>
  <c r="AC2" i="11"/>
  <c r="AE2" i="11"/>
  <c r="Z7" i="11"/>
  <c r="X7" i="11"/>
  <c r="AM7" i="11"/>
  <c r="AO7" i="11"/>
  <c r="AC4" i="11"/>
  <c r="AE4" i="11"/>
  <c r="AH4" i="11"/>
  <c r="AJ4" i="11"/>
  <c r="X4" i="11"/>
  <c r="Z4" i="11"/>
  <c r="AM4" i="11"/>
  <c r="AO4" i="11"/>
  <c r="AE11" i="11"/>
  <c r="AC11" i="11"/>
  <c r="AM20" i="11"/>
  <c r="AO20" i="11"/>
  <c r="AM58" i="11"/>
  <c r="AO58" i="11"/>
  <c r="AO17" i="11"/>
  <c r="AM17" i="11"/>
  <c r="AE77" i="11"/>
  <c r="AC77" i="11"/>
  <c r="Z24" i="11"/>
  <c r="X24" i="11"/>
  <c r="Z51" i="11"/>
  <c r="X51" i="11"/>
  <c r="AM97" i="11"/>
  <c r="AO97" i="11"/>
  <c r="AJ17" i="11"/>
  <c r="AH17" i="11"/>
  <c r="X44" i="11"/>
  <c r="Z44" i="11"/>
  <c r="AM14" i="11"/>
  <c r="AO14" i="11"/>
  <c r="AE40" i="11"/>
  <c r="AC40" i="11"/>
  <c r="AC19" i="11"/>
  <c r="AE19" i="11"/>
  <c r="Z10" i="11"/>
  <c r="X10" i="11"/>
  <c r="AE18" i="11"/>
  <c r="AC18" i="11"/>
  <c r="AM32" i="11"/>
  <c r="AO32" i="11"/>
  <c r="Z52" i="11"/>
  <c r="X52" i="11"/>
  <c r="AO99" i="11"/>
  <c r="AM99" i="11"/>
  <c r="AJ27" i="11"/>
  <c r="AH27" i="11"/>
  <c r="AJ31" i="11"/>
  <c r="AH31" i="11"/>
  <c r="X38" i="11"/>
  <c r="Z38" i="11"/>
  <c r="AE45" i="11"/>
  <c r="AC45" i="11"/>
  <c r="AJ64" i="11"/>
  <c r="AH64" i="11"/>
  <c r="AH91" i="11"/>
  <c r="AJ91" i="11"/>
  <c r="AH12" i="11"/>
  <c r="AJ12" i="11"/>
  <c r="AE16" i="11"/>
  <c r="AC16" i="11"/>
  <c r="AH22" i="11"/>
  <c r="AJ22" i="11"/>
  <c r="X26" i="11"/>
  <c r="Z26" i="11"/>
  <c r="AE30" i="11"/>
  <c r="AC30" i="11"/>
  <c r="AH38" i="11"/>
  <c r="AJ38" i="11"/>
  <c r="AO45" i="11"/>
  <c r="AM45" i="11"/>
  <c r="AM57" i="11"/>
  <c r="AO57" i="11"/>
  <c r="AO69" i="11"/>
  <c r="AM69" i="11"/>
  <c r="AJ85" i="11"/>
  <c r="AH85" i="11"/>
  <c r="AM98" i="11"/>
  <c r="AO98" i="11"/>
  <c r="Z98" i="11"/>
  <c r="X98" i="11"/>
  <c r="AM10" i="11"/>
  <c r="AO10" i="11"/>
  <c r="Z16" i="11"/>
  <c r="X16" i="11"/>
  <c r="AJ21" i="11"/>
  <c r="AH21" i="11"/>
  <c r="AE24" i="11"/>
  <c r="AC24" i="11"/>
  <c r="X28" i="11"/>
  <c r="Z28" i="11"/>
  <c r="AM34" i="11"/>
  <c r="AO34" i="11"/>
  <c r="AE42" i="11"/>
  <c r="AC42" i="11"/>
  <c r="AJ49" i="11"/>
  <c r="AH49" i="11"/>
  <c r="AO53" i="11"/>
  <c r="AM53" i="11"/>
  <c r="AE63" i="11"/>
  <c r="AC63" i="11"/>
  <c r="AJ78" i="11"/>
  <c r="AH78" i="11"/>
  <c r="AO92" i="11"/>
  <c r="AM92" i="11"/>
  <c r="AO31" i="11"/>
  <c r="AM31" i="11"/>
  <c r="X35" i="11"/>
  <c r="Z35" i="11"/>
  <c r="X40" i="11"/>
  <c r="Z40" i="11"/>
  <c r="AE44" i="11"/>
  <c r="AC44" i="11"/>
  <c r="AJ48" i="11"/>
  <c r="AH48" i="11"/>
  <c r="AO52" i="11"/>
  <c r="AM52" i="11"/>
  <c r="X59" i="11"/>
  <c r="Z59" i="11"/>
  <c r="X67" i="11"/>
  <c r="Z67" i="11"/>
  <c r="AO74" i="11"/>
  <c r="AM74" i="11"/>
  <c r="AJ81" i="11"/>
  <c r="AH81" i="11"/>
  <c r="AH89" i="11"/>
  <c r="AJ89" i="11"/>
  <c r="AE99" i="11"/>
  <c r="AC99" i="11"/>
  <c r="X32" i="11"/>
  <c r="Z32" i="11"/>
  <c r="AE36" i="11"/>
  <c r="AC36" i="11"/>
  <c r="AM40" i="11"/>
  <c r="AO40" i="11"/>
  <c r="AH44" i="11"/>
  <c r="AJ44" i="11"/>
  <c r="AC49" i="11"/>
  <c r="AE49" i="11"/>
  <c r="AC53" i="11"/>
  <c r="AE53" i="11"/>
  <c r="AM56" i="11"/>
  <c r="AO56" i="11"/>
  <c r="AO61" i="11"/>
  <c r="AM61" i="11"/>
  <c r="AE71" i="11"/>
  <c r="AC71" i="11"/>
  <c r="AE79" i="11"/>
  <c r="AC79" i="11"/>
  <c r="AE87" i="11"/>
  <c r="AC87" i="11"/>
  <c r="AH94" i="11"/>
  <c r="AJ94" i="11"/>
  <c r="X64" i="11"/>
  <c r="Z64" i="11"/>
  <c r="AE69" i="11"/>
  <c r="AC69" i="11"/>
  <c r="Z72" i="11"/>
  <c r="X72" i="11"/>
  <c r="AE75" i="11"/>
  <c r="AC75" i="11"/>
  <c r="AO78" i="11"/>
  <c r="AM78" i="11"/>
  <c r="AE82" i="11"/>
  <c r="AC82" i="11"/>
  <c r="AE86" i="11"/>
  <c r="AC86" i="11"/>
  <c r="X90" i="11"/>
  <c r="Z90" i="11"/>
  <c r="AH93" i="11"/>
  <c r="AJ93" i="11"/>
  <c r="AJ96" i="11"/>
  <c r="AH96" i="11"/>
  <c r="AC57" i="11"/>
  <c r="AE57" i="11"/>
  <c r="AE61" i="11"/>
  <c r="AC61" i="11"/>
  <c r="AC66" i="11"/>
  <c r="AE66" i="11"/>
  <c r="AJ69" i="11"/>
  <c r="AH69" i="11"/>
  <c r="AH74" i="11"/>
  <c r="AJ74" i="11"/>
  <c r="AO79" i="11"/>
  <c r="AM79" i="11"/>
  <c r="AO83" i="11"/>
  <c r="AM83" i="11"/>
  <c r="AO87" i="11"/>
  <c r="AM87" i="11"/>
  <c r="AE93" i="11"/>
  <c r="AC93" i="11"/>
  <c r="AE96" i="11"/>
  <c r="AC96" i="11"/>
  <c r="AJ99" i="11"/>
  <c r="AH99" i="11"/>
  <c r="S18" i="11"/>
  <c r="T18" i="11" s="1"/>
  <c r="S55" i="11"/>
  <c r="T55" i="11" s="1"/>
  <c r="S41" i="11"/>
  <c r="T41" i="11" s="1"/>
  <c r="S44" i="11"/>
  <c r="T44" i="11" s="1"/>
  <c r="S21" i="11"/>
  <c r="T21" i="11" s="1"/>
  <c r="S43" i="11"/>
  <c r="T43" i="11" s="1"/>
  <c r="S82" i="11"/>
  <c r="T82" i="11" s="1"/>
  <c r="S16" i="11"/>
  <c r="T16" i="11" s="1"/>
  <c r="S78" i="11"/>
  <c r="T78" i="11" s="1"/>
  <c r="S15" i="11"/>
  <c r="T15" i="11" s="1"/>
  <c r="S77" i="11"/>
  <c r="T77" i="11" s="1"/>
  <c r="S65" i="11"/>
  <c r="T65" i="11" s="1"/>
  <c r="S52" i="11"/>
  <c r="T52" i="11" s="1"/>
  <c r="S69" i="11"/>
  <c r="T69" i="11" s="1"/>
  <c r="S79" i="11"/>
  <c r="T79" i="11" s="1"/>
  <c r="S10" i="11"/>
  <c r="T10" i="11" s="1"/>
  <c r="S87" i="11"/>
  <c r="T87" i="11" s="1"/>
  <c r="S84" i="11"/>
  <c r="T84" i="11" s="1"/>
  <c r="S95" i="11"/>
  <c r="T95" i="11" s="1"/>
  <c r="S58" i="11"/>
  <c r="T58" i="11" s="1"/>
  <c r="S50" i="11"/>
  <c r="T50" i="11" s="1"/>
  <c r="S3" i="11"/>
  <c r="T3" i="11" s="1"/>
  <c r="AO2" i="11"/>
  <c r="AM2" i="11"/>
  <c r="AM8" i="11"/>
  <c r="AO8" i="11"/>
  <c r="Z8" i="11"/>
  <c r="X8" i="11"/>
  <c r="X3" i="11"/>
  <c r="Z3" i="11"/>
  <c r="AC3" i="11"/>
  <c r="AE3" i="11"/>
  <c r="AH3" i="11"/>
  <c r="AJ3" i="11"/>
  <c r="AO3" i="11"/>
  <c r="AM3" i="11"/>
  <c r="AH14" i="11"/>
  <c r="AJ14" i="11"/>
  <c r="Z23" i="11"/>
  <c r="X23" i="11"/>
  <c r="AE84" i="11"/>
  <c r="AC84" i="11"/>
  <c r="Z21" i="11"/>
  <c r="X21" i="11"/>
  <c r="AO86" i="11"/>
  <c r="AM86" i="11"/>
  <c r="AM28" i="11"/>
  <c r="AO28" i="11"/>
  <c r="AC55" i="11"/>
  <c r="AE55" i="11"/>
  <c r="AJ10" i="11"/>
  <c r="AH10" i="11"/>
  <c r="AO19" i="11"/>
  <c r="AM19" i="11"/>
  <c r="Z53" i="11"/>
  <c r="X53" i="11"/>
  <c r="AM16" i="11"/>
  <c r="AO16" i="11"/>
  <c r="AO68" i="11"/>
  <c r="AM68" i="11"/>
  <c r="AE22" i="11"/>
  <c r="AC22" i="11"/>
  <c r="Z11" i="11"/>
  <c r="X11" i="11"/>
  <c r="AE20" i="11"/>
  <c r="AC20" i="11"/>
  <c r="AO37" i="11"/>
  <c r="AM37" i="11"/>
  <c r="Z57" i="11"/>
  <c r="X57" i="11"/>
  <c r="AH24" i="11"/>
  <c r="AJ24" i="11"/>
  <c r="AE28" i="11"/>
  <c r="AC28" i="11"/>
  <c r="Z33" i="11"/>
  <c r="X33" i="11"/>
  <c r="AH40" i="11"/>
  <c r="AJ40" i="11"/>
  <c r="AO46" i="11"/>
  <c r="AM46" i="11"/>
  <c r="AO66" i="11"/>
  <c r="AM66" i="11"/>
  <c r="Z100" i="11"/>
  <c r="X100" i="11"/>
  <c r="AO13" i="11"/>
  <c r="AM13" i="11"/>
  <c r="X17" i="11"/>
  <c r="Z17" i="11"/>
  <c r="AJ23" i="11"/>
  <c r="AH23" i="11"/>
  <c r="AO27" i="11"/>
  <c r="AM27" i="11"/>
  <c r="Z31" i="11"/>
  <c r="X31" i="11"/>
  <c r="AJ39" i="11"/>
  <c r="AH39" i="11"/>
  <c r="AC48" i="11"/>
  <c r="AE48" i="11"/>
  <c r="AJ59" i="11"/>
  <c r="AH59" i="11"/>
  <c r="Z74" i="11"/>
  <c r="X74" i="11"/>
  <c r="AE90" i="11"/>
  <c r="AC90" i="11"/>
  <c r="AO100" i="11"/>
  <c r="AM100" i="11"/>
  <c r="AC9" i="11"/>
  <c r="AE9" i="11"/>
  <c r="AO12" i="11"/>
  <c r="AM12" i="11"/>
  <c r="AH18" i="11"/>
  <c r="AJ18" i="11"/>
  <c r="AM22" i="11"/>
  <c r="AO22" i="11"/>
  <c r="Z25" i="11"/>
  <c r="X25" i="11"/>
  <c r="AO29" i="11"/>
  <c r="AM29" i="11"/>
  <c r="X36" i="11"/>
  <c r="Z36" i="11"/>
  <c r="AM44" i="11"/>
  <c r="AO44" i="11"/>
  <c r="AJ50" i="11"/>
  <c r="AH50" i="11"/>
  <c r="AJ56" i="11"/>
  <c r="AH56" i="11"/>
  <c r="AJ65" i="11"/>
  <c r="AH65" i="11"/>
  <c r="X81" i="11"/>
  <c r="Z81" i="11"/>
  <c r="Z97" i="11"/>
  <c r="X97" i="11"/>
  <c r="AH32" i="11"/>
  <c r="AJ32" i="11"/>
  <c r="X37" i="11"/>
  <c r="Z37" i="11"/>
  <c r="AO41" i="11"/>
  <c r="AM41" i="11"/>
  <c r="X45" i="11"/>
  <c r="Z45" i="11"/>
  <c r="AO49" i="11"/>
  <c r="AM49" i="11"/>
  <c r="AC54" i="11"/>
  <c r="AE54" i="11"/>
  <c r="AJ60" i="11"/>
  <c r="AH60" i="11"/>
  <c r="Z68" i="11"/>
  <c r="X68" i="11"/>
  <c r="AO75" i="11"/>
  <c r="AM75" i="11"/>
  <c r="AO82" i="11"/>
  <c r="AM82" i="11"/>
  <c r="AO90" i="11"/>
  <c r="AM90" i="11"/>
  <c r="AE100" i="11"/>
  <c r="AC100" i="11"/>
  <c r="AO33" i="11"/>
  <c r="AM33" i="11"/>
  <c r="AJ37" i="11"/>
  <c r="AH37" i="11"/>
  <c r="AE41" i="11"/>
  <c r="AC41" i="11"/>
  <c r="AJ45" i="11"/>
  <c r="AH45" i="11"/>
  <c r="AC50" i="11"/>
  <c r="AE50" i="11"/>
  <c r="Z54" i="11"/>
  <c r="X54" i="11"/>
  <c r="AJ57" i="11"/>
  <c r="AH57" i="11"/>
  <c r="X65" i="11"/>
  <c r="Z65" i="11"/>
  <c r="AH72" i="11"/>
  <c r="AJ72" i="11"/>
  <c r="AJ80" i="11"/>
  <c r="AH80" i="11"/>
  <c r="AO89" i="11"/>
  <c r="AM89" i="11"/>
  <c r="AM60" i="11"/>
  <c r="AO60" i="11"/>
  <c r="AM64" i="11"/>
  <c r="AO64" i="11"/>
  <c r="AH70" i="11"/>
  <c r="AJ70" i="11"/>
  <c r="AM72" i="11"/>
  <c r="AO72" i="11"/>
  <c r="Z76" i="11"/>
  <c r="X76" i="11"/>
  <c r="AJ79" i="11"/>
  <c r="AH79" i="11"/>
  <c r="AJ83" i="11"/>
  <c r="AH83" i="11"/>
  <c r="AJ87" i="11"/>
  <c r="AH87" i="11"/>
  <c r="AC91" i="11"/>
  <c r="AE91" i="11"/>
  <c r="AC94" i="11"/>
  <c r="AE94" i="11"/>
  <c r="AJ101" i="11"/>
  <c r="AH101" i="11"/>
  <c r="X58" i="11"/>
  <c r="Z58" i="11"/>
  <c r="AJ62" i="11"/>
  <c r="AH62" i="11"/>
  <c r="AE67" i="11"/>
  <c r="AC67" i="11"/>
  <c r="Z70" i="11"/>
  <c r="X70" i="11"/>
  <c r="X75" i="11"/>
  <c r="Z75" i="11"/>
  <c r="AC81" i="11"/>
  <c r="AE81" i="11"/>
  <c r="AC85" i="11"/>
  <c r="AE85" i="11"/>
  <c r="AO88" i="11"/>
  <c r="AM88" i="11"/>
  <c r="AO93" i="11"/>
  <c r="AM93" i="11"/>
  <c r="AO96" i="11"/>
  <c r="AM96" i="11"/>
  <c r="AJ100" i="11"/>
  <c r="AH100" i="11"/>
  <c r="S98" i="11"/>
  <c r="T98" i="11" s="1"/>
  <c r="S29" i="11"/>
  <c r="T29" i="11" s="1"/>
  <c r="S7" i="11"/>
  <c r="T7" i="11" s="1"/>
  <c r="S60" i="11"/>
  <c r="T60" i="11" s="1"/>
  <c r="S9" i="11"/>
  <c r="T9" i="11" s="1"/>
  <c r="S32" i="11"/>
  <c r="T32" i="11" s="1"/>
  <c r="S25" i="11"/>
  <c r="T25" i="11" s="1"/>
  <c r="S31" i="11"/>
  <c r="T31" i="11" s="1"/>
  <c r="S93" i="11"/>
  <c r="T93" i="11" s="1"/>
  <c r="S4" i="11"/>
  <c r="T4" i="11" s="1"/>
  <c r="S68" i="11"/>
  <c r="T68" i="11" s="1"/>
  <c r="S62" i="11"/>
  <c r="T62" i="11" s="1"/>
  <c r="S22" i="11"/>
  <c r="T22" i="11" s="1"/>
  <c r="S80" i="11"/>
  <c r="T80" i="11" s="1"/>
  <c r="S38" i="11"/>
  <c r="T38" i="11" s="1"/>
  <c r="S83" i="11"/>
  <c r="T83" i="11" s="1"/>
  <c r="S54" i="11"/>
  <c r="T54" i="11" s="1"/>
  <c r="S30" i="11"/>
  <c r="T30" i="11" s="1"/>
  <c r="X2" i="11"/>
  <c r="Z2" i="11"/>
  <c r="AC7" i="11"/>
  <c r="AE7" i="11"/>
  <c r="AJ7" i="11"/>
  <c r="AH7" i="11"/>
  <c r="Z5" i="11"/>
  <c r="X5" i="11"/>
  <c r="AE5" i="11"/>
  <c r="AC5" i="11"/>
  <c r="AM5" i="11"/>
  <c r="AO5" i="11"/>
  <c r="AJ5" i="11"/>
  <c r="AH5" i="11"/>
  <c r="AJ16" i="11"/>
  <c r="AH16" i="11"/>
  <c r="X34" i="11"/>
  <c r="Z34" i="11"/>
  <c r="AJ13" i="11"/>
  <c r="AH13" i="11"/>
  <c r="AJ25" i="11"/>
  <c r="AH25" i="11"/>
  <c r="AO11" i="11"/>
  <c r="AM11" i="11"/>
  <c r="AH36" i="11"/>
  <c r="AJ36" i="11"/>
  <c r="X62" i="11"/>
  <c r="Z62" i="11"/>
  <c r="AC12" i="11"/>
  <c r="AE12" i="11"/>
  <c r="AO21" i="11"/>
  <c r="AM21" i="11"/>
  <c r="AJ66" i="11"/>
  <c r="AH66" i="11"/>
  <c r="Z19" i="11"/>
  <c r="X19" i="11"/>
  <c r="Z96" i="11"/>
  <c r="X96" i="11"/>
  <c r="AE26" i="11"/>
  <c r="AC26" i="11"/>
  <c r="AC15" i="11"/>
  <c r="AE15" i="11"/>
  <c r="Z27" i="11"/>
  <c r="X27" i="11"/>
  <c r="AM42" i="11"/>
  <c r="AO42" i="11"/>
  <c r="AE64" i="11"/>
  <c r="AC64" i="11"/>
  <c r="AO25" i="11"/>
  <c r="AM25" i="11"/>
  <c r="Z29" i="11"/>
  <c r="X29" i="11"/>
  <c r="AE35" i="11"/>
  <c r="AC35" i="11"/>
  <c r="AJ41" i="11"/>
  <c r="AH41" i="11"/>
  <c r="Z48" i="11"/>
  <c r="X48" i="11"/>
  <c r="AJ77" i="11"/>
  <c r="AH77" i="11"/>
  <c r="AJ11" i="11"/>
  <c r="AH11" i="11"/>
  <c r="AE14" i="11"/>
  <c r="AC14" i="11"/>
  <c r="X18" i="11"/>
  <c r="Z18" i="11"/>
  <c r="AM24" i="11"/>
  <c r="AO24" i="11"/>
  <c r="AH28" i="11"/>
  <c r="AJ28" i="11"/>
  <c r="AE33" i="11"/>
  <c r="AC33" i="11"/>
  <c r="Z41" i="11"/>
  <c r="X41" i="11"/>
  <c r="AJ53" i="11"/>
  <c r="AH53" i="11"/>
  <c r="AE65" i="11"/>
  <c r="AC65" i="11"/>
  <c r="AC76" i="11"/>
  <c r="AE76" i="11"/>
  <c r="AH92" i="11"/>
  <c r="AJ92" i="11"/>
  <c r="X73" i="11"/>
  <c r="Z73" i="11"/>
  <c r="AM9" i="11"/>
  <c r="AO9" i="11"/>
  <c r="AC13" i="11"/>
  <c r="AE13" i="11"/>
  <c r="AJ19" i="11"/>
  <c r="AH19" i="11"/>
  <c r="AC23" i="11"/>
  <c r="AE23" i="11"/>
  <c r="AM26" i="11"/>
  <c r="AO26" i="11"/>
  <c r="AH30" i="11"/>
  <c r="AJ30" i="11"/>
  <c r="AE37" i="11"/>
  <c r="AC37" i="11"/>
  <c r="Z46" i="11"/>
  <c r="X46" i="11"/>
  <c r="AJ51" i="11"/>
  <c r="AH51" i="11"/>
  <c r="AO59" i="11"/>
  <c r="AM59" i="11"/>
  <c r="AO67" i="11"/>
  <c r="AM67" i="11"/>
  <c r="AE83" i="11"/>
  <c r="AC83" i="11"/>
  <c r="Z99" i="11"/>
  <c r="X99" i="11"/>
  <c r="AJ33" i="11"/>
  <c r="AH33" i="11"/>
  <c r="AM38" i="11"/>
  <c r="AO38" i="11"/>
  <c r="AH42" i="11"/>
  <c r="AJ42" i="11"/>
  <c r="AC46" i="11"/>
  <c r="AE46" i="11"/>
  <c r="AO50" i="11"/>
  <c r="AM50" i="11"/>
  <c r="X55" i="11"/>
  <c r="Z55" i="11"/>
  <c r="AJ61" i="11"/>
  <c r="AH61" i="11"/>
  <c r="AC72" i="11"/>
  <c r="AE72" i="11"/>
  <c r="AO77" i="11"/>
  <c r="AM77" i="11"/>
  <c r="X86" i="11"/>
  <c r="Z86" i="11"/>
  <c r="AE97" i="11"/>
  <c r="AC97" i="11"/>
  <c r="AC101" i="11"/>
  <c r="AE101" i="11"/>
  <c r="AH34" i="11"/>
  <c r="AJ34" i="11"/>
  <c r="AE38" i="11"/>
  <c r="AC38" i="11"/>
  <c r="X42" i="11"/>
  <c r="Z42" i="11"/>
  <c r="AJ47" i="11"/>
  <c r="AH47" i="11"/>
  <c r="AC51" i="11"/>
  <c r="AE51" i="11"/>
  <c r="AJ54" i="11"/>
  <c r="AH54" i="11"/>
  <c r="AJ58" i="11"/>
  <c r="AH58" i="11"/>
  <c r="X66" i="11"/>
  <c r="Z66" i="11"/>
  <c r="AH73" i="11"/>
  <c r="AJ73" i="11"/>
  <c r="AO81" i="11"/>
  <c r="AM81" i="11"/>
  <c r="Z91" i="11"/>
  <c r="X91" i="11"/>
  <c r="AE62" i="11"/>
  <c r="AC62" i="11"/>
  <c r="AM65" i="11"/>
  <c r="AO65" i="11"/>
  <c r="X71" i="11"/>
  <c r="Z71" i="11"/>
  <c r="AO73" i="11"/>
  <c r="AM73" i="11"/>
  <c r="AM76" i="11"/>
  <c r="AO76" i="11"/>
  <c r="X80" i="11"/>
  <c r="Z80" i="11"/>
  <c r="X84" i="11"/>
  <c r="Z84" i="11"/>
  <c r="X88" i="11"/>
  <c r="Z88" i="11"/>
  <c r="AO91" i="11"/>
  <c r="AM91" i="11"/>
  <c r="AO94" i="11"/>
  <c r="AM94" i="11"/>
  <c r="AO55" i="11"/>
  <c r="AM55" i="11"/>
  <c r="AE59" i="11"/>
  <c r="AC59" i="11"/>
  <c r="X63" i="11"/>
  <c r="Z63" i="11"/>
  <c r="AJ68" i="11"/>
  <c r="AH68" i="11"/>
  <c r="AO70" i="11"/>
  <c r="AM70" i="11"/>
  <c r="AH75" i="11"/>
  <c r="AJ75" i="11"/>
  <c r="AJ82" i="11"/>
  <c r="AH82" i="11"/>
  <c r="AJ86" i="11"/>
  <c r="AH86" i="11"/>
  <c r="AH90" i="11"/>
  <c r="AJ90" i="11"/>
  <c r="AE95" i="11"/>
  <c r="AC95" i="11"/>
  <c r="AJ97" i="11"/>
  <c r="AH97" i="11"/>
  <c r="AM101" i="11"/>
  <c r="AO101" i="11"/>
  <c r="BN7" i="6"/>
  <c r="BN3" i="6" s="1"/>
  <c r="AI22" i="9"/>
  <c r="AM22" i="9" s="1"/>
  <c r="H12" i="13"/>
  <c r="I14" i="13"/>
  <c r="I10" i="13"/>
  <c r="H11" i="13"/>
  <c r="I13" i="13"/>
  <c r="I11" i="13"/>
  <c r="I12" i="13"/>
  <c r="H10" i="13"/>
  <c r="H14" i="13"/>
  <c r="H13" i="13"/>
  <c r="H9" i="13"/>
  <c r="I9" i="13"/>
  <c r="U2" i="11"/>
  <c r="G29" i="8"/>
  <c r="D29" i="8"/>
  <c r="P29" i="8" s="1"/>
  <c r="H31" i="8" a="1"/>
  <c r="H31" i="8" s="1"/>
  <c r="H28" i="8" a="1"/>
  <c r="H28" i="8" s="1"/>
  <c r="F31" i="8"/>
  <c r="G28" i="8"/>
  <c r="G32" i="8"/>
  <c r="E30" i="8"/>
  <c r="D27" i="8"/>
  <c r="P27" i="8" s="1"/>
  <c r="T27" i="8" s="1"/>
  <c r="H29" i="8" a="1"/>
  <c r="H29" i="8" s="1"/>
  <c r="F32" i="8"/>
  <c r="F29" i="8"/>
  <c r="D32" i="8"/>
  <c r="P32" i="8" s="1"/>
  <c r="E29" i="8"/>
  <c r="G27" i="8"/>
  <c r="G31" i="8"/>
  <c r="H27" i="8" a="1"/>
  <c r="H27" i="8" s="1"/>
  <c r="F30" i="8"/>
  <c r="F27" i="8"/>
  <c r="D30" i="8"/>
  <c r="P30" i="8" s="1"/>
  <c r="H32" i="8" a="1"/>
  <c r="H32" i="8" s="1"/>
  <c r="G30" i="8"/>
  <c r="E28" i="8"/>
  <c r="E32" i="8"/>
  <c r="F28" i="8"/>
  <c r="D31" i="8"/>
  <c r="P31" i="8" s="1"/>
  <c r="D28" i="8"/>
  <c r="P28" i="8" s="1"/>
  <c r="H30" i="8" a="1"/>
  <c r="H30" i="8" s="1"/>
  <c r="E27" i="8"/>
  <c r="E31" i="8"/>
  <c r="BE7" i="6"/>
  <c r="BE3" i="6" s="1"/>
  <c r="O21" i="8"/>
  <c r="AM24" i="9"/>
  <c r="AM25" i="9"/>
  <c r="AM23" i="9"/>
  <c r="AM26" i="9"/>
  <c r="AM27" i="9"/>
  <c r="AJ3" i="9"/>
  <c r="U3" i="11"/>
  <c r="U76" i="11"/>
  <c r="U19" i="11"/>
  <c r="U60" i="11"/>
  <c r="U46" i="11"/>
  <c r="U43" i="11"/>
  <c r="U82" i="11"/>
  <c r="U99" i="11"/>
  <c r="U48" i="11"/>
  <c r="U25" i="11"/>
  <c r="U6" i="11"/>
  <c r="U31" i="11"/>
  <c r="U93" i="11"/>
  <c r="U65" i="11"/>
  <c r="U36" i="11"/>
  <c r="U57" i="11"/>
  <c r="U88" i="11"/>
  <c r="U80" i="11"/>
  <c r="U42" i="11"/>
  <c r="U83" i="11"/>
  <c r="U73" i="11"/>
  <c r="U100" i="11"/>
  <c r="U11" i="11"/>
  <c r="U55" i="11"/>
  <c r="U97" i="11"/>
  <c r="U51" i="11"/>
  <c r="U67" i="11"/>
  <c r="U8" i="11"/>
  <c r="U81" i="11"/>
  <c r="U24" i="11"/>
  <c r="U18" i="11"/>
  <c r="U7" i="11"/>
  <c r="U70" i="11"/>
  <c r="U12" i="11"/>
  <c r="U75" i="11"/>
  <c r="U92" i="11"/>
  <c r="U59" i="11"/>
  <c r="U64" i="11"/>
  <c r="U47" i="11"/>
  <c r="U90" i="11"/>
  <c r="U52" i="11"/>
  <c r="U45" i="11"/>
  <c r="U69" i="11"/>
  <c r="U10" i="11"/>
  <c r="U26" i="11"/>
  <c r="U5" i="11"/>
  <c r="U14" i="11"/>
  <c r="U58" i="11"/>
  <c r="U35" i="11"/>
  <c r="U98" i="11"/>
  <c r="U56" i="11"/>
  <c r="U71" i="11"/>
  <c r="U29" i="11"/>
  <c r="U94" i="11"/>
  <c r="U23" i="11"/>
  <c r="U85" i="11"/>
  <c r="U41" i="11"/>
  <c r="U28" i="11"/>
  <c r="U21" i="11"/>
  <c r="U74" i="11"/>
  <c r="U9" i="11"/>
  <c r="U16" i="11"/>
  <c r="U78" i="11"/>
  <c r="U63" i="11"/>
  <c r="U4" i="11"/>
  <c r="U68" i="11"/>
  <c r="U33" i="11"/>
  <c r="U96" i="11"/>
  <c r="U37" i="11"/>
  <c r="U84" i="11"/>
  <c r="U53" i="11"/>
  <c r="U50" i="11"/>
  <c r="U40" i="11"/>
  <c r="U72" i="11"/>
  <c r="U39" i="11"/>
  <c r="U101" i="11"/>
  <c r="U91" i="11"/>
  <c r="U44" i="11"/>
  <c r="U13" i="11"/>
  <c r="U27" i="11"/>
  <c r="U89" i="11"/>
  <c r="U49" i="11"/>
  <c r="U32" i="11"/>
  <c r="U61" i="11"/>
  <c r="U15" i="11"/>
  <c r="U77" i="11"/>
  <c r="U17" i="11"/>
  <c r="U20" i="11"/>
  <c r="U86" i="11"/>
  <c r="U62" i="11"/>
  <c r="U79" i="11"/>
  <c r="U22" i="11"/>
  <c r="U34" i="11"/>
  <c r="U87" i="11"/>
  <c r="U38" i="11"/>
  <c r="U95" i="11"/>
  <c r="U54" i="11"/>
  <c r="U30" i="11"/>
  <c r="U66" i="11"/>
  <c r="V2" i="11"/>
  <c r="BL7" i="6"/>
  <c r="P21" i="8"/>
  <c r="T21" i="8" s="1"/>
  <c r="R21" i="8"/>
  <c r="AP70" i="11" l="1"/>
  <c r="AN70" i="11"/>
  <c r="AN91" i="11"/>
  <c r="AP91" i="11"/>
  <c r="AN81" i="11"/>
  <c r="AP81" i="11"/>
  <c r="AI47" i="11"/>
  <c r="AK47" i="11"/>
  <c r="AA99" i="11"/>
  <c r="Y99" i="11"/>
  <c r="AP67" i="11"/>
  <c r="AN67" i="11"/>
  <c r="AF37" i="11"/>
  <c r="AD37" i="11"/>
  <c r="AD65" i="11"/>
  <c r="AF65" i="11"/>
  <c r="AA48" i="11"/>
  <c r="Y48" i="11"/>
  <c r="AD35" i="11"/>
  <c r="AF35" i="11"/>
  <c r="AI66" i="11"/>
  <c r="AK66" i="11"/>
  <c r="AI25" i="11"/>
  <c r="AK25" i="11"/>
  <c r="AF5" i="11"/>
  <c r="AD5" i="11"/>
  <c r="Y70" i="11"/>
  <c r="AA70" i="11"/>
  <c r="AI62" i="11"/>
  <c r="AK62" i="11"/>
  <c r="AA76" i="11"/>
  <c r="Y76" i="11"/>
  <c r="AK80" i="11"/>
  <c r="AI80" i="11"/>
  <c r="AI45" i="11"/>
  <c r="AK45" i="11"/>
  <c r="AP82" i="11"/>
  <c r="AN82" i="11"/>
  <c r="AA97" i="11"/>
  <c r="Y97" i="11"/>
  <c r="AI65" i="11"/>
  <c r="AK65" i="11"/>
  <c r="AA25" i="11"/>
  <c r="Y25" i="11"/>
  <c r="AI59" i="11"/>
  <c r="AK59" i="11"/>
  <c r="AN27" i="11"/>
  <c r="AP27" i="11"/>
  <c r="AN46" i="11"/>
  <c r="AP46" i="11"/>
  <c r="AP37" i="11"/>
  <c r="AN37" i="11"/>
  <c r="Y53" i="11"/>
  <c r="AA53" i="11"/>
  <c r="AA21" i="11"/>
  <c r="Y21" i="11"/>
  <c r="AP3" i="11"/>
  <c r="AN3" i="11"/>
  <c r="AN2" i="11"/>
  <c r="AP2" i="11"/>
  <c r="AF96" i="11"/>
  <c r="AD96" i="11"/>
  <c r="AP87" i="11"/>
  <c r="AN87" i="11"/>
  <c r="AP79" i="11"/>
  <c r="AN79" i="11"/>
  <c r="AI69" i="11"/>
  <c r="AK69" i="11"/>
  <c r="AD61" i="11"/>
  <c r="AF61" i="11"/>
  <c r="AK96" i="11"/>
  <c r="AI96" i="11"/>
  <c r="AF82" i="11"/>
  <c r="AD82" i="11"/>
  <c r="AD75" i="11"/>
  <c r="AF75" i="11"/>
  <c r="AF69" i="11"/>
  <c r="AD69" i="11"/>
  <c r="AF79" i="11"/>
  <c r="AD79" i="11"/>
  <c r="AP61" i="11"/>
  <c r="AN61" i="11"/>
  <c r="AF36" i="11"/>
  <c r="AD36" i="11"/>
  <c r="AD99" i="11"/>
  <c r="AF99" i="11"/>
  <c r="AK81" i="11"/>
  <c r="AI81" i="11"/>
  <c r="AP52" i="11"/>
  <c r="AN52" i="11"/>
  <c r="AF44" i="11"/>
  <c r="AD44" i="11"/>
  <c r="AP92" i="11"/>
  <c r="AN92" i="11"/>
  <c r="AD63" i="11"/>
  <c r="AF63" i="11"/>
  <c r="AK49" i="11"/>
  <c r="AI49" i="11"/>
  <c r="AF24" i="11"/>
  <c r="AD24" i="11"/>
  <c r="AA16" i="11"/>
  <c r="Y16" i="11"/>
  <c r="AA98" i="11"/>
  <c r="Y98" i="11"/>
  <c r="AI85" i="11"/>
  <c r="AK85" i="11"/>
  <c r="AF16" i="11"/>
  <c r="AD16" i="11"/>
  <c r="AF45" i="11"/>
  <c r="AD45" i="11"/>
  <c r="AK31" i="11"/>
  <c r="AI31" i="11"/>
  <c r="AN99" i="11"/>
  <c r="AP99" i="11"/>
  <c r="Y10" i="11"/>
  <c r="AA10" i="11"/>
  <c r="AD40" i="11"/>
  <c r="AF40" i="11"/>
  <c r="AA24" i="11"/>
  <c r="Y24" i="11"/>
  <c r="AN17" i="11"/>
  <c r="AP17" i="11"/>
  <c r="AI98" i="11"/>
  <c r="AK98" i="11"/>
  <c r="AP71" i="11"/>
  <c r="AN71" i="11"/>
  <c r="AP63" i="11"/>
  <c r="AN63" i="11"/>
  <c r="AA93" i="11"/>
  <c r="Y93" i="11"/>
  <c r="AA78" i="11"/>
  <c r="Y78" i="11"/>
  <c r="AA56" i="11"/>
  <c r="Y56" i="11"/>
  <c r="AN48" i="11"/>
  <c r="AP48" i="11"/>
  <c r="AA39" i="11"/>
  <c r="Y39" i="11"/>
  <c r="AD31" i="11"/>
  <c r="AF31" i="11"/>
  <c r="AF88" i="11"/>
  <c r="AD88" i="11"/>
  <c r="AF73" i="11"/>
  <c r="AD73" i="11"/>
  <c r="AD58" i="11"/>
  <c r="AF58" i="11"/>
  <c r="AD39" i="11"/>
  <c r="AF39" i="11"/>
  <c r="Y101" i="11"/>
  <c r="AA101" i="11"/>
  <c r="AK52" i="11"/>
  <c r="AI52" i="11"/>
  <c r="AN39" i="11"/>
  <c r="AP39" i="11"/>
  <c r="AD27" i="11"/>
  <c r="AF27" i="11"/>
  <c r="Y95" i="11"/>
  <c r="AA95" i="11"/>
  <c r="AK67" i="11"/>
  <c r="AI67" i="11"/>
  <c r="AD43" i="11"/>
  <c r="AF43" i="11"/>
  <c r="AI29" i="11"/>
  <c r="AK29" i="11"/>
  <c r="AA12" i="11"/>
  <c r="Y12" i="11"/>
  <c r="AI55" i="11"/>
  <c r="AK55" i="11"/>
  <c r="AP47" i="11"/>
  <c r="AN47" i="11"/>
  <c r="AA13" i="11"/>
  <c r="Y13" i="11"/>
  <c r="AK15" i="11"/>
  <c r="AI15" i="11"/>
  <c r="AI46" i="11"/>
  <c r="AK46" i="11"/>
  <c r="AA50" i="11"/>
  <c r="Y50" i="11"/>
  <c r="Y49" i="11"/>
  <c r="AA49" i="11"/>
  <c r="AK9" i="11"/>
  <c r="AI9" i="11"/>
  <c r="AA6" i="11"/>
  <c r="Y6" i="11"/>
  <c r="AD8" i="11"/>
  <c r="AF8" i="11"/>
  <c r="AK97" i="11"/>
  <c r="AI97" i="11"/>
  <c r="AI82" i="11"/>
  <c r="AK82" i="11"/>
  <c r="AN55" i="11"/>
  <c r="AP55" i="11"/>
  <c r="AF62" i="11"/>
  <c r="AD62" i="11"/>
  <c r="AI54" i="11"/>
  <c r="AK54" i="11"/>
  <c r="AD38" i="11"/>
  <c r="AF38" i="11"/>
  <c r="AK51" i="11"/>
  <c r="AI51" i="11"/>
  <c r="AK19" i="11"/>
  <c r="AI19" i="11"/>
  <c r="AA41" i="11"/>
  <c r="Y41" i="11"/>
  <c r="AI11" i="11"/>
  <c r="AK11" i="11"/>
  <c r="AN25" i="11"/>
  <c r="AP25" i="11"/>
  <c r="AA96" i="11"/>
  <c r="Y96" i="11"/>
  <c r="AK5" i="11"/>
  <c r="AI5" i="11"/>
  <c r="AK7" i="11"/>
  <c r="AI7" i="11"/>
  <c r="AN96" i="11"/>
  <c r="AP96" i="11"/>
  <c r="AP88" i="11"/>
  <c r="AN88" i="11"/>
  <c r="AI101" i="11"/>
  <c r="AK101" i="11"/>
  <c r="AI83" i="11"/>
  <c r="AK83" i="11"/>
  <c r="AA54" i="11"/>
  <c r="Y54" i="11"/>
  <c r="AI37" i="11"/>
  <c r="AK37" i="11"/>
  <c r="AD100" i="11"/>
  <c r="AF100" i="11"/>
  <c r="Y68" i="11"/>
  <c r="AA68" i="11"/>
  <c r="AK50" i="11"/>
  <c r="AI50" i="11"/>
  <c r="AD90" i="11"/>
  <c r="AF90" i="11"/>
  <c r="AK39" i="11"/>
  <c r="AI39" i="11"/>
  <c r="Y100" i="11"/>
  <c r="AA100" i="11"/>
  <c r="AA33" i="11"/>
  <c r="Y33" i="11"/>
  <c r="Y11" i="11"/>
  <c r="AA11" i="11"/>
  <c r="AP68" i="11"/>
  <c r="AN68" i="11"/>
  <c r="AK10" i="11"/>
  <c r="AI10" i="11"/>
  <c r="AA23" i="11"/>
  <c r="Y23" i="11"/>
  <c r="AA8" i="11"/>
  <c r="Y8" i="11"/>
  <c r="BQ3" i="6"/>
  <c r="AK90" i="11"/>
  <c r="AI90" i="11"/>
  <c r="AA63" i="11"/>
  <c r="Y63" i="11"/>
  <c r="AA84" i="11"/>
  <c r="Y84" i="11"/>
  <c r="AP76" i="11"/>
  <c r="AN76" i="11"/>
  <c r="AA71" i="11"/>
  <c r="Y71" i="11"/>
  <c r="Y66" i="11"/>
  <c r="AA66" i="11"/>
  <c r="AD101" i="11"/>
  <c r="AF101" i="11"/>
  <c r="AA86" i="11"/>
  <c r="Y86" i="11"/>
  <c r="AD72" i="11"/>
  <c r="AF72" i="11"/>
  <c r="AA55" i="11"/>
  <c r="Y55" i="11"/>
  <c r="AD46" i="11"/>
  <c r="AF46" i="11"/>
  <c r="AN38" i="11"/>
  <c r="AP38" i="11"/>
  <c r="AN26" i="11"/>
  <c r="AP26" i="11"/>
  <c r="AP9" i="11"/>
  <c r="AN9" i="11"/>
  <c r="AK92" i="11"/>
  <c r="AI92" i="11"/>
  <c r="AK28" i="11"/>
  <c r="AI28" i="11"/>
  <c r="AA18" i="11"/>
  <c r="Y18" i="11"/>
  <c r="AN42" i="11"/>
  <c r="AP42" i="11"/>
  <c r="AD15" i="11"/>
  <c r="AF15" i="11"/>
  <c r="AF12" i="11"/>
  <c r="AD12" i="11"/>
  <c r="AK36" i="11"/>
  <c r="AI36" i="11"/>
  <c r="AA34" i="11"/>
  <c r="Y34" i="11"/>
  <c r="Y2" i="11"/>
  <c r="AA2" i="11"/>
  <c r="AD81" i="11"/>
  <c r="AF81" i="11"/>
  <c r="AF91" i="11"/>
  <c r="AD91" i="11"/>
  <c r="AK70" i="11"/>
  <c r="AI70" i="11"/>
  <c r="AN60" i="11"/>
  <c r="AP60" i="11"/>
  <c r="Y65" i="11"/>
  <c r="AA65" i="11"/>
  <c r="AD54" i="11"/>
  <c r="AF54" i="11"/>
  <c r="AA45" i="11"/>
  <c r="Y45" i="11"/>
  <c r="AA37" i="11"/>
  <c r="Y37" i="11"/>
  <c r="AA36" i="11"/>
  <c r="Y36" i="11"/>
  <c r="AI18" i="11"/>
  <c r="AK18" i="11"/>
  <c r="AF9" i="11"/>
  <c r="AD9" i="11"/>
  <c r="AA17" i="11"/>
  <c r="Y17" i="11"/>
  <c r="AK24" i="11"/>
  <c r="AI24" i="11"/>
  <c r="AP28" i="11"/>
  <c r="AN28" i="11"/>
  <c r="AD3" i="11"/>
  <c r="AF3" i="11"/>
  <c r="Y90" i="11"/>
  <c r="AA90" i="11"/>
  <c r="AI94" i="11"/>
  <c r="AK94" i="11"/>
  <c r="AD53" i="11"/>
  <c r="AF53" i="11"/>
  <c r="AK44" i="11"/>
  <c r="AI44" i="11"/>
  <c r="Y67" i="11"/>
  <c r="AA67" i="11"/>
  <c r="AA35" i="11"/>
  <c r="Y35" i="11"/>
  <c r="AP34" i="11"/>
  <c r="AN34" i="11"/>
  <c r="AP57" i="11"/>
  <c r="AN57" i="11"/>
  <c r="AK38" i="11"/>
  <c r="AI38" i="11"/>
  <c r="AA26" i="11"/>
  <c r="Y26" i="11"/>
  <c r="AI91" i="11"/>
  <c r="AK91" i="11"/>
  <c r="AN32" i="11"/>
  <c r="AP32" i="11"/>
  <c r="AA44" i="11"/>
  <c r="Y44" i="11"/>
  <c r="AP97" i="11"/>
  <c r="AN97" i="11"/>
  <c r="AN20" i="11"/>
  <c r="AP20" i="11"/>
  <c r="AP4" i="11"/>
  <c r="AN4" i="11"/>
  <c r="AI4" i="11"/>
  <c r="AK4" i="11"/>
  <c r="AP7" i="11"/>
  <c r="AN7" i="11"/>
  <c r="AD2" i="11"/>
  <c r="AF2" i="11"/>
  <c r="AA92" i="11"/>
  <c r="Y92" i="11"/>
  <c r="AA83" i="11"/>
  <c r="Y83" i="11"/>
  <c r="AF56" i="11"/>
  <c r="AD56" i="11"/>
  <c r="AP84" i="11"/>
  <c r="AN84" i="11"/>
  <c r="AI71" i="11"/>
  <c r="AK71" i="11"/>
  <c r="AK63" i="11"/>
  <c r="AI63" i="11"/>
  <c r="Y85" i="11"/>
  <c r="AA85" i="11"/>
  <c r="AF70" i="11"/>
  <c r="AD70" i="11"/>
  <c r="Y47" i="11"/>
  <c r="AA47" i="11"/>
  <c r="AI76" i="11"/>
  <c r="AK76" i="11"/>
  <c r="AK20" i="11"/>
  <c r="AI20" i="11"/>
  <c r="AF10" i="11"/>
  <c r="AD10" i="11"/>
  <c r="AA20" i="11"/>
  <c r="Y20" i="11"/>
  <c r="AN36" i="11"/>
  <c r="AP36" i="11"/>
  <c r="AK26" i="11"/>
  <c r="AI26" i="11"/>
  <c r="AD17" i="11"/>
  <c r="AF17" i="11"/>
  <c r="Y94" i="11"/>
  <c r="AA94" i="11"/>
  <c r="AP6" i="11"/>
  <c r="AN6" i="11"/>
  <c r="AD95" i="11"/>
  <c r="AF95" i="11"/>
  <c r="AK86" i="11"/>
  <c r="AI86" i="11"/>
  <c r="AF59" i="11"/>
  <c r="AD59" i="11"/>
  <c r="Y91" i="11"/>
  <c r="AA91" i="11"/>
  <c r="AD97" i="11"/>
  <c r="AF97" i="11"/>
  <c r="AP77" i="11"/>
  <c r="AN77" i="11"/>
  <c r="AI33" i="11"/>
  <c r="AK33" i="11"/>
  <c r="AF83" i="11"/>
  <c r="AD83" i="11"/>
  <c r="AA46" i="11"/>
  <c r="Y46" i="11"/>
  <c r="AF33" i="11"/>
  <c r="AD33" i="11"/>
  <c r="AK41" i="11"/>
  <c r="AI41" i="11"/>
  <c r="AA29" i="11"/>
  <c r="Y29" i="11"/>
  <c r="AA27" i="11"/>
  <c r="Y27" i="11"/>
  <c r="AN21" i="11"/>
  <c r="AP21" i="11"/>
  <c r="AK13" i="11"/>
  <c r="AI13" i="11"/>
  <c r="Y5" i="11"/>
  <c r="AA5" i="11"/>
  <c r="AI100" i="11"/>
  <c r="AK100" i="11"/>
  <c r="AP93" i="11"/>
  <c r="AN93" i="11"/>
  <c r="AK79" i="11"/>
  <c r="AI79" i="11"/>
  <c r="AI57" i="11"/>
  <c r="AK57" i="11"/>
  <c r="AN33" i="11"/>
  <c r="AP33" i="11"/>
  <c r="AP90" i="11"/>
  <c r="AN90" i="11"/>
  <c r="AI60" i="11"/>
  <c r="AK60" i="11"/>
  <c r="AN49" i="11"/>
  <c r="AP49" i="11"/>
  <c r="AN41" i="11"/>
  <c r="AP41" i="11"/>
  <c r="AK56" i="11"/>
  <c r="AI56" i="11"/>
  <c r="AN29" i="11"/>
  <c r="AP29" i="11"/>
  <c r="AN12" i="11"/>
  <c r="AP12" i="11"/>
  <c r="AP100" i="11"/>
  <c r="AN100" i="11"/>
  <c r="Y74" i="11"/>
  <c r="AA74" i="11"/>
  <c r="AA31" i="11"/>
  <c r="Y31" i="11"/>
  <c r="AK23" i="11"/>
  <c r="AI23" i="11"/>
  <c r="AP13" i="11"/>
  <c r="AN13" i="11"/>
  <c r="AP66" i="11"/>
  <c r="AN66" i="11"/>
  <c r="AF28" i="11"/>
  <c r="AD28" i="11"/>
  <c r="Y57" i="11"/>
  <c r="AA57" i="11"/>
  <c r="AF20" i="11"/>
  <c r="AD20" i="11"/>
  <c r="AD22" i="11"/>
  <c r="AF22" i="11"/>
  <c r="AN19" i="11"/>
  <c r="AP19" i="11"/>
  <c r="AP86" i="11"/>
  <c r="AN86" i="11"/>
  <c r="AD84" i="11"/>
  <c r="AF84" i="11"/>
  <c r="AI99" i="11"/>
  <c r="AK99" i="11"/>
  <c r="AF93" i="11"/>
  <c r="AD93" i="11"/>
  <c r="AP83" i="11"/>
  <c r="AN83" i="11"/>
  <c r="AD86" i="11"/>
  <c r="AF86" i="11"/>
  <c r="AN78" i="11"/>
  <c r="AP78" i="11"/>
  <c r="Y72" i="11"/>
  <c r="AA72" i="11"/>
  <c r="AF87" i="11"/>
  <c r="AD87" i="11"/>
  <c r="AF71" i="11"/>
  <c r="AD71" i="11"/>
  <c r="AP74" i="11"/>
  <c r="AN74" i="11"/>
  <c r="AI48" i="11"/>
  <c r="AK48" i="11"/>
  <c r="AN31" i="11"/>
  <c r="AP31" i="11"/>
  <c r="AK78" i="11"/>
  <c r="AI78" i="11"/>
  <c r="AN53" i="11"/>
  <c r="AP53" i="11"/>
  <c r="AF42" i="11"/>
  <c r="AD42" i="11"/>
  <c r="AK21" i="11"/>
  <c r="AI21" i="11"/>
  <c r="AP69" i="11"/>
  <c r="AN69" i="11"/>
  <c r="AN45" i="11"/>
  <c r="AP45" i="11"/>
  <c r="AF30" i="11"/>
  <c r="AD30" i="11"/>
  <c r="AI64" i="11"/>
  <c r="AK64" i="11"/>
  <c r="AK27" i="11"/>
  <c r="AI27" i="11"/>
  <c r="AA52" i="11"/>
  <c r="Y52" i="11"/>
  <c r="AF18" i="11"/>
  <c r="AD18" i="11"/>
  <c r="AI17" i="11"/>
  <c r="AK17" i="11"/>
  <c r="Y51" i="11"/>
  <c r="AA51" i="11"/>
  <c r="AF77" i="11"/>
  <c r="AD77" i="11"/>
  <c r="AD11" i="11"/>
  <c r="AF11" i="11"/>
  <c r="Y7" i="11"/>
  <c r="AA7" i="11"/>
  <c r="AN95" i="11"/>
  <c r="AP95" i="11"/>
  <c r="AK88" i="11"/>
  <c r="AI88" i="11"/>
  <c r="AD92" i="11"/>
  <c r="AF92" i="11"/>
  <c r="AN43" i="11"/>
  <c r="AP43" i="11"/>
  <c r="AK35" i="11"/>
  <c r="AI35" i="11"/>
  <c r="AF98" i="11"/>
  <c r="AD98" i="11"/>
  <c r="AF80" i="11"/>
  <c r="AD80" i="11"/>
  <c r="AP62" i="11"/>
  <c r="AN62" i="11"/>
  <c r="AN51" i="11"/>
  <c r="AP51" i="11"/>
  <c r="AI43" i="11"/>
  <c r="AK43" i="11"/>
  <c r="AF34" i="11"/>
  <c r="AD34" i="11"/>
  <c r="AN85" i="11"/>
  <c r="AP85" i="11"/>
  <c r="AF32" i="11"/>
  <c r="AD32" i="11"/>
  <c r="AN23" i="11"/>
  <c r="AP23" i="11"/>
  <c r="AA14" i="11"/>
  <c r="Y14" i="11"/>
  <c r="AI84" i="11"/>
  <c r="AK84" i="11"/>
  <c r="AP54" i="11"/>
  <c r="AN54" i="11"/>
  <c r="AN35" i="11"/>
  <c r="AP35" i="11"/>
  <c r="AF25" i="11"/>
  <c r="AD25" i="11"/>
  <c r="AD89" i="11"/>
  <c r="AF89" i="11"/>
  <c r="AA43" i="11"/>
  <c r="Y43" i="11"/>
  <c r="AF29" i="11"/>
  <c r="AD29" i="11"/>
  <c r="AA9" i="11"/>
  <c r="Y9" i="11"/>
  <c r="AA22" i="11"/>
  <c r="Y22" i="11"/>
  <c r="AN15" i="11"/>
  <c r="AP15" i="11"/>
  <c r="AK6" i="11"/>
  <c r="AI6" i="11"/>
  <c r="AK8" i="11"/>
  <c r="AI8" i="11"/>
  <c r="AI68" i="11"/>
  <c r="AK68" i="11"/>
  <c r="AN94" i="11"/>
  <c r="AP94" i="11"/>
  <c r="AP73" i="11"/>
  <c r="AN73" i="11"/>
  <c r="AK58" i="11"/>
  <c r="AI58" i="11"/>
  <c r="AK61" i="11"/>
  <c r="AI61" i="11"/>
  <c r="AP50" i="11"/>
  <c r="AN50" i="11"/>
  <c r="AP59" i="11"/>
  <c r="AN59" i="11"/>
  <c r="AI53" i="11"/>
  <c r="AK53" i="11"/>
  <c r="AF14" i="11"/>
  <c r="AD14" i="11"/>
  <c r="AI77" i="11"/>
  <c r="AK77" i="11"/>
  <c r="AD64" i="11"/>
  <c r="AF64" i="11"/>
  <c r="AF26" i="11"/>
  <c r="AD26" i="11"/>
  <c r="AA19" i="11"/>
  <c r="Y19" i="11"/>
  <c r="AP11" i="11"/>
  <c r="AN11" i="11"/>
  <c r="AI16" i="11"/>
  <c r="AK16" i="11"/>
  <c r="AD67" i="11"/>
  <c r="AF67" i="11"/>
  <c r="AK87" i="11"/>
  <c r="AI87" i="11"/>
  <c r="AN89" i="11"/>
  <c r="AP89" i="11"/>
  <c r="AD41" i="11"/>
  <c r="AF41" i="11"/>
  <c r="AP75" i="11"/>
  <c r="AN75" i="11"/>
  <c r="AN101" i="11"/>
  <c r="AP101" i="11"/>
  <c r="AI75" i="11"/>
  <c r="AK75" i="11"/>
  <c r="AA88" i="11"/>
  <c r="Y88" i="11"/>
  <c r="AA80" i="11"/>
  <c r="Y80" i="11"/>
  <c r="AN65" i="11"/>
  <c r="AP65" i="11"/>
  <c r="AI73" i="11"/>
  <c r="AK73" i="11"/>
  <c r="AD51" i="11"/>
  <c r="AF51" i="11"/>
  <c r="AA42" i="11"/>
  <c r="Y42" i="11"/>
  <c r="AK34" i="11"/>
  <c r="AI34" i="11"/>
  <c r="AK42" i="11"/>
  <c r="AI42" i="11"/>
  <c r="AK30" i="11"/>
  <c r="AI30" i="11"/>
  <c r="AD23" i="11"/>
  <c r="AF23" i="11"/>
  <c r="AD13" i="11"/>
  <c r="AF13" i="11"/>
  <c r="Y73" i="11"/>
  <c r="AA73" i="11"/>
  <c r="AD76" i="11"/>
  <c r="AF76" i="11"/>
  <c r="AP24" i="11"/>
  <c r="AN24" i="11"/>
  <c r="AA62" i="11"/>
  <c r="Y62" i="11"/>
  <c r="AP5" i="11"/>
  <c r="AN5" i="11"/>
  <c r="AD7" i="11"/>
  <c r="AF7" i="11"/>
  <c r="AF85" i="11"/>
  <c r="AD85" i="11"/>
  <c r="Y75" i="11"/>
  <c r="AA75" i="11"/>
  <c r="AA58" i="11"/>
  <c r="Y58" i="11"/>
  <c r="AF94" i="11"/>
  <c r="AD94" i="11"/>
  <c r="AP72" i="11"/>
  <c r="AN72" i="11"/>
  <c r="AP64" i="11"/>
  <c r="AN64" i="11"/>
  <c r="AK72" i="11"/>
  <c r="AI72" i="11"/>
  <c r="AD50" i="11"/>
  <c r="AF50" i="11"/>
  <c r="AK32" i="11"/>
  <c r="AI32" i="11"/>
  <c r="Y81" i="11"/>
  <c r="AA81" i="11"/>
  <c r="AP44" i="11"/>
  <c r="AN44" i="11"/>
  <c r="AP22" i="11"/>
  <c r="AN22" i="11"/>
  <c r="AD48" i="11"/>
  <c r="AF48" i="11"/>
  <c r="AK40" i="11"/>
  <c r="AI40" i="11"/>
  <c r="AP16" i="11"/>
  <c r="AN16" i="11"/>
  <c r="AD55" i="11"/>
  <c r="AF55" i="11"/>
  <c r="AK14" i="11"/>
  <c r="AI14" i="11"/>
  <c r="AI3" i="11"/>
  <c r="AK3" i="11"/>
  <c r="AA3" i="11"/>
  <c r="Y3" i="11"/>
  <c r="AP8" i="11"/>
  <c r="AN8" i="11"/>
  <c r="AK74" i="11"/>
  <c r="AI74" i="11"/>
  <c r="AF66" i="11"/>
  <c r="AD66" i="11"/>
  <c r="AF57" i="11"/>
  <c r="AD57" i="11"/>
  <c r="AI93" i="11"/>
  <c r="AK93" i="11"/>
  <c r="AA64" i="11"/>
  <c r="Y64" i="11"/>
  <c r="AN56" i="11"/>
  <c r="AP56" i="11"/>
  <c r="AD49" i="11"/>
  <c r="AF49" i="11"/>
  <c r="AP40" i="11"/>
  <c r="AN40" i="11"/>
  <c r="AA32" i="11"/>
  <c r="Y32" i="11"/>
  <c r="AI89" i="11"/>
  <c r="AK89" i="11"/>
  <c r="Y59" i="11"/>
  <c r="AA59" i="11"/>
  <c r="AA40" i="11"/>
  <c r="Y40" i="11"/>
  <c r="AA28" i="11"/>
  <c r="Y28" i="11"/>
  <c r="AP10" i="11"/>
  <c r="AN10" i="11"/>
  <c r="AN98" i="11"/>
  <c r="AP98" i="11"/>
  <c r="AK22" i="11"/>
  <c r="AI22" i="11"/>
  <c r="AK12" i="11"/>
  <c r="AI12" i="11"/>
  <c r="AA38" i="11"/>
  <c r="Y38" i="11"/>
  <c r="AD19" i="11"/>
  <c r="AF19" i="11"/>
  <c r="AN14" i="11"/>
  <c r="AP14" i="11"/>
  <c r="AN58" i="11"/>
  <c r="AP58" i="11"/>
  <c r="Y4" i="11"/>
  <c r="AA4" i="11"/>
  <c r="AF4" i="11"/>
  <c r="AD4" i="11"/>
  <c r="AA87" i="11"/>
  <c r="Y87" i="11"/>
  <c r="AA79" i="11"/>
  <c r="Y79" i="11"/>
  <c r="AA69" i="11"/>
  <c r="Y69" i="11"/>
  <c r="AF60" i="11"/>
  <c r="AD60" i="11"/>
  <c r="AI95" i="11"/>
  <c r="AK95" i="11"/>
  <c r="AP80" i="11"/>
  <c r="AN80" i="11"/>
  <c r="AD74" i="11"/>
  <c r="AF74" i="11"/>
  <c r="AD68" i="11"/>
  <c r="AF68" i="11"/>
  <c r="Y77" i="11"/>
  <c r="AA77" i="11"/>
  <c r="Y60" i="11"/>
  <c r="AA60" i="11"/>
  <c r="AD52" i="11"/>
  <c r="AF52" i="11"/>
  <c r="AA61" i="11"/>
  <c r="Y61" i="11"/>
  <c r="AD47" i="11"/>
  <c r="AF47" i="11"/>
  <c r="AF78" i="11"/>
  <c r="AD78" i="11"/>
  <c r="AA15" i="11"/>
  <c r="Y15" i="11"/>
  <c r="AN30" i="11"/>
  <c r="AP30" i="11"/>
  <c r="AA82" i="11"/>
  <c r="Y82" i="11"/>
  <c r="AA30" i="11"/>
  <c r="Y30" i="11"/>
  <c r="AA89" i="11"/>
  <c r="Y89" i="11"/>
  <c r="AD21" i="11"/>
  <c r="AF21" i="11"/>
  <c r="AP18" i="11"/>
  <c r="AN18" i="11"/>
  <c r="AD6" i="11"/>
  <c r="AF6" i="11"/>
  <c r="AK2" i="11"/>
  <c r="AI2" i="11"/>
  <c r="BL3" i="6"/>
  <c r="BO7" i="6"/>
  <c r="BO399" i="6"/>
  <c r="BO347" i="6"/>
  <c r="BO131" i="6"/>
  <c r="BO287" i="6"/>
  <c r="BO295" i="6"/>
  <c r="BO359" i="6"/>
  <c r="BO227" i="6"/>
  <c r="BO371" i="6"/>
  <c r="BO195" i="6"/>
  <c r="BO351" i="6"/>
  <c r="BO159" i="6"/>
  <c r="BO171" i="6"/>
  <c r="BO55" i="6"/>
  <c r="BO339" i="6"/>
  <c r="BO123" i="6"/>
  <c r="BO183" i="6"/>
  <c r="BO207" i="6"/>
  <c r="BO363" i="6"/>
  <c r="BO383" i="6"/>
  <c r="BO279" i="6"/>
  <c r="BO75" i="6"/>
  <c r="BO303" i="6"/>
  <c r="BO291" i="6"/>
  <c r="BO395" i="6"/>
  <c r="BO267" i="6"/>
  <c r="BO83" i="6"/>
  <c r="BO215" i="6"/>
  <c r="BO143" i="6"/>
  <c r="BO307" i="6"/>
  <c r="BO147" i="6"/>
  <c r="BO231" i="6"/>
  <c r="BO235" i="6"/>
  <c r="BO103" i="6"/>
  <c r="BO275" i="6"/>
  <c r="BO315" i="6"/>
  <c r="BO51" i="6"/>
  <c r="BO271" i="6"/>
  <c r="BO63" i="6"/>
  <c r="BO367" i="6"/>
  <c r="BO175" i="6"/>
  <c r="BO331" i="6"/>
  <c r="BO379" i="6"/>
  <c r="BO119" i="6"/>
  <c r="BO43" i="6"/>
  <c r="BO91" i="6"/>
  <c r="BO223" i="6"/>
  <c r="BO375" i="6"/>
  <c r="BO151" i="6"/>
  <c r="BO219" i="6"/>
  <c r="BO299" i="6"/>
  <c r="BO199" i="6"/>
  <c r="BO115" i="6"/>
  <c r="BO283" i="6"/>
  <c r="BO139" i="6"/>
  <c r="BO259" i="6"/>
  <c r="BO203" i="6"/>
  <c r="BO67" i="6"/>
  <c r="BO211" i="6"/>
  <c r="BO255" i="6"/>
  <c r="BO127" i="6"/>
  <c r="BO247" i="6"/>
  <c r="BO95" i="6"/>
  <c r="BO263" i="6"/>
  <c r="BO79" i="6"/>
  <c r="BO167" i="6"/>
  <c r="BO355" i="6"/>
  <c r="BO87" i="6"/>
  <c r="BO111" i="6"/>
  <c r="BO343" i="6"/>
  <c r="BO191" i="6"/>
  <c r="BO187" i="6"/>
  <c r="BO35" i="6"/>
  <c r="BO323" i="6"/>
  <c r="BO99" i="6"/>
  <c r="BO251" i="6"/>
  <c r="BO387" i="6"/>
  <c r="BO243" i="6"/>
  <c r="BO107" i="6"/>
  <c r="BO39" i="6"/>
  <c r="BO179" i="6"/>
  <c r="BO155" i="6"/>
  <c r="BO391" i="6"/>
  <c r="BO311" i="6"/>
  <c r="BO71" i="6"/>
  <c r="BO239" i="6"/>
  <c r="BO27" i="6"/>
  <c r="BO163" i="6"/>
  <c r="BO327" i="6"/>
  <c r="BO31" i="6"/>
  <c r="BO319" i="6"/>
  <c r="BO335" i="6"/>
  <c r="BO47" i="6"/>
  <c r="BO135" i="6"/>
  <c r="BO59" i="6"/>
  <c r="BO403" i="6"/>
  <c r="BO11" i="6"/>
  <c r="BO19" i="6"/>
  <c r="BO15" i="6"/>
  <c r="BO23" i="6"/>
  <c r="O27" i="8"/>
  <c r="Q27" i="8" s="1"/>
  <c r="R27" i="8"/>
  <c r="S27" i="8" s="1"/>
  <c r="V27" i="8" s="1"/>
  <c r="AC3" i="9"/>
  <c r="S23" i="7" s="1"/>
  <c r="AI3" i="9"/>
  <c r="F2" i="9" s="1"/>
  <c r="V3" i="11"/>
  <c r="V68" i="11"/>
  <c r="V78" i="11"/>
  <c r="V85" i="11"/>
  <c r="V56" i="11"/>
  <c r="V26" i="11"/>
  <c r="V90" i="11"/>
  <c r="V64" i="11"/>
  <c r="V92" i="11"/>
  <c r="V12" i="11"/>
  <c r="V70" i="11"/>
  <c r="V67" i="11"/>
  <c r="V100" i="11"/>
  <c r="V42" i="11"/>
  <c r="V31" i="11"/>
  <c r="V6" i="11"/>
  <c r="V99" i="11"/>
  <c r="V60" i="11"/>
  <c r="V79" i="11"/>
  <c r="V49" i="11"/>
  <c r="V72" i="11"/>
  <c r="V66" i="11"/>
  <c r="V95" i="11"/>
  <c r="V38" i="11"/>
  <c r="V86" i="11"/>
  <c r="V17" i="11"/>
  <c r="V15" i="11"/>
  <c r="V61" i="11"/>
  <c r="V27" i="11"/>
  <c r="V44" i="11"/>
  <c r="V101" i="11"/>
  <c r="V40" i="11"/>
  <c r="V53" i="11"/>
  <c r="V96" i="11"/>
  <c r="V33" i="11"/>
  <c r="V9" i="11"/>
  <c r="V28" i="11"/>
  <c r="V94" i="11"/>
  <c r="V35" i="11"/>
  <c r="V14" i="11"/>
  <c r="V5" i="11"/>
  <c r="V52" i="11"/>
  <c r="V18" i="11"/>
  <c r="V24" i="11"/>
  <c r="V65" i="11"/>
  <c r="V25" i="11"/>
  <c r="V43" i="11"/>
  <c r="V19" i="11"/>
  <c r="V30" i="11"/>
  <c r="V22" i="11"/>
  <c r="V62" i="11"/>
  <c r="V39" i="11"/>
  <c r="V50" i="11"/>
  <c r="V84" i="11"/>
  <c r="V63" i="11"/>
  <c r="V41" i="11"/>
  <c r="V98" i="11"/>
  <c r="V58" i="11"/>
  <c r="V10" i="11"/>
  <c r="V47" i="11"/>
  <c r="V7" i="11"/>
  <c r="V81" i="11"/>
  <c r="V97" i="11"/>
  <c r="V55" i="11"/>
  <c r="V73" i="11"/>
  <c r="V57" i="11"/>
  <c r="V36" i="11"/>
  <c r="V48" i="11"/>
  <c r="V76" i="11"/>
  <c r="V34" i="11"/>
  <c r="V54" i="11"/>
  <c r="Q21" i="8"/>
  <c r="V87" i="11"/>
  <c r="V20" i="11"/>
  <c r="V77" i="11"/>
  <c r="V32" i="11"/>
  <c r="V89" i="11"/>
  <c r="V13" i="11"/>
  <c r="V91" i="11"/>
  <c r="V37" i="11"/>
  <c r="V4" i="11"/>
  <c r="V16" i="11"/>
  <c r="V74" i="11"/>
  <c r="V21" i="11"/>
  <c r="V23" i="11"/>
  <c r="V29" i="11"/>
  <c r="V71" i="11"/>
  <c r="V69" i="11"/>
  <c r="V45" i="11"/>
  <c r="V59" i="11"/>
  <c r="V75" i="11"/>
  <c r="V8" i="11"/>
  <c r="V51" i="11"/>
  <c r="V11" i="11"/>
  <c r="V83" i="11"/>
  <c r="V80" i="11"/>
  <c r="V88" i="11"/>
  <c r="V93" i="11"/>
  <c r="V82" i="11"/>
  <c r="V46" i="11"/>
  <c r="S21" i="8"/>
  <c r="T3" i="8"/>
  <c r="Q4" i="6" l="1"/>
  <c r="D32" i="7" s="1"/>
  <c r="R3" i="8"/>
  <c r="Q3" i="8"/>
  <c r="S3" i="8"/>
  <c r="AX3" i="5"/>
  <c r="E4" i="5" s="1"/>
  <c r="H78" i="1"/>
  <c r="H34" i="1"/>
  <c r="H91" i="1"/>
  <c r="H59" i="1"/>
  <c r="H71" i="1"/>
  <c r="H85" i="1"/>
  <c r="H92" i="1"/>
  <c r="H38" i="1"/>
  <c r="H23" i="1"/>
  <c r="H11" i="1"/>
  <c r="H17" i="1"/>
  <c r="H49" i="1"/>
  <c r="H73" i="1"/>
  <c r="H98" i="1"/>
  <c r="H8" i="1"/>
  <c r="H40" i="1"/>
  <c r="H26" i="1"/>
  <c r="H16" i="1"/>
  <c r="H35" i="1"/>
  <c r="H67" i="1"/>
  <c r="H87" i="1"/>
  <c r="H95" i="1"/>
  <c r="H52" i="1"/>
  <c r="H20" i="1"/>
  <c r="H72" i="1"/>
  <c r="H19" i="1"/>
  <c r="H25" i="1"/>
  <c r="H57" i="1"/>
  <c r="H89" i="1"/>
  <c r="H18" i="1"/>
  <c r="H42" i="1"/>
  <c r="H30" i="1"/>
  <c r="H64" i="1"/>
  <c r="H50" i="1"/>
  <c r="H43" i="1"/>
  <c r="H76" i="1"/>
  <c r="H4" i="1"/>
  <c r="H90" i="1"/>
  <c r="H68" i="1"/>
  <c r="H66" i="1"/>
  <c r="H79" i="1"/>
  <c r="H27" i="1"/>
  <c r="H33" i="1"/>
  <c r="H65" i="1"/>
  <c r="H97" i="1"/>
  <c r="H56" i="1"/>
  <c r="H24" i="1"/>
  <c r="H48" i="1"/>
  <c r="H2" i="1"/>
  <c r="H31" i="1"/>
  <c r="H63" i="1"/>
  <c r="H86" i="1"/>
  <c r="H60" i="1"/>
  <c r="H28" i="1"/>
  <c r="H29" i="1"/>
  <c r="H61" i="1"/>
  <c r="H93" i="1"/>
  <c r="H3" i="1"/>
  <c r="H39" i="1"/>
  <c r="H80" i="1"/>
  <c r="H94" i="1"/>
  <c r="H58" i="1"/>
  <c r="H10" i="1"/>
  <c r="H37" i="1"/>
  <c r="H69" i="1"/>
  <c r="H101" i="1"/>
  <c r="H7" i="1"/>
  <c r="H47" i="1"/>
  <c r="H88" i="1"/>
  <c r="H100" i="1"/>
  <c r="H12" i="1"/>
  <c r="H13" i="1"/>
  <c r="H45" i="1"/>
  <c r="H83" i="1"/>
  <c r="H6" i="1"/>
  <c r="H15" i="1"/>
  <c r="H55" i="1"/>
  <c r="H77" i="1"/>
  <c r="H22" i="1"/>
  <c r="H46" i="1"/>
  <c r="H21" i="1"/>
  <c r="H53" i="1"/>
  <c r="H81" i="1"/>
  <c r="H96" i="1"/>
  <c r="H62" i="1"/>
  <c r="H32" i="1"/>
  <c r="H51" i="1"/>
  <c r="H84" i="1"/>
  <c r="H5" i="1"/>
  <c r="H82" i="1"/>
  <c r="H70" i="1"/>
  <c r="H36" i="1"/>
  <c r="H99" i="1"/>
  <c r="H9" i="1"/>
  <c r="H41" i="1"/>
  <c r="H75" i="1"/>
  <c r="H74" i="1"/>
  <c r="H54" i="1"/>
  <c r="H44" i="1"/>
  <c r="H14" i="1"/>
  <c r="C1" i="16"/>
  <c r="A1" i="9" s="1"/>
  <c r="P27" i="7" l="1"/>
  <c r="V3" i="8"/>
  <c r="Y27" i="8"/>
  <c r="Y21" i="8"/>
  <c r="A1" i="8"/>
  <c r="F22" i="17"/>
  <c r="A1" i="6"/>
  <c r="B2" i="7"/>
  <c r="Z27" i="8" l="1"/>
  <c r="BP3" i="6"/>
  <c r="Y3" i="8"/>
  <c r="E2" i="8" s="1"/>
  <c r="Z21" i="8"/>
  <c r="S28" i="7"/>
  <c r="D19" i="8" l="1"/>
  <c r="S24" i="7" s="1"/>
  <c r="G30" i="7" s="1"/>
  <c r="L30" i="7" s="1"/>
  <c r="R4" i="6"/>
  <c r="S27" i="7"/>
  <c r="G29" i="7" s="1"/>
  <c r="E4" i="6"/>
  <c r="F9" i="12"/>
  <c r="C9" i="12"/>
  <c r="I9" i="12" s="1"/>
  <c r="F8" i="12"/>
  <c r="E9" i="12"/>
  <c r="C8" i="12"/>
  <c r="I8" i="12" s="1"/>
  <c r="E8" i="12"/>
  <c r="F12" i="12"/>
  <c r="C12" i="12"/>
  <c r="I12" i="12" s="1"/>
  <c r="E10" i="12"/>
  <c r="E12" i="12"/>
  <c r="C13" i="12"/>
  <c r="I13" i="12" s="1"/>
  <c r="E11" i="12"/>
  <c r="C11" i="12"/>
  <c r="I11" i="12" s="1"/>
  <c r="F11" i="12"/>
  <c r="F13" i="12"/>
  <c r="E13" i="12"/>
  <c r="C10" i="12"/>
  <c r="I10" i="12" s="1"/>
  <c r="F10" i="12"/>
  <c r="U3" i="4" l="1"/>
  <c r="U2" i="4"/>
  <c r="V3" i="4"/>
  <c r="V2" i="4"/>
  <c r="S29" i="7" l="1"/>
  <c r="G31" i="7" s="1"/>
  <c r="P29" i="7"/>
  <c r="D29" i="7"/>
  <c r="L29" i="7" s="1"/>
  <c r="P23" i="7" l="1"/>
  <c r="D31" i="7" s="1"/>
  <c r="L31" i="7" s="1"/>
  <c r="L32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E5" authorId="0" shapeId="0" xr:uid="{5A1C91B5-2FE8-4B12-887C-B5C1BC8ECBC3}">
      <text>
        <r>
          <rPr>
            <b/>
            <sz val="9"/>
            <color indexed="81"/>
            <rFont val="MS P ゴシック"/>
            <family val="3"/>
            <charset val="128"/>
          </rPr>
          <t>プルダウンリストより選択してください。[Alt]+[↓]で表示、[↑][↓]で操作。</t>
        </r>
      </text>
    </comment>
    <comment ref="E10" authorId="0" shapeId="0" xr:uid="{F111C2D1-7F7D-4084-BB5B-8AB41742A956}">
      <text>
        <r>
          <rPr>
            <b/>
            <sz val="9"/>
            <color indexed="81"/>
            <rFont val="MS P ゴシック"/>
            <family val="3"/>
            <charset val="128"/>
          </rPr>
          <t>姓と名の間に全角スペースを1つ分入力してください。</t>
        </r>
      </text>
    </comment>
    <comment ref="E13" authorId="0" shapeId="0" xr:uid="{0E277564-38BD-4085-9C92-EFC67F4F635E}">
      <text>
        <r>
          <rPr>
            <b/>
            <sz val="9"/>
            <color indexed="81"/>
            <rFont val="MS P ゴシック"/>
            <family val="3"/>
            <charset val="128"/>
          </rPr>
          <t>姓と名の間に全角スペースを1つ分入力してください。</t>
        </r>
      </text>
    </comment>
    <comment ref="E15" authorId="0" shapeId="0" xr:uid="{AF866C39-539A-4B05-A430-052EF337D858}">
      <text>
        <r>
          <rPr>
            <b/>
            <sz val="9"/>
            <color indexed="81"/>
            <rFont val="MS P ゴシック"/>
            <family val="3"/>
            <charset val="128"/>
          </rPr>
          <t>姓と名の間に全角スペースを1つ分入力してください。</t>
        </r>
      </text>
    </comment>
    <comment ref="E16" authorId="0" shapeId="0" xr:uid="{994FDCED-5627-49D3-934D-84E76B2FCAC9}">
      <text>
        <r>
          <rPr>
            <b/>
            <sz val="9"/>
            <color indexed="81"/>
            <rFont val="ＭＳ Ｐゴシック"/>
            <family val="3"/>
            <charset val="128"/>
          </rPr>
          <t>半角数字のみで入力してください。ハイフンは不要です。</t>
        </r>
      </text>
    </comment>
    <comment ref="E17" authorId="0" shapeId="0" xr:uid="{EF8C10DD-D829-4173-A2DD-A0E9246A9FB7}">
      <text>
        <r>
          <rPr>
            <b/>
            <sz val="9"/>
            <color indexed="81"/>
            <rFont val="MS P ゴシック"/>
            <family val="3"/>
            <charset val="128"/>
          </rPr>
          <t>郵便物が届く程度で入力してください。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5" authorId="0" shapeId="0" xr:uid="{D5551396-596F-4C0F-A421-3EBC8B623B7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登録番号
</t>
        </r>
        <r>
          <rPr>
            <sz val="9"/>
            <color indexed="81"/>
            <rFont val="MS P ゴシック"/>
            <family val="3"/>
            <charset val="128"/>
          </rPr>
          <t>学連コードをのぞいた登録番号を半角数字のみで入力してください。</t>
        </r>
      </text>
    </comment>
    <comment ref="E5" authorId="0" shapeId="0" xr:uid="{98085096-470F-4FA6-9490-D5EC0C8647A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氏名
</t>
        </r>
        <r>
          <rPr>
            <sz val="9"/>
            <color indexed="81"/>
            <rFont val="MS P ゴシック"/>
            <family val="3"/>
            <charset val="128"/>
          </rPr>
          <t>自動で出力されます。
入力する場合、姓名の間に全角スペースを1つ分入力してください。</t>
        </r>
      </text>
    </comment>
    <comment ref="F5" authorId="0" shapeId="0" xr:uid="{81B734E0-89DF-44CD-B411-E61B4D0057A8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フリガナ
</t>
        </r>
        <r>
          <rPr>
            <sz val="9"/>
            <color indexed="81"/>
            <rFont val="MS P ゴシック"/>
            <family val="3"/>
            <charset val="128"/>
          </rPr>
          <t>自動で出力されます。
入力する場合、半角カナ（未確定状態で[F8]キー）で入力し、姓名の間に半角スペースを1つ分入力してください。</t>
        </r>
      </text>
    </comment>
    <comment ref="G5" authorId="0" shapeId="0" xr:uid="{F2D9E8F3-FE6F-47B6-A12F-F91740201E4D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学年
</t>
        </r>
        <r>
          <rPr>
            <sz val="9"/>
            <color indexed="81"/>
            <rFont val="MS P ゴシック"/>
            <family val="3"/>
            <charset val="128"/>
          </rPr>
          <t>学年を半角英数字で入力してください。
修士課程、博士課程、専門学生の場合はそれぞれM,D,Sを付記し、学士課程のBのみ省略すること。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登録陸協
</t>
        </r>
        <r>
          <rPr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国籍
</t>
        </r>
        <r>
          <rPr>
            <sz val="9"/>
            <color indexed="81"/>
            <rFont val="MS P ゴシック"/>
            <family val="3"/>
            <charset val="128"/>
          </rPr>
          <t>IOCが定める国籍3レターを半角大文字で入力してください。</t>
        </r>
      </text>
    </comment>
    <comment ref="I5" authorId="0" shapeId="0" xr:uid="{D86465D6-8FC6-4B90-908C-2554991590A7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出場種目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Q5" authorId="0" shapeId="0" xr:uid="{26A65D77-8B8A-418A-A941-18070C08D2D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リレーエントリー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E6" authorId="0" shapeId="0" xr:uid="{938DB5EE-5319-4462-8FAD-4D2B3CE7839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英字名(生年)
</t>
        </r>
        <r>
          <rPr>
            <sz val="9"/>
            <color indexed="81"/>
            <rFont val="MS P ゴシック"/>
            <family val="3"/>
            <charset val="128"/>
          </rPr>
          <t>自動で出力されます。
入力する場合、姓はすべて大文字、名は1文字目のみ大文字で以下は小文字で入力し、姓名の間にカンマとスペースを1つずつ入力してください。
名のあとに生年(西暦)下2ケタを丸括弧でくくって入力してください。すべて半角で入力すること。</t>
        </r>
      </text>
    </comment>
    <comment ref="K6" authorId="0" shapeId="0" xr:uid="{490DC85C-B6AF-4272-AFC8-221B1C4D04E1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参考記録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M6" authorId="0" shapeId="0" xr:uid="{3EA670B7-A1C2-4F74-8631-7A89587C6DB2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年月日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P6" authorId="0" shapeId="0" xr:uid="{BBD82349-2EF9-4DE3-8C14-167B2CA47F35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競技会名
</t>
        </r>
        <r>
          <rPr>
            <sz val="9"/>
            <color indexed="81"/>
            <rFont val="MS P ゴシック"/>
            <family val="3"/>
            <charset val="128"/>
          </rPr>
          <t>参考記録を用いる場合、競技会名を入力してください。特定できれば形式は問いません。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5" authorId="0" shapeId="0" xr:uid="{297155E2-D676-4737-B685-8E57E3417DE2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登録番号
</t>
        </r>
        <r>
          <rPr>
            <sz val="9"/>
            <color indexed="81"/>
            <rFont val="MS P ゴシック"/>
            <family val="3"/>
            <charset val="128"/>
          </rPr>
          <t>学連コードをのぞいた登録番号を半角数字のみで入力してください。</t>
        </r>
      </text>
    </comment>
    <comment ref="E5" authorId="0" shapeId="0" xr:uid="{242D99D2-64A4-4FEA-839F-C98092B691C9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氏名
</t>
        </r>
        <r>
          <rPr>
            <sz val="9"/>
            <color indexed="81"/>
            <rFont val="MS P ゴシック"/>
            <family val="3"/>
            <charset val="128"/>
          </rPr>
          <t>自動で出力されます。
入力する場合、姓名の間に全角スペースを1つ分入力してください。</t>
        </r>
      </text>
    </comment>
    <comment ref="F5" authorId="0" shapeId="0" xr:uid="{EAB6F10D-4973-4D1C-854C-58B07FCAA177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フリガナ
</t>
        </r>
        <r>
          <rPr>
            <sz val="9"/>
            <color indexed="81"/>
            <rFont val="MS P ゴシック"/>
            <family val="3"/>
            <charset val="128"/>
          </rPr>
          <t>自動で出力されます。
入力する場合、半角カナ（未確定状態で[F8]キー）で入力し、姓名の間に半角スペースを1つ分入力してください。</t>
        </r>
      </text>
    </comment>
    <comment ref="G5" authorId="0" shapeId="0" xr:uid="{A5745C4E-4E11-4CD9-9CBE-80EE8A2D019C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学年
</t>
        </r>
        <r>
          <rPr>
            <sz val="9"/>
            <color indexed="81"/>
            <rFont val="MS P ゴシック"/>
            <family val="3"/>
            <charset val="128"/>
          </rPr>
          <t>学年を半角英数字で入力してください。
修士課程、博士課程、専門学生の場合はそれぞれM,D,Sを付記し、学士課程のBのみ省略すること。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登録陸協
</t>
        </r>
        <r>
          <rPr>
            <sz val="9"/>
            <color indexed="81"/>
            <rFont val="MS P ゴシック"/>
            <family val="3"/>
            <charset val="128"/>
          </rPr>
          <t>都道府県名を入力してください。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国籍
</t>
        </r>
        <r>
          <rPr>
            <sz val="9"/>
            <color indexed="81"/>
            <rFont val="MS P ゴシック"/>
            <family val="3"/>
            <charset val="128"/>
          </rPr>
          <t>IOCが定める国籍3レターを半角大文字で入力してください。</t>
        </r>
      </text>
    </comment>
    <comment ref="I5" authorId="0" shapeId="0" xr:uid="{6B65D811-E711-4B5D-B2E5-79A022F7B846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出場種目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Q5" authorId="0" shapeId="0" xr:uid="{652E1604-785A-4828-9296-0390F64026EA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リレーエントリー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E6" authorId="0" shapeId="0" xr:uid="{052AACD8-2BCF-4FEF-8491-452C5D7A4CB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英字名(生年)
</t>
        </r>
        <r>
          <rPr>
            <sz val="9"/>
            <color indexed="81"/>
            <rFont val="MS P ゴシック"/>
            <family val="3"/>
            <charset val="128"/>
          </rPr>
          <t>自動で出力されます。
入力する場合、姓はすべて大文字、名は1文字目のみ大文字で以下は小文字で入力し、姓名の間にカンマとスペースを1つずつ入力してください。
名のあとに生年(西暦)下2ケタを丸括弧でくくって入力してください。すべて半角で入力すること。</t>
        </r>
      </text>
    </comment>
    <comment ref="K6" authorId="0" shapeId="0" xr:uid="{36A0B64A-590D-4F14-9528-BF4B568B4C68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参考記録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M6" authorId="0" shapeId="0" xr:uid="{C34A56BD-79E0-4950-8BC5-6F503A540B7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年月日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P6" authorId="0" shapeId="0" xr:uid="{AD49DE47-6669-4309-BA18-072013E08AE1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競技会名
</t>
        </r>
        <r>
          <rPr>
            <sz val="9"/>
            <color indexed="81"/>
            <rFont val="MS P ゴシック"/>
            <family val="3"/>
            <charset val="128"/>
          </rPr>
          <t>参考記録を用いる場合、競技会名を入力してください。特定できれば形式は問いません。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I5" authorId="0" shapeId="0" xr:uid="{4A258739-48FE-4F56-BDB3-96A50E216D2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J5" authorId="0" shapeId="0" xr:uid="{1FEA1F3C-2BEB-4ED5-8500-02DB75138116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年月日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M5" authorId="0" shapeId="0" xr:uid="{72FBB72C-95A4-4A89-98C7-501E94230C7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競技会名
</t>
        </r>
        <r>
          <rPr>
            <sz val="9"/>
            <color indexed="81"/>
            <rFont val="MS P ゴシック"/>
            <family val="3"/>
            <charset val="128"/>
          </rPr>
          <t>参考記録を用いる場合、競技会名を入力してください。特定できれば形式は問いません。</t>
        </r>
      </text>
    </comment>
    <comment ref="I20" authorId="0" shapeId="0" xr:uid="{8D0CE6A3-8B9A-40B6-BFC5-501CE318E9E7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J20" authorId="0" shapeId="0" xr:uid="{02FEA3FE-7439-4923-BD91-328AFB62C2B5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年月日
</t>
        </r>
        <r>
          <rPr>
            <sz val="9"/>
            <color indexed="81"/>
            <rFont val="MS P ゴシック"/>
            <family val="3"/>
            <charset val="128"/>
          </rPr>
          <t>プルダウンリストより選択してください。</t>
        </r>
      </text>
    </comment>
    <comment ref="M20" authorId="0" shapeId="0" xr:uid="{4894D26F-6A74-41AB-867C-EED02B5512F5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競技会名
</t>
        </r>
        <r>
          <rPr>
            <sz val="9"/>
            <color indexed="81"/>
            <rFont val="MS P ゴシック"/>
            <family val="3"/>
            <charset val="128"/>
          </rPr>
          <t>参考記録を用いる場合、競技会名を入力してください。特定できれば形式は問いません。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F6" authorId="0" shapeId="0" xr:uid="{6ECF58E8-BC1E-46E9-B569-5B1A8BFEC585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I6" authorId="0" shapeId="0" xr:uid="{E9E41DDF-5074-4D06-AF42-8156239E654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P6" authorId="0" shapeId="0" xr:uid="{A152527B-23EC-4CFB-B823-0B6B808EA451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S6" authorId="0" shapeId="0" xr:uid="{16E40A9F-5BDA-47E1-BD9D-D0031B4832D6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Z6" authorId="0" shapeId="0" xr:uid="{6BA45447-5A64-49A7-B270-1F4AB0136B9A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AC6" authorId="0" shapeId="0" xr:uid="{072DBF48-DFE9-4B8D-A656-B7F56BE859B9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F22" authorId="0" shapeId="0" xr:uid="{C9DDB41A-9FA2-4D8B-A5F8-C94AAD0F4BF1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I22" authorId="0" shapeId="0" xr:uid="{2A635092-EB00-4D13-A258-6B01B6C0A89E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P22" authorId="0" shapeId="0" xr:uid="{25BFA9DB-B2AE-4D9B-B352-76C5544F9D2B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S22" authorId="0" shapeId="0" xr:uid="{42EBD279-2245-45FD-A089-2856640B7298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Z22" authorId="0" shapeId="0" xr:uid="{617DDC9D-900C-43CE-A402-E0481E53E2CA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  <comment ref="AC22" authorId="0" shapeId="0" xr:uid="{4837AAFD-395F-40EC-B8C9-5C0AB0230803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記録
</t>
        </r>
        <r>
          <rPr>
            <sz val="9"/>
            <color indexed="81"/>
            <rFont val="MS P ゴシック"/>
            <family val="3"/>
            <charset val="128"/>
          </rPr>
          <t>参考とする記録を半角数字のみで入力してください。記録を用いない場合、「0」を入力すること。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B4ABAB7A-7A0B-4CE4-81DF-3BDCFFE4BF1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csvに貼り付ける場合、
</t>
        </r>
        <r>
          <rPr>
            <sz val="9"/>
            <color indexed="81"/>
            <rFont val="MS P ゴシック"/>
            <family val="3"/>
            <charset val="128"/>
          </rPr>
          <t>１．B列からAN列まで選択、
２．[ホーム]→[編集]→[検索と選択]→[条件を選択してジャンプ]→[可視セル]→[OK]
３．値として貼り付け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49CF971-B07D-4E00-BBAC-75B1CBE4DF3E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csvに貼り付ける場合、
</t>
        </r>
        <r>
          <rPr>
            <sz val="9"/>
            <color indexed="81"/>
            <rFont val="MS P ゴシック"/>
            <family val="3"/>
            <charset val="128"/>
          </rPr>
          <t>１．B列からAN列まで選択、
２．[ホーム]→[編集]→[検索と選択]→[条件を選択してジャンプ]→[可視セル]→[OK]
３．値として貼り付け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<sst xmlns="http://schemas.openxmlformats.org/spreadsheetml/2006/main" count="18501" uniqueCount="7790">
  <si>
    <t>DB</t>
    <phoneticPr fontId="3"/>
  </si>
  <si>
    <t>N1</t>
    <phoneticPr fontId="3"/>
  </si>
  <si>
    <t>N3</t>
    <phoneticPr fontId="3"/>
  </si>
  <si>
    <t>NT</t>
    <phoneticPr fontId="3"/>
  </si>
  <si>
    <t>SX</t>
    <phoneticPr fontId="3"/>
  </si>
  <si>
    <t>KC</t>
    <phoneticPr fontId="3"/>
  </si>
  <si>
    <t>MC</t>
    <phoneticPr fontId="3"/>
  </si>
  <si>
    <t>TL</t>
    <phoneticPr fontId="3"/>
  </si>
  <si>
    <t>WT</t>
    <phoneticPr fontId="3"/>
  </si>
  <si>
    <t>ZK</t>
    <phoneticPr fontId="3"/>
  </si>
  <si>
    <t>S1</t>
    <phoneticPr fontId="3"/>
  </si>
  <si>
    <t>S2</t>
    <phoneticPr fontId="3"/>
  </si>
  <si>
    <t>S3</t>
    <phoneticPr fontId="3"/>
  </si>
  <si>
    <t>S4</t>
    <phoneticPr fontId="3"/>
  </si>
  <si>
    <t>K1</t>
    <phoneticPr fontId="3"/>
  </si>
  <si>
    <t>K2</t>
    <phoneticPr fontId="3"/>
  </si>
  <si>
    <t>K3</t>
    <phoneticPr fontId="3"/>
  </si>
  <si>
    <t>K4</t>
    <phoneticPr fontId="3"/>
  </si>
  <si>
    <t>1．入力手順</t>
    <rPh sb="2" eb="4">
      <t>ニュウリョク</t>
    </rPh>
    <rPh sb="4" eb="6">
      <t>テジュン</t>
    </rPh>
    <phoneticPr fontId="3"/>
  </si>
  <si>
    <t>2．エントリーファイル</t>
    <phoneticPr fontId="3"/>
  </si>
  <si>
    <t>3．送付先について</t>
    <rPh sb="2" eb="5">
      <t>ソウフサキ</t>
    </rPh>
    <phoneticPr fontId="3"/>
  </si>
  <si>
    <t>4.期限</t>
    <rPh sb="2" eb="4">
      <t>キゲン</t>
    </rPh>
    <phoneticPr fontId="3"/>
  </si>
  <si>
    <t>団体コード</t>
    <rPh sb="0" eb="2">
      <t>ダンタイ</t>
    </rPh>
    <phoneticPr fontId="3"/>
  </si>
  <si>
    <t>大学略称</t>
    <rPh sb="0" eb="2">
      <t>ダイガク</t>
    </rPh>
    <rPh sb="2" eb="4">
      <t>リャクショウ</t>
    </rPh>
    <phoneticPr fontId="3"/>
  </si>
  <si>
    <t>部長名カナ</t>
    <rPh sb="0" eb="2">
      <t>ブチョウ</t>
    </rPh>
    <rPh sb="2" eb="3">
      <t>メイ</t>
    </rPh>
    <phoneticPr fontId="3"/>
  </si>
  <si>
    <t>部長名</t>
    <rPh sb="0" eb="2">
      <t>ブチョウ</t>
    </rPh>
    <rPh sb="2" eb="3">
      <t>メイ</t>
    </rPh>
    <phoneticPr fontId="3"/>
  </si>
  <si>
    <t>緊急連絡先</t>
    <rPh sb="0" eb="2">
      <t>キンキュウ</t>
    </rPh>
    <rPh sb="2" eb="5">
      <t>レンラクサキ</t>
    </rPh>
    <phoneticPr fontId="3"/>
  </si>
  <si>
    <t>監督名カナ</t>
    <rPh sb="0" eb="2">
      <t>カントク</t>
    </rPh>
    <rPh sb="2" eb="3">
      <t>メイ</t>
    </rPh>
    <phoneticPr fontId="3"/>
  </si>
  <si>
    <t>監督名</t>
    <rPh sb="0" eb="2">
      <t>カントク</t>
    </rPh>
    <rPh sb="2" eb="3">
      <t>メイ</t>
    </rPh>
    <phoneticPr fontId="3"/>
  </si>
  <si>
    <t>申込責任者氏名(カナ)</t>
    <rPh sb="0" eb="2">
      <t>モウシコミ</t>
    </rPh>
    <rPh sb="2" eb="5">
      <t>セキニンシャ</t>
    </rPh>
    <rPh sb="5" eb="7">
      <t>シメイ</t>
    </rPh>
    <phoneticPr fontId="3"/>
  </si>
  <si>
    <t>申込責任者氏名</t>
    <rPh sb="0" eb="2">
      <t>モウシコミ</t>
    </rPh>
    <rPh sb="2" eb="5">
      <t>セキニンシャ</t>
    </rPh>
    <rPh sb="5" eb="7">
      <t>シメイ</t>
    </rPh>
    <phoneticPr fontId="3"/>
  </si>
  <si>
    <t>電話番号</t>
    <rPh sb="0" eb="2">
      <t>デンワ</t>
    </rPh>
    <rPh sb="2" eb="4">
      <t>バンゴウ</t>
    </rPh>
    <phoneticPr fontId="3"/>
  </si>
  <si>
    <t>住所</t>
    <rPh sb="0" eb="2">
      <t>ジュウショ</t>
    </rPh>
    <phoneticPr fontId="3"/>
  </si>
  <si>
    <t>(1) 必要事項を入力する</t>
    <rPh sb="4" eb="6">
      <t>ヒツヨウ</t>
    </rPh>
    <rPh sb="6" eb="8">
      <t>ジコウ</t>
    </rPh>
    <rPh sb="9" eb="11">
      <t>ニュウリョク</t>
    </rPh>
    <phoneticPr fontId="3"/>
  </si>
  <si>
    <t>内訳</t>
    <rPh sb="0" eb="2">
      <t>ウチワケ</t>
    </rPh>
    <phoneticPr fontId="3"/>
  </si>
  <si>
    <t>男子個人</t>
    <rPh sb="0" eb="2">
      <t>ダンシ</t>
    </rPh>
    <rPh sb="2" eb="4">
      <t>コジン</t>
    </rPh>
    <phoneticPr fontId="3"/>
  </si>
  <si>
    <t>男子リレー</t>
    <rPh sb="0" eb="2">
      <t>ダンシ</t>
    </rPh>
    <phoneticPr fontId="3"/>
  </si>
  <si>
    <t>男子混成</t>
    <rPh sb="0" eb="2">
      <t>ダンシ</t>
    </rPh>
    <rPh sb="2" eb="4">
      <t>コンセイ</t>
    </rPh>
    <phoneticPr fontId="3"/>
  </si>
  <si>
    <t>エントリー</t>
    <phoneticPr fontId="3"/>
  </si>
  <si>
    <t>(1) 基本情報</t>
    <rPh sb="4" eb="6">
      <t>キホン</t>
    </rPh>
    <rPh sb="6" eb="8">
      <t>ジョウホウ</t>
    </rPh>
    <phoneticPr fontId="3"/>
  </si>
  <si>
    <t>(2) 男子エントリー</t>
    <rPh sb="4" eb="6">
      <t>ダンシ</t>
    </rPh>
    <phoneticPr fontId="3"/>
  </si>
  <si>
    <t>(3) 女子エントリー</t>
    <rPh sb="4" eb="6">
      <t>ジョシ</t>
    </rPh>
    <phoneticPr fontId="3"/>
  </si>
  <si>
    <t>(4) リレーエントリー</t>
    <phoneticPr fontId="3"/>
  </si>
  <si>
    <t>(1) 送付先アドレス</t>
    <rPh sb="2" eb="5">
      <t>ソウフサキ</t>
    </rPh>
    <phoneticPr fontId="3"/>
  </si>
  <si>
    <t>(2) 件名・ファイル名はいずれも</t>
    <phoneticPr fontId="3"/>
  </si>
  <si>
    <t>女子個人</t>
    <rPh sb="0" eb="1">
      <t>ジョシ</t>
    </rPh>
    <rPh sb="1" eb="3">
      <t>コジン</t>
    </rPh>
    <phoneticPr fontId="3"/>
  </si>
  <si>
    <t>女子リレー</t>
    <rPh sb="0" eb="1">
      <t>ジョシ</t>
    </rPh>
    <phoneticPr fontId="3"/>
  </si>
  <si>
    <t>女子混成</t>
    <rPh sb="0" eb="1">
      <t>ジョシ</t>
    </rPh>
    <rPh sb="1" eb="3">
      <t>コンセイ</t>
    </rPh>
    <phoneticPr fontId="3"/>
  </si>
  <si>
    <t>広告補償料</t>
    <rPh sb="0" eb="1">
      <t>コウコク</t>
    </rPh>
    <rPh sb="1" eb="3">
      <t>ホショウ</t>
    </rPh>
    <rPh sb="3" eb="4">
      <t>リョウ</t>
    </rPh>
    <phoneticPr fontId="3"/>
  </si>
  <si>
    <t>個人計</t>
    <rPh sb="0" eb="2">
      <t>コジン</t>
    </rPh>
    <rPh sb="2" eb="3">
      <t>ケイ</t>
    </rPh>
    <phoneticPr fontId="3"/>
  </si>
  <si>
    <t>リレー計</t>
    <rPh sb="3" eb="4">
      <t>ケイ</t>
    </rPh>
    <phoneticPr fontId="3"/>
  </si>
  <si>
    <t>混成計</t>
    <rPh sb="0" eb="2">
      <t>コンセイ</t>
    </rPh>
    <rPh sb="2" eb="3">
      <t>ケイ</t>
    </rPh>
    <phoneticPr fontId="3"/>
  </si>
  <si>
    <t>総計</t>
    <rPh sb="0" eb="2">
      <t>ソウケイ</t>
    </rPh>
    <phoneticPr fontId="3"/>
  </si>
  <si>
    <t>冠</t>
    <rPh sb="0" eb="1">
      <t>カンムリ</t>
    </rPh>
    <phoneticPr fontId="1"/>
  </si>
  <si>
    <t>年/第</t>
    <rPh sb="0" eb="1">
      <t>ネン</t>
    </rPh>
    <rPh sb="2" eb="3">
      <t>ダイ</t>
    </rPh>
    <phoneticPr fontId="1"/>
  </si>
  <si>
    <t>回数</t>
    <rPh sb="0" eb="2">
      <t>カイスウ</t>
    </rPh>
    <phoneticPr fontId="1"/>
  </si>
  <si>
    <t>競技会名称前半</t>
    <rPh sb="0" eb="3">
      <t>キョウギカイ</t>
    </rPh>
    <rPh sb="3" eb="5">
      <t>メイショウ</t>
    </rPh>
    <rPh sb="5" eb="7">
      <t>ゼンハン</t>
    </rPh>
    <phoneticPr fontId="1"/>
  </si>
  <si>
    <t>競技</t>
    <rPh sb="0" eb="2">
      <t>キョウギ</t>
    </rPh>
    <phoneticPr fontId="1"/>
  </si>
  <si>
    <t>競技会名後半</t>
    <rPh sb="0" eb="3">
      <t>キョウギカイ</t>
    </rPh>
    <rPh sb="3" eb="4">
      <t>メイ</t>
    </rPh>
    <rPh sb="4" eb="6">
      <t>コウハン</t>
    </rPh>
    <phoneticPr fontId="1"/>
  </si>
  <si>
    <t>競技会名称設定リスト</t>
    <rPh sb="0" eb="3">
      <t>キョウギカイ</t>
    </rPh>
    <rPh sb="3" eb="5">
      <t>メイショウ</t>
    </rPh>
    <rPh sb="5" eb="7">
      <t>セッテイ</t>
    </rPh>
    <phoneticPr fontId="1"/>
  </si>
  <si>
    <t>年/回数</t>
    <rPh sb="0" eb="1">
      <t>ネン</t>
    </rPh>
    <rPh sb="2" eb="4">
      <t>カイスウ</t>
    </rPh>
    <phoneticPr fontId="1"/>
  </si>
  <si>
    <t>天皇賜杯</t>
    <rPh sb="0" eb="2">
      <t>テンノウ</t>
    </rPh>
    <rPh sb="2" eb="4">
      <t>シハイ</t>
    </rPh>
    <phoneticPr fontId="1"/>
  </si>
  <si>
    <t>第</t>
    <rPh sb="0" eb="1">
      <t>ダイ</t>
    </rPh>
    <phoneticPr fontId="1"/>
  </si>
  <si>
    <t>年</t>
    <rPh sb="0" eb="1">
      <t>ネン</t>
    </rPh>
    <phoneticPr fontId="1"/>
  </si>
  <si>
    <t>陸上競技</t>
    <rPh sb="0" eb="2">
      <t>リクジョウ</t>
    </rPh>
    <rPh sb="2" eb="4">
      <t>キョウギ</t>
    </rPh>
    <phoneticPr fontId="1"/>
  </si>
  <si>
    <t>対校選手権大会</t>
    <rPh sb="0" eb="7">
      <t>タイコウセンシュケンタイカイ</t>
    </rPh>
    <phoneticPr fontId="1"/>
  </si>
  <si>
    <t>天皇賜盃</t>
    <rPh sb="0" eb="2">
      <t>テンノウ</t>
    </rPh>
    <rPh sb="2" eb="3">
      <t>タマワ</t>
    </rPh>
    <rPh sb="3" eb="4">
      <t>サカズキ</t>
    </rPh>
    <phoneticPr fontId="1"/>
  </si>
  <si>
    <t>1回</t>
    <rPh sb="1" eb="2">
      <t>カイ</t>
    </rPh>
    <phoneticPr fontId="1"/>
  </si>
  <si>
    <t>選手権大会</t>
    <rPh sb="0" eb="5">
      <t>センシュケンタイカイ</t>
    </rPh>
    <phoneticPr fontId="1"/>
  </si>
  <si>
    <t>秩父宮賜杯</t>
    <rPh sb="0" eb="3">
      <t>チチブノミヤ</t>
    </rPh>
    <rPh sb="3" eb="5">
      <t>シハイ</t>
    </rPh>
    <phoneticPr fontId="1"/>
  </si>
  <si>
    <t>2回</t>
    <rPh sb="1" eb="2">
      <t>カイ</t>
    </rPh>
    <phoneticPr fontId="1"/>
  </si>
  <si>
    <t>選手権</t>
    <rPh sb="0" eb="3">
      <t>センシュケン</t>
    </rPh>
    <phoneticPr fontId="1"/>
  </si>
  <si>
    <t>秩父宮賜盃</t>
    <rPh sb="0" eb="3">
      <t>チチブノミヤ</t>
    </rPh>
    <rPh sb="3" eb="4">
      <t>タマワ</t>
    </rPh>
    <rPh sb="4" eb="5">
      <t>サカズキ</t>
    </rPh>
    <phoneticPr fontId="1"/>
  </si>
  <si>
    <t>3回</t>
    <rPh sb="1" eb="2">
      <t>カイ</t>
    </rPh>
    <phoneticPr fontId="1"/>
  </si>
  <si>
    <t>大会</t>
    <rPh sb="0" eb="2">
      <t>タイカイ</t>
    </rPh>
    <phoneticPr fontId="1"/>
  </si>
  <si>
    <t>4回</t>
    <rPh sb="1" eb="2">
      <t>カイ</t>
    </rPh>
    <phoneticPr fontId="1"/>
  </si>
  <si>
    <t>競技会</t>
    <rPh sb="0" eb="3">
      <t>キョウギカイ</t>
    </rPh>
    <phoneticPr fontId="1"/>
  </si>
  <si>
    <t>5回</t>
    <rPh sb="1" eb="2">
      <t>カイ</t>
    </rPh>
    <phoneticPr fontId="1"/>
  </si>
  <si>
    <t>記録会</t>
    <rPh sb="0" eb="2">
      <t>キロク</t>
    </rPh>
    <rPh sb="2" eb="3">
      <t>カイ</t>
    </rPh>
    <phoneticPr fontId="1"/>
  </si>
  <si>
    <t>6回</t>
    <rPh sb="1" eb="2">
      <t>カイ</t>
    </rPh>
    <phoneticPr fontId="1"/>
  </si>
  <si>
    <t>7回</t>
    <rPh sb="1" eb="2">
      <t>カイ</t>
    </rPh>
    <phoneticPr fontId="1"/>
  </si>
  <si>
    <t>8回</t>
    <rPh sb="1" eb="2">
      <t>カイ</t>
    </rPh>
    <phoneticPr fontId="1"/>
  </si>
  <si>
    <t>9回</t>
    <rPh sb="1" eb="2">
      <t>カイ</t>
    </rPh>
    <phoneticPr fontId="1"/>
  </si>
  <si>
    <t>10回</t>
    <rPh sb="2" eb="3">
      <t>カイ</t>
    </rPh>
    <phoneticPr fontId="1"/>
  </si>
  <si>
    <t>11回</t>
    <rPh sb="2" eb="3">
      <t>カイ</t>
    </rPh>
    <phoneticPr fontId="1"/>
  </si>
  <si>
    <t>12回</t>
    <rPh sb="2" eb="3">
      <t>カイ</t>
    </rPh>
    <phoneticPr fontId="1"/>
  </si>
  <si>
    <t>13回</t>
    <rPh sb="2" eb="3">
      <t>カイ</t>
    </rPh>
    <phoneticPr fontId="1"/>
  </si>
  <si>
    <t>14回</t>
    <rPh sb="2" eb="3">
      <t>カイ</t>
    </rPh>
    <phoneticPr fontId="1"/>
  </si>
  <si>
    <t>15回</t>
    <rPh sb="2" eb="3">
      <t>カイ</t>
    </rPh>
    <phoneticPr fontId="1"/>
  </si>
  <si>
    <t>16回</t>
    <rPh sb="2" eb="3">
      <t>カイ</t>
    </rPh>
    <phoneticPr fontId="1"/>
  </si>
  <si>
    <t>17回</t>
    <rPh sb="2" eb="3">
      <t>カイ</t>
    </rPh>
    <phoneticPr fontId="1"/>
  </si>
  <si>
    <t>18回</t>
    <rPh sb="2" eb="3">
      <t>カイ</t>
    </rPh>
    <phoneticPr fontId="1"/>
  </si>
  <si>
    <t>19回</t>
    <rPh sb="2" eb="3">
      <t>カイ</t>
    </rPh>
    <phoneticPr fontId="1"/>
  </si>
  <si>
    <t>20回</t>
    <rPh sb="2" eb="3">
      <t>カイ</t>
    </rPh>
    <phoneticPr fontId="1"/>
  </si>
  <si>
    <t>21回</t>
    <rPh sb="2" eb="3">
      <t>カイ</t>
    </rPh>
    <phoneticPr fontId="1"/>
  </si>
  <si>
    <t>22回</t>
    <rPh sb="2" eb="3">
      <t>カイ</t>
    </rPh>
    <phoneticPr fontId="1"/>
  </si>
  <si>
    <t>23回</t>
    <rPh sb="2" eb="3">
      <t>カイ</t>
    </rPh>
    <phoneticPr fontId="1"/>
  </si>
  <si>
    <t>24回</t>
    <rPh sb="2" eb="3">
      <t>カイ</t>
    </rPh>
    <phoneticPr fontId="1"/>
  </si>
  <si>
    <t>25回</t>
    <rPh sb="2" eb="3">
      <t>カイ</t>
    </rPh>
    <phoneticPr fontId="1"/>
  </si>
  <si>
    <t>26回</t>
    <rPh sb="2" eb="3">
      <t>カイ</t>
    </rPh>
    <phoneticPr fontId="1"/>
  </si>
  <si>
    <t>27回</t>
    <rPh sb="2" eb="3">
      <t>カイ</t>
    </rPh>
    <phoneticPr fontId="1"/>
  </si>
  <si>
    <t>28回</t>
    <rPh sb="2" eb="3">
      <t>カイ</t>
    </rPh>
    <phoneticPr fontId="1"/>
  </si>
  <si>
    <t>29回</t>
    <rPh sb="2" eb="3">
      <t>カイ</t>
    </rPh>
    <phoneticPr fontId="1"/>
  </si>
  <si>
    <t>30回</t>
    <rPh sb="2" eb="3">
      <t>カイ</t>
    </rPh>
    <phoneticPr fontId="1"/>
  </si>
  <si>
    <t>31回</t>
    <rPh sb="2" eb="3">
      <t>カイ</t>
    </rPh>
    <phoneticPr fontId="1"/>
  </si>
  <si>
    <t>32回</t>
    <rPh sb="2" eb="3">
      <t>カイ</t>
    </rPh>
    <phoneticPr fontId="1"/>
  </si>
  <si>
    <t>33回</t>
    <rPh sb="2" eb="3">
      <t>カイ</t>
    </rPh>
    <phoneticPr fontId="1"/>
  </si>
  <si>
    <t>34回</t>
    <rPh sb="2" eb="3">
      <t>カイ</t>
    </rPh>
    <phoneticPr fontId="1"/>
  </si>
  <si>
    <t>35回</t>
    <rPh sb="2" eb="3">
      <t>カイ</t>
    </rPh>
    <phoneticPr fontId="1"/>
  </si>
  <si>
    <t>36回</t>
    <rPh sb="2" eb="3">
      <t>カイ</t>
    </rPh>
    <phoneticPr fontId="1"/>
  </si>
  <si>
    <t>37回</t>
    <rPh sb="2" eb="3">
      <t>カイ</t>
    </rPh>
    <phoneticPr fontId="1"/>
  </si>
  <si>
    <t>38回</t>
    <rPh sb="2" eb="3">
      <t>カイ</t>
    </rPh>
    <phoneticPr fontId="1"/>
  </si>
  <si>
    <t>39回</t>
    <rPh sb="2" eb="3">
      <t>カイ</t>
    </rPh>
    <phoneticPr fontId="1"/>
  </si>
  <si>
    <t>40回</t>
    <rPh sb="2" eb="3">
      <t>カイ</t>
    </rPh>
    <phoneticPr fontId="1"/>
  </si>
  <si>
    <t>41回</t>
    <rPh sb="2" eb="3">
      <t>カイ</t>
    </rPh>
    <phoneticPr fontId="1"/>
  </si>
  <si>
    <t>42回</t>
    <rPh sb="2" eb="3">
      <t>カイ</t>
    </rPh>
    <phoneticPr fontId="1"/>
  </si>
  <si>
    <t>43回</t>
    <rPh sb="2" eb="3">
      <t>カイ</t>
    </rPh>
    <phoneticPr fontId="1"/>
  </si>
  <si>
    <t>44回</t>
    <rPh sb="2" eb="3">
      <t>カイ</t>
    </rPh>
    <phoneticPr fontId="1"/>
  </si>
  <si>
    <t>45回</t>
    <rPh sb="2" eb="3">
      <t>カイ</t>
    </rPh>
    <phoneticPr fontId="1"/>
  </si>
  <si>
    <t>46回</t>
    <rPh sb="2" eb="3">
      <t>カイ</t>
    </rPh>
    <phoneticPr fontId="1"/>
  </si>
  <si>
    <t>47回</t>
    <rPh sb="2" eb="3">
      <t>カイ</t>
    </rPh>
    <phoneticPr fontId="1"/>
  </si>
  <si>
    <t>48回</t>
    <rPh sb="2" eb="3">
      <t>カイ</t>
    </rPh>
    <phoneticPr fontId="1"/>
  </si>
  <si>
    <t>49回</t>
    <rPh sb="2" eb="3">
      <t>カイ</t>
    </rPh>
    <phoneticPr fontId="1"/>
  </si>
  <si>
    <t>50回</t>
    <rPh sb="2" eb="3">
      <t>カイ</t>
    </rPh>
    <phoneticPr fontId="1"/>
  </si>
  <si>
    <t>51回</t>
    <rPh sb="2" eb="3">
      <t>カイ</t>
    </rPh>
    <phoneticPr fontId="1"/>
  </si>
  <si>
    <t>52回</t>
    <rPh sb="2" eb="3">
      <t>カイ</t>
    </rPh>
    <phoneticPr fontId="1"/>
  </si>
  <si>
    <t>53回</t>
    <rPh sb="2" eb="3">
      <t>カイ</t>
    </rPh>
    <phoneticPr fontId="1"/>
  </si>
  <si>
    <t>54回</t>
    <rPh sb="2" eb="3">
      <t>カイ</t>
    </rPh>
    <phoneticPr fontId="1"/>
  </si>
  <si>
    <t>55回</t>
    <rPh sb="2" eb="3">
      <t>カイ</t>
    </rPh>
    <phoneticPr fontId="1"/>
  </si>
  <si>
    <t>56回</t>
    <rPh sb="2" eb="3">
      <t>カイ</t>
    </rPh>
    <phoneticPr fontId="1"/>
  </si>
  <si>
    <t>57回</t>
    <rPh sb="2" eb="3">
      <t>カイ</t>
    </rPh>
    <phoneticPr fontId="1"/>
  </si>
  <si>
    <t>58回</t>
    <rPh sb="2" eb="3">
      <t>カイ</t>
    </rPh>
    <phoneticPr fontId="1"/>
  </si>
  <si>
    <t>59回</t>
    <rPh sb="2" eb="3">
      <t>カイ</t>
    </rPh>
    <phoneticPr fontId="1"/>
  </si>
  <si>
    <t>60回</t>
    <rPh sb="2" eb="3">
      <t>カイ</t>
    </rPh>
    <phoneticPr fontId="1"/>
  </si>
  <si>
    <t>61回</t>
    <rPh sb="2" eb="3">
      <t>カイ</t>
    </rPh>
    <phoneticPr fontId="1"/>
  </si>
  <si>
    <t>62回</t>
    <rPh sb="2" eb="3">
      <t>カイ</t>
    </rPh>
    <phoneticPr fontId="1"/>
  </si>
  <si>
    <t>63回</t>
    <rPh sb="2" eb="3">
      <t>カイ</t>
    </rPh>
    <phoneticPr fontId="1"/>
  </si>
  <si>
    <t>64回</t>
    <rPh sb="2" eb="3">
      <t>カイ</t>
    </rPh>
    <phoneticPr fontId="1"/>
  </si>
  <si>
    <t>65回</t>
    <rPh sb="2" eb="3">
      <t>カイ</t>
    </rPh>
    <phoneticPr fontId="1"/>
  </si>
  <si>
    <t>66回</t>
    <rPh sb="2" eb="3">
      <t>カイ</t>
    </rPh>
    <phoneticPr fontId="1"/>
  </si>
  <si>
    <t>67回</t>
    <rPh sb="2" eb="3">
      <t>カイ</t>
    </rPh>
    <phoneticPr fontId="1"/>
  </si>
  <si>
    <t>68回</t>
    <rPh sb="2" eb="3">
      <t>カイ</t>
    </rPh>
    <phoneticPr fontId="1"/>
  </si>
  <si>
    <t>69回</t>
    <rPh sb="2" eb="3">
      <t>カイ</t>
    </rPh>
    <phoneticPr fontId="1"/>
  </si>
  <si>
    <t>70回</t>
    <rPh sb="2" eb="3">
      <t>カイ</t>
    </rPh>
    <phoneticPr fontId="1"/>
  </si>
  <si>
    <t>71回</t>
    <rPh sb="2" eb="3">
      <t>カイ</t>
    </rPh>
    <phoneticPr fontId="1"/>
  </si>
  <si>
    <t>72回</t>
    <rPh sb="2" eb="3">
      <t>カイ</t>
    </rPh>
    <phoneticPr fontId="1"/>
  </si>
  <si>
    <t>73回</t>
    <rPh sb="2" eb="3">
      <t>カイ</t>
    </rPh>
    <phoneticPr fontId="1"/>
  </si>
  <si>
    <t>74回</t>
    <rPh sb="2" eb="3">
      <t>カイ</t>
    </rPh>
    <phoneticPr fontId="1"/>
  </si>
  <si>
    <t>75回</t>
    <rPh sb="2" eb="3">
      <t>カイ</t>
    </rPh>
    <phoneticPr fontId="1"/>
  </si>
  <si>
    <t>76回</t>
    <rPh sb="2" eb="3">
      <t>カイ</t>
    </rPh>
    <phoneticPr fontId="1"/>
  </si>
  <si>
    <t>77回</t>
    <rPh sb="2" eb="3">
      <t>カイ</t>
    </rPh>
    <phoneticPr fontId="1"/>
  </si>
  <si>
    <t>78回</t>
    <rPh sb="2" eb="3">
      <t>カイ</t>
    </rPh>
    <phoneticPr fontId="1"/>
  </si>
  <si>
    <t>79回</t>
    <rPh sb="2" eb="3">
      <t>カイ</t>
    </rPh>
    <phoneticPr fontId="1"/>
  </si>
  <si>
    <t>80回</t>
    <rPh sb="2" eb="3">
      <t>カイ</t>
    </rPh>
    <phoneticPr fontId="1"/>
  </si>
  <si>
    <t>81回</t>
    <rPh sb="2" eb="3">
      <t>カイ</t>
    </rPh>
    <phoneticPr fontId="1"/>
  </si>
  <si>
    <t>82回</t>
    <rPh sb="2" eb="3">
      <t>カイ</t>
    </rPh>
    <phoneticPr fontId="1"/>
  </si>
  <si>
    <t>83回</t>
    <rPh sb="2" eb="3">
      <t>カイ</t>
    </rPh>
    <phoneticPr fontId="1"/>
  </si>
  <si>
    <t>84回</t>
    <rPh sb="2" eb="3">
      <t>カイ</t>
    </rPh>
    <phoneticPr fontId="1"/>
  </si>
  <si>
    <t>85回</t>
    <rPh sb="2" eb="3">
      <t>カイ</t>
    </rPh>
    <phoneticPr fontId="1"/>
  </si>
  <si>
    <t>86回</t>
    <rPh sb="2" eb="3">
      <t>カイ</t>
    </rPh>
    <phoneticPr fontId="1"/>
  </si>
  <si>
    <t>87回</t>
    <rPh sb="2" eb="3">
      <t>カイ</t>
    </rPh>
    <phoneticPr fontId="1"/>
  </si>
  <si>
    <t>88回</t>
    <rPh sb="2" eb="3">
      <t>カイ</t>
    </rPh>
    <phoneticPr fontId="1"/>
  </si>
  <si>
    <t>89回</t>
    <rPh sb="2" eb="3">
      <t>カイ</t>
    </rPh>
    <phoneticPr fontId="1"/>
  </si>
  <si>
    <t>90回</t>
    <rPh sb="2" eb="3">
      <t>カイ</t>
    </rPh>
    <phoneticPr fontId="1"/>
  </si>
  <si>
    <t>91回</t>
    <rPh sb="2" eb="3">
      <t>カイ</t>
    </rPh>
    <phoneticPr fontId="1"/>
  </si>
  <si>
    <t>92回</t>
    <rPh sb="2" eb="3">
      <t>カイ</t>
    </rPh>
    <phoneticPr fontId="1"/>
  </si>
  <si>
    <t>93回</t>
    <rPh sb="2" eb="3">
      <t>カイ</t>
    </rPh>
    <phoneticPr fontId="1"/>
  </si>
  <si>
    <t>94回</t>
    <rPh sb="2" eb="3">
      <t>カイ</t>
    </rPh>
    <phoneticPr fontId="1"/>
  </si>
  <si>
    <t>95回</t>
    <rPh sb="2" eb="3">
      <t>カイ</t>
    </rPh>
    <phoneticPr fontId="1"/>
  </si>
  <si>
    <t>96回</t>
    <rPh sb="2" eb="3">
      <t>カイ</t>
    </rPh>
    <phoneticPr fontId="1"/>
  </si>
  <si>
    <t>97回</t>
    <rPh sb="2" eb="3">
      <t>カイ</t>
    </rPh>
    <phoneticPr fontId="1"/>
  </si>
  <si>
    <t>98回</t>
    <rPh sb="2" eb="3">
      <t>カイ</t>
    </rPh>
    <phoneticPr fontId="1"/>
  </si>
  <si>
    <t>99回</t>
    <rPh sb="2" eb="3">
      <t>カイ</t>
    </rPh>
    <phoneticPr fontId="1"/>
  </si>
  <si>
    <t>100回</t>
    <rPh sb="3" eb="4">
      <t>カイ</t>
    </rPh>
    <phoneticPr fontId="1"/>
  </si>
  <si>
    <t>東海学生</t>
    <rPh sb="0" eb="2">
      <t>トウカイ</t>
    </rPh>
    <rPh sb="2" eb="4">
      <t>ガクセイ</t>
    </rPh>
    <phoneticPr fontId="1"/>
  </si>
  <si>
    <t>日本学生</t>
    <rPh sb="0" eb="2">
      <t>ニホン</t>
    </rPh>
    <rPh sb="2" eb="4">
      <t>ガクセイ</t>
    </rPh>
    <phoneticPr fontId="3"/>
  </si>
  <si>
    <t>全日本大学</t>
    <rPh sb="0" eb="3">
      <t>ゼンニホン</t>
    </rPh>
    <rPh sb="3" eb="5">
      <t>ダイガク</t>
    </rPh>
    <phoneticPr fontId="3"/>
  </si>
  <si>
    <t>駅伝</t>
    <rPh sb="0" eb="2">
      <t>エキデン</t>
    </rPh>
    <phoneticPr fontId="3"/>
  </si>
  <si>
    <t>季節</t>
    <rPh sb="0" eb="2">
      <t>キセツ</t>
    </rPh>
    <phoneticPr fontId="3"/>
  </si>
  <si>
    <t>春季</t>
    <rPh sb="0" eb="2">
      <t>シュンキ</t>
    </rPh>
    <phoneticPr fontId="3"/>
  </si>
  <si>
    <t>夏季</t>
    <rPh sb="0" eb="2">
      <t>カキ</t>
    </rPh>
    <phoneticPr fontId="3"/>
  </si>
  <si>
    <t>秋季</t>
    <rPh sb="0" eb="2">
      <t>シュウキ</t>
    </rPh>
    <phoneticPr fontId="3"/>
  </si>
  <si>
    <t>競技会名</t>
    <rPh sb="0" eb="3">
      <t>キョウギカイ</t>
    </rPh>
    <rPh sb="3" eb="4">
      <t>メイ</t>
    </rPh>
    <phoneticPr fontId="3"/>
  </si>
  <si>
    <t>：</t>
    <phoneticPr fontId="3"/>
  </si>
  <si>
    <t>※エントリーに関する問い合わせについても上記アドレスまで</t>
    <phoneticPr fontId="3"/>
  </si>
  <si>
    <t>東海学生陸上競技連盟</t>
  </si>
  <si>
    <t>トレーナー活動誓約書</t>
  </si>
  <si>
    <t>下記大会において、トレーナー活動を行いたいと存じます。</t>
  </si>
  <si>
    <t>つきましては、大会本部が指定する場所において、大会本部の指示に従って活動し、</t>
  </si>
  <si>
    <t>これに反した場合は活動を停止することを誓約いたします。</t>
  </si>
  <si>
    <t>大会名</t>
  </si>
  <si>
    <t>監督名</t>
  </si>
  <si>
    <t>フ　リ　ガ　ナ</t>
  </si>
  <si>
    <t>氏　　　名</t>
  </si>
  <si>
    <t>TEL／FAX</t>
  </si>
  <si>
    <t/>
  </si>
  <si>
    <t>（様式　Ⅳ）</t>
    <phoneticPr fontId="3"/>
  </si>
  <si>
    <t>年</t>
    <rPh sb="0" eb="1">
      <t>ネン</t>
    </rPh>
    <phoneticPr fontId="5"/>
  </si>
  <si>
    <t>月</t>
    <rPh sb="0" eb="1">
      <t>ツキ</t>
    </rPh>
    <phoneticPr fontId="5"/>
  </si>
  <si>
    <t>日</t>
    <rPh sb="0" eb="1">
      <t>ニチ</t>
    </rPh>
    <phoneticPr fontId="5"/>
  </si>
  <si>
    <t>会長</t>
    <rPh sb="0" eb="2">
      <t>カイチョウ</t>
    </rPh>
    <phoneticPr fontId="5"/>
  </si>
  <si>
    <t>殿</t>
    <rPh sb="0" eb="1">
      <t>ドノ</t>
    </rPh>
    <phoneticPr fontId="5"/>
  </si>
  <si>
    <t xml:space="preserve">大学名 </t>
    <rPh sb="0" eb="3">
      <t>ダイガクメイ</t>
    </rPh>
    <phoneticPr fontId="5"/>
  </si>
  <si>
    <t>申込責任者名</t>
    <rPh sb="0" eb="2">
      <t>モウシコミ</t>
    </rPh>
    <rPh sb="2" eb="5">
      <t>セキニンシャ</t>
    </rPh>
    <rPh sb="5" eb="6">
      <t>メイ</t>
    </rPh>
    <phoneticPr fontId="3"/>
  </si>
  <si>
    <t>部長名</t>
    <rPh sb="0" eb="3">
      <t>ブチョウメイ</t>
    </rPh>
    <phoneticPr fontId="3"/>
  </si>
  <si>
    <t>連絡先</t>
    <phoneticPr fontId="3"/>
  </si>
  <si>
    <t>住   所　〒</t>
    <rPh sb="0" eb="1">
      <t>ジュウ</t>
    </rPh>
    <rPh sb="4" eb="5">
      <t>トコロ</t>
    </rPh>
    <phoneticPr fontId="5"/>
  </si>
  <si>
    <t>第二連絡先</t>
    <rPh sb="1" eb="2">
      <t>ニ</t>
    </rPh>
    <phoneticPr fontId="5"/>
  </si>
  <si>
    <t>DB</t>
    <phoneticPr fontId="3"/>
  </si>
  <si>
    <t>氏名</t>
    <rPh sb="0" eb="2">
      <t>シメイ</t>
    </rPh>
    <phoneticPr fontId="3"/>
  </si>
  <si>
    <t>氏名カナ</t>
    <rPh sb="0" eb="2">
      <t>シメイ</t>
    </rPh>
    <phoneticPr fontId="3"/>
  </si>
  <si>
    <t>ｱﾙﾌｧﾍﾞｯﾄ名</t>
    <rPh sb="8" eb="9">
      <t>メイ</t>
    </rPh>
    <phoneticPr fontId="3"/>
  </si>
  <si>
    <t>ｱﾙﾌｧﾍﾞｯﾄ姓</t>
    <rPh sb="8" eb="9">
      <t>セイ</t>
    </rPh>
    <phoneticPr fontId="3"/>
  </si>
  <si>
    <t>生年月日</t>
    <rPh sb="0" eb="2">
      <t>セイネン</t>
    </rPh>
    <rPh sb="2" eb="4">
      <t>ガッピ</t>
    </rPh>
    <phoneticPr fontId="3"/>
  </si>
  <si>
    <t>学年</t>
    <rPh sb="0" eb="2">
      <t>ガクネン</t>
    </rPh>
    <phoneticPr fontId="3"/>
  </si>
  <si>
    <t>国籍3レター</t>
    <rPh sb="0" eb="2">
      <t>コクセキ</t>
    </rPh>
    <phoneticPr fontId="3"/>
  </si>
  <si>
    <t>登録陸協</t>
    <rPh sb="0" eb="2">
      <t>トウロク</t>
    </rPh>
    <rPh sb="2" eb="3">
      <t>リク</t>
    </rPh>
    <rPh sb="3" eb="4">
      <t>キョウ</t>
    </rPh>
    <phoneticPr fontId="3"/>
  </si>
  <si>
    <t>ビブス</t>
    <phoneticPr fontId="3"/>
  </si>
  <si>
    <t>所属</t>
    <rPh sb="0" eb="2">
      <t>ショゾク</t>
    </rPh>
    <phoneticPr fontId="3"/>
  </si>
  <si>
    <t>団体ｺｰﾄﾞ</t>
    <rPh sb="0" eb="2">
      <t>ダンタイ</t>
    </rPh>
    <phoneticPr fontId="3"/>
  </si>
  <si>
    <t>生年</t>
    <rPh sb="0" eb="2">
      <t>セイネン</t>
    </rPh>
    <phoneticPr fontId="3"/>
  </si>
  <si>
    <t>ｱﾙﾌｧﾍﾞｯﾄ氏名</t>
    <rPh sb="8" eb="10">
      <t>シメイ</t>
    </rPh>
    <phoneticPr fontId="3"/>
  </si>
  <si>
    <t>宇野　智希</t>
  </si>
  <si>
    <t>ｳﾉ ﾄﾓｷ</t>
  </si>
  <si>
    <t>伊藤　泰治</t>
  </si>
  <si>
    <t>ｲﾄｳ ﾔｽﾊﾙ</t>
  </si>
  <si>
    <t>小田切　拓真</t>
  </si>
  <si>
    <t>ｵﾀﾞｷﾞﾘ ﾀｸﾏ</t>
  </si>
  <si>
    <t>榎　将太</t>
  </si>
  <si>
    <t>ｴﾉｷ ｼｮｳﾀ</t>
  </si>
  <si>
    <t>蛭子屋　雄一</t>
  </si>
  <si>
    <t>ｴﾋﾞｽﾔ ﾕｳｲﾁ</t>
  </si>
  <si>
    <t>古旗　崇裕</t>
  </si>
  <si>
    <t>ｺﾊﾞﾀ ﾀｶﾋﾛ</t>
  </si>
  <si>
    <t>市橋　直也</t>
  </si>
  <si>
    <t>ｲﾁﾊｼ ﾅｵﾔ</t>
  </si>
  <si>
    <t>伊藤　壮太</t>
  </si>
  <si>
    <t>ｲﾄｳ ｿｳﾀ</t>
  </si>
  <si>
    <t>井上　隼</t>
  </si>
  <si>
    <t>ｲﾉｳｴ ﾊﾔ</t>
  </si>
  <si>
    <t>大畑　伸太郎</t>
  </si>
  <si>
    <t>ｵｵﾊﾀ ｼﾝﾀﾛｳ</t>
  </si>
  <si>
    <t>川端　魁人</t>
  </si>
  <si>
    <t>ｶﾜﾊﾞﾀ ｶｲﾄ</t>
  </si>
  <si>
    <t>久次米　悠雅</t>
  </si>
  <si>
    <t>ｸｼﾞﾒ ﾕｳｶﾞ</t>
  </si>
  <si>
    <t>児玉　粹</t>
  </si>
  <si>
    <t>ｺﾀﾞﾏ ｲｷ</t>
  </si>
  <si>
    <t>西尾　勇佑</t>
  </si>
  <si>
    <t>ﾆｼｵ ﾕｳｽｹ</t>
  </si>
  <si>
    <t>野村　勇輝</t>
  </si>
  <si>
    <t>ﾉﾑﾗ ﾕｳｷ</t>
  </si>
  <si>
    <t>彦坂　陽平</t>
  </si>
  <si>
    <t>ﾋｺｻｶ ﾖｳﾍｲ</t>
  </si>
  <si>
    <t>藤原　将司</t>
  </si>
  <si>
    <t>ﾌｼﾞﾜﾗ ﾏｻｼ</t>
  </si>
  <si>
    <t>水野　駿佑</t>
  </si>
  <si>
    <t>ﾐｽﾞﾉ ｼｭﾝｽｹ</t>
  </si>
  <si>
    <t>三宅　浩生</t>
  </si>
  <si>
    <t>ﾐﾔｹ ﾋﾛｷ</t>
  </si>
  <si>
    <t>西辻　和暉</t>
  </si>
  <si>
    <t>ﾆｼﾂｼﾞ ｶｽﾞｷ</t>
  </si>
  <si>
    <t>川田　敦斗</t>
  </si>
  <si>
    <t>ｶﾜﾀ ｱﾂﾄ</t>
  </si>
  <si>
    <t>川久保　友博</t>
  </si>
  <si>
    <t>ｶﾜｸﾎﾞ ﾄﾓﾋﾛ</t>
  </si>
  <si>
    <t>久住　恵太</t>
  </si>
  <si>
    <t>ｸｽﾐ ｹｲﾀ</t>
  </si>
  <si>
    <t>津曲　章太</t>
  </si>
  <si>
    <t>ﾂﾏｶﾞﾘ ｼｮｳﾀ</t>
  </si>
  <si>
    <t>中島　由来</t>
  </si>
  <si>
    <t>ﾅｶｼﾞﾏ ﾕﾗ</t>
  </si>
  <si>
    <t>成宮　壮</t>
  </si>
  <si>
    <t>ﾅﾙﾐﾔ ﾀｹｼ</t>
  </si>
  <si>
    <t>長谷川　遥貴</t>
  </si>
  <si>
    <t>ﾊｾｶﾞﾜ ﾊﾙｷ</t>
  </si>
  <si>
    <t>福岡　秀太</t>
  </si>
  <si>
    <t>ﾌｸｵｶ ｼｭｳﾀ</t>
  </si>
  <si>
    <t>増子　良平</t>
  </si>
  <si>
    <t>ﾏｽｺ ﾘｮｳﾍｲ</t>
  </si>
  <si>
    <t>吉留　涼太</t>
  </si>
  <si>
    <t>ﾖｼﾄﾒ ﾘｮｳﾀ</t>
  </si>
  <si>
    <t>相澤　潤一郎</t>
  </si>
  <si>
    <t>ｱｲｻﾞﾜ ｼﾞｭﾝｲﾁﾛｳ</t>
  </si>
  <si>
    <t>岩田　朋也</t>
  </si>
  <si>
    <t>ｲﾜﾀ ﾄﾓﾔ</t>
  </si>
  <si>
    <t>髙田　浩道</t>
  </si>
  <si>
    <t>ﾀｶﾀﾞ ﾋﾛﾐﾁ</t>
  </si>
  <si>
    <t>中井　康二</t>
  </si>
  <si>
    <t>ﾅｶｲ ｺｳｼﾞ</t>
  </si>
  <si>
    <t>服部　優允</t>
  </si>
  <si>
    <t>ﾊｯﾄﾘ ﾏｻﾉﾌﾞ</t>
  </si>
  <si>
    <t>目時　崚</t>
  </si>
  <si>
    <t>ﾒﾄｷ ﾘｮｳ</t>
  </si>
  <si>
    <t>福永　凌太</t>
  </si>
  <si>
    <t>ﾌｸﾅｶﾞ ﾘｮｳﾀ</t>
  </si>
  <si>
    <t>泉　主馬</t>
  </si>
  <si>
    <t>ｲｽﾞﾐ ｶｽﾞﾏ</t>
  </si>
  <si>
    <t>井上　晧太</t>
  </si>
  <si>
    <t>ｲﾉｳｴ ｺｳﾀ</t>
  </si>
  <si>
    <t>織田　大輝</t>
  </si>
  <si>
    <t>ｵﾀﾞ ﾋﾛｷ</t>
  </si>
  <si>
    <t>稲葉　光志</t>
  </si>
  <si>
    <t>ｲﾅﾊﾞ ｺｳｼ</t>
  </si>
  <si>
    <t>遠藤　慶人</t>
  </si>
  <si>
    <t>ｴﾝﾄﾞｳ ｹｲﾄ</t>
  </si>
  <si>
    <t>大原　康平</t>
  </si>
  <si>
    <t>ｵｵﾊﾗ ｺｳﾍｲ</t>
  </si>
  <si>
    <t>木下　博貴</t>
  </si>
  <si>
    <t>ｷﾉｼﾀ ﾋﾛｷ</t>
  </si>
  <si>
    <t>小出　郁弥</t>
  </si>
  <si>
    <t>ｺｲﾃﾞ ﾌﾐﾔ</t>
  </si>
  <si>
    <t>佐々木　陸</t>
  </si>
  <si>
    <t>ｻｻｷ ﾘｸ</t>
  </si>
  <si>
    <t>佐藤　智博</t>
  </si>
  <si>
    <t>ｻﾄｳ ﾁﾋﾛ</t>
  </si>
  <si>
    <t>杉野　蒼太</t>
  </si>
  <si>
    <t>ｽｷﾞﾉ ｿｳﾀ</t>
  </si>
  <si>
    <t>杉本　大騎</t>
  </si>
  <si>
    <t>ｽｷﾞﾓﾄ ﾀﾞｲｷ</t>
  </si>
  <si>
    <t>ｽｻﾞｷ ﾏｻﾔ</t>
  </si>
  <si>
    <t>髙橋　舞羽</t>
  </si>
  <si>
    <t>ﾀｶﾊｼ ﾏｲﾔ</t>
  </si>
  <si>
    <t>遠山　亮太</t>
  </si>
  <si>
    <t>ﾄｵﾔﾏ ﾘｮｳﾀ</t>
  </si>
  <si>
    <t>中村　倖</t>
  </si>
  <si>
    <t>ﾅｶﾑﾗ ｺｳ</t>
  </si>
  <si>
    <t>長谷川　傑</t>
  </si>
  <si>
    <t>ﾊｾｶﾞﾜ ﾀｶｼ</t>
  </si>
  <si>
    <t>日野　龍希</t>
  </si>
  <si>
    <t>ﾋﾉ ﾘｭｳｷ</t>
  </si>
  <si>
    <t>堀田　侑冶</t>
  </si>
  <si>
    <t>ﾎｯﾀ ﾕｳﾔ</t>
  </si>
  <si>
    <t>目谷　泰成</t>
  </si>
  <si>
    <t>ﾒﾔ ﾀｲｾｲ</t>
  </si>
  <si>
    <t>川内　秀哉</t>
  </si>
  <si>
    <t>ｶﾜﾁ ｼｭｳﾔ</t>
  </si>
  <si>
    <t>田村　陸</t>
  </si>
  <si>
    <t>ﾀﾑﾗ ﾘｸ</t>
  </si>
  <si>
    <t>横田　佳介</t>
  </si>
  <si>
    <t>ﾖｺﾀ ｹｲｽｹ</t>
  </si>
  <si>
    <t>高木　健太</t>
  </si>
  <si>
    <t>ﾀｶｷ ｹﾝﾀ</t>
  </si>
  <si>
    <t>鷲尾　優太</t>
  </si>
  <si>
    <t>ﾜｼｵ ﾕｳﾀ</t>
  </si>
  <si>
    <t>岡井　大靖</t>
  </si>
  <si>
    <t>ｵｶｲ ﾀｲｾｲ</t>
  </si>
  <si>
    <t>佐原　五月</t>
  </si>
  <si>
    <t>ｻﾊﾗ ｻﾂｷ</t>
  </si>
  <si>
    <t>杉田　光</t>
  </si>
  <si>
    <t>ｽｷﾞﾀ ﾋｶﾙ</t>
  </si>
  <si>
    <t>西本　稜太朗</t>
  </si>
  <si>
    <t>ﾆｼﾓﾄ ﾘｮｳﾀﾛｳ</t>
  </si>
  <si>
    <t>中村　美史</t>
  </si>
  <si>
    <t>ﾅｶﾑﾗ ﾖｼﾌﾐ</t>
  </si>
  <si>
    <t>春名　大地</t>
  </si>
  <si>
    <t>ﾊﾙﾅ ﾀﾞｲﾁ</t>
  </si>
  <si>
    <t>藤井　ﾙｰｶｽ</t>
  </si>
  <si>
    <t>ﾌｼﾞｲ ﾙｰｶｽ</t>
  </si>
  <si>
    <t>宮﨑　達也</t>
  </si>
  <si>
    <t>ﾐﾔｻﾞｷ ﾀﾂﾔ</t>
  </si>
  <si>
    <t>岩崎　将真</t>
  </si>
  <si>
    <t>ｲﾜｻｷ ｼｮｳﾏ</t>
  </si>
  <si>
    <t>波多野　晃大</t>
  </si>
  <si>
    <t>ﾊﾀﾉ ｺｳﾀﾞｲ</t>
  </si>
  <si>
    <t>前川　斉幸</t>
  </si>
  <si>
    <t>ﾏｴｶﾞﾜ ﾏｻﾕｷ</t>
  </si>
  <si>
    <t>名倉　寛人</t>
  </si>
  <si>
    <t>ﾅｸﾞﾗ ﾋﾛﾄ</t>
  </si>
  <si>
    <t>池田　翔紀</t>
  </si>
  <si>
    <t>ｲｹﾀﾞ ｼｮｳｷ</t>
  </si>
  <si>
    <t>伊藤　和磨</t>
  </si>
  <si>
    <t>ｲﾄｳ ｶｽﾞﾏ</t>
  </si>
  <si>
    <t>岩瀬　圭佑</t>
  </si>
  <si>
    <t>ｲﾜｾ ｹｲｽｹ</t>
  </si>
  <si>
    <t>定盛　匡哉</t>
  </si>
  <si>
    <t>ｻﾀﾞﾓﾘ ﾏｻﾔ</t>
  </si>
  <si>
    <t>高橋　隆晟</t>
  </si>
  <si>
    <t>ﾀｶﾊｼ ﾘｭｳｾｲ</t>
  </si>
  <si>
    <t>田中　悠暉</t>
  </si>
  <si>
    <t>ﾀﾅｶ ﾕｳｷ</t>
  </si>
  <si>
    <t>中嶋　謙</t>
  </si>
  <si>
    <t>ﾅｶｼﾞﾏ ﾕｽﾞﾙ</t>
  </si>
  <si>
    <t>畑　雄心</t>
  </si>
  <si>
    <t>ﾊﾀ ﾕｳｼﾝ</t>
  </si>
  <si>
    <t>服部　匡恭</t>
  </si>
  <si>
    <t>ﾊｯﾄﾘ ﾏｻﾖｼ</t>
  </si>
  <si>
    <t>平松　昂龍</t>
  </si>
  <si>
    <t>ﾋﾗﾏﾂ ｺｳﾘｭｳ</t>
  </si>
  <si>
    <t>三田　大喜</t>
  </si>
  <si>
    <t>ﾐﾀ ﾋﾛｷ</t>
  </si>
  <si>
    <t>村上　海吏</t>
  </si>
  <si>
    <t>ﾑﾗｶﾐ ｶｲﾘ</t>
  </si>
  <si>
    <t>奥野　薫</t>
  </si>
  <si>
    <t>ｵｸﾉ ｶｵﾙ</t>
  </si>
  <si>
    <t>鈴木　雄登</t>
  </si>
  <si>
    <t>ｽｽﾞｷ ﾕｳﾄ</t>
  </si>
  <si>
    <t>茶木　康輔</t>
  </si>
  <si>
    <t>ﾁｬｷ ｺｳｽｹ</t>
  </si>
  <si>
    <t>米谷　悠希</t>
  </si>
  <si>
    <t>ﾖﾈﾀﾆ ﾊﾙｷ</t>
  </si>
  <si>
    <t>磯部　太一</t>
  </si>
  <si>
    <t>ｲｿﾍﾞ ﾀｲﾁ</t>
  </si>
  <si>
    <t>澤田　隼</t>
  </si>
  <si>
    <t>ｻﾜﾀﾞ ﾊﾔﾄ</t>
  </si>
  <si>
    <t>服部　有佑</t>
  </si>
  <si>
    <t>ﾊｯﾄﾘ ﾕｳｽｹ</t>
  </si>
  <si>
    <t>青木　皓平</t>
  </si>
  <si>
    <t>ｱｵｷ ｺｳﾍｲ</t>
  </si>
  <si>
    <t>河合　優作</t>
  </si>
  <si>
    <t>ｶﾜｲ ﾕｳｻｸ</t>
  </si>
  <si>
    <t>榊原　圭悟</t>
  </si>
  <si>
    <t>ｻｶｷﾊﾞﾗ ｹｲｺﾞ</t>
  </si>
  <si>
    <t>中島　昌宣</t>
  </si>
  <si>
    <t>ﾅｶｼﾞﾏ ｱｷﾉﾘ</t>
  </si>
  <si>
    <t>増田　智也</t>
  </si>
  <si>
    <t>ﾏｽﾀﾞ ﾄﾓﾔ</t>
  </si>
  <si>
    <t>御園　竜也</t>
  </si>
  <si>
    <t>ﾐｿﾉ ﾀﾂﾔ</t>
  </si>
  <si>
    <t>稻福　颯</t>
  </si>
  <si>
    <t>ｲﾅﾌｸ ﾊﾔﾃ</t>
  </si>
  <si>
    <t>鈴木　健太郎</t>
  </si>
  <si>
    <t>ｽｽﾞｷ ｹﾝﾀﾛｳ</t>
  </si>
  <si>
    <t>光岡　奨平</t>
  </si>
  <si>
    <t>ﾐﾂｵｶ ｼｮｳﾍｲ</t>
  </si>
  <si>
    <t>宮崎　武斗</t>
  </si>
  <si>
    <t>ﾐﾔｻﾞｷ ﾀｹﾄ</t>
  </si>
  <si>
    <t>梅田　朔也</t>
  </si>
  <si>
    <t>ｳﾒﾀﾞ ｻｸﾔ</t>
  </si>
  <si>
    <t>山本　麟太郎</t>
  </si>
  <si>
    <t>ﾔﾏﾓﾄ ﾘﾝﾀﾛｳ</t>
  </si>
  <si>
    <t>安部　公士郎</t>
  </si>
  <si>
    <t>ｱﾍﾞ ｺｳｼﾛｳ</t>
  </si>
  <si>
    <t>宇野　琳太郎</t>
  </si>
  <si>
    <t>ｳﾉ ﾘﾝﾀﾛｳ</t>
  </si>
  <si>
    <t>加治　有登</t>
  </si>
  <si>
    <t>ｶｼﾞ ﾕｳﾄ</t>
  </si>
  <si>
    <t>北島　夏風</t>
  </si>
  <si>
    <t>ｷﾀｼﾞﾏ ｶﾌｳ</t>
  </si>
  <si>
    <t>小出　悠太</t>
  </si>
  <si>
    <t>ｺｲﾃﾞ ﾕｳﾀ</t>
  </si>
  <si>
    <t>小松澤　祥太</t>
  </si>
  <si>
    <t>ｺﾏﾂｻﾞﾜ ｼｮｳﾀ</t>
  </si>
  <si>
    <t>佐竹　真登</t>
  </si>
  <si>
    <t>ｻﾀｹ ﾏｺﾄ</t>
  </si>
  <si>
    <t>佐藤　祥貴</t>
  </si>
  <si>
    <t>ｻﾄｳ ﾖｼｷ</t>
  </si>
  <si>
    <t>永井　翔真</t>
  </si>
  <si>
    <t>ﾅｶﾞｲ ｼｮｳﾏ</t>
  </si>
  <si>
    <t>原　巧</t>
  </si>
  <si>
    <t>ﾊﾗ ﾀｸﾐ</t>
  </si>
  <si>
    <t>髙松　航太</t>
  </si>
  <si>
    <t>ﾀｶﾏﾂ ｺｳﾀ</t>
  </si>
  <si>
    <t>寺崎　崇悦</t>
  </si>
  <si>
    <t>ﾃﾗｻｷ ﾀｶﾖｼ</t>
  </si>
  <si>
    <t>山川　滉心</t>
  </si>
  <si>
    <t>ﾔﾏｶﾜ ｺｳｼﾝ</t>
  </si>
  <si>
    <t>藤澤　健一</t>
  </si>
  <si>
    <t>ﾌｼﾞｻﾜ ｹﾝｲﾁ</t>
  </si>
  <si>
    <t>谷川　友希</t>
  </si>
  <si>
    <t>ﾀﾆｶﾜ ﾄﾓｷ</t>
  </si>
  <si>
    <t>岡村　泰青</t>
  </si>
  <si>
    <t>ｵｶﾑﾗ ﾀｲｾｲ</t>
  </si>
  <si>
    <t>山本　渓秋</t>
  </si>
  <si>
    <t>ﾔﾏﾓﾄ ｹｲｼｭｳ</t>
  </si>
  <si>
    <t>児玉　一</t>
  </si>
  <si>
    <t>ｺﾀﾞﾏ ｶｽﾞ</t>
  </si>
  <si>
    <t>伊藤　勇力</t>
  </si>
  <si>
    <t>ｲﾄｳ ﾕｳﾘ</t>
  </si>
  <si>
    <t>櫻井　尚輝</t>
  </si>
  <si>
    <t>ｻｸﾗｲ ﾅｵｷ</t>
  </si>
  <si>
    <t>梶原　佑太</t>
  </si>
  <si>
    <t>ｶｼﾞﾜﾗ ﾕｳﾀ</t>
  </si>
  <si>
    <t>石田　大智</t>
  </si>
  <si>
    <t>ｲｼﾀﾞ ﾀﾞｲﾁ</t>
  </si>
  <si>
    <t>鈴木　飛鳥</t>
  </si>
  <si>
    <t>ｽｽﾞｷ ｱｽｶ</t>
  </si>
  <si>
    <t>水野　翔太</t>
  </si>
  <si>
    <t>ﾐｽﾞﾉ ｼｮｳﾀ</t>
  </si>
  <si>
    <t>野村　信介</t>
  </si>
  <si>
    <t>ﾉﾑﾗ ｼﾝｽｹ</t>
  </si>
  <si>
    <t>石田　駆</t>
  </si>
  <si>
    <t>ｲｼﾀﾞ ｶｹﾙ</t>
  </si>
  <si>
    <t>堤　昂輝</t>
  </si>
  <si>
    <t>ﾂﾂﾐ ｺｳｷ</t>
  </si>
  <si>
    <t>青山　晃大</t>
  </si>
  <si>
    <t>ｱｵﾔﾏ ｺｳﾀ</t>
  </si>
  <si>
    <t>幸村　龍磨</t>
  </si>
  <si>
    <t>ｺｳﾑﾗ ﾀﾂﾏ</t>
  </si>
  <si>
    <t>新川　将平</t>
  </si>
  <si>
    <t>ﾆｲｶﾞﾜ ｼｮｳﾍｲ</t>
  </si>
  <si>
    <t>瀬口　開</t>
  </si>
  <si>
    <t>ｾｸﾞﾁ ｶｲ</t>
  </si>
  <si>
    <t>大泉　竣太郎</t>
  </si>
  <si>
    <t>ｵｵｲｽﾞﾐ ｼｭﾝﾀﾛｳ</t>
  </si>
  <si>
    <t>奥村　集</t>
  </si>
  <si>
    <t>ｵｸﾑﾗ ｱﾂﾑ</t>
  </si>
  <si>
    <t>髙部　海</t>
  </si>
  <si>
    <t>ﾀｶﾍﾞ ｶｲ</t>
  </si>
  <si>
    <t>ｳﾁﾀﾞ ｺｳﾀﾛｳ</t>
  </si>
  <si>
    <t>山口　誉太郎</t>
  </si>
  <si>
    <t>ﾔﾏｸﾞﾁ ﾖｳﾀﾛｳ</t>
  </si>
  <si>
    <t>井上　結斗</t>
  </si>
  <si>
    <t>ｲﾉｳｴ ﾕｲﾄ</t>
  </si>
  <si>
    <t>梅田　拓巳</t>
  </si>
  <si>
    <t>ｳﾒﾀﾞ ﾀｸﾐ</t>
  </si>
  <si>
    <t>立松　昂也</t>
  </si>
  <si>
    <t>ﾀﾃﾏﾂ ｺｳﾔ</t>
  </si>
  <si>
    <t>舟橋　祐哉</t>
  </si>
  <si>
    <t>ﾌﾅﾊｼ ﾕｳﾔ</t>
  </si>
  <si>
    <t>近藤　雅哉</t>
  </si>
  <si>
    <t>ｺﾝﾄﾞｳ ﾏｻﾔ</t>
  </si>
  <si>
    <t>木村　颯</t>
  </si>
  <si>
    <t>ｷﾑﾗ ﾊﾔﾃ</t>
  </si>
  <si>
    <t>牧野　圭佑</t>
  </si>
  <si>
    <t>ﾏｷﾉ ｹｲｽｹ</t>
  </si>
  <si>
    <t>樋口　智一</t>
  </si>
  <si>
    <t>ﾋｸﾞﾁ ﾄﾓｶｽﾞ</t>
  </si>
  <si>
    <t>野村　隆太郎</t>
  </si>
  <si>
    <t>ﾉﾑﾗ ﾘｭｳﾀﾛｳ</t>
  </si>
  <si>
    <t>中本　雄大</t>
  </si>
  <si>
    <t>ﾅｶﾓﾄ ﾕｳﾀ</t>
  </si>
  <si>
    <t>吉岡　優希</t>
  </si>
  <si>
    <t>ﾖｼｵｶ ﾕｳｷ</t>
  </si>
  <si>
    <t>山本　武</t>
  </si>
  <si>
    <t>ﾔﾏﾓﾄ ﾀｹｼ</t>
  </si>
  <si>
    <t>澤井　奎志</t>
  </si>
  <si>
    <t>ｻﾜｲ ｹｲｼ</t>
  </si>
  <si>
    <t>東　大吉</t>
  </si>
  <si>
    <t>ｱｽﾞﾏ ﾀﾞｲｷﾁ</t>
  </si>
  <si>
    <t>三栖　勇輝</t>
  </si>
  <si>
    <t>ﾐｽ ﾕｳｷ</t>
  </si>
  <si>
    <t>松下　陸</t>
  </si>
  <si>
    <t>ﾏﾂｼﾀ ﾘｸ</t>
  </si>
  <si>
    <t>山田　祥真</t>
  </si>
  <si>
    <t>ﾔﾏﾀﾞ ｼｮｳﾏ</t>
  </si>
  <si>
    <t>山田　祐輔</t>
  </si>
  <si>
    <t>ﾔﾏﾀﾞ ﾕｳｽｹ</t>
  </si>
  <si>
    <t>西山　皓基</t>
  </si>
  <si>
    <t>ﾆｼﾔﾏ ｺｳｷ</t>
  </si>
  <si>
    <t>種田　慎</t>
  </si>
  <si>
    <t>ｵｲﾀﾞ ｼﾝ</t>
  </si>
  <si>
    <t>落合　惇寛</t>
  </si>
  <si>
    <t>ｵﾁｱｲ ｱﾂﾉﾘ</t>
  </si>
  <si>
    <t>小楠　宇輝</t>
  </si>
  <si>
    <t>ｵｸﾞｽ ﾀｶｷ</t>
  </si>
  <si>
    <t>鈴木　寧仁</t>
  </si>
  <si>
    <t>ｽｽﾞｷ ﾔｽﾋﾄ</t>
  </si>
  <si>
    <t>原　敦也</t>
  </si>
  <si>
    <t>ﾊﾗ ｱﾂﾔ</t>
  </si>
  <si>
    <t>北村　祐人</t>
  </si>
  <si>
    <t>ｷﾀﾑﾗ ﾕｳﾄ</t>
  </si>
  <si>
    <t>中山　凌</t>
  </si>
  <si>
    <t>ﾅｶﾔﾏ ﾘｮｳ</t>
  </si>
  <si>
    <t>宮田　優多</t>
  </si>
  <si>
    <t>ﾐﾔﾀ ﾕｳﾀ</t>
  </si>
  <si>
    <t>滝川　修平</t>
  </si>
  <si>
    <t>ﾀｷｶﾜ ｼｭｳﾍｲ</t>
  </si>
  <si>
    <t>原林　諒</t>
  </si>
  <si>
    <t>ﾊﾗﾊﾞﾔｼ ﾘｮｳ</t>
  </si>
  <si>
    <t>葛城　広登</t>
  </si>
  <si>
    <t>ｶﾂﾗｷﾞ ﾋﾛﾄ</t>
  </si>
  <si>
    <t>木村　将成</t>
  </si>
  <si>
    <t>ｷﾑﾗ ﾏｻﾅﾘ</t>
  </si>
  <si>
    <t>小島　悠平</t>
  </si>
  <si>
    <t>ｺｼﾞﾏ ﾕｳﾍｲ</t>
  </si>
  <si>
    <t>前田　和軌</t>
  </si>
  <si>
    <t>ﾏｴﾀﾞ ｶｽﾞｷ</t>
  </si>
  <si>
    <t>小林　貫太</t>
  </si>
  <si>
    <t>ｺﾊﾞﾔｼ ｶﾝﾀ</t>
  </si>
  <si>
    <t>福山　斗偉</t>
  </si>
  <si>
    <t>ﾌｸﾔﾏ ﾄｲ</t>
  </si>
  <si>
    <t>小林　宏輔</t>
  </si>
  <si>
    <t>ｺﾊﾞﾔｼ ｺｳｽｹ</t>
  </si>
  <si>
    <t>中村　正明</t>
  </si>
  <si>
    <t>ﾅｶﾑﾗ ﾏｻｱｷ</t>
  </si>
  <si>
    <t>鈴木　高虎</t>
  </si>
  <si>
    <t>ｽｽﾞｷ ﾀｶﾄﾗ</t>
  </si>
  <si>
    <t>三浦　舜</t>
  </si>
  <si>
    <t>ﾐｳﾗ ｼｭﾝ</t>
  </si>
  <si>
    <t>田口　裕芽</t>
  </si>
  <si>
    <t>ﾀｸﾞﾁ ﾕｳｶﾞ</t>
  </si>
  <si>
    <t>服部　大暉</t>
  </si>
  <si>
    <t>ﾊｯﾄﾘ ﾀﾞｲｷ</t>
  </si>
  <si>
    <t>土屋　慶太</t>
  </si>
  <si>
    <t>ﾂﾁﾔ ｹｲﾀ</t>
  </si>
  <si>
    <t>堀田　翔紀</t>
  </si>
  <si>
    <t>ﾎｯﾀ ｼｮｳｷ</t>
  </si>
  <si>
    <t>渡邉　大誠</t>
  </si>
  <si>
    <t>ﾜﾀﾅﾍﾞ ﾀｲｾｲ</t>
  </si>
  <si>
    <t>竹中　太一</t>
  </si>
  <si>
    <t>ﾀｹﾅｶ ﾀｲﾁ</t>
  </si>
  <si>
    <t>三浦　真和</t>
  </si>
  <si>
    <t>ﾐｳﾗ ﾏｵ</t>
  </si>
  <si>
    <t>榊原　智也</t>
  </si>
  <si>
    <t>ｻｶｷﾊﾞﾗ ﾄﾓﾔ</t>
  </si>
  <si>
    <t>服部　諒</t>
  </si>
  <si>
    <t>ﾊｯﾄﾘ ﾘｮｳ</t>
  </si>
  <si>
    <t>端野　光将</t>
  </si>
  <si>
    <t>ﾊｼﾉ ﾐﾂﾏｻ</t>
  </si>
  <si>
    <t>山本　駿太</t>
  </si>
  <si>
    <t>ﾔﾏﾓﾄ ｼｭﾝﾀ</t>
  </si>
  <si>
    <t>苅谷　真之介</t>
  </si>
  <si>
    <t>ｶﾘﾔ ｼﾝﾉｽｹ</t>
  </si>
  <si>
    <t>加藤　英聖</t>
  </si>
  <si>
    <t>ｶﾄｳ ﾋﾃﾞﾄｼ</t>
  </si>
  <si>
    <t>深谷　涼太</t>
  </si>
  <si>
    <t>ﾌｶﾔ ﾘｮｳﾀ</t>
  </si>
  <si>
    <t>原田　侑弥</t>
  </si>
  <si>
    <t>ﾊﾗﾀ ﾕｳﾔ</t>
  </si>
  <si>
    <t>星野　大輝</t>
  </si>
  <si>
    <t>ﾎｼﾉ ﾀﾞｲｷ</t>
  </si>
  <si>
    <t>鈴木　翔也</t>
  </si>
  <si>
    <t>ｽｽﾞｷ ｼｮｳﾔ</t>
  </si>
  <si>
    <t>成瀬　友瑛</t>
  </si>
  <si>
    <t>ﾅﾙｾ ﾄﾓｱｷ</t>
  </si>
  <si>
    <t>齊藤　千也</t>
  </si>
  <si>
    <t>ｻｲﾄｳ ｶｽﾞﾔ</t>
  </si>
  <si>
    <t>松井　弥郷</t>
  </si>
  <si>
    <t>ﾏﾂｲ ﾔｻﾄ</t>
  </si>
  <si>
    <t>浅井　大輝</t>
  </si>
  <si>
    <t>ｱｻｲ ﾀﾞｲｷ</t>
  </si>
  <si>
    <t>岩本 竜弥</t>
  </si>
  <si>
    <t>ｲﾜﾓﾄ ﾀﾂﾔ</t>
  </si>
  <si>
    <t>岩田　学典</t>
  </si>
  <si>
    <t>ｲﾜﾀ ﾀｶﾉﾘ</t>
  </si>
  <si>
    <t>中谷　太一</t>
  </si>
  <si>
    <t>ﾅｶﾔ ﾀｲﾁ</t>
  </si>
  <si>
    <t>片島　健太郎</t>
  </si>
  <si>
    <t>ｶﾀｼﾏ ｹﾝﾀﾛｳ</t>
  </si>
  <si>
    <t>ﾊﾔｶﾜ ｹｲｽｹ</t>
  </si>
  <si>
    <t>菅沼　秀太郎</t>
  </si>
  <si>
    <t>ｽｶﾞﾇﾏ ｼｭｳﾀﾛｳ</t>
  </si>
  <si>
    <t>三輪　賢治</t>
  </si>
  <si>
    <t>ﾐﾜ ｹﾝｼﾞ</t>
  </si>
  <si>
    <t>植村　和真</t>
  </si>
  <si>
    <t>ｳｴﾑﾗ ｶｽﾞﾏ</t>
  </si>
  <si>
    <t>近藤　優芽</t>
  </si>
  <si>
    <t>ｺﾝﾄﾞｳ ﾕｳｶﾞ</t>
  </si>
  <si>
    <t>久保田　群青</t>
  </si>
  <si>
    <t>ｸﾎﾞﾀ ｸﾞﾝｼﾞｮｳ</t>
  </si>
  <si>
    <t>山本　航生</t>
  </si>
  <si>
    <t>ﾔﾏﾓﾄ ｺｳｷ</t>
  </si>
  <si>
    <t>吉村　仁汰</t>
  </si>
  <si>
    <t>ﾖｼﾑﾗ ｼﾞﾝﾀ</t>
  </si>
  <si>
    <t>間瀬　智哉</t>
  </si>
  <si>
    <t>ﾏｾ ﾄﾓﾔ</t>
  </si>
  <si>
    <t>三浦　颯士</t>
  </si>
  <si>
    <t>ﾐｳﾗ ｿｳｼ</t>
  </si>
  <si>
    <t>石川　陽一</t>
  </si>
  <si>
    <t>ｲｼｶﾜ ﾖｳｲﾁ</t>
  </si>
  <si>
    <t>宮川　勇人</t>
  </si>
  <si>
    <t>ﾐﾔｶﾞﾜ ﾕｳﾄ</t>
  </si>
  <si>
    <t>杉浦　史樹</t>
  </si>
  <si>
    <t>ｽｷﾞｳﾗ ﾌﾐｷ</t>
  </si>
  <si>
    <t>石川　舜大</t>
  </si>
  <si>
    <t>ｲｼｶﾜ ｼｭﾝﾀ</t>
  </si>
  <si>
    <t>石川　大介</t>
  </si>
  <si>
    <t>ｲｼｶﾜ ﾀﾞｲｽｹ</t>
  </si>
  <si>
    <t>沖田　龍誠</t>
  </si>
  <si>
    <t>ｵｷﾀ ﾘｭｳｾｲ</t>
  </si>
  <si>
    <t>柏　智裕</t>
  </si>
  <si>
    <t>ｶｼﾜ ﾁﾋﾛ</t>
  </si>
  <si>
    <t>桂田　瑞貴</t>
  </si>
  <si>
    <t>ｶﾂﾗﾀﾞ ﾐｽﾞｷ</t>
  </si>
  <si>
    <t>兼山　天志</t>
  </si>
  <si>
    <t>ｶﾈﾔﾏ ﾀｶﾕｷ</t>
  </si>
  <si>
    <t>杉山　諒太郎</t>
  </si>
  <si>
    <t>ｽｷﾞﾔﾏ ﾘｮｳﾀﾛｳ</t>
  </si>
  <si>
    <t>田中　亮伍</t>
  </si>
  <si>
    <t>ﾀﾅｶ ﾘｮｳｺﾞ</t>
  </si>
  <si>
    <t>棚橋　陸</t>
  </si>
  <si>
    <t>ﾀﾅﾊｼ ﾘｸ</t>
  </si>
  <si>
    <t>鶴　凌輔</t>
  </si>
  <si>
    <t>ﾂﾙ ﾘｮｳｽｹ</t>
  </si>
  <si>
    <t>野原　幹汰</t>
  </si>
  <si>
    <t>ﾉﾊﾗ ｶﾝﾀ</t>
  </si>
  <si>
    <t>原　レノン</t>
  </si>
  <si>
    <t>ﾊﾗ ﾚﾉﾝ</t>
  </si>
  <si>
    <t>藤澤　陽介</t>
  </si>
  <si>
    <t>ﾌｼﾞｻﾜ ﾖｳｽｹ</t>
  </si>
  <si>
    <t>藤本　結仁</t>
  </si>
  <si>
    <t>ﾌｼﾞﾓﾄ ﾕｳｼﾞﾝ</t>
  </si>
  <si>
    <t>堀田　歩夢</t>
  </si>
  <si>
    <t>ﾎﾘﾀ ｱﾕﾑ</t>
  </si>
  <si>
    <t>前粟蔵　孝太</t>
  </si>
  <si>
    <t>ﾏｴｱﾜｸﾗ ｺｳﾀ</t>
  </si>
  <si>
    <t>松本　稜河</t>
  </si>
  <si>
    <t>ﾏﾂﾓﾄ ﾘｮｳｶﾞ</t>
  </si>
  <si>
    <t>山内　佑太</t>
  </si>
  <si>
    <t>ﾔﾏｳﾁ ﾕｳﾀ</t>
  </si>
  <si>
    <t>山本　兼也</t>
  </si>
  <si>
    <t>ﾔﾏﾓﾄ ｹﾝﾔ</t>
  </si>
  <si>
    <t>浅川　尚輝</t>
  </si>
  <si>
    <t>ｱｻｶﾜ ﾅｵｷ</t>
  </si>
  <si>
    <t>池田　悠人</t>
  </si>
  <si>
    <t>ｲｹﾀﾞ ﾕｳﾄ</t>
  </si>
  <si>
    <t>伊集　盛哉</t>
  </si>
  <si>
    <t>ｲｼﾞｭｳ ｾｲﾔ</t>
  </si>
  <si>
    <t>井町　文也</t>
  </si>
  <si>
    <t>ｲﾏﾁ ﾌﾐﾔ</t>
  </si>
  <si>
    <t>上田　大智</t>
  </si>
  <si>
    <t>ｳｴﾀﾞ ﾀｲﾁ</t>
  </si>
  <si>
    <t>臼井　智哉</t>
  </si>
  <si>
    <t>ｳｽｲ ﾄﾓﾔ</t>
  </si>
  <si>
    <t>臼井　優斗</t>
  </si>
  <si>
    <t>ｳｽｲ ﾕｳﾄ</t>
  </si>
  <si>
    <t>大島　実</t>
  </si>
  <si>
    <t>ｵｵｼﾏ ﾐﾉﾙ</t>
  </si>
  <si>
    <t>岡﨑　大河</t>
  </si>
  <si>
    <t>ｵｶｻﾞｷ ﾀｲｶﾞ</t>
  </si>
  <si>
    <t>河村　晃成</t>
  </si>
  <si>
    <t>ｶﾜﾑﾗ ｺｳｾｲ</t>
  </si>
  <si>
    <t>木許　僚二</t>
  </si>
  <si>
    <t>ｷﾓﾄ ﾘｮｳｼﾞ</t>
  </si>
  <si>
    <t>塩見　祐斗</t>
  </si>
  <si>
    <t>ｼｵﾐ ﾕｳﾄ</t>
  </si>
  <si>
    <t>鈴木　隆太</t>
  </si>
  <si>
    <t>ｽｽﾞｷ ﾘｭｳﾀ</t>
  </si>
  <si>
    <t>鷲見　泰弘</t>
  </si>
  <si>
    <t>ｽﾐ ﾔｽﾋﾛ</t>
  </si>
  <si>
    <t>竹本　竜也</t>
  </si>
  <si>
    <t>ﾀｹﾓﾄ ﾀﾂﾔ</t>
  </si>
  <si>
    <t>橘　海</t>
  </si>
  <si>
    <t>ﾀﾁﾊﾞﾅ ｶｲ</t>
  </si>
  <si>
    <t>中井　翔輝</t>
  </si>
  <si>
    <t>ﾅｶｲ ｼｮｳｷ</t>
  </si>
  <si>
    <t>長尾　龍成</t>
  </si>
  <si>
    <t>ﾅｶﾞｵ ﾘｭｳｾｲ</t>
  </si>
  <si>
    <t>ﾅｶｼﾏ ｼﾝﾔ</t>
  </si>
  <si>
    <t>奈木野　京介</t>
  </si>
  <si>
    <t>ﾅｷﾞﾉ ｷｮｳｽｹ</t>
  </si>
  <si>
    <t>奈波　竜聖</t>
  </si>
  <si>
    <t>ﾅﾊ ﾘｭｳｾｲ</t>
  </si>
  <si>
    <t>納土　翔樹</t>
  </si>
  <si>
    <t>ﾉｳﾄﾞ ｼｮｳｷ</t>
  </si>
  <si>
    <t>三保　崇雅</t>
  </si>
  <si>
    <t>ﾐﾎ ﾀｶﾏｻ</t>
  </si>
  <si>
    <t>宮島　朱里</t>
  </si>
  <si>
    <t>ﾐﾔｼﾞﾏ ｼｭﾘ</t>
  </si>
  <si>
    <t>三輪　洋侑</t>
  </si>
  <si>
    <t>ﾐﾜ ﾋﾛﾕｷ</t>
  </si>
  <si>
    <t>村上　霞茉</t>
  </si>
  <si>
    <t>ﾑﾗｶﾐ ｶｽﾞﾏ</t>
  </si>
  <si>
    <t>吉村　拓也</t>
  </si>
  <si>
    <t>ﾖｼﾑﾗ ﾀｸﾔ</t>
  </si>
  <si>
    <t>江崎　翔</t>
  </si>
  <si>
    <t>ｴｻｷ ｼｮｳ</t>
  </si>
  <si>
    <t>岡田　太陽</t>
  </si>
  <si>
    <t>ｵｶﾀﾞ ﾀｲﾖｳ</t>
  </si>
  <si>
    <t>奥田　晃基</t>
  </si>
  <si>
    <t>ｵｸﾀﾞ ｺｳｷ</t>
  </si>
  <si>
    <t>尾﨑　康佑</t>
  </si>
  <si>
    <t>ｵｻﾞｷ ｺｳｽｹ</t>
  </si>
  <si>
    <t>尾﨑　空嶺</t>
  </si>
  <si>
    <t>ｵｻﾞｷ ﾀｶﾈ</t>
  </si>
  <si>
    <t>加藤　烈</t>
  </si>
  <si>
    <t>ｶﾄｳ ﾚﾂ</t>
  </si>
  <si>
    <t>小寺　悠太</t>
  </si>
  <si>
    <t>ｺﾃﾞﾗ ﾕｳﾀ</t>
  </si>
  <si>
    <t>佐々木　秀斗</t>
  </si>
  <si>
    <t>ｻｻｷ ｼｭｳﾄ</t>
  </si>
  <si>
    <t>佐藤　裕汰</t>
  </si>
  <si>
    <t>ｻﾄｳ ﾕｳﾀ</t>
  </si>
  <si>
    <t>柴垣　友紀</t>
  </si>
  <si>
    <t>ｼﾊﾞｶﾞｷ ﾄﾓｷ</t>
  </si>
  <si>
    <t>鈴木　達也</t>
  </si>
  <si>
    <t>ｽｽﾞｷ ﾀﾂﾔ</t>
  </si>
  <si>
    <t>堂東　敬吾</t>
  </si>
  <si>
    <t>ﾄﾞｳﾄｳ ｹｲｺﾞ</t>
  </si>
  <si>
    <t>中野　峻作</t>
  </si>
  <si>
    <t>ﾅｶﾉ ｼｭﾝｻｸ</t>
  </si>
  <si>
    <t>信藤　来也</t>
  </si>
  <si>
    <t>ﾉﾌﾞﾄｳ ﾗｲﾔ</t>
  </si>
  <si>
    <t>早川　龍斗</t>
  </si>
  <si>
    <t>ﾊﾔｶﾜ ﾘｭｳﾄ</t>
  </si>
  <si>
    <t>藤井　裕士</t>
  </si>
  <si>
    <t>ﾌｼﾞｲ ﾕｳｼﾞ</t>
  </si>
  <si>
    <t>藤澤　慶己</t>
  </si>
  <si>
    <t>ﾌｼﾞｻﾜ ﾖｼｷ</t>
  </si>
  <si>
    <t>松川　哲大</t>
  </si>
  <si>
    <t>ﾏﾂｶﾜ ﾃﾂﾋﾛ</t>
  </si>
  <si>
    <t>向山　朋宏</t>
  </si>
  <si>
    <t>ﾑｺｳﾔﾏ ﾄﾓﾋﾛ</t>
  </si>
  <si>
    <t>山﨑　真吾</t>
  </si>
  <si>
    <t>ﾔﾏｻﾞｷ ｼﾝｺﾞ</t>
  </si>
  <si>
    <t>淺野　駿介</t>
  </si>
  <si>
    <t>ｱｻﾉ ｼｭﾝｽｹ</t>
  </si>
  <si>
    <t>伊藤　聖也</t>
  </si>
  <si>
    <t>ｲﾄｳ ｾｲﾔ</t>
  </si>
  <si>
    <t>中村　聡志</t>
  </si>
  <si>
    <t>ﾅｶﾑﾗ ｻﾄｼ</t>
  </si>
  <si>
    <t>日谷　優希</t>
  </si>
  <si>
    <t>ﾋﾀﾆ ﾕｳｷ</t>
  </si>
  <si>
    <t>増田　惠太</t>
  </si>
  <si>
    <t>ﾏｽﾀﾞ ｹｲﾀ</t>
  </si>
  <si>
    <t>村上　州</t>
  </si>
  <si>
    <t>ﾑﾗｶﾐ ｼｭｳ</t>
  </si>
  <si>
    <t>山城　広大</t>
  </si>
  <si>
    <t>ﾔﾏｼﾛ ｺｳﾀﾞｲ</t>
  </si>
  <si>
    <t>榮野川　晴生</t>
  </si>
  <si>
    <t>ｴﾉｶﾜ ﾊﾙｷ</t>
  </si>
  <si>
    <t>大橋　光太郎</t>
  </si>
  <si>
    <t>ｵｵﾊｼ ｺｳﾀﾛｳ</t>
  </si>
  <si>
    <t>上小川　リウキ</t>
  </si>
  <si>
    <t>ｶﾐｺｶﾞﾜ ﾘｳｷ</t>
  </si>
  <si>
    <t>榊原　陸</t>
  </si>
  <si>
    <t>ｻｶｷﾊﾞﾗ ﾘｸ</t>
  </si>
  <si>
    <t>西部　剛史</t>
  </si>
  <si>
    <t>ﾆｼﾌﾞ ﾀｶｼ</t>
  </si>
  <si>
    <t>西村　崚</t>
  </si>
  <si>
    <t>ﾆｼﾑﾗ ﾘｮｳ</t>
  </si>
  <si>
    <t>渡辺　翔哉</t>
  </si>
  <si>
    <t>ﾜﾀﾅﾍﾞ ｼｮｳﾔ</t>
  </si>
  <si>
    <t>伊藤　輝</t>
  </si>
  <si>
    <t>ｲﾄｳ ﾋｶﾙ</t>
  </si>
  <si>
    <t>加藤　凌平</t>
  </si>
  <si>
    <t>ｶﾄｳ ﾘｮｳﾍｲ</t>
  </si>
  <si>
    <t>木村　海光</t>
  </si>
  <si>
    <t>ｷﾑﾗ ｶｲﾄ</t>
  </si>
  <si>
    <t>高嶋　翔太</t>
  </si>
  <si>
    <t>ﾀｶｼﾏ ｼｮｳﾀ</t>
  </si>
  <si>
    <t>髙矢　晴希</t>
  </si>
  <si>
    <t>ﾀｶﾔ ﾊﾙｷ</t>
  </si>
  <si>
    <t>塚腰　祐大</t>
  </si>
  <si>
    <t>ﾂｶｺﾞｼ ﾕｳﾀﾞｲ</t>
  </si>
  <si>
    <t>中尾　啓哉</t>
  </si>
  <si>
    <t>ﾅｶｵ ｹｲﾔ</t>
  </si>
  <si>
    <t>村松　俊哉</t>
  </si>
  <si>
    <t>ﾑﾗﾏﾂ ｼｭﾝﾔ</t>
  </si>
  <si>
    <t>伊澤　葵</t>
  </si>
  <si>
    <t>ｲｻﾞﾜ ｱｵｲ</t>
  </si>
  <si>
    <t>鵜飼　蓮</t>
  </si>
  <si>
    <t>ｳｶｲ ﾚﾝ</t>
  </si>
  <si>
    <t>大崎　蒼平</t>
  </si>
  <si>
    <t>ｵｵｻｷ ｿｳﾍｲ</t>
  </si>
  <si>
    <t>髙橋　昂太郎</t>
  </si>
  <si>
    <t>ﾀｶﾊｼ ｺｳﾀﾛｳ</t>
  </si>
  <si>
    <t>兵藤　光樹</t>
  </si>
  <si>
    <t>ﾋｮｳﾄﾞｳ ｺｳｷ</t>
  </si>
  <si>
    <t>古市　陸</t>
  </si>
  <si>
    <t>ﾌﾙｲﾁ ﾘｸ</t>
  </si>
  <si>
    <t>橋本　晃希</t>
  </si>
  <si>
    <t>ﾊｼﾓﾄ ｺｳｷ</t>
  </si>
  <si>
    <t>喜多川　紘輔</t>
  </si>
  <si>
    <t>ｷﾀｶﾞﾜ ｺｳｽｹ</t>
  </si>
  <si>
    <t>髙橋　直人</t>
  </si>
  <si>
    <t>ﾀｶﾊｼ ﾅｵﾄ</t>
  </si>
  <si>
    <t>長崎　優輝</t>
  </si>
  <si>
    <t>ﾅｶﾞｻｷ ﾕｳｷ</t>
  </si>
  <si>
    <t>野々垣　慶真</t>
  </si>
  <si>
    <t>ﾉﾉｶﾞｷ ｹｲｼﾝ</t>
  </si>
  <si>
    <t>吉田　泰志</t>
  </si>
  <si>
    <t>ﾖｼﾀﾞ ﾔｽｼ</t>
  </si>
  <si>
    <t>岡田　昂大</t>
  </si>
  <si>
    <t>ｵｶﾀﾞ ｺﾞｳﾀ</t>
  </si>
  <si>
    <t>永井　智大</t>
  </si>
  <si>
    <t>ﾅｶﾞｲ ﾄﾓﾋﾛ</t>
  </si>
  <si>
    <t>安江　大登</t>
  </si>
  <si>
    <t>ﾔｽｴ ﾋﾛﾄ</t>
  </si>
  <si>
    <t>山田　祥平</t>
  </si>
  <si>
    <t>ﾔﾏﾀﾞ ｼｮｳﾍｲ</t>
  </si>
  <si>
    <t>北園　智史</t>
  </si>
  <si>
    <t>ｷﾀｿﾞﾉ ｻﾄｼ</t>
  </si>
  <si>
    <t>川島　大輝</t>
  </si>
  <si>
    <t>ｶﾜｼﾏ ﾀｲｷ</t>
  </si>
  <si>
    <t>高橋　理玖</t>
  </si>
  <si>
    <t>ﾀｶﾊｼ ﾘｸ</t>
  </si>
  <si>
    <t>田川　元貴</t>
  </si>
  <si>
    <t>ﾀｶﾞﾜ ﾊﾙｷ</t>
  </si>
  <si>
    <t>松原　昌吾</t>
  </si>
  <si>
    <t>ﾏﾂﾊﾞﾗ ｼｮｳｺﾞ</t>
  </si>
  <si>
    <t>加藤　謙典</t>
  </si>
  <si>
    <t>ｶﾄｳ ｹﾝｽｹ</t>
  </si>
  <si>
    <t>安達　天哉</t>
  </si>
  <si>
    <t>ｱﾀﾞﾁ ﾀｶﾔ</t>
  </si>
  <si>
    <t>笠井　裕司</t>
  </si>
  <si>
    <t>ｶｻｲ ﾕｳｼﾞ</t>
  </si>
  <si>
    <t>日置　佑輔</t>
  </si>
  <si>
    <t>ﾋｵｷ ﾕｳｽｹ</t>
  </si>
  <si>
    <t>山本　幹也</t>
  </si>
  <si>
    <t>ﾔﾏﾓﾄ ﾐｷﾔ</t>
  </si>
  <si>
    <t>赤羽　勇哉</t>
  </si>
  <si>
    <t>ｱｶﾊﾈ ﾕｳﾔ</t>
  </si>
  <si>
    <t>上田　良樹</t>
  </si>
  <si>
    <t>ｳｴﾀﾞ ﾖｼｷ</t>
  </si>
  <si>
    <t>谷川原　龍之介</t>
  </si>
  <si>
    <t>ﾀﾆｶﾞﾜﾗ ﾘｭｳﾉｽｹ</t>
  </si>
  <si>
    <t>松井　利晃</t>
  </si>
  <si>
    <t>ﾏﾂｲ ﾄｼｱｷ</t>
  </si>
  <si>
    <t>小川　善也</t>
  </si>
  <si>
    <t>ｵｶﾞﾜ ﾖｼﾅﾘ</t>
  </si>
  <si>
    <t>深松　佳範</t>
  </si>
  <si>
    <t>ﾌｶﾏﾂ ﾖｼﾉﾘ</t>
  </si>
  <si>
    <t>和田　雄也</t>
  </si>
  <si>
    <t>ﾜﾀﾞ ﾕｳﾔ</t>
  </si>
  <si>
    <t>石濵　透</t>
  </si>
  <si>
    <t>ｲｼﾊﾏ ﾄｵﾙ</t>
  </si>
  <si>
    <t>棚橋　大輔</t>
  </si>
  <si>
    <t>ﾀﾅﾊｼ ﾀﾞｲｽｹ</t>
  </si>
  <si>
    <t>長村　圭吾</t>
  </si>
  <si>
    <t>ｵｻﾑﾗ ｹｲｺﾞ</t>
  </si>
  <si>
    <t>大村　慎</t>
  </si>
  <si>
    <t>ｵｵﾑﾗ ｼﾝ</t>
  </si>
  <si>
    <t>影山　宥</t>
  </si>
  <si>
    <t>ｶｹﾞﾔﾏ ﾕｳ</t>
  </si>
  <si>
    <t>中村　俊介</t>
  </si>
  <si>
    <t>ﾅｶﾑﾗ ｼｭﾝｽｹ</t>
  </si>
  <si>
    <t>上野　智貴</t>
  </si>
  <si>
    <t>ｳｴﾉ ﾄﾓｷ</t>
  </si>
  <si>
    <t>鈴木　健生</t>
  </si>
  <si>
    <t>ｽｽﾞｷ ｹﾝｼｮｳ</t>
  </si>
  <si>
    <t>渡邉　智也</t>
  </si>
  <si>
    <t>ﾜﾀﾅﾍﾞ ﾄﾓﾔ</t>
  </si>
  <si>
    <t>渡辺　歩夢</t>
  </si>
  <si>
    <t>ﾜﾀﾅﾍﾞ ｱﾕﾑ</t>
  </si>
  <si>
    <t>出原　圭敏</t>
  </si>
  <si>
    <t>ｲｽﾞﾊﾗ ｹﾋﾞﾝ</t>
  </si>
  <si>
    <t>岡崎　洋樹</t>
  </si>
  <si>
    <t>ｵｶｻﾞｷ ﾋﾛｷ</t>
  </si>
  <si>
    <t>岡野　宇真</t>
  </si>
  <si>
    <t>ｵｶﾉ ﾀｶﾏｻ</t>
  </si>
  <si>
    <t>笠原　大暉</t>
  </si>
  <si>
    <t>ｶｻﾊﾗ ﾀﾞｲｷ</t>
  </si>
  <si>
    <t>久冨　匡皓</t>
  </si>
  <si>
    <t>ｸﾄﾞﾐ ﾏｻﾋﾛ</t>
  </si>
  <si>
    <t>宗宮　大起</t>
  </si>
  <si>
    <t>ｿｳﾐﾔ ﾀｲｷ</t>
  </si>
  <si>
    <t>石橋　新</t>
  </si>
  <si>
    <t>ｲｼﾊﾞｼ ｱﾗﾀ</t>
  </si>
  <si>
    <t>宇野　理斗</t>
  </si>
  <si>
    <t>ｳﾉ ﾏｻﾄ</t>
  </si>
  <si>
    <t>立川　直大</t>
  </si>
  <si>
    <t>ﾀﾁｶﾜ ﾅｵ</t>
  </si>
  <si>
    <t>齋藤　健一</t>
  </si>
  <si>
    <t>ｻｲﾄｳ ｹﾝｲﾁ</t>
  </si>
  <si>
    <t>多治見　尚希</t>
  </si>
  <si>
    <t>ﾀｼﾞﾐ ﾅｵｷ</t>
  </si>
  <si>
    <t>森山　颯太</t>
  </si>
  <si>
    <t>ﾓﾘﾔﾏ ｿｳﾀ</t>
  </si>
  <si>
    <t>山西　勇介</t>
  </si>
  <si>
    <t>ﾔﾏﾆｼ ﾕｳｽｹ</t>
  </si>
  <si>
    <t>東森　夏輝</t>
  </si>
  <si>
    <t>ﾋｶﾞｼﾓﾘ ﾅﾂｷ</t>
  </si>
  <si>
    <t>庵前　宥斗</t>
  </si>
  <si>
    <t>ｱﾝﾉﾏｴ ﾕｳﾄ</t>
  </si>
  <si>
    <t>吉矢　悠大</t>
  </si>
  <si>
    <t>ﾖｼﾔ ﾕｳﾀ</t>
  </si>
  <si>
    <t>大山　佑天</t>
  </si>
  <si>
    <t>ｵｵﾔﾏ ﾕﾀｶ</t>
  </si>
  <si>
    <t>豊住　篤哉</t>
  </si>
  <si>
    <t>ﾄﾖｽﾞﾐ ｱﾂﾔ</t>
  </si>
  <si>
    <t>本田　基偉</t>
  </si>
  <si>
    <t>ﾎﾝﾀﾞ ﾓﾄｲ</t>
  </si>
  <si>
    <t>鈴木　健太</t>
  </si>
  <si>
    <t>ｽｽﾞｷ ｹﾝﾀ</t>
  </si>
  <si>
    <t>伊藤　陸</t>
  </si>
  <si>
    <t>ｲﾄｳ ﾘｸ</t>
  </si>
  <si>
    <t>池田　周樹</t>
  </si>
  <si>
    <t>ｲｹﾀﾞ ｼｭｳｷ</t>
  </si>
  <si>
    <t>加藤　謙太</t>
  </si>
  <si>
    <t>ｶﾄｳ ｹﾝﾀ</t>
  </si>
  <si>
    <t>中西　壮登</t>
  </si>
  <si>
    <t>ﾅｶﾆｼ ﾏｻﾄ</t>
  </si>
  <si>
    <t>成瀬　雅哉</t>
  </si>
  <si>
    <t>ﾅﾙｾ ﾏｻﾔ</t>
  </si>
  <si>
    <t>水野　将志</t>
  </si>
  <si>
    <t>ﾐｽﾞﾉ ﾏｻｼ</t>
  </si>
  <si>
    <t>三谷　大河</t>
  </si>
  <si>
    <t>ﾐﾀﾆ ﾀｲｶﾞ</t>
  </si>
  <si>
    <t>三村　憲史</t>
  </si>
  <si>
    <t>ﾐﾑﾗ ｹﾝｼ</t>
  </si>
  <si>
    <t>宮﨑　翔</t>
  </si>
  <si>
    <t>ﾐﾔｻﾞｷ ｶｹﾙ</t>
  </si>
  <si>
    <t>山下　遼真</t>
  </si>
  <si>
    <t>ﾔﾏｼﾀ ﾘｮｳﾏ</t>
  </si>
  <si>
    <t>磯田　拓海</t>
  </si>
  <si>
    <t>ｲｿﾀﾞ ﾀｸﾐ</t>
  </si>
  <si>
    <t>大野　航希</t>
  </si>
  <si>
    <t>ｵｵﾉ ｺｳｷ</t>
  </si>
  <si>
    <t>笠原　真綾</t>
  </si>
  <si>
    <t>ｶｻﾊﾗ ﾏｱﾔ</t>
  </si>
  <si>
    <t>酒井　颯大</t>
  </si>
  <si>
    <t>ｻｶｲ ﾊﾔﾀ</t>
  </si>
  <si>
    <t>元井　光星</t>
  </si>
  <si>
    <t>ﾓﾄｲ ｺｳｾｲ</t>
  </si>
  <si>
    <t>清田　尚弥</t>
  </si>
  <si>
    <t>ｷﾖﾀ ﾅｵﾔ</t>
  </si>
  <si>
    <t>五島　快晴</t>
  </si>
  <si>
    <t>ｺﾞｼﾏ ｶｲｾｲ</t>
  </si>
  <si>
    <t>小見山　泰周</t>
  </si>
  <si>
    <t>ｺﾐﾔﾏ ﾀｲｼｭｳ</t>
  </si>
  <si>
    <t>田中　悠貴</t>
  </si>
  <si>
    <t>谷口　大魁</t>
  </si>
  <si>
    <t>ﾀﾆｸﾞﾁ ﾀｲｶﾞ</t>
  </si>
  <si>
    <t>服部　佑哉</t>
  </si>
  <si>
    <t>ﾊｯﾄﾘ ﾕｳﾔ</t>
  </si>
  <si>
    <t>濱口　祐誠</t>
  </si>
  <si>
    <t>ﾊﾏｸﾞﾁ ﾕｳｾｲ</t>
  </si>
  <si>
    <t>松月　柊来</t>
  </si>
  <si>
    <t>ﾏﾂﾂﾞｷ ｼｭｳｷ</t>
  </si>
  <si>
    <t>米川　幸来</t>
  </si>
  <si>
    <t>ﾖﾈｶﾜ ｺｳｷ</t>
  </si>
  <si>
    <t>金森　拳之介</t>
  </si>
  <si>
    <t>ｶﾅﾓﾘ ｹﾝﾉｽｹ</t>
  </si>
  <si>
    <t>上村　直也</t>
  </si>
  <si>
    <t>ｶﾐﾑﾗ ﾅｵﾔ</t>
  </si>
  <si>
    <t>川瀬　翔矢</t>
  </si>
  <si>
    <t>ｶﾜｾ ｼｮｳﾔ</t>
  </si>
  <si>
    <t>桑山　楓矢</t>
  </si>
  <si>
    <t>ｸﾜﾔﾏ ﾌｳﾔ</t>
  </si>
  <si>
    <t>田邊　隼都</t>
  </si>
  <si>
    <t>ﾀﾅﾍﾞ ﾊﾔﾄ</t>
  </si>
  <si>
    <t>平山　寛人</t>
  </si>
  <si>
    <t>ﾋﾗﾔﾏ ﾋﾛﾄ</t>
  </si>
  <si>
    <t>宮城　響</t>
  </si>
  <si>
    <t>ﾐﾔｷﾞ ﾋﾋﾞｷ</t>
  </si>
  <si>
    <t>加藤　元紀</t>
  </si>
  <si>
    <t>ｶﾄｳ ﾓﾄﾉﾘ</t>
  </si>
  <si>
    <t>ｻｲﾄｳ ｷﾘｭｳ</t>
  </si>
  <si>
    <t>原田　翼</t>
  </si>
  <si>
    <t>ﾊﾗﾀﾞ ﾂﾊﾞｻ</t>
  </si>
  <si>
    <t>松原　隼斗</t>
  </si>
  <si>
    <t>ﾏﾂﾊﾞﾗ ﾊﾔﾄ</t>
  </si>
  <si>
    <t>笹竹　陽希</t>
  </si>
  <si>
    <t>ｻｻﾀｹ ﾊﾙｷ</t>
  </si>
  <si>
    <t>柴田　龍一</t>
  </si>
  <si>
    <t>ｼﾊﾞﾀ ﾘｭｳｲﾁ</t>
  </si>
  <si>
    <t>下村　悠斗</t>
  </si>
  <si>
    <t>ｼﾓﾑﾗ ﾕｳﾄ</t>
  </si>
  <si>
    <t>竹内　啓一郎</t>
  </si>
  <si>
    <t>ﾀｹｳﾁ ｹｲｲﾁﾛｳ</t>
  </si>
  <si>
    <t>土肥　紘大</t>
  </si>
  <si>
    <t>ﾄﾞﾋ ｺｳﾀ</t>
  </si>
  <si>
    <t>花井　秀輔</t>
  </si>
  <si>
    <t>ﾊﾅｲ ｼｭｳｽｹ</t>
  </si>
  <si>
    <t>宮野　蓮弥</t>
  </si>
  <si>
    <t>ﾐﾔﾉ ﾚﾝﾔ</t>
  </si>
  <si>
    <t>宮本　康希</t>
  </si>
  <si>
    <t>ﾐﾔﾓﾄ ｺｳｷ</t>
  </si>
  <si>
    <t>村井　洸陽</t>
  </si>
  <si>
    <t>ﾑﾗｲ ｺｳﾖｳ</t>
  </si>
  <si>
    <t>宮川　凌太</t>
  </si>
  <si>
    <t>ﾐﾔｶﾞﾜ ﾘｮｳﾀ</t>
  </si>
  <si>
    <t>筒井　智哉</t>
  </si>
  <si>
    <t>ﾂﾂｲ ﾄﾓﾔ</t>
  </si>
  <si>
    <t>酒井　克実</t>
  </si>
  <si>
    <t>ｻｶｲ ｶﾂﾐ</t>
  </si>
  <si>
    <t>山中　理史</t>
  </si>
  <si>
    <t>ﾔﾏﾅｶ ﾏｻﾌﾐ</t>
  </si>
  <si>
    <t>鷲見　良</t>
  </si>
  <si>
    <t>ｽﾐ ﾘｮｳ</t>
  </si>
  <si>
    <t>中西　陽</t>
  </si>
  <si>
    <t>ﾅｶﾆｼ ﾋﾅﾀ</t>
  </si>
  <si>
    <t>藏地　唯斗</t>
  </si>
  <si>
    <t>ｸﾗﾁ ﾕｲﾄ</t>
  </si>
  <si>
    <t>山本　駿介</t>
  </si>
  <si>
    <t>ﾔﾏﾓﾄ ｼｭﾝｽｹ</t>
  </si>
  <si>
    <t>加藤　辰樹</t>
  </si>
  <si>
    <t>ｶﾄｳ ﾀﾂｷ</t>
  </si>
  <si>
    <t>本田　岳土</t>
  </si>
  <si>
    <t>ﾎﾝﾀﾞ ｹﾝﾄ</t>
  </si>
  <si>
    <t>竹村　颯真</t>
  </si>
  <si>
    <t>ﾀｹﾑﾗ ｿｳﾏ</t>
  </si>
  <si>
    <t>阪口　大河</t>
  </si>
  <si>
    <t>ｻｶｸﾞﾁ ﾀｲｶﾞ</t>
  </si>
  <si>
    <t>池内　啓悟</t>
  </si>
  <si>
    <t>ｲｹｳﾁ ｹｲｺﾞ</t>
  </si>
  <si>
    <t>吉川　竜平</t>
  </si>
  <si>
    <t>ﾖｼｶﾜ ﾀｯﾍﾟｲ</t>
  </si>
  <si>
    <t>田村　友輔</t>
  </si>
  <si>
    <t>ﾀﾑﾗ ﾕｳｽｹ</t>
  </si>
  <si>
    <t>坂本　環</t>
  </si>
  <si>
    <t>ｻｶﾓﾄ ﾂﾅｸﾞ</t>
  </si>
  <si>
    <t>伊藤　弘大</t>
  </si>
  <si>
    <t>ｲﾄｳ ｺｳﾀ</t>
  </si>
  <si>
    <t>梅田　孝哉</t>
  </si>
  <si>
    <t>ｳﾒﾀﾞ ﾀｶﾔ</t>
  </si>
  <si>
    <t>榎本　智哉</t>
  </si>
  <si>
    <t>ｴﾉﾓﾄ ﾄﾓﾔ</t>
  </si>
  <si>
    <t>大参　祐輝</t>
  </si>
  <si>
    <t>ｵｵﾐ ﾕｳｷ</t>
  </si>
  <si>
    <t>杉本　康拓</t>
  </si>
  <si>
    <t>ｽｷﾞﾓﾄ ﾔｽﾋﾛ</t>
  </si>
  <si>
    <t>鈴木　良太</t>
  </si>
  <si>
    <t>ｽｽﾞｷ ﾘｮｳﾀ</t>
  </si>
  <si>
    <t>中澤　悠哉</t>
  </si>
  <si>
    <t>ﾅｶｻﾞﾜ ﾕｳﾔ</t>
  </si>
  <si>
    <t>舟橋　透志</t>
  </si>
  <si>
    <t>ﾌﾅﾊｼ ﾄｳｼ</t>
  </si>
  <si>
    <t>森澤　航</t>
  </si>
  <si>
    <t>ﾓﾘｻﾞﾜ ｺｳ</t>
  </si>
  <si>
    <t>渡邉　稔元</t>
  </si>
  <si>
    <t>ﾜﾀﾅﾍﾞ ﾄｼﾊﾙ</t>
  </si>
  <si>
    <t>浅井　公康</t>
  </si>
  <si>
    <t>ｱｻｲ ｷﾐﾔｽ</t>
  </si>
  <si>
    <t>井町　侑久</t>
  </si>
  <si>
    <t>ｲﾏﾁ ﾀｽｸ</t>
  </si>
  <si>
    <t>氏田　貴之</t>
  </si>
  <si>
    <t>ｳｼﾞﾀ ﾀｶﾕｷ</t>
  </si>
  <si>
    <t>木下　聖斗</t>
  </si>
  <si>
    <t>ｷﾉｼﾀ ｶｲﾄ</t>
  </si>
  <si>
    <t>津田　大輝</t>
  </si>
  <si>
    <t>ﾂﾀﾞ ﾀﾞｲｷ</t>
  </si>
  <si>
    <t>牧野　倭士</t>
  </si>
  <si>
    <t>ﾏｷﾉ ﾏｻﾋﾄ</t>
  </si>
  <si>
    <t>増田　神斗</t>
  </si>
  <si>
    <t>ﾏｽﾀﾞ ｼﾞﾝﾄ</t>
  </si>
  <si>
    <t>水野　祐亮</t>
  </si>
  <si>
    <t>ﾐｽﾞﾉ ﾕｳｽｹ</t>
  </si>
  <si>
    <t>宮崎　修輔</t>
  </si>
  <si>
    <t>ﾐﾔｻﾞｷ ｼｭｳｽｹ</t>
  </si>
  <si>
    <t>荒木　誉天</t>
  </si>
  <si>
    <t>ｱﾗｷ ｼｹﾞﾀｶ</t>
  </si>
  <si>
    <t>井野　青輝</t>
  </si>
  <si>
    <t>ｲﾉ ﾊﾙｷ</t>
  </si>
  <si>
    <t>江口　元大</t>
  </si>
  <si>
    <t>ｴｸﾞﾁ ﾓﾄﾋﾛ</t>
  </si>
  <si>
    <t>大庫　遼也</t>
  </si>
  <si>
    <t>ｵｵｺﾞ ﾘｮｳﾔ</t>
  </si>
  <si>
    <t>岡本　健太郎</t>
  </si>
  <si>
    <t>ｵｶﾓﾄ ｹﾝﾀﾛｳ</t>
  </si>
  <si>
    <t>奥村　公哉</t>
  </si>
  <si>
    <t>ｵｸﾑﾗ ｷﾐﾔ</t>
  </si>
  <si>
    <t>河合　大志</t>
  </si>
  <si>
    <t>ｶﾜｲ ﾀﾞｲｼ</t>
  </si>
  <si>
    <t>河野　竜也</t>
  </si>
  <si>
    <t>ｺｳﾉ ﾀﾂﾔ</t>
  </si>
  <si>
    <t>深川　蒼太</t>
  </si>
  <si>
    <t>ﾌｶｶﾞﾜ ｿｳﾀ</t>
  </si>
  <si>
    <t>増田　伊吹</t>
  </si>
  <si>
    <t>ﾏｽﾀﾞ ｲﾌﾞｷ</t>
  </si>
  <si>
    <t>山田　真夢</t>
  </si>
  <si>
    <t>ﾔﾏﾀﾞ ﾏﾅﾑ</t>
  </si>
  <si>
    <t>依田　祥吾</t>
  </si>
  <si>
    <t>ﾖﾀﾞ ｼｮｳｺﾞ</t>
  </si>
  <si>
    <t>髙木　一真</t>
  </si>
  <si>
    <t>ﾀｶｷﾞ ｶｽﾞﾏ</t>
  </si>
  <si>
    <t>川端　功輝</t>
  </si>
  <si>
    <t>ｶﾜﾊﾞﾀ ｺｳｷ</t>
  </si>
  <si>
    <t>大長　薫</t>
  </si>
  <si>
    <t>ﾀﾞｲﾁｮｳ ｶｵﾙ</t>
  </si>
  <si>
    <t>塚本　文汰</t>
  </si>
  <si>
    <t>ﾂｶﾓﾄ ﾌﾞﾝﾀ</t>
  </si>
  <si>
    <t>村松　諒哉</t>
  </si>
  <si>
    <t>ﾑﾗﾏﾂ ﾘｮｳﾔ</t>
  </si>
  <si>
    <t>桝田　和哉</t>
  </si>
  <si>
    <t>ﾏｽﾀﾞ ｶｽﾞﾔ</t>
  </si>
  <si>
    <t>中村　文哉</t>
  </si>
  <si>
    <t>ﾅｶﾑﾗ ﾌﾐﾔ</t>
  </si>
  <si>
    <t>築野　凌</t>
  </si>
  <si>
    <t>ﾂｸﾉ ﾘｮｳ</t>
  </si>
  <si>
    <t>小原　遼真</t>
  </si>
  <si>
    <t>ｵﾊﾗ ﾘｮｳﾏ</t>
  </si>
  <si>
    <t>小澤　洋樹</t>
  </si>
  <si>
    <t>ｵｻﾞﾜ ﾋﾛｷ</t>
  </si>
  <si>
    <t>小畑　鋭斗</t>
  </si>
  <si>
    <t>ｵﾊﾞﾀ ｴｲﾄ</t>
  </si>
  <si>
    <t>冨士本　有希</t>
  </si>
  <si>
    <t>ﾌｼﾞﾓﾄ ﾕｳｷ</t>
  </si>
  <si>
    <t>西村　遥生</t>
  </si>
  <si>
    <t>ﾆｼﾑﾗ ﾊﾙｷ</t>
  </si>
  <si>
    <t>松岡　拓真</t>
  </si>
  <si>
    <t>ﾏﾂｵｶ ﾀｸﾏ</t>
  </si>
  <si>
    <t>小川　晃弥</t>
  </si>
  <si>
    <t>ｵｶﾞﾜ ｺｳﾔ</t>
  </si>
  <si>
    <t>小林　義典</t>
  </si>
  <si>
    <t>ｺﾊﾞﾔｼ ﾖｼﾉﾘ</t>
  </si>
  <si>
    <t>馬場　隆夫</t>
  </si>
  <si>
    <t>ﾊﾞﾊﾞ ﾀｶｵ</t>
  </si>
  <si>
    <t>松石　直樹</t>
  </si>
  <si>
    <t>ﾏﾂｲｼ ﾅｵｷ</t>
  </si>
  <si>
    <t>石塚　大輝</t>
  </si>
  <si>
    <t>ｲｼﾂﾞﾞｶ ﾀﾞｲｷ</t>
  </si>
  <si>
    <t>石牧　良哉</t>
  </si>
  <si>
    <t>ｲｼﾏｷ ﾖｼﾔ</t>
  </si>
  <si>
    <t>磯部　亮太</t>
  </si>
  <si>
    <t>ｲｿﾍﾞ ﾘｮｳﾀ</t>
  </si>
  <si>
    <t>鵜飼　涼矢</t>
  </si>
  <si>
    <t>ｳｶｲ ﾘｮｳﾔ</t>
  </si>
  <si>
    <t>小笠原　拓真</t>
  </si>
  <si>
    <t>ｵｶﾞｻﾜﾗ ﾀｸﾏ</t>
  </si>
  <si>
    <t>藏辻　賢</t>
  </si>
  <si>
    <t>ｸﾗﾂｼﾞ ｹﾝ</t>
  </si>
  <si>
    <t>菅田　流伊</t>
  </si>
  <si>
    <t>ｽｹﾞﾀ ﾙｲ</t>
  </si>
  <si>
    <t>山口　凱生</t>
  </si>
  <si>
    <t>ﾔﾏｸﾞﾁ ｶｲｷ</t>
  </si>
  <si>
    <t>梅谷　将成</t>
  </si>
  <si>
    <t>ｳﾒﾀﾆ ﾏｻﾅﾘ</t>
  </si>
  <si>
    <t>岡村　麟太郎</t>
  </si>
  <si>
    <t>ｵｶﾑﾗ ﾘﾝﾀﾛｳ</t>
  </si>
  <si>
    <t>近藤　翼</t>
  </si>
  <si>
    <t>ｺﾝﾄﾞｳ ﾂﾊﾞｻ</t>
  </si>
  <si>
    <t>武野　有良</t>
  </si>
  <si>
    <t>ﾀｹﾉ ﾕｳﾗ</t>
  </si>
  <si>
    <t>寺井　健人</t>
  </si>
  <si>
    <t>ﾃﾗｲ ｹﾝﾄ</t>
  </si>
  <si>
    <t>堀内　智隆</t>
  </si>
  <si>
    <t>ﾎﾘｳﾁ ﾄﾓﾀｶ</t>
  </si>
  <si>
    <t>牧野　寿彦</t>
  </si>
  <si>
    <t>ﾏｷﾉ ﾄｼﾋｺ</t>
  </si>
  <si>
    <t>松田　俊祐</t>
  </si>
  <si>
    <t>ﾏﾂﾀﾞ ｼｭﾝｽｹ</t>
  </si>
  <si>
    <t>山本　孝哉</t>
  </si>
  <si>
    <t>ﾔﾏﾓﾄ ﾀｶﾔ</t>
  </si>
  <si>
    <t>平松　佑規</t>
  </si>
  <si>
    <t>ﾋﾗﾏﾂ ﾕｳｷ</t>
  </si>
  <si>
    <t>新美　秀悟</t>
  </si>
  <si>
    <t>ﾆｲﾐ ｼｭｳｺﾞ</t>
  </si>
  <si>
    <t>今村　壮志</t>
  </si>
  <si>
    <t>ｲﾏﾑﾗ ｿｳｼ</t>
  </si>
  <si>
    <t>山田　華生</t>
  </si>
  <si>
    <t>ﾔﾏﾀﾞ ｶｾｲ</t>
  </si>
  <si>
    <t>田中　樹生</t>
  </si>
  <si>
    <t>ﾀﾅｶ ﾐｷｵ</t>
  </si>
  <si>
    <t>大橋　虎也</t>
  </si>
  <si>
    <t>ｵｵﾊｼ ｺｳﾔ</t>
  </si>
  <si>
    <t>水野　佑亮</t>
  </si>
  <si>
    <t>天川　剛志</t>
  </si>
  <si>
    <t>根本　峻佑</t>
  </si>
  <si>
    <t>ﾈﾓﾄ ｼｭﾝｽｹ</t>
  </si>
  <si>
    <t>若浜　大揮</t>
  </si>
  <si>
    <t>ﾜｶﾊﾏ ﾀﾞｲｷ</t>
  </si>
  <si>
    <t>片山　絢斗</t>
  </si>
  <si>
    <t>ｶﾀﾔﾏ ｹﾝﾄ</t>
  </si>
  <si>
    <t>阪野　功己</t>
  </si>
  <si>
    <t>ﾊﾞﾝﾉ ｺｳｷ</t>
  </si>
  <si>
    <t>徳江　航己</t>
  </si>
  <si>
    <t>ﾄｸｴ ｺｳｷ</t>
  </si>
  <si>
    <t>大地　陽斗</t>
  </si>
  <si>
    <t>ｵｵｼﾞ ｱｷﾄ</t>
  </si>
  <si>
    <t>角谷　俊弥</t>
  </si>
  <si>
    <t>ｶｸﾀﾆ ﾄｼﾔ</t>
  </si>
  <si>
    <t>小里　渓太</t>
  </si>
  <si>
    <t>ｺｻﾄ ｹｲﾀ</t>
  </si>
  <si>
    <t>日置　竜也</t>
  </si>
  <si>
    <t>ﾋｵｷ ﾘｭｳﾔ</t>
  </si>
  <si>
    <t>渡邉　凌太</t>
  </si>
  <si>
    <t>ﾜﾀﾅﾍﾞ ﾘｮｳﾀ</t>
  </si>
  <si>
    <t>榊原　章人</t>
  </si>
  <si>
    <t>ｻｶｷﾊﾞﾗ ｱｷﾋﾄ</t>
  </si>
  <si>
    <t>ﾀｶﾂｼﾞ ﾏｻﾔ</t>
  </si>
  <si>
    <t>高橋　峻也</t>
  </si>
  <si>
    <t>ﾀｶﾊｼ ｼｭﾝﾔ</t>
  </si>
  <si>
    <t>阿部　洋之</t>
  </si>
  <si>
    <t>ｱﾍﾞ ﾋﾛﾕｷ</t>
  </si>
  <si>
    <t>井口　颯太朗</t>
  </si>
  <si>
    <t>ｲｸﾞﾁ ｿｳﾀﾛｳ</t>
  </si>
  <si>
    <t>ｶﾄｳ ｺｳﾀ</t>
  </si>
  <si>
    <t>坂田　翔悟</t>
  </si>
  <si>
    <t>ｻｶﾀ ｼｮｳｺﾞ</t>
  </si>
  <si>
    <t>橘　享</t>
  </si>
  <si>
    <t>ﾀﾁﾊﾞﾅ ﾄｵﾙ</t>
  </si>
  <si>
    <t>田中　嶺</t>
  </si>
  <si>
    <t>ﾀﾅｶ ﾚｲ</t>
  </si>
  <si>
    <t>横山　竜也</t>
  </si>
  <si>
    <t>ﾖｺﾔﾏ ﾘｭｳﾔ</t>
  </si>
  <si>
    <t>末元 昴成</t>
  </si>
  <si>
    <t>ｽｴﾓﾄ ｺｳｾｲ</t>
  </si>
  <si>
    <t>長崎 稜</t>
  </si>
  <si>
    <t>ﾅｶﾞｻｷ ﾘｮｳ</t>
  </si>
  <si>
    <t>清家 一真</t>
  </si>
  <si>
    <t>石垣 喜人</t>
  </si>
  <si>
    <t>西森　元紀</t>
  </si>
  <si>
    <t>松岡　翼</t>
  </si>
  <si>
    <t>前田　悠汰</t>
  </si>
  <si>
    <t>鎌田　優</t>
  </si>
  <si>
    <t>ｶﾏﾀ ﾀｹﾙ</t>
  </si>
  <si>
    <t>丸山　雄太</t>
  </si>
  <si>
    <t>ﾏﾙﾔﾏ ﾕｳﾀ</t>
  </si>
  <si>
    <t>中西　椋</t>
  </si>
  <si>
    <t>ﾅｶﾆｼ ﾘｮｳ</t>
  </si>
  <si>
    <t>長瀬　樹</t>
  </si>
  <si>
    <t>ﾅｶﾞｾ ｲﾂｷ</t>
  </si>
  <si>
    <t>ﾔﾏｻﾞｷ ｶｲﾄ</t>
  </si>
  <si>
    <t>神田　央暉</t>
  </si>
  <si>
    <t>金子 泰良</t>
  </si>
  <si>
    <t>ｶﾈｺ ﾀｲﾗ</t>
  </si>
  <si>
    <t>鮎川 翔</t>
  </si>
  <si>
    <t>ｱﾕｶﾜ ｼｮｳ</t>
  </si>
  <si>
    <t>早川 里月</t>
  </si>
  <si>
    <t>ﾊﾔｶﾜ ﾘﾂ</t>
  </si>
  <si>
    <t>井伊 宏彰</t>
  </si>
  <si>
    <t>小関　海都</t>
  </si>
  <si>
    <t>ｵｾﾞｷ ｶｲﾄ</t>
  </si>
  <si>
    <t>坂本　寛吾</t>
  </si>
  <si>
    <t>ｻｶﾓﾄ ｶﾝｺﾞ</t>
  </si>
  <si>
    <t>山藤　洋典</t>
  </si>
  <si>
    <t>ﾔﾏﾄｳ ﾋﾛﾉﾘ</t>
  </si>
  <si>
    <t>横地　裕太</t>
  </si>
  <si>
    <t>ﾖｺﾁ ﾕｳﾀ</t>
  </si>
  <si>
    <t>渡邊　晴貴</t>
  </si>
  <si>
    <t>ﾜﾀﾅﾍﾞ ﾊﾙｷ</t>
  </si>
  <si>
    <t>杉本　望拓</t>
  </si>
  <si>
    <t>ｽｷﾞﾓﾄ ﾓﾁﾋﾛ</t>
  </si>
  <si>
    <t>内藤　龍仁</t>
  </si>
  <si>
    <t>ﾅｲﾄｳ ﾘｭｳｼﾞﾝ</t>
  </si>
  <si>
    <t>菱田　昂太朗</t>
  </si>
  <si>
    <t>ﾋｼﾀﾞ ｺｳﾀﾛｳ</t>
  </si>
  <si>
    <t>岩瀬　悠乃介</t>
  </si>
  <si>
    <t>ｲﾜｾ ﾕｳﾉｽｹ</t>
  </si>
  <si>
    <t>川口　大智</t>
  </si>
  <si>
    <t>ｶﾜｸﾞﾁ ﾀﾞｲﾁ</t>
  </si>
  <si>
    <t>田村　徹</t>
  </si>
  <si>
    <t>ﾀﾑﾗ ﾄｵﾙ</t>
  </si>
  <si>
    <t>山本　雄介</t>
  </si>
  <si>
    <t>ﾔﾏﾓﾄ ﾕｳｽｹ</t>
  </si>
  <si>
    <t>山田　剛大</t>
  </si>
  <si>
    <t>ﾔﾏﾀﾞ ﾀｹﾋﾛ</t>
  </si>
  <si>
    <t>伊藤　丈貴</t>
  </si>
  <si>
    <t>ｲﾄｳ ﾄﾓｷ</t>
  </si>
  <si>
    <t>谷口　唯都</t>
  </si>
  <si>
    <t>ﾀﾆｸﾞﾁ ﾕｲﾄ</t>
  </si>
  <si>
    <t>佐合　奏音</t>
  </si>
  <si>
    <t>ｻｺﾞｳ ｿｳﾄ</t>
  </si>
  <si>
    <t>岩田　晴陽</t>
  </si>
  <si>
    <t>ｲﾜﾀ ﾊﾙﾋ</t>
  </si>
  <si>
    <t>丹羽　顕</t>
  </si>
  <si>
    <t>ﾆﾜ ｱｷﾗ</t>
  </si>
  <si>
    <t>牧迫　健斗</t>
  </si>
  <si>
    <t>ｻｷｻｺ ｹﾝﾄ</t>
  </si>
  <si>
    <t>松岡　皐己</t>
  </si>
  <si>
    <t>ﾏｳｵｶ ｺｳｷ</t>
  </si>
  <si>
    <t>土谷　涼</t>
  </si>
  <si>
    <t>ﾂﾁﾔ ﾘｮｳ</t>
  </si>
  <si>
    <t>伴　建瑠</t>
  </si>
  <si>
    <t>ﾊﾞﾝ ﾀｹﾙ</t>
  </si>
  <si>
    <t>後藤　直哉</t>
  </si>
  <si>
    <t>ｺﾞﾄｳ ﾅｵﾔ</t>
  </si>
  <si>
    <t>毛利　健太郎</t>
  </si>
  <si>
    <t>ﾓｳﾘ ｹﾝﾀﾛｳ</t>
  </si>
  <si>
    <t>丸地　正人</t>
  </si>
  <si>
    <t>ﾏﾙﾁ ﾏｻﾄ</t>
  </si>
  <si>
    <t>安井　遥祐</t>
  </si>
  <si>
    <t>ﾔｽｲ ﾖｳｽｹ</t>
  </si>
  <si>
    <t>鳥居　青矢</t>
  </si>
  <si>
    <t>ﾄﾘｲ ｾｲﾔ</t>
  </si>
  <si>
    <t>大江　崇</t>
  </si>
  <si>
    <t>ｵｵｴ ﾀｶｼ</t>
  </si>
  <si>
    <t>飯田　康平</t>
  </si>
  <si>
    <t>ｲｲﾀﾞ ｺｳﾍｲ</t>
  </si>
  <si>
    <t>重田　直賢</t>
  </si>
  <si>
    <t>ｼｹﾞﾀ ﾅｵﾀｶ</t>
  </si>
  <si>
    <t>森川　陽之</t>
  </si>
  <si>
    <t>ﾓﾘｶﾜ ﾊﾙﾕｷ</t>
  </si>
  <si>
    <t>神野　悦太郎</t>
  </si>
  <si>
    <t>ｶﾐﾉ ｴﾂﾀﾛｳ</t>
  </si>
  <si>
    <t>小林　篤生</t>
  </si>
  <si>
    <t>ｺﾊﾞﾔｼ ｱﾂｷ</t>
  </si>
  <si>
    <t>相馬　秀亮</t>
  </si>
  <si>
    <t>ｿｳﾏ ｼｭｳｽｹ</t>
  </si>
  <si>
    <t>兵藤　賢</t>
  </si>
  <si>
    <t>ﾋｮｳﾄﾞｳ ｹﾝ</t>
  </si>
  <si>
    <t>妻鹿　崇</t>
  </si>
  <si>
    <t>ﾒｶﾞ ｼｭｳ</t>
  </si>
  <si>
    <t>宮原　翔太</t>
  </si>
  <si>
    <t>ﾐﾔﾊﾗ ｼｮｳﾀ</t>
  </si>
  <si>
    <t>諏訪　玄樹</t>
  </si>
  <si>
    <t>ｽﾜ ｹﾞﾝｷ</t>
  </si>
  <si>
    <t>深津　義士</t>
  </si>
  <si>
    <t>ﾌｶﾂ ﾖｼﾋﾄ</t>
  </si>
  <si>
    <t>原屋　正龍</t>
  </si>
  <si>
    <t>ﾊﾗﾔ ｾｲﾘｭｳ</t>
  </si>
  <si>
    <t>國司　寛人</t>
  </si>
  <si>
    <t>ｸﾆｼ ﾋﾛﾄ</t>
  </si>
  <si>
    <t>中島　滉太</t>
  </si>
  <si>
    <t>ﾅｶｼﾏ ｺｳﾀ</t>
  </si>
  <si>
    <t>有我　友希</t>
  </si>
  <si>
    <t>ｳｶﾞ ﾄﾓｷ</t>
  </si>
  <si>
    <t>大橋　基希</t>
  </si>
  <si>
    <t>ｵｵﾊｼ ﾓﾄｷ</t>
  </si>
  <si>
    <t>勝田　哲史</t>
  </si>
  <si>
    <t>ｶｯﾀ ﾃﾂﾌﾐ</t>
  </si>
  <si>
    <t>中村　龍彦</t>
  </si>
  <si>
    <t>ﾅｶﾑﾗ ﾀﾂﾋｺ</t>
  </si>
  <si>
    <t>伊藤　裕也</t>
  </si>
  <si>
    <t>ｲﾄｳ ﾕｳﾔ</t>
  </si>
  <si>
    <t>長谷川　和紀</t>
  </si>
  <si>
    <t>ﾊｾｶﾞﾜ ｶｽﾞｷ</t>
  </si>
  <si>
    <t>山田　将也</t>
  </si>
  <si>
    <t>ﾔﾏﾀﾞ ﾏｻﾔ</t>
  </si>
  <si>
    <t>遠藤　乃碧</t>
  </si>
  <si>
    <t>ｴﾝﾄﾞｳ ﾉｱ</t>
  </si>
  <si>
    <t>森下　紘光</t>
  </si>
  <si>
    <t>ﾓﾘｼﾀ ﾋﾛﾐﾂ</t>
  </si>
  <si>
    <t>新海　涼司</t>
  </si>
  <si>
    <t>ｼﾝｶｲ ﾘｮｳｼﾞ</t>
  </si>
  <si>
    <t>酒寄　直哉</t>
  </si>
  <si>
    <t>ｻｶﾖﾘ ﾅｵﾔ</t>
  </si>
  <si>
    <t>昔農　侑大</t>
  </si>
  <si>
    <t>ｾｷﾉｳ ﾕｳﾀﾞｲ</t>
  </si>
  <si>
    <t>天池　駿介</t>
  </si>
  <si>
    <t>ｱﾏｲｹ ｼｭﾝｽｹ</t>
  </si>
  <si>
    <t>河上　知良</t>
  </si>
  <si>
    <t>ｶﾜｶﾐ ﾁｶﾗ</t>
  </si>
  <si>
    <t>梅本　崇弘</t>
  </si>
  <si>
    <t>ｳﾒﾓﾄ ﾀｶﾋﾛ</t>
  </si>
  <si>
    <t>内田　朋秀</t>
  </si>
  <si>
    <t>ｳﾁﾀﾞ ﾄﾓﾋﾃﾞ</t>
  </si>
  <si>
    <t>冨田　尚希</t>
  </si>
  <si>
    <t>ﾄﾐﾀ ﾅｵｷ</t>
  </si>
  <si>
    <t>沖島　祐輝</t>
  </si>
  <si>
    <t>ｵｷｼﾞﾏ ﾕｳｷ</t>
  </si>
  <si>
    <t>冨田　諒</t>
  </si>
  <si>
    <t>ﾄﾐﾀﾞ ﾘｮｳ</t>
  </si>
  <si>
    <t>山本　悠生</t>
  </si>
  <si>
    <t>ﾔﾏﾓﾄ ﾕｳｾｲ</t>
  </si>
  <si>
    <t>中村　光志</t>
  </si>
  <si>
    <t>ﾅｶﾑﾗ ｺｳｼ</t>
  </si>
  <si>
    <t>金田　隼弥</t>
  </si>
  <si>
    <t>ｶﾈﾀﾞ ｼﾞｭﾝﾔ</t>
  </si>
  <si>
    <t>鈴木　智大</t>
  </si>
  <si>
    <t>ｽｽﾞｷ ﾄﾓﾋﾛ</t>
  </si>
  <si>
    <t>山原　光太朗</t>
  </si>
  <si>
    <t>ﾔﾏﾊﾗ ｺｳﾀﾛｳ</t>
  </si>
  <si>
    <t>森　信人</t>
  </si>
  <si>
    <t>ﾓﾘ ﾉﾌﾞﾋﾄ</t>
  </si>
  <si>
    <t>斎藤　雄大</t>
  </si>
  <si>
    <t>ｻｲﾄｳ ﾕｳﾀ</t>
  </si>
  <si>
    <t>粟田　洋祐</t>
  </si>
  <si>
    <t>ｱﾜﾀ ﾖｳｽｹ</t>
  </si>
  <si>
    <t>小山　航</t>
  </si>
  <si>
    <t>ｺﾔﾏ ﾜﾀﾙ</t>
  </si>
  <si>
    <t>松岡　幹也</t>
  </si>
  <si>
    <t>ﾏﾂｵｶ ﾐｷﾔ</t>
  </si>
  <si>
    <t>小坂井　克也</t>
  </si>
  <si>
    <t>ｺｻﾞｶｲ ｶﾂﾔ</t>
  </si>
  <si>
    <t>今岡　佑斗</t>
  </si>
  <si>
    <t>ｲﾏｵｶ ﾕｳﾄ</t>
  </si>
  <si>
    <t>清原　和真</t>
  </si>
  <si>
    <t>ｷﾖﾊﾗ ｶｽﾞﾏ</t>
  </si>
  <si>
    <t>角屋　喜基</t>
  </si>
  <si>
    <t>ｽﾐﾔ ﾖｼｷ</t>
  </si>
  <si>
    <t>針生　祥平</t>
  </si>
  <si>
    <t>ﾊﾘｳ ｼｮｳﾍｲ</t>
  </si>
  <si>
    <t>和田　慎太郎</t>
  </si>
  <si>
    <t>ﾜﾀﾞ ｼﾝﾀﾛｳ</t>
  </si>
  <si>
    <t>稲葉　健人</t>
  </si>
  <si>
    <t>ｲﾅﾊﾞ ｹﾝﾄ</t>
  </si>
  <si>
    <t>清原　敬介</t>
  </si>
  <si>
    <t>ｷﾖﾊﾗ ｹｲｽｹ</t>
  </si>
  <si>
    <t>岩井　宏樹</t>
  </si>
  <si>
    <t>ｲﾜｲ ﾋﾛｷ</t>
  </si>
  <si>
    <t>横井　奎哉</t>
  </si>
  <si>
    <t>ﾖｺｲ ｹｲﾔ</t>
  </si>
  <si>
    <t>多賀　駿介</t>
  </si>
  <si>
    <t>ﾀｶﾞ ｼｭﾝｽｹ</t>
  </si>
  <si>
    <t>立花　悠馬</t>
  </si>
  <si>
    <t>ﾀﾁﾊﾞﾅ ﾕｳﾏ</t>
  </si>
  <si>
    <t>俣野　優介</t>
  </si>
  <si>
    <t>ﾏﾀﾉ ﾕｳｽｹ</t>
  </si>
  <si>
    <t>柳生　憲伸</t>
  </si>
  <si>
    <t>ﾔｷﾞｭｳ ｹﾝｼﾝ</t>
  </si>
  <si>
    <t>春木　健杜</t>
  </si>
  <si>
    <t>ﾊﾙｷ ﾀｹﾄ</t>
  </si>
  <si>
    <t>佐藤　圭</t>
  </si>
  <si>
    <t>ｻﾄｳ ｹｲ</t>
  </si>
  <si>
    <t>安達　晴哉</t>
  </si>
  <si>
    <t>ｱﾀﾞﾁ ｾｲﾔ</t>
  </si>
  <si>
    <t>蔵　啓太</t>
  </si>
  <si>
    <t>ｸﾗ ｹｲﾀ</t>
  </si>
  <si>
    <t>町田　弦</t>
  </si>
  <si>
    <t>ﾏﾁﾀﾞ ｹﾞﾝ</t>
  </si>
  <si>
    <t>水野　裕貴</t>
  </si>
  <si>
    <t>ﾐｽﾞﾉ ﾕｳｷ</t>
  </si>
  <si>
    <t>藤井　直希</t>
  </si>
  <si>
    <t>ﾌｼﾞｲ ﾅｵｷ</t>
  </si>
  <si>
    <t>磯部　裕斗</t>
  </si>
  <si>
    <t>ｲｿﾍﾞ ﾕｳﾄ</t>
  </si>
  <si>
    <t>北川　翔悟</t>
  </si>
  <si>
    <t>ｷﾀｶﾞﾜ ｼｮｳｺﾞ</t>
  </si>
  <si>
    <t>阪口　日向</t>
  </si>
  <si>
    <t>ｻｶｸﾞﾁ ﾋﾅﾀ</t>
  </si>
  <si>
    <t>三摩　恭平</t>
  </si>
  <si>
    <t>ｻﾝﾏ ｷｮｳﾍｲ</t>
  </si>
  <si>
    <t>曽我　司</t>
  </si>
  <si>
    <t>ｿｶﾞ ﾂｶｻ</t>
  </si>
  <si>
    <t>田中　翔也</t>
  </si>
  <si>
    <t>ﾀﾅｶ ｼｮｳﾔ</t>
  </si>
  <si>
    <t>浅井　克貴</t>
  </si>
  <si>
    <t>ｱｻｲ ｶﾂｷ</t>
  </si>
  <si>
    <t>三木　大輔</t>
  </si>
  <si>
    <t>ﾐﾂｷ ﾀﾞｲｽｹ</t>
  </si>
  <si>
    <t>山崎　渓流</t>
  </si>
  <si>
    <t>ﾔﾏｻﾞｷ ｹｲﾘｭｳ</t>
  </si>
  <si>
    <t>一柳　凜</t>
  </si>
  <si>
    <t>ｲﾁﾘｭｳ ﾘﾝ</t>
  </si>
  <si>
    <t>伊藤　賢太朗</t>
  </si>
  <si>
    <t>ｲﾄｳ ｹﾝﾀﾛｳ</t>
  </si>
  <si>
    <t>小西　伴弥</t>
  </si>
  <si>
    <t>ｺﾆｼ ﾄﾓﾔ</t>
  </si>
  <si>
    <t>為　悟</t>
  </si>
  <si>
    <t>ﾀﾐ ｻﾄﾙ</t>
  </si>
  <si>
    <t>中川　空知</t>
  </si>
  <si>
    <t>ﾅｶｶﾞﾜ ｿﾗﾁ</t>
  </si>
  <si>
    <t>細木　駿介</t>
  </si>
  <si>
    <t>田中　滉二</t>
  </si>
  <si>
    <t>ﾀﾅｶ ｺｳｼﾞ</t>
  </si>
  <si>
    <t>藤谷　雄紀</t>
  </si>
  <si>
    <t>ﾌｼﾞﾔ ﾕｳｷ</t>
  </si>
  <si>
    <t>岡﨑　稜汰</t>
  </si>
  <si>
    <t>ｵｶｻﾞｷ ﾘｮｳﾀ</t>
  </si>
  <si>
    <t>髙松　海斗</t>
  </si>
  <si>
    <t>ﾀｶﾏﾂ ｶｲﾄ</t>
  </si>
  <si>
    <t>京道　慶</t>
  </si>
  <si>
    <t>ｷｮｳﾄﾞｳ ｹｲ</t>
  </si>
  <si>
    <t>髙橋　公貴</t>
  </si>
  <si>
    <t>ﾀｶﾊｼ ｺｳｷ</t>
  </si>
  <si>
    <t>野瀬　優太</t>
  </si>
  <si>
    <t>ﾉｾ ﾕｳﾀ</t>
  </si>
  <si>
    <t>中村　聡宏</t>
  </si>
  <si>
    <t>ﾅｶﾑﾗ ﾄｼﾋﾛ</t>
  </si>
  <si>
    <t>安藤　孝浩</t>
  </si>
  <si>
    <t>ｱﾝﾄﾞｳ ﾀｶﾋﾛ</t>
  </si>
  <si>
    <t>岡野　秀彬</t>
  </si>
  <si>
    <t>ｵｶﾉ ﾋﾃﾞｱｷ</t>
  </si>
  <si>
    <t>尾河　亮太</t>
  </si>
  <si>
    <t>ｵｶﾞﾜ ﾘｮｳﾀ</t>
  </si>
  <si>
    <t>天野　快聖</t>
  </si>
  <si>
    <t>ｱﾏﾉ ｶｲｾｲ</t>
  </si>
  <si>
    <t>山本　春陽</t>
  </si>
  <si>
    <t>ﾔﾏﾓﾄ ﾊﾙﾋ</t>
  </si>
  <si>
    <t>服部　奨世</t>
  </si>
  <si>
    <t>ﾊｯﾄﾘ ｼｮｳｾｲ</t>
  </si>
  <si>
    <t>櫻井　颯</t>
  </si>
  <si>
    <t>ｻｸﾗｲ ﾊﾔﾃ</t>
  </si>
  <si>
    <t>田中　麻詞</t>
  </si>
  <si>
    <t>ﾀﾅｶ ﾏｺﾄ</t>
  </si>
  <si>
    <t>丹田　翔也</t>
  </si>
  <si>
    <t>ﾀﾝﾀﾞ ｼｮｳﾔ</t>
  </si>
  <si>
    <t>久野　岳士</t>
  </si>
  <si>
    <t>ｸﾉ ｶﾞｸﾄ</t>
  </si>
  <si>
    <t>小松　勁太</t>
  </si>
  <si>
    <t>ｺﾏﾂ ｹｲﾀ</t>
  </si>
  <si>
    <t>伊藤　俊輝</t>
  </si>
  <si>
    <t>ｲﾄｳ ﾄｼｷ</t>
  </si>
  <si>
    <t>幸塚　一晃</t>
  </si>
  <si>
    <t>ｺｳﾂﾞｶ ｶｽﾞｱｷ</t>
  </si>
  <si>
    <t>鈴木　彩人</t>
  </si>
  <si>
    <t>ｽｽﾞｷ ｱﾔﾄ</t>
  </si>
  <si>
    <t>西村　侑真</t>
  </si>
  <si>
    <t>ﾆｼﾑﾗ ﾕｳﾏ</t>
  </si>
  <si>
    <t>河野　健斗</t>
  </si>
  <si>
    <t>ｺｳﾉ ｹﾝﾄ</t>
  </si>
  <si>
    <t>高井　駿</t>
  </si>
  <si>
    <t>ﾀｶｲ ｼｭﾝ</t>
  </si>
  <si>
    <t>杉山　優斗</t>
  </si>
  <si>
    <t>ｽｷﾞﾔﾏ ﾕｳﾄ</t>
  </si>
  <si>
    <t>本村　旬</t>
  </si>
  <si>
    <t>ﾓﾄﾑﾗ ｼﾞｭﾝ</t>
  </si>
  <si>
    <t>神畠　尚樹</t>
  </si>
  <si>
    <t>ｶﾐﾊﾀ ﾅｵｷ</t>
  </si>
  <si>
    <t>岩本　恭平</t>
  </si>
  <si>
    <t>ｲﾜﾓﾄ ｷｮｳﾍｲ</t>
  </si>
  <si>
    <t>中山　貴登</t>
  </si>
  <si>
    <t>ﾅｶﾔﾏ ﾀｶﾄ</t>
  </si>
  <si>
    <t>舟橋　宏祐</t>
  </si>
  <si>
    <t>ﾌﾅﾊｼ ｺｳｽｹ</t>
  </si>
  <si>
    <t>山本　成輝</t>
  </si>
  <si>
    <t>ﾔﾏﾓﾄ ｾｲｷ</t>
  </si>
  <si>
    <t>五十川　碧</t>
  </si>
  <si>
    <t>ｲｿｶﾞﾜ ｱｵ</t>
  </si>
  <si>
    <t>梅村　開斗</t>
  </si>
  <si>
    <t>ｳﾒﾑﾗ ｶｲﾄ</t>
  </si>
  <si>
    <t>大澤　優</t>
  </si>
  <si>
    <t>ｵｵｻﾜ ﾕｳ</t>
  </si>
  <si>
    <t>大島　健吾</t>
  </si>
  <si>
    <t>ｵｵｼﾏ ｹﾝｺﾞ</t>
  </si>
  <si>
    <t>川津　優太</t>
  </si>
  <si>
    <t>ｶﾜﾂ ﾕｳﾀ</t>
  </si>
  <si>
    <t>鍋島　大騎</t>
  </si>
  <si>
    <t>ﾅﾍﾞｼﾏ ﾀﾞｲｷ</t>
  </si>
  <si>
    <t>服部　鷹昌</t>
  </si>
  <si>
    <t>ﾊｯﾄﾘ ﾀｶﾏｻ</t>
  </si>
  <si>
    <t>細谷　勇太</t>
  </si>
  <si>
    <t>ﾎｿﾔ ﾕｳﾀ</t>
  </si>
  <si>
    <t>村山　智則</t>
  </si>
  <si>
    <t>ﾑﾗﾔﾏ ﾄﾓﾉﾘ</t>
  </si>
  <si>
    <t>小池　代時</t>
  </si>
  <si>
    <t>ｺｲｹ ﾀﾞｲｼﾞ</t>
  </si>
  <si>
    <t>杉浦　隆一</t>
  </si>
  <si>
    <t>ｽｷﾞｳﾗ ﾘｭｳｲﾁ</t>
  </si>
  <si>
    <t>成瀬　延豊</t>
  </si>
  <si>
    <t>ﾅﾙｾ ﾉﾌﾞﾄﾖ</t>
  </si>
  <si>
    <t>山口　瑠星</t>
  </si>
  <si>
    <t>ﾔﾏｸﾞﾁ ﾘｭｳｾｲ</t>
  </si>
  <si>
    <t>山内　直也</t>
  </si>
  <si>
    <t>ﾔﾏｳﾁ ﾅｵﾔ</t>
  </si>
  <si>
    <t>野村　昂生</t>
  </si>
  <si>
    <t>ﾉﾑﾗ ﾀｶｷ</t>
  </si>
  <si>
    <t>大原　拓人</t>
  </si>
  <si>
    <t>ｵｵﾊﾗ ﾀｸﾄ</t>
  </si>
  <si>
    <t>平井　悠喜</t>
  </si>
  <si>
    <t>ﾋﾗｲ ﾊﾙｷ</t>
  </si>
  <si>
    <t>片桐　健輔</t>
  </si>
  <si>
    <t>ｶﾀｷﾞﾘ ｹﾝｽｹ</t>
  </si>
  <si>
    <t>板倉　彰汰</t>
  </si>
  <si>
    <t>ｲﾀｸﾗ ｼｮｳﾀ</t>
  </si>
  <si>
    <t>井手　大生</t>
  </si>
  <si>
    <t>ｲﾃﾞ ﾀﾞｲｷ</t>
  </si>
  <si>
    <t>鈴木　秀</t>
  </si>
  <si>
    <t>ｽｽﾞｷ ｼｭｳ</t>
  </si>
  <si>
    <t>大脇　将史</t>
  </si>
  <si>
    <t>ｵｵﾜｷ ﾏｻｼ</t>
  </si>
  <si>
    <t>石津　直人</t>
  </si>
  <si>
    <t>ｲｼﾂﾞ ﾅｵﾄ</t>
  </si>
  <si>
    <t>竹内　優大</t>
  </si>
  <si>
    <t>ﾀｹｳﾁ ﾕｳﾀﾞｲ</t>
  </si>
  <si>
    <t>森岡　隆文</t>
  </si>
  <si>
    <t>ﾓﾘｵｶ ﾀｶﾌﾐ</t>
  </si>
  <si>
    <t>三井　玲央</t>
  </si>
  <si>
    <t>ﾐﾂｲ ﾚｵ</t>
  </si>
  <si>
    <t>石原　輝力</t>
  </si>
  <si>
    <t>ｲｼﾊﾗ ﾃﾙﾁｶ</t>
  </si>
  <si>
    <t>中田　龍之介</t>
  </si>
  <si>
    <t>ﾅｶﾀﾞ ﾘｭｳﾉｽｹ</t>
  </si>
  <si>
    <t>安井　悠人</t>
  </si>
  <si>
    <t>ﾔｽｲ ﾕｳﾄ</t>
  </si>
  <si>
    <t>藤田　悠真</t>
  </si>
  <si>
    <t>ﾌｼﾞﾀ ﾕｳﾏ</t>
  </si>
  <si>
    <t>新宮　良啓</t>
  </si>
  <si>
    <t>ｼﾝｸﾞｳ ﾖｼﾋﾛ</t>
  </si>
  <si>
    <t>清水　理久</t>
  </si>
  <si>
    <t>ｼﾐｽﾞ ﾘｸ</t>
  </si>
  <si>
    <t>福岡　泰地</t>
  </si>
  <si>
    <t>ﾌｸｵｶ ﾀｲﾁ</t>
  </si>
  <si>
    <t>笠井　謙一朗</t>
  </si>
  <si>
    <t>ｶｻｲ ｹﾝｲﾁﾛｳ</t>
  </si>
  <si>
    <t>杉本　一眞</t>
  </si>
  <si>
    <t>ｽｷﾞﾓﾄ ｶｽﾞﾏ</t>
  </si>
  <si>
    <t>石田　聖</t>
  </si>
  <si>
    <t>ｲｼﾀﾞ ｻﾄﾙ</t>
  </si>
  <si>
    <t>水越　朝陽</t>
  </si>
  <si>
    <t>ﾐｽﾞｺｼ ｱｻﾋ</t>
  </si>
  <si>
    <t>魚浦　勇樹</t>
  </si>
  <si>
    <t>ｳｵｳﾗ ﾕｳｷ</t>
  </si>
  <si>
    <t>小林　ジュンオマードゥ</t>
  </si>
  <si>
    <t>ｺﾊﾞﾔｼ ｼﾞｭﾝｵﾏｰﾄﾞｩ</t>
  </si>
  <si>
    <t>高橋　来唯</t>
  </si>
  <si>
    <t>ﾀｶﾊｼ ﾗｲ</t>
  </si>
  <si>
    <t>田原　蓮</t>
  </si>
  <si>
    <t>ﾀﾊﾗ ﾚﾝ</t>
  </si>
  <si>
    <t>古川　竜之介</t>
  </si>
  <si>
    <t>ﾌﾙｶﾜ ﾘｭｳﾉｽｹ</t>
  </si>
  <si>
    <t>知念　冴</t>
  </si>
  <si>
    <t>ﾁﾈﾝ ｻｴﾙ</t>
  </si>
  <si>
    <t>安部　秀太郎</t>
  </si>
  <si>
    <t>ｱﾍﾞ ﾋﾃﾞﾀﾛｳ</t>
  </si>
  <si>
    <t>上床　隆太</t>
  </si>
  <si>
    <t>ｳﾜﾄｺ ﾘｭｳﾀ</t>
  </si>
  <si>
    <t>小川　エンリケ</t>
  </si>
  <si>
    <t>ｵｶﾞﾜ ｴﾝﾘｹ</t>
  </si>
  <si>
    <t>加藤　心</t>
  </si>
  <si>
    <t>ｶﾄｳ ｼﾝ</t>
  </si>
  <si>
    <t>河村　将永</t>
  </si>
  <si>
    <t>ｶﾜﾑﾗ ｼｮｳｴｲ</t>
  </si>
  <si>
    <t>近藤　光氣</t>
  </si>
  <si>
    <t>ｺﾝﾄﾞｳ ｺｳｷ</t>
  </si>
  <si>
    <t>佐野　史社</t>
  </si>
  <si>
    <t>ｻﾉ ﾌﾐﾔ</t>
  </si>
  <si>
    <t>澤田　佳樹</t>
  </si>
  <si>
    <t>ｻﾜﾀﾞ ﾖｼｷ</t>
  </si>
  <si>
    <t>鈴木　礼武</t>
  </si>
  <si>
    <t>ｽｽﾞｷ ﾚｲﾑ</t>
  </si>
  <si>
    <t>田宮　昇悟</t>
  </si>
  <si>
    <t>ﾀﾐﾔ ｼｮｳｺﾞ</t>
  </si>
  <si>
    <t>塚原　星来</t>
  </si>
  <si>
    <t>ﾂｶﾊﾗ ｾﾗ</t>
  </si>
  <si>
    <t>筒井　慈虎</t>
  </si>
  <si>
    <t>ﾂﾂｲ ｼｹﾞﾄﾗ</t>
  </si>
  <si>
    <t>問坂　昂太郎</t>
  </si>
  <si>
    <t>ﾄｲｻｶ ｺｳﾀﾛｳ</t>
  </si>
  <si>
    <t>中北　太雅</t>
  </si>
  <si>
    <t>ﾅｶｷﾞﾀ ﾀｲｶﾞ</t>
  </si>
  <si>
    <t>早川　恭平</t>
  </si>
  <si>
    <t>ﾊﾔｶﾜ ｷｮｳﾍｲ</t>
  </si>
  <si>
    <t>林　夏哉</t>
  </si>
  <si>
    <t>ﾊﾔｼ ﾅﾂﾔ</t>
  </si>
  <si>
    <t>藤田　知和</t>
  </si>
  <si>
    <t>ﾌｼﾞﾀ ﾄﾓｶｽﾞ</t>
  </si>
  <si>
    <t>星井　駿佑</t>
  </si>
  <si>
    <t>ﾎｼｲ ｼｭﾝｽｹ</t>
  </si>
  <si>
    <t>松尾　聖仁</t>
  </si>
  <si>
    <t>ﾏﾂｵ ｾｲﾄ</t>
  </si>
  <si>
    <t>松本　結叶</t>
  </si>
  <si>
    <t>ﾏﾂﾓﾄ ﾕｳﾄ</t>
  </si>
  <si>
    <t>山村　敏弥</t>
  </si>
  <si>
    <t>ﾔﾏﾑﾗ ﾄｼﾔ</t>
  </si>
  <si>
    <t>山本　雷大</t>
  </si>
  <si>
    <t>ﾔﾏﾓﾄ ﾗｲﾀ</t>
  </si>
  <si>
    <t>五月女　翔</t>
  </si>
  <si>
    <t>ｻｵﾄﾒ ｶｹﾙ</t>
  </si>
  <si>
    <t>山中　智貴</t>
  </si>
  <si>
    <t>ﾔﾏﾅｶ ﾄﾓｷ</t>
  </si>
  <si>
    <t>筒井　良一</t>
  </si>
  <si>
    <t>ﾂﾂｲ ﾘｮｳｲﾁ</t>
  </si>
  <si>
    <t>森　佑太</t>
  </si>
  <si>
    <t>ﾓﾘ ﾕｳﾀ</t>
  </si>
  <si>
    <t>山本　勝也</t>
  </si>
  <si>
    <t>ﾔﾏﾓﾄ ｶﾂﾔ</t>
  </si>
  <si>
    <t>山田　雄太郎</t>
  </si>
  <si>
    <t>ﾔﾏﾀﾞ ﾕｳﾀﾛｳ</t>
  </si>
  <si>
    <t>安田　啓人</t>
  </si>
  <si>
    <t>ﾔｽﾀﾞ ﾋﾛﾄ</t>
  </si>
  <si>
    <t>坂本　空</t>
  </si>
  <si>
    <t>ｻｶﾓﾄ ｿﾗ</t>
  </si>
  <si>
    <t>中島　虹輝</t>
  </si>
  <si>
    <t>ﾅｶｼﾞﾏ ｺｳｷ</t>
  </si>
  <si>
    <t>石黒　堅大</t>
  </si>
  <si>
    <t>ｲｼｸﾞﾛ ｹﾝﾀ</t>
  </si>
  <si>
    <t>尾関　拓実</t>
  </si>
  <si>
    <t>ｵｾﾞｷ ﾀｸﾐ</t>
  </si>
  <si>
    <t>椛澤　俊哉</t>
  </si>
  <si>
    <t>ｶﾊﾞｻﾞﾜ ﾄｼﾔ</t>
  </si>
  <si>
    <t>川島　颯太</t>
  </si>
  <si>
    <t>ｶﾜｼﾏ ｿｳﾀ</t>
  </si>
  <si>
    <t>劒物　太一</t>
  </si>
  <si>
    <t>ｹﾝﾓﾂ ﾀｲﾁ</t>
  </si>
  <si>
    <t>佐野　斗和</t>
  </si>
  <si>
    <t>ｻﾉ ﾄﾜ</t>
  </si>
  <si>
    <t>辻村　駿介</t>
  </si>
  <si>
    <t>ﾂｼﾞﾑﾗ ｼｭﾝｽｹ</t>
  </si>
  <si>
    <t>時光　修平</t>
  </si>
  <si>
    <t>ﾄｷﾐﾂ ｼｭｳﾍｲ</t>
  </si>
  <si>
    <t>村瀬　巧夕</t>
  </si>
  <si>
    <t>ﾑﾗｾ ｺｳﾕｳ</t>
  </si>
  <si>
    <t>山崎　拓武</t>
  </si>
  <si>
    <t>ﾔﾏｻﾞｷ ﾋﾛﾑ</t>
  </si>
  <si>
    <t>菅谷　弥史</t>
  </si>
  <si>
    <t>ｽｶﾞﾔ ﾋﾛｼ</t>
  </si>
  <si>
    <t>東　祥永</t>
  </si>
  <si>
    <t>ｱﾂﾞﾞﾏ ｼｮｳｴｲ</t>
  </si>
  <si>
    <t>伊佐　拓真</t>
  </si>
  <si>
    <t>ｲｻ ﾀｸﾏ</t>
  </si>
  <si>
    <t>黒田　遥太</t>
  </si>
  <si>
    <t>ｸﾛﾀﾞ ﾊﾙﾄ</t>
  </si>
  <si>
    <t>小出　光留</t>
  </si>
  <si>
    <t>ｺｲﾃﾞ ﾋｶﾙ</t>
  </si>
  <si>
    <t>三浦　稿侑</t>
  </si>
  <si>
    <t>ﾐｳﾗ ｺｳﾕｳ</t>
  </si>
  <si>
    <t>伊藤　雅憲</t>
  </si>
  <si>
    <t>ｲﾄｳ ﾏｻｶｽﾞ</t>
  </si>
  <si>
    <t>大久保　匠</t>
  </si>
  <si>
    <t>ｵｵｸﾎﾞ ﾀｸﾐ</t>
  </si>
  <si>
    <t>河合　希叶</t>
  </si>
  <si>
    <t>ｶﾜｲ ｷｷｮｳ</t>
  </si>
  <si>
    <t>榊原　一希</t>
  </si>
  <si>
    <t>ｻｶｷﾊﾞﾗ ｶｽﾞｷ</t>
  </si>
  <si>
    <t>曽我　拓摩</t>
  </si>
  <si>
    <t>ｿｶﾞ ﾀｸﾏ</t>
  </si>
  <si>
    <t>鳥山　幹太</t>
  </si>
  <si>
    <t>ﾄﾘﾔﾏ ｶﾝﾀ</t>
  </si>
  <si>
    <t>西岡　大志</t>
  </si>
  <si>
    <t>ﾆｼｵｶ ﾀﾞｲｼ</t>
  </si>
  <si>
    <t>メディナ　サミル</t>
  </si>
  <si>
    <t>ﾒﾃﾞｨﾅ ｻﾐﾙ</t>
  </si>
  <si>
    <t>天野　智貴</t>
  </si>
  <si>
    <t>ｱﾏﾉ ﾄﾓｷ</t>
  </si>
  <si>
    <t>東松　賢也</t>
  </si>
  <si>
    <t>ﾄｳﾏﾂ ｹﾝﾔ</t>
  </si>
  <si>
    <t>豊田　将司</t>
  </si>
  <si>
    <t>ﾄﾖﾀﾞ ﾏｻｼ</t>
  </si>
  <si>
    <t>西川　悠斗</t>
  </si>
  <si>
    <t>ﾆｼｶﾜ ﾕｳﾄ</t>
  </si>
  <si>
    <t>野田　将弘</t>
  </si>
  <si>
    <t>ﾉﾀﾞ ﾏｻﾋﾛ</t>
  </si>
  <si>
    <t>林　誉大</t>
  </si>
  <si>
    <t>ﾊﾔｼ ﾀｶﾋﾛ</t>
  </si>
  <si>
    <t>福岡　崚生</t>
  </si>
  <si>
    <t>ﾌｸｵｶ ﾘｮｳｾｲ</t>
  </si>
  <si>
    <t>前田　能宜</t>
  </si>
  <si>
    <t>ﾏｴﾀﾞ ﾄｳｷ</t>
  </si>
  <si>
    <t>村上　裕貴</t>
  </si>
  <si>
    <t>ﾑﾗｶﾐ ﾕﾀｶ</t>
  </si>
  <si>
    <t>山田　佑輔</t>
  </si>
  <si>
    <t>和仁　滉我</t>
  </si>
  <si>
    <t>ﾜﾆ ｺｳｶﾞ</t>
  </si>
  <si>
    <t>石原　翔</t>
  </si>
  <si>
    <t>ｲｼﾊﾗ ｼｮｳ</t>
  </si>
  <si>
    <t>小畑　雅輝</t>
  </si>
  <si>
    <t>ｵﾊﾞﾀ ﾏｻｷ</t>
  </si>
  <si>
    <t>車本　遊真</t>
  </si>
  <si>
    <t>ｸﾙﾏﾓﾄ ﾕｳﾏ</t>
  </si>
  <si>
    <t>小林　隼</t>
  </si>
  <si>
    <t>ｺﾊﾞﾔｼ ﾊﾔﾄ</t>
  </si>
  <si>
    <t>清水　透吾</t>
  </si>
  <si>
    <t>ｼﾐｽﾞ ﾄｳｺﾞ</t>
  </si>
  <si>
    <t>永柳　慶大</t>
  </si>
  <si>
    <t>ﾅｶﾞﾔﾅｷﾞ ｹｲﾀ</t>
  </si>
  <si>
    <t>平田　章悟</t>
  </si>
  <si>
    <t>ﾋﾗﾀ ｼｮｳｺﾞ</t>
  </si>
  <si>
    <t>福田　雄介</t>
  </si>
  <si>
    <t>ﾌｸﾀﾞ ﾕｳｽｹ</t>
  </si>
  <si>
    <t>藤井　晃大</t>
  </si>
  <si>
    <t>ﾌｼﾞｲ ｺｳﾀ</t>
  </si>
  <si>
    <t>松本　純一</t>
  </si>
  <si>
    <t>ﾏﾂﾓﾄ ｼﾞｭﾝｲﾁ</t>
  </si>
  <si>
    <t>溝口　宏直</t>
  </si>
  <si>
    <t>ﾐｿﾞｸﾞﾁ ﾋﾛﾅｵ</t>
  </si>
  <si>
    <t>宮﨑　智矢</t>
  </si>
  <si>
    <t>ﾐﾔｻﾞｷ ﾄﾓﾔ</t>
  </si>
  <si>
    <t>山田　健太</t>
  </si>
  <si>
    <t>ﾔﾏﾀﾞ ｹﾝﾀ</t>
  </si>
  <si>
    <t>伊熊　遥人</t>
  </si>
  <si>
    <t>ｲｸﾏ ﾊﾙﾄ</t>
  </si>
  <si>
    <t>伊藤　佳</t>
  </si>
  <si>
    <t>ｲﾄｳ ｹｲ</t>
  </si>
  <si>
    <t>岸　大樹</t>
  </si>
  <si>
    <t>ｷｼ ﾀﾞｲｷ</t>
  </si>
  <si>
    <t>倉地　貴也</t>
  </si>
  <si>
    <t>ｸﾗﾁ ﾀｶﾔ</t>
  </si>
  <si>
    <t>後藤　玲音</t>
  </si>
  <si>
    <t>ｺﾞﾄｳ ﾚｵ</t>
  </si>
  <si>
    <t>小林　俊貴</t>
  </si>
  <si>
    <t>ｺﾊﾞﾔｼ ﾄｼｷ</t>
  </si>
  <si>
    <t>近藤　太郎</t>
  </si>
  <si>
    <t>ｺﾝﾄﾞｳ ﾀﾛｳ</t>
  </si>
  <si>
    <t>佐藤　貴裕</t>
  </si>
  <si>
    <t>ｻﾄｳ ﾀｶﾋﾛ</t>
  </si>
  <si>
    <t>鈴木　大祐</t>
  </si>
  <si>
    <t>ｽｽﾞｷ ﾀﾞｲｽｹ</t>
  </si>
  <si>
    <t>松枝　久史</t>
  </si>
  <si>
    <t>ﾏﾂｴﾀﾞ ﾋｻｼ</t>
  </si>
  <si>
    <t>山本　翔太</t>
  </si>
  <si>
    <t>ﾔﾏﾓﾄ ｼｮｳﾀ</t>
  </si>
  <si>
    <t>大久保　光祐</t>
  </si>
  <si>
    <t>ｵｵｸﾎﾞ ｺｳｽｹ</t>
  </si>
  <si>
    <t>前畑　有輝</t>
  </si>
  <si>
    <t>ﾏｴﾊﾀ ﾕｳｷ</t>
  </si>
  <si>
    <t>福田　敦大</t>
  </si>
  <si>
    <t>ﾌｸﾀﾞ ｱﾂﾋﾛ</t>
  </si>
  <si>
    <t>稲田　大空</t>
  </si>
  <si>
    <t>ｲﾅﾀﾞ ｿﾗ</t>
  </si>
  <si>
    <t>箱山　颯</t>
  </si>
  <si>
    <t>平　元貴</t>
  </si>
  <si>
    <t>ﾀｲﾗ ｹﾞﾝｷ</t>
  </si>
  <si>
    <t>横川　葵</t>
  </si>
  <si>
    <t>ﾖｺｶﾜ ｱｵｲ</t>
  </si>
  <si>
    <t>安藤　碧</t>
  </si>
  <si>
    <t>ｱﾝﾄﾞｳ ｱｵｲ</t>
  </si>
  <si>
    <t>河本　直</t>
  </si>
  <si>
    <t>ｺｳﾓﾄ ﾅｵ</t>
  </si>
  <si>
    <t>酒井　駿乃介</t>
  </si>
  <si>
    <t>ｻｶｲ ｼｭﾝﾉｽｹ</t>
  </si>
  <si>
    <t>篠田　大弥</t>
  </si>
  <si>
    <t>ｼﾉﾀﾞ ﾋﾛﾔ</t>
  </si>
  <si>
    <t>柴田　将希</t>
  </si>
  <si>
    <t>ｼﾊﾞﾀ ｼｮｳｷ</t>
  </si>
  <si>
    <t>山道　笑之心</t>
  </si>
  <si>
    <t>ﾔﾏﾐﾁ ｼﾞﾝﾉｼﾝ</t>
  </si>
  <si>
    <t>樋口　元汰</t>
  </si>
  <si>
    <t>ﾋｸﾞﾁ ｹﾞﾝﾀ</t>
  </si>
  <si>
    <t>藤井　颯人</t>
  </si>
  <si>
    <t>ﾌｼﾞｲ ﾊﾔﾄ</t>
  </si>
  <si>
    <t>新谷　一樹</t>
  </si>
  <si>
    <t>ｼﾝﾀﾆ ｶｽﾞｷ</t>
  </si>
  <si>
    <t>鈴木　健弘</t>
  </si>
  <si>
    <t>ｽｽﾞｷ ﾀｹﾋﾛ</t>
  </si>
  <si>
    <t>大内　慎也</t>
  </si>
  <si>
    <t>ｵｵｳﾁ ｼﾝﾔ</t>
  </si>
  <si>
    <t>岡嶋　亮佑</t>
  </si>
  <si>
    <t>ｵｶｼﾞﾏ ﾘｮｳｽｹ</t>
  </si>
  <si>
    <t>水野　博貴</t>
  </si>
  <si>
    <t>ﾐｽﾞﾉ ﾋﾛｷ</t>
  </si>
  <si>
    <t>古橋　侑季</t>
  </si>
  <si>
    <t>ﾌﾙﾊｼ ﾕｳｷ</t>
  </si>
  <si>
    <t>黒川　将吾</t>
  </si>
  <si>
    <t>ｸﾛｶﾜ ｼｮｳｺﾞ</t>
  </si>
  <si>
    <t>出戸　智大</t>
  </si>
  <si>
    <t>ﾃﾞﾄ ﾄﾓﾋﾛ</t>
  </si>
  <si>
    <t>松岡　学</t>
  </si>
  <si>
    <t>ﾏﾂｵｶ ﾏﾅﾌﾞ</t>
  </si>
  <si>
    <t>村松　幸耶</t>
  </si>
  <si>
    <t>ﾑﾗﾏﾂ ｺｳﾔ</t>
  </si>
  <si>
    <t>川原　生寛</t>
  </si>
  <si>
    <t>ｶﾜﾊﾗ ﾌﾁｶ</t>
  </si>
  <si>
    <t>田口　雄暉</t>
  </si>
  <si>
    <t>ﾀｸﾞﾁ ﾕｳｷ</t>
  </si>
  <si>
    <t>小山　拓海</t>
  </si>
  <si>
    <t>ｺﾔﾏ ﾀｸﾐ</t>
  </si>
  <si>
    <t>鈴木　龍一</t>
  </si>
  <si>
    <t>ｽｽﾞｷ ﾘｭｳｲﾁ</t>
  </si>
  <si>
    <t>田中　稜真</t>
  </si>
  <si>
    <t>ﾀﾅｶ ﾘｮｳﾏ</t>
  </si>
  <si>
    <t>深谷　篤志</t>
  </si>
  <si>
    <t>ﾌｶﾔ ｱﾂｼ</t>
  </si>
  <si>
    <t>井之谷　岳斗</t>
  </si>
  <si>
    <t>ｲﾉﾔ ｶﾞｸﾄ</t>
  </si>
  <si>
    <t>岡田　陸</t>
  </si>
  <si>
    <t>ｵｶﾀﾞ ﾘｸ</t>
  </si>
  <si>
    <t>栗川　克章</t>
  </si>
  <si>
    <t>ｸﾘｶﾜ ﾖｼｱｷ</t>
  </si>
  <si>
    <t>齋藤　勇也</t>
  </si>
  <si>
    <t>ｻｲﾄｳ ﾕｳﾔ</t>
  </si>
  <si>
    <t>曽川　鷹之</t>
  </si>
  <si>
    <t>ｿｶﾞﾜ ﾀｶﾕｷ</t>
  </si>
  <si>
    <t>中谷　建太</t>
  </si>
  <si>
    <t>ﾅｶﾔ ｹﾝﾀ</t>
  </si>
  <si>
    <t>西野　将太朗</t>
  </si>
  <si>
    <t>ﾆｼﾉ ｼｮｳﾀﾛｳ</t>
  </si>
  <si>
    <t>飯田　大晟</t>
  </si>
  <si>
    <t>ｲｲﾀﾞ ﾀｲｾｲ</t>
  </si>
  <si>
    <t>伊藤　翼</t>
  </si>
  <si>
    <t>ｲﾄｳ ﾂﾊﾞｻ</t>
  </si>
  <si>
    <t>海野　嘉偉</t>
  </si>
  <si>
    <t>ｳﾝﾉ ｶｲ</t>
  </si>
  <si>
    <t>小野　和希</t>
  </si>
  <si>
    <t>ｵﾉ ｶｽﾞｷ</t>
  </si>
  <si>
    <t>加藤　和樹</t>
  </si>
  <si>
    <t>ｶﾄｳ ｶｽﾞｷ</t>
  </si>
  <si>
    <t>清水　湧大</t>
  </si>
  <si>
    <t>ｼﾐｽﾞ ﾕｳﾀ</t>
  </si>
  <si>
    <t>鈴木　健祐</t>
  </si>
  <si>
    <t>ｽｽﾞｷ ｹﾝｽｹ</t>
  </si>
  <si>
    <t>中畑　魁斗</t>
  </si>
  <si>
    <t>ﾅｶﾊﾀ ｶｲﾄ</t>
  </si>
  <si>
    <t>松井　秀太</t>
  </si>
  <si>
    <t>ﾏﾂｲ ｼｭｳﾀ</t>
  </si>
  <si>
    <t>丸山　航希</t>
  </si>
  <si>
    <t>ﾏﾙﾔﾏ ｺｳｷ</t>
  </si>
  <si>
    <t>井桜　佑斗</t>
  </si>
  <si>
    <t>ｲｻﾞｸﾗ ﾕｳﾄ</t>
  </si>
  <si>
    <t>落合　壱星</t>
  </si>
  <si>
    <t>ｵﾁｱｲ ｲｯｾｲ</t>
  </si>
  <si>
    <t>河島　慧佑</t>
  </si>
  <si>
    <t>ｶﾜｼﾏ ｹｲｽｹ</t>
  </si>
  <si>
    <t>鈴木　拓斗</t>
  </si>
  <si>
    <t>ｽｽﾞｷ ﾀｸﾄ</t>
  </si>
  <si>
    <t>伊藤　蒼真</t>
  </si>
  <si>
    <t>ｲﾄｳ ｿｳﾏ</t>
  </si>
  <si>
    <t>大山　開</t>
  </si>
  <si>
    <t>ｵｵﾔﾏ ｶｲ</t>
  </si>
  <si>
    <t>小島　一世</t>
  </si>
  <si>
    <t>ｺｼﾞﾏ ｲｯｾｲ</t>
  </si>
  <si>
    <t>清水　章吾</t>
  </si>
  <si>
    <t>ｼﾐｽﾞ ｼｮｳｺﾞ</t>
  </si>
  <si>
    <t>竹内　大和</t>
  </si>
  <si>
    <t>ﾀｹｳﾁ ﾔﾏﾄ</t>
  </si>
  <si>
    <t>田中　日向</t>
  </si>
  <si>
    <t>ﾀﾅｶ ﾋｭｳｶﾞ</t>
  </si>
  <si>
    <t>野末　大介</t>
  </si>
  <si>
    <t>ﾉｽﾞｴ ﾀﾞｲｽｹ</t>
  </si>
  <si>
    <t>野村　航史</t>
  </si>
  <si>
    <t>ﾉﾑﾗ ｺｳｼ</t>
  </si>
  <si>
    <t>村上　裕雅</t>
  </si>
  <si>
    <t>ﾑﾗｶﾐ ﾕｳｶﾞ</t>
  </si>
  <si>
    <t>平山　皓慎</t>
  </si>
  <si>
    <t>ﾋﾗﾔﾏ ｺｳｼﾝ</t>
  </si>
  <si>
    <t>戸津　景大</t>
  </si>
  <si>
    <t>ﾄﾂ ｹｲﾀ</t>
  </si>
  <si>
    <t>寺尾　亮</t>
  </si>
  <si>
    <t>ﾃﾗｵ ﾘｮｳ</t>
  </si>
  <si>
    <t>幸前　達哉</t>
  </si>
  <si>
    <t>ｺｳｾﾞﾝ ﾀﾂﾔ</t>
  </si>
  <si>
    <t>河邊　健人</t>
  </si>
  <si>
    <t>ｶﾜﾍﾞ ｹﾝﾄ</t>
  </si>
  <si>
    <t>大石　紘之</t>
  </si>
  <si>
    <t>ｵｵｲｼ ﾋﾛﾕｷ</t>
  </si>
  <si>
    <t>木附　大晴</t>
  </si>
  <si>
    <t>ｷﾂｷ ﾀｲｾｲ</t>
  </si>
  <si>
    <t>垣本　拓馬</t>
  </si>
  <si>
    <t>ｶｷﾓﾄ ﾀｸﾏ</t>
  </si>
  <si>
    <t>藤本　修平</t>
  </si>
  <si>
    <t>ﾌｼﾞﾓﾄ ｼｭｳﾍｲ</t>
  </si>
  <si>
    <t>原　和史</t>
  </si>
  <si>
    <t>ﾊﾗ ｶｽﾞｼ</t>
  </si>
  <si>
    <t>久野　明</t>
  </si>
  <si>
    <t>ｸﾉ ｱｷﾗ</t>
  </si>
  <si>
    <t>土井　駿斗</t>
  </si>
  <si>
    <t>ﾄﾞｲ ｼｭﾝﾄ</t>
  </si>
  <si>
    <t>斎藤　宥太</t>
  </si>
  <si>
    <t>矢頭　飛雄夏</t>
  </si>
  <si>
    <t>ﾔﾄｳ ﾋｭｳｶﾞ</t>
  </si>
  <si>
    <t>大久保　潤也</t>
  </si>
  <si>
    <t>ｵｵｸﾎﾞ ｼﾞｭﾝﾔ</t>
  </si>
  <si>
    <t>安藤　啓貴</t>
  </si>
  <si>
    <t>ｱﾝﾄﾞｳ ﾋﾛｷ</t>
  </si>
  <si>
    <t>秋好　亮祐</t>
  </si>
  <si>
    <t>ｱｷﾖｼ ﾘｮｳｽｹ</t>
  </si>
  <si>
    <t>築地　由貴</t>
  </si>
  <si>
    <t>ﾂｷｼﾞ ﾖｼｷ</t>
  </si>
  <si>
    <t>川口　宥</t>
  </si>
  <si>
    <t>ｶﾜｸﾞﾁ ﾕｳ</t>
  </si>
  <si>
    <t>吉本　昇平</t>
  </si>
  <si>
    <t>ﾖｼﾓﾄ ｼｮｳﾍｲ</t>
  </si>
  <si>
    <t>出川　正章</t>
  </si>
  <si>
    <t>ﾃﾞｶﾞﾜ ﾏｻｱｷ</t>
  </si>
  <si>
    <t>浅野　智成</t>
  </si>
  <si>
    <t>ｱｻﾉ ﾄﾓﾅﾘ</t>
  </si>
  <si>
    <t>小林　郁斗</t>
  </si>
  <si>
    <t>ｺﾊﾞﾔｼ ﾌﾐﾄ</t>
  </si>
  <si>
    <t>林　怜央</t>
  </si>
  <si>
    <t>ﾊﾔｼ ﾚｵ</t>
  </si>
  <si>
    <t>小渕　稜央</t>
  </si>
  <si>
    <t>ｺﾌﾞﾁ ﾘｮｳ</t>
  </si>
  <si>
    <t>一ノ瀬　結人</t>
  </si>
  <si>
    <t>ｲﾁﾉｾ ﾕｲﾄ</t>
  </si>
  <si>
    <t>鵜飼　一颯</t>
  </si>
  <si>
    <t>ｳｶｲ ｲｯｻ</t>
  </si>
  <si>
    <t>佐藤　毅治</t>
  </si>
  <si>
    <t>ｻﾄｳ ﾀｹﾊﾙ</t>
  </si>
  <si>
    <t>佐藤　光</t>
  </si>
  <si>
    <t>ｻﾄｳ ﾋｶﾙ</t>
  </si>
  <si>
    <t>佐藤　楓馬</t>
  </si>
  <si>
    <t>ｻﾄｳ ﾌｳﾏ</t>
  </si>
  <si>
    <t>渋江　恵和</t>
  </si>
  <si>
    <t>ｼﾌﾞｴ ﾖｼｶｽﾞ</t>
  </si>
  <si>
    <t>橋川　和直</t>
  </si>
  <si>
    <t>ﾊｼｶﾜ ｶｽﾞﾅｵ</t>
  </si>
  <si>
    <t>松田　朕亮</t>
  </si>
  <si>
    <t>ﾏﾂﾀﾞ ﾁｱｷ</t>
  </si>
  <si>
    <t>松野　颯斗</t>
  </si>
  <si>
    <t>ﾏﾂﾉ ﾊﾔﾄ</t>
  </si>
  <si>
    <t>山本　学杜</t>
  </si>
  <si>
    <t>ﾔﾏﾓﾄ ﾏﾅﾄ</t>
  </si>
  <si>
    <t>矢田　大誠</t>
  </si>
  <si>
    <t>ﾔﾀﾞ ﾀｲｾｲ</t>
  </si>
  <si>
    <t>澤村　健斗</t>
  </si>
  <si>
    <t>ｻﾜﾑﾗ ｹﾝﾄ</t>
  </si>
  <si>
    <t>南 諒弥</t>
  </si>
  <si>
    <t>ﾐﾅﾐ ﾘｮｳﾔ</t>
  </si>
  <si>
    <t>出島　典斗</t>
  </si>
  <si>
    <t>ﾃﾞｼﾞﾏ ﾃﾝﾄ</t>
  </si>
  <si>
    <t>浦西 佑輔</t>
  </si>
  <si>
    <t>ｳﾗﾆｼ ﾕｳｽｹ</t>
  </si>
  <si>
    <t>佐藤　俊介</t>
  </si>
  <si>
    <t>ｻﾄｳ ｼｭﾝｽｹ</t>
  </si>
  <si>
    <t>宇田　宙生</t>
  </si>
  <si>
    <t>ｳﾀﾞ ﾋﾛｷ</t>
  </si>
  <si>
    <t>神谷　純輝</t>
  </si>
  <si>
    <t>ｶﾐﾔ ｱﾂｷ</t>
  </si>
  <si>
    <t>山際　大雅</t>
  </si>
  <si>
    <t>ﾔﾏｷﾞﾜ ﾀｲｶﾞ</t>
  </si>
  <si>
    <t>大崎　修汰</t>
  </si>
  <si>
    <t>ｵｵｻｷ ｼｭｳﾀ</t>
  </si>
  <si>
    <t>岩田　京樹</t>
  </si>
  <si>
    <t>ｲﾜﾀ ｹｲｼﾞｭ</t>
  </si>
  <si>
    <t>西村　健志</t>
  </si>
  <si>
    <t>ﾆｼﾑﾗ ﾀｹｼ</t>
  </si>
  <si>
    <t>山羽 雄斗</t>
  </si>
  <si>
    <t>ﾔﾏﾊ ﾕｳﾄ</t>
  </si>
  <si>
    <t>石松　凜平</t>
  </si>
  <si>
    <t>ｲｼﾏﾂ ﾘﾝﾍﾟｲ</t>
  </si>
  <si>
    <t>齋藤 諒弥</t>
  </si>
  <si>
    <t>ｻｲﾄｳ ﾘｮｳﾔ</t>
  </si>
  <si>
    <t>大石　一博</t>
  </si>
  <si>
    <t>ｵｵｲｼ ｶｽﾞﾋﾛ</t>
  </si>
  <si>
    <t>杉　虹輝</t>
  </si>
  <si>
    <t>ｽｷﾞ ｺｳｷ</t>
  </si>
  <si>
    <t>成瀬　貴文</t>
  </si>
  <si>
    <t>ﾅﾙｾ ﾀｶﾌﾐ</t>
  </si>
  <si>
    <t>寺島　青</t>
  </si>
  <si>
    <t>ﾃﾗｼﾏ ﾊﾙ</t>
  </si>
  <si>
    <t>齋藤　岳</t>
  </si>
  <si>
    <t>ｻｲﾄｳ ｶﾞｸ</t>
  </si>
  <si>
    <t>市川　忠樹</t>
  </si>
  <si>
    <t>ｲﾁｶﾜ ﾀﾀﾞｷ</t>
  </si>
  <si>
    <t>村瀬　稜治</t>
  </si>
  <si>
    <t>ﾑﾗｾ ﾘｮｳｼﾞ</t>
  </si>
  <si>
    <t>山田　将義</t>
  </si>
  <si>
    <t>ﾔﾏﾀﾞ ﾏｻﾖｼ</t>
  </si>
  <si>
    <t>糀　翔太</t>
  </si>
  <si>
    <t>ｺｳｼﾞ ｼｮｳﾀ</t>
  </si>
  <si>
    <t>家﨑　陽</t>
  </si>
  <si>
    <t>ｲｴｻﾞｷ ﾖｳ</t>
  </si>
  <si>
    <t>大久保　航平</t>
  </si>
  <si>
    <t>ｵｵｸﾎﾞ ｺｳﾍｲ</t>
  </si>
  <si>
    <t>近藤　隼人</t>
  </si>
  <si>
    <t>ｺﾝﾄﾞｳ ﾊﾔﾄ</t>
  </si>
  <si>
    <t>坂本　悠真</t>
  </si>
  <si>
    <t>ｻｶﾓﾄ ﾕｳﾏ</t>
  </si>
  <si>
    <t>沢井　泰士</t>
  </si>
  <si>
    <t>ｻﾜｲ ﾔｽｼ</t>
  </si>
  <si>
    <t>古尾　洸介</t>
  </si>
  <si>
    <t>ﾌﾙｵ ｺｳｽｹ</t>
  </si>
  <si>
    <t>山本　海翔</t>
  </si>
  <si>
    <t>ﾔﾏﾓﾄ ｶｲﾄ</t>
  </si>
  <si>
    <t>大平　海史</t>
  </si>
  <si>
    <t>ｵｵﾋﾗ ｶｲｼ</t>
  </si>
  <si>
    <t>UNO</t>
    <phoneticPr fontId="5"/>
  </si>
  <si>
    <t>Tomoki</t>
    <phoneticPr fontId="5"/>
  </si>
  <si>
    <t>ITO</t>
    <phoneticPr fontId="5"/>
  </si>
  <si>
    <t>Yasuharu</t>
    <phoneticPr fontId="5"/>
  </si>
  <si>
    <t>ODAGIRI</t>
    <phoneticPr fontId="5"/>
  </si>
  <si>
    <t>Takuma</t>
    <phoneticPr fontId="5"/>
  </si>
  <si>
    <t>ENOKI</t>
    <phoneticPr fontId="5"/>
  </si>
  <si>
    <t>Shota</t>
    <phoneticPr fontId="5"/>
  </si>
  <si>
    <t>EBISUYA</t>
    <phoneticPr fontId="5"/>
  </si>
  <si>
    <t>Yuichi</t>
    <phoneticPr fontId="5"/>
  </si>
  <si>
    <t>KOBATA</t>
    <phoneticPr fontId="5"/>
  </si>
  <si>
    <t>Takahiro</t>
    <phoneticPr fontId="5"/>
  </si>
  <si>
    <t>ICHIHASHI</t>
    <phoneticPr fontId="5"/>
  </si>
  <si>
    <t>Naoya</t>
    <phoneticPr fontId="5"/>
  </si>
  <si>
    <t>Sota</t>
    <phoneticPr fontId="5"/>
  </si>
  <si>
    <t>INOUE</t>
    <phoneticPr fontId="5"/>
  </si>
  <si>
    <t>Haya</t>
    <phoneticPr fontId="5"/>
  </si>
  <si>
    <t>OHATA</t>
    <phoneticPr fontId="5"/>
  </si>
  <si>
    <t>Shintaro</t>
    <phoneticPr fontId="5"/>
  </si>
  <si>
    <t>KAWABATA</t>
    <phoneticPr fontId="5"/>
  </si>
  <si>
    <t>Kaito</t>
    <phoneticPr fontId="5"/>
  </si>
  <si>
    <t>KUJIME</t>
    <phoneticPr fontId="5"/>
  </si>
  <si>
    <t>Yuga</t>
    <phoneticPr fontId="5"/>
  </si>
  <si>
    <t>KODAMA</t>
    <phoneticPr fontId="5"/>
  </si>
  <si>
    <t>Iki</t>
    <phoneticPr fontId="5"/>
  </si>
  <si>
    <t>NISHIO</t>
    <phoneticPr fontId="5"/>
  </si>
  <si>
    <t>Yusuke</t>
    <phoneticPr fontId="5"/>
  </si>
  <si>
    <t>NOMURA</t>
    <phoneticPr fontId="5"/>
  </si>
  <si>
    <t>Yuki</t>
    <phoneticPr fontId="5"/>
  </si>
  <si>
    <t>HIKOSAKA</t>
    <phoneticPr fontId="5"/>
  </si>
  <si>
    <t>Yohei</t>
    <phoneticPr fontId="5"/>
  </si>
  <si>
    <t>FUJIWARA</t>
    <phoneticPr fontId="5"/>
  </si>
  <si>
    <t>Masashi</t>
    <phoneticPr fontId="5"/>
  </si>
  <si>
    <t>MIZUNO</t>
    <phoneticPr fontId="5"/>
  </si>
  <si>
    <t>Syunsuke</t>
    <phoneticPr fontId="5"/>
  </si>
  <si>
    <t>MIYAKE</t>
    <phoneticPr fontId="5"/>
  </si>
  <si>
    <t>Hiroki</t>
    <phoneticPr fontId="5"/>
  </si>
  <si>
    <t>NISHITSUZI</t>
    <phoneticPr fontId="5"/>
  </si>
  <si>
    <t>Kazuki</t>
    <phoneticPr fontId="5"/>
  </si>
  <si>
    <t>KAWATA</t>
    <phoneticPr fontId="5"/>
  </si>
  <si>
    <t>Atsuto</t>
    <phoneticPr fontId="5"/>
  </si>
  <si>
    <t>KAWAKUBO</t>
    <phoneticPr fontId="5"/>
  </si>
  <si>
    <t>Tomohiro</t>
    <phoneticPr fontId="5"/>
  </si>
  <si>
    <t>KUSUMI</t>
    <phoneticPr fontId="5"/>
  </si>
  <si>
    <t>Keita</t>
    <phoneticPr fontId="5"/>
  </si>
  <si>
    <t>TSUMAGARI</t>
    <phoneticPr fontId="5"/>
  </si>
  <si>
    <t>NAKAJIMA</t>
    <phoneticPr fontId="5"/>
  </si>
  <si>
    <t>Yura</t>
    <phoneticPr fontId="5"/>
  </si>
  <si>
    <t>NARUMIYA</t>
    <phoneticPr fontId="5"/>
  </si>
  <si>
    <t>Takeshi</t>
    <phoneticPr fontId="5"/>
  </si>
  <si>
    <t>HASEGAWA</t>
    <phoneticPr fontId="5"/>
  </si>
  <si>
    <t>Haruki</t>
    <phoneticPr fontId="5"/>
  </si>
  <si>
    <t>FUKUOKA</t>
    <phoneticPr fontId="5"/>
  </si>
  <si>
    <t>Shuta</t>
    <phoneticPr fontId="5"/>
  </si>
  <si>
    <t>MASUKO</t>
    <phoneticPr fontId="5"/>
  </si>
  <si>
    <t>Ryohei</t>
    <phoneticPr fontId="5"/>
  </si>
  <si>
    <t>YOSHITOME</t>
    <phoneticPr fontId="5"/>
  </si>
  <si>
    <t>Ryota</t>
    <phoneticPr fontId="5"/>
  </si>
  <si>
    <t>AIZAWA</t>
    <phoneticPr fontId="5"/>
  </si>
  <si>
    <t>Junichiro</t>
    <phoneticPr fontId="5"/>
  </si>
  <si>
    <t>IWATA</t>
    <phoneticPr fontId="5"/>
  </si>
  <si>
    <t>Tomoya</t>
    <phoneticPr fontId="5"/>
  </si>
  <si>
    <t>TAKADA</t>
    <phoneticPr fontId="5"/>
  </si>
  <si>
    <t>Hiromichi</t>
    <phoneticPr fontId="5"/>
  </si>
  <si>
    <t>NAKAI</t>
    <phoneticPr fontId="5"/>
  </si>
  <si>
    <t>Koji</t>
    <phoneticPr fontId="5"/>
  </si>
  <si>
    <t>HATTORI</t>
    <phoneticPr fontId="5"/>
  </si>
  <si>
    <t>Masanobu</t>
    <phoneticPr fontId="5"/>
  </si>
  <si>
    <t>METOKI</t>
    <phoneticPr fontId="5"/>
  </si>
  <si>
    <t>Ryo</t>
    <phoneticPr fontId="5"/>
  </si>
  <si>
    <t>FUKUNAGA</t>
    <phoneticPr fontId="5"/>
  </si>
  <si>
    <t>IZUMI</t>
    <phoneticPr fontId="5"/>
  </si>
  <si>
    <t>Kazuma</t>
    <phoneticPr fontId="5"/>
  </si>
  <si>
    <t>Kota</t>
    <phoneticPr fontId="5"/>
  </si>
  <si>
    <t>ODA</t>
    <phoneticPr fontId="5"/>
  </si>
  <si>
    <t>INABA</t>
    <phoneticPr fontId="5"/>
  </si>
  <si>
    <t>Koshi</t>
    <phoneticPr fontId="5"/>
  </si>
  <si>
    <t>ENDO</t>
    <phoneticPr fontId="5"/>
  </si>
  <si>
    <t>Keito</t>
    <phoneticPr fontId="5"/>
  </si>
  <si>
    <t>OHARA</t>
    <phoneticPr fontId="5"/>
  </si>
  <si>
    <t>Kohei</t>
    <phoneticPr fontId="5"/>
  </si>
  <si>
    <t>KINOSHITA</t>
    <phoneticPr fontId="5"/>
  </si>
  <si>
    <t>KOIDE</t>
    <phoneticPr fontId="5"/>
  </si>
  <si>
    <t>Fumiya</t>
    <phoneticPr fontId="5"/>
  </si>
  <si>
    <t>SASAKI</t>
    <phoneticPr fontId="5"/>
  </si>
  <si>
    <t>Riku</t>
    <phoneticPr fontId="5"/>
  </si>
  <si>
    <t>SATO</t>
    <phoneticPr fontId="5"/>
  </si>
  <si>
    <t>Chihiro</t>
    <phoneticPr fontId="5"/>
  </si>
  <si>
    <t>SUGINO</t>
    <phoneticPr fontId="5"/>
  </si>
  <si>
    <t>SUGIMOTO</t>
    <phoneticPr fontId="5"/>
  </si>
  <si>
    <t>Daiki</t>
    <phoneticPr fontId="5"/>
  </si>
  <si>
    <t>SUZAKI</t>
    <phoneticPr fontId="5"/>
  </si>
  <si>
    <t>Masaya</t>
    <phoneticPr fontId="5"/>
  </si>
  <si>
    <t>TAKAHASHI</t>
    <phoneticPr fontId="5"/>
  </si>
  <si>
    <t>Maiya</t>
    <phoneticPr fontId="5"/>
  </si>
  <si>
    <t>TOYAMA</t>
    <phoneticPr fontId="5"/>
  </si>
  <si>
    <t>NAKAMURA</t>
    <phoneticPr fontId="5"/>
  </si>
  <si>
    <t>Ko</t>
    <phoneticPr fontId="5"/>
  </si>
  <si>
    <t>Takashi</t>
    <phoneticPr fontId="5"/>
  </si>
  <si>
    <t>HINO</t>
    <phoneticPr fontId="5"/>
  </si>
  <si>
    <t>Ryuki</t>
    <phoneticPr fontId="5"/>
  </si>
  <si>
    <t>HOTTA</t>
    <phoneticPr fontId="5"/>
  </si>
  <si>
    <t>Yuya</t>
    <phoneticPr fontId="5"/>
  </si>
  <si>
    <t>MEYA</t>
    <phoneticPr fontId="5"/>
  </si>
  <si>
    <t>Taisei</t>
    <phoneticPr fontId="5"/>
  </si>
  <si>
    <t>KAWACHI</t>
    <phoneticPr fontId="5"/>
  </si>
  <si>
    <t>Syuya</t>
    <phoneticPr fontId="5"/>
  </si>
  <si>
    <t>TAMURA</t>
    <phoneticPr fontId="5"/>
  </si>
  <si>
    <t>YOKOTA</t>
    <phoneticPr fontId="5"/>
  </si>
  <si>
    <t>Keisuke</t>
    <phoneticPr fontId="5"/>
  </si>
  <si>
    <t>TAKAKI</t>
    <phoneticPr fontId="5"/>
  </si>
  <si>
    <t>Kenta</t>
    <phoneticPr fontId="5"/>
  </si>
  <si>
    <t>WASHIO</t>
    <phoneticPr fontId="5"/>
  </si>
  <si>
    <t>Yuta</t>
    <phoneticPr fontId="5"/>
  </si>
  <si>
    <t>OKAI</t>
    <phoneticPr fontId="5"/>
  </si>
  <si>
    <t>SAHARA</t>
    <phoneticPr fontId="5"/>
  </si>
  <si>
    <t>Satsuki</t>
    <phoneticPr fontId="5"/>
  </si>
  <si>
    <t>SUGITA</t>
    <phoneticPr fontId="5"/>
  </si>
  <si>
    <t>Hikaru</t>
    <phoneticPr fontId="5"/>
  </si>
  <si>
    <t>NISHIMOTO</t>
    <phoneticPr fontId="5"/>
  </si>
  <si>
    <t>Ryotaro</t>
    <phoneticPr fontId="5"/>
  </si>
  <si>
    <t>Yoshifumi</t>
    <phoneticPr fontId="5"/>
  </si>
  <si>
    <t>HARUNA</t>
    <phoneticPr fontId="5"/>
  </si>
  <si>
    <t>Daichi</t>
    <phoneticPr fontId="5"/>
  </si>
  <si>
    <t>FUZIY</t>
    <phoneticPr fontId="5"/>
  </si>
  <si>
    <t>Lucas</t>
    <phoneticPr fontId="5"/>
  </si>
  <si>
    <t>MIYAZAKI</t>
    <phoneticPr fontId="5"/>
  </si>
  <si>
    <t>Tatsuya</t>
    <phoneticPr fontId="5"/>
  </si>
  <si>
    <t>IWASAKI</t>
    <phoneticPr fontId="5"/>
  </si>
  <si>
    <t>Shoma</t>
    <phoneticPr fontId="5"/>
  </si>
  <si>
    <t>HATANO</t>
    <phoneticPr fontId="5"/>
  </si>
  <si>
    <t>Koudai</t>
    <phoneticPr fontId="5"/>
  </si>
  <si>
    <t>MAEGAWA</t>
    <phoneticPr fontId="5"/>
  </si>
  <si>
    <t>Masayuki</t>
    <phoneticPr fontId="5"/>
  </si>
  <si>
    <t>NAGURA</t>
    <phoneticPr fontId="5"/>
  </si>
  <si>
    <t>Hiroto</t>
    <phoneticPr fontId="5"/>
  </si>
  <si>
    <t>IKEDA</t>
    <phoneticPr fontId="5"/>
  </si>
  <si>
    <t>Syoki</t>
    <phoneticPr fontId="5"/>
  </si>
  <si>
    <t>IWASE</t>
    <phoneticPr fontId="5"/>
  </si>
  <si>
    <t>SADAMORI</t>
    <phoneticPr fontId="5"/>
  </si>
  <si>
    <t>Ryusei</t>
    <phoneticPr fontId="5"/>
  </si>
  <si>
    <t>TANAKA</t>
    <phoneticPr fontId="5"/>
  </si>
  <si>
    <t>Yuzuru</t>
    <phoneticPr fontId="5"/>
  </si>
  <si>
    <t>HATA</t>
    <phoneticPr fontId="5"/>
  </si>
  <si>
    <t>Yushin</t>
    <phoneticPr fontId="5"/>
  </si>
  <si>
    <t>Masayoshi</t>
    <phoneticPr fontId="5"/>
  </si>
  <si>
    <t>HIRAMATSU</t>
    <phoneticPr fontId="5"/>
  </si>
  <si>
    <t>Koryu</t>
    <phoneticPr fontId="5"/>
  </si>
  <si>
    <t>MITA</t>
    <phoneticPr fontId="5"/>
  </si>
  <si>
    <t>MURAKAMI</t>
    <phoneticPr fontId="5"/>
  </si>
  <si>
    <t>Kairi</t>
    <phoneticPr fontId="5"/>
  </si>
  <si>
    <t>OKUNO</t>
    <phoneticPr fontId="5"/>
  </si>
  <si>
    <t>Kaoru</t>
    <phoneticPr fontId="5"/>
  </si>
  <si>
    <t>SUZUKI</t>
    <phoneticPr fontId="5"/>
  </si>
  <si>
    <t>Yuto</t>
    <phoneticPr fontId="5"/>
  </si>
  <si>
    <t>CHAKI</t>
    <phoneticPr fontId="5"/>
  </si>
  <si>
    <t>Kosuke</t>
    <phoneticPr fontId="5"/>
  </si>
  <si>
    <t>YONETANI</t>
    <phoneticPr fontId="5"/>
  </si>
  <si>
    <t xml:space="preserve">Haruki </t>
    <phoneticPr fontId="5"/>
  </si>
  <si>
    <t>ISOBE</t>
    <phoneticPr fontId="5"/>
  </si>
  <si>
    <t>Taichi</t>
    <phoneticPr fontId="5"/>
  </si>
  <si>
    <t>SAWADA</t>
    <phoneticPr fontId="5"/>
  </si>
  <si>
    <t>Hayato</t>
    <phoneticPr fontId="5"/>
  </si>
  <si>
    <t>AOKI</t>
    <phoneticPr fontId="5"/>
  </si>
  <si>
    <t>KAWAI</t>
    <phoneticPr fontId="5"/>
  </si>
  <si>
    <t>Yusaku</t>
    <phoneticPr fontId="5"/>
  </si>
  <si>
    <t xml:space="preserve">SAKAKIBARA </t>
    <phoneticPr fontId="5"/>
  </si>
  <si>
    <t>Keigo</t>
    <phoneticPr fontId="5"/>
  </si>
  <si>
    <t>Akinori</t>
    <phoneticPr fontId="5"/>
  </si>
  <si>
    <t>MASUDA</t>
    <phoneticPr fontId="5"/>
  </si>
  <si>
    <t>MISONO</t>
    <phoneticPr fontId="5"/>
  </si>
  <si>
    <t>INAFUKU</t>
    <phoneticPr fontId="5"/>
  </si>
  <si>
    <t>Hayate</t>
    <phoneticPr fontId="5"/>
  </si>
  <si>
    <t>Kentaro</t>
    <phoneticPr fontId="5"/>
  </si>
  <si>
    <t>MITSUOKA</t>
    <phoneticPr fontId="5"/>
  </si>
  <si>
    <t>Shohei</t>
    <phoneticPr fontId="5"/>
  </si>
  <si>
    <t>Taketo</t>
    <phoneticPr fontId="5"/>
  </si>
  <si>
    <t>UMEDA</t>
    <phoneticPr fontId="5"/>
  </si>
  <si>
    <t>Sakuya</t>
    <phoneticPr fontId="5"/>
  </si>
  <si>
    <t>YAMAMOTO</t>
    <phoneticPr fontId="5"/>
  </si>
  <si>
    <t>Rintaro</t>
    <phoneticPr fontId="5"/>
  </si>
  <si>
    <t>ABE</t>
    <phoneticPr fontId="5"/>
  </si>
  <si>
    <t>Koshiro</t>
    <phoneticPr fontId="5"/>
  </si>
  <si>
    <t xml:space="preserve">KAJI </t>
    <phoneticPr fontId="5"/>
  </si>
  <si>
    <t>KITAJIMA</t>
    <phoneticPr fontId="5"/>
  </si>
  <si>
    <t>Kafu</t>
    <phoneticPr fontId="5"/>
  </si>
  <si>
    <t>KOMATSUZAWA</t>
    <phoneticPr fontId="5"/>
  </si>
  <si>
    <t>SATAKE</t>
    <phoneticPr fontId="5"/>
  </si>
  <si>
    <t>Makoto</t>
    <phoneticPr fontId="5"/>
  </si>
  <si>
    <t>Yoshiki</t>
    <phoneticPr fontId="5"/>
  </si>
  <si>
    <t>NAGAI</t>
    <phoneticPr fontId="5"/>
  </si>
  <si>
    <t>HARA</t>
    <phoneticPr fontId="5"/>
  </si>
  <si>
    <t>Takumi</t>
    <phoneticPr fontId="5"/>
  </si>
  <si>
    <t>TAKAMATSU</t>
    <phoneticPr fontId="5"/>
  </si>
  <si>
    <t>TERASAKI</t>
    <phoneticPr fontId="5"/>
  </si>
  <si>
    <t>Takayoshi</t>
    <phoneticPr fontId="5"/>
  </si>
  <si>
    <t>YAMAKAWA</t>
    <phoneticPr fontId="5"/>
  </si>
  <si>
    <t>Koshin</t>
    <phoneticPr fontId="5"/>
  </si>
  <si>
    <t>FUZISAWA</t>
    <phoneticPr fontId="5"/>
  </si>
  <si>
    <t>Kenichi</t>
    <phoneticPr fontId="5"/>
  </si>
  <si>
    <t>TANIKAWA</t>
    <phoneticPr fontId="5"/>
  </si>
  <si>
    <t>OKAMURA</t>
    <phoneticPr fontId="5"/>
  </si>
  <si>
    <t>Keisyu</t>
    <phoneticPr fontId="5"/>
  </si>
  <si>
    <t>Kazu</t>
    <phoneticPr fontId="5"/>
  </si>
  <si>
    <t>Yuri</t>
    <phoneticPr fontId="5"/>
  </si>
  <si>
    <t>SAKURAI</t>
    <phoneticPr fontId="5"/>
  </si>
  <si>
    <t>Naoki</t>
    <phoneticPr fontId="5"/>
  </si>
  <si>
    <t>KAJIWARA</t>
    <phoneticPr fontId="5"/>
  </si>
  <si>
    <t>ISHIDA</t>
    <phoneticPr fontId="5"/>
  </si>
  <si>
    <t>Asuka</t>
    <phoneticPr fontId="5"/>
  </si>
  <si>
    <t>Shinsuke</t>
    <phoneticPr fontId="5"/>
  </si>
  <si>
    <t>Kakeru</t>
    <phoneticPr fontId="5"/>
  </si>
  <si>
    <t>TSUTSUMI</t>
    <phoneticPr fontId="5"/>
  </si>
  <si>
    <t>Koki</t>
    <phoneticPr fontId="5"/>
  </si>
  <si>
    <t>AOYAMA</t>
    <phoneticPr fontId="5"/>
  </si>
  <si>
    <t>KOMURA</t>
    <phoneticPr fontId="5"/>
  </si>
  <si>
    <t>Tatsuma</t>
    <phoneticPr fontId="5"/>
  </si>
  <si>
    <t>NIIGAWA</t>
    <phoneticPr fontId="5"/>
  </si>
  <si>
    <t>Syohei</t>
    <phoneticPr fontId="5"/>
  </si>
  <si>
    <t>SEGUCHI</t>
    <phoneticPr fontId="5"/>
  </si>
  <si>
    <t>Kai</t>
    <phoneticPr fontId="5"/>
  </si>
  <si>
    <t>OIZUMI</t>
    <phoneticPr fontId="5"/>
  </si>
  <si>
    <t>Syuntaro</t>
    <phoneticPr fontId="5"/>
  </si>
  <si>
    <t>OKUMURA</t>
    <phoneticPr fontId="5"/>
  </si>
  <si>
    <t>Atsumu</t>
    <phoneticPr fontId="5"/>
  </si>
  <si>
    <t>TAKABE</t>
    <phoneticPr fontId="5"/>
  </si>
  <si>
    <t>UCHIDA</t>
    <phoneticPr fontId="5"/>
  </si>
  <si>
    <t>Kotaro</t>
    <phoneticPr fontId="5"/>
  </si>
  <si>
    <t>YAMAGUCHI</t>
    <phoneticPr fontId="5"/>
  </si>
  <si>
    <t>Yotaro</t>
    <phoneticPr fontId="5"/>
  </si>
  <si>
    <t>Yuito</t>
    <phoneticPr fontId="5"/>
  </si>
  <si>
    <t>TATEMATSU</t>
    <phoneticPr fontId="5"/>
  </si>
  <si>
    <t>Koya</t>
    <phoneticPr fontId="5"/>
  </si>
  <si>
    <t xml:space="preserve">FUNAHASHI </t>
    <phoneticPr fontId="5"/>
  </si>
  <si>
    <t>KONDO</t>
    <phoneticPr fontId="5"/>
  </si>
  <si>
    <t>KIMURA</t>
    <phoneticPr fontId="5"/>
  </si>
  <si>
    <t>MAKINO</t>
    <phoneticPr fontId="5"/>
  </si>
  <si>
    <t>HIGUCHI</t>
    <phoneticPr fontId="5"/>
  </si>
  <si>
    <t>Tomokazu</t>
    <phoneticPr fontId="5"/>
  </si>
  <si>
    <t>Ryutaro</t>
    <phoneticPr fontId="5"/>
  </si>
  <si>
    <t>NAKAMOTO</t>
    <phoneticPr fontId="5"/>
  </si>
  <si>
    <t>YOSHIOKA</t>
    <phoneticPr fontId="5"/>
  </si>
  <si>
    <t>SAWAI</t>
    <phoneticPr fontId="5"/>
  </si>
  <si>
    <t>Keishi</t>
    <phoneticPr fontId="5"/>
  </si>
  <si>
    <t>AZUMA</t>
    <phoneticPr fontId="5"/>
  </si>
  <si>
    <t>Daikichi</t>
    <phoneticPr fontId="5"/>
  </si>
  <si>
    <t>MISU</t>
    <phoneticPr fontId="5"/>
  </si>
  <si>
    <t>MATSUSHITA</t>
    <phoneticPr fontId="5"/>
  </si>
  <si>
    <t>YAMADA</t>
    <phoneticPr fontId="5"/>
  </si>
  <si>
    <t>NISHIYAMA</t>
    <phoneticPr fontId="5"/>
  </si>
  <si>
    <t>OIDA</t>
    <phoneticPr fontId="5"/>
  </si>
  <si>
    <t>Shin</t>
    <phoneticPr fontId="5"/>
  </si>
  <si>
    <t>OCHIAI</t>
    <phoneticPr fontId="5"/>
  </si>
  <si>
    <t>Atsunori</t>
    <phoneticPr fontId="5"/>
  </si>
  <si>
    <t>OGUSU</t>
    <phoneticPr fontId="5"/>
  </si>
  <si>
    <t>Takaki</t>
    <phoneticPr fontId="5"/>
  </si>
  <si>
    <t>Yasuhito</t>
    <phoneticPr fontId="5"/>
  </si>
  <si>
    <t>Atsuya</t>
    <phoneticPr fontId="5"/>
  </si>
  <si>
    <t>KITAMURA</t>
    <phoneticPr fontId="5"/>
  </si>
  <si>
    <t>NAKAYAMA</t>
    <phoneticPr fontId="5"/>
  </si>
  <si>
    <t>MIYATA</t>
    <phoneticPr fontId="5"/>
  </si>
  <si>
    <t>TAKIKAWA</t>
    <phoneticPr fontId="5"/>
  </si>
  <si>
    <t>Shuhei</t>
    <phoneticPr fontId="5"/>
  </si>
  <si>
    <t>HARABAYASHI</t>
    <phoneticPr fontId="5"/>
  </si>
  <si>
    <t>KATSURAGI</t>
    <phoneticPr fontId="5"/>
  </si>
  <si>
    <t>Masanari</t>
    <phoneticPr fontId="5"/>
  </si>
  <si>
    <t>KOJIMA</t>
    <phoneticPr fontId="5"/>
  </si>
  <si>
    <t>Yuhei</t>
    <phoneticPr fontId="5"/>
  </si>
  <si>
    <t>MAEDA</t>
    <phoneticPr fontId="5"/>
  </si>
  <si>
    <t>KOBAYASHI</t>
    <phoneticPr fontId="5"/>
  </si>
  <si>
    <t>Kanta</t>
    <phoneticPr fontId="5"/>
  </si>
  <si>
    <t>FUKUYAMA</t>
    <phoneticPr fontId="5"/>
  </si>
  <si>
    <t>Toi</t>
    <phoneticPr fontId="5"/>
  </si>
  <si>
    <t>Masaaki</t>
    <phoneticPr fontId="5"/>
  </si>
  <si>
    <t>Takatora</t>
    <phoneticPr fontId="5"/>
  </si>
  <si>
    <t>MIURA</t>
    <phoneticPr fontId="5"/>
  </si>
  <si>
    <t>Shun</t>
    <phoneticPr fontId="5"/>
  </si>
  <si>
    <t>TAGUCHI</t>
    <phoneticPr fontId="5"/>
  </si>
  <si>
    <t>TSUCHIYA</t>
    <phoneticPr fontId="5"/>
  </si>
  <si>
    <t>Shoki</t>
    <phoneticPr fontId="5"/>
  </si>
  <si>
    <t>WATANABE</t>
    <phoneticPr fontId="5"/>
  </si>
  <si>
    <t>TAKENAKA</t>
    <phoneticPr fontId="5"/>
  </si>
  <si>
    <t>Mao</t>
    <phoneticPr fontId="5"/>
  </si>
  <si>
    <t>SAKAKIBARA</t>
    <phoneticPr fontId="5"/>
  </si>
  <si>
    <t>HASHINO</t>
    <phoneticPr fontId="5"/>
  </si>
  <si>
    <t>Mitsumasa</t>
    <phoneticPr fontId="5"/>
  </si>
  <si>
    <t>Shunta</t>
    <phoneticPr fontId="5"/>
  </si>
  <si>
    <t>KARIYA</t>
    <phoneticPr fontId="5"/>
  </si>
  <si>
    <t>Shinnosuke</t>
    <phoneticPr fontId="5"/>
  </si>
  <si>
    <t>KATO</t>
    <phoneticPr fontId="5"/>
  </si>
  <si>
    <t>Hidetoshi</t>
    <phoneticPr fontId="5"/>
  </si>
  <si>
    <t>FUKAYA</t>
    <phoneticPr fontId="5"/>
  </si>
  <si>
    <t>HARATA</t>
    <phoneticPr fontId="5"/>
  </si>
  <si>
    <t>HOSHINO</t>
    <phoneticPr fontId="5"/>
  </si>
  <si>
    <t xml:space="preserve">Shoya </t>
    <phoneticPr fontId="5"/>
  </si>
  <si>
    <t>NARUSE</t>
    <phoneticPr fontId="5"/>
  </si>
  <si>
    <t>Tomoaki</t>
    <phoneticPr fontId="5"/>
  </si>
  <si>
    <t>SAITOU</t>
    <phoneticPr fontId="5"/>
  </si>
  <si>
    <t xml:space="preserve">Kazuya </t>
    <phoneticPr fontId="5"/>
  </si>
  <si>
    <t xml:space="preserve">MATSUI </t>
    <phoneticPr fontId="5"/>
  </si>
  <si>
    <t>Yasato</t>
    <phoneticPr fontId="5"/>
  </si>
  <si>
    <t>ASAI</t>
    <phoneticPr fontId="5"/>
  </si>
  <si>
    <t>IWAMOTO</t>
    <phoneticPr fontId="5"/>
  </si>
  <si>
    <t>Takanori</t>
    <phoneticPr fontId="5"/>
  </si>
  <si>
    <t>NAKAYA</t>
    <phoneticPr fontId="5"/>
  </si>
  <si>
    <t>KATASHIMA</t>
    <phoneticPr fontId="5"/>
  </si>
  <si>
    <t>HAYAKAWA</t>
    <phoneticPr fontId="5"/>
  </si>
  <si>
    <t>SUGANUMA</t>
    <phoneticPr fontId="5"/>
  </si>
  <si>
    <t>Shutaro</t>
    <phoneticPr fontId="5"/>
  </si>
  <si>
    <t>MIWA</t>
    <phoneticPr fontId="5"/>
  </si>
  <si>
    <t>Kenji</t>
    <phoneticPr fontId="5"/>
  </si>
  <si>
    <t>UEMURA</t>
    <phoneticPr fontId="5"/>
  </si>
  <si>
    <t>KUBOTA</t>
    <phoneticPr fontId="5"/>
  </si>
  <si>
    <t>Gunjo</t>
    <phoneticPr fontId="5"/>
  </si>
  <si>
    <t>YOSHIMURA</t>
    <phoneticPr fontId="5"/>
  </si>
  <si>
    <t>Jinta</t>
    <phoneticPr fontId="5"/>
  </si>
  <si>
    <t>MASE</t>
    <phoneticPr fontId="5"/>
  </si>
  <si>
    <t>Soshi</t>
    <phoneticPr fontId="5"/>
  </si>
  <si>
    <t>ISHIKAWA</t>
    <phoneticPr fontId="5"/>
  </si>
  <si>
    <t>Yoichi</t>
    <phoneticPr fontId="5"/>
  </si>
  <si>
    <t>MIYAGAWA</t>
    <phoneticPr fontId="5"/>
  </si>
  <si>
    <t>SUGIURA</t>
    <phoneticPr fontId="5"/>
  </si>
  <si>
    <t>Fumiki</t>
    <phoneticPr fontId="5"/>
  </si>
  <si>
    <t>Daisuke</t>
    <phoneticPr fontId="5"/>
  </si>
  <si>
    <t>OKITA</t>
    <phoneticPr fontId="5"/>
  </si>
  <si>
    <t>KASHIWA</t>
    <phoneticPr fontId="5"/>
  </si>
  <si>
    <t>KATSURADA</t>
    <phoneticPr fontId="5"/>
  </si>
  <si>
    <t>Mizuki</t>
    <phoneticPr fontId="5"/>
  </si>
  <si>
    <t>KANEYAMA</t>
    <phoneticPr fontId="5"/>
  </si>
  <si>
    <t>Takayuki</t>
    <phoneticPr fontId="5"/>
  </si>
  <si>
    <t>SUGIYAMA</t>
    <phoneticPr fontId="5"/>
  </si>
  <si>
    <t>Ryogo</t>
    <phoneticPr fontId="5"/>
  </si>
  <si>
    <t>TANAHASHI</t>
    <phoneticPr fontId="5"/>
  </si>
  <si>
    <t>TSURU</t>
    <phoneticPr fontId="5"/>
  </si>
  <si>
    <t>Ryosuke</t>
    <phoneticPr fontId="5"/>
  </si>
  <si>
    <t>NOHARA</t>
    <phoneticPr fontId="5"/>
  </si>
  <si>
    <t>Renon</t>
    <phoneticPr fontId="5"/>
  </si>
  <si>
    <t>FUJISAWA</t>
    <phoneticPr fontId="5"/>
  </si>
  <si>
    <t>Yosuke</t>
    <phoneticPr fontId="5"/>
  </si>
  <si>
    <t>FUJIMOTO</t>
    <phoneticPr fontId="5"/>
  </si>
  <si>
    <t>Yujin</t>
    <phoneticPr fontId="5"/>
  </si>
  <si>
    <t>HORITA</t>
    <phoneticPr fontId="5"/>
  </si>
  <si>
    <t>Ayumu</t>
    <phoneticPr fontId="5"/>
  </si>
  <si>
    <t>MAEAWAKURA</t>
    <phoneticPr fontId="5"/>
  </si>
  <si>
    <t>MATSUMOTO</t>
    <phoneticPr fontId="5"/>
  </si>
  <si>
    <t>Ryoga</t>
    <phoneticPr fontId="5"/>
  </si>
  <si>
    <t>YAMAUCHI</t>
    <phoneticPr fontId="5"/>
  </si>
  <si>
    <t>Kenya</t>
    <phoneticPr fontId="5"/>
  </si>
  <si>
    <t>ASAKAWA</t>
    <phoneticPr fontId="5"/>
  </si>
  <si>
    <t>IJU</t>
    <phoneticPr fontId="5"/>
  </si>
  <si>
    <t>Seiya</t>
    <phoneticPr fontId="5"/>
  </si>
  <si>
    <t>IMACHI</t>
    <phoneticPr fontId="5"/>
  </si>
  <si>
    <t>UEDA</t>
    <phoneticPr fontId="5"/>
  </si>
  <si>
    <t>USUI</t>
    <phoneticPr fontId="5"/>
  </si>
  <si>
    <t>OSHIMA</t>
    <phoneticPr fontId="5"/>
  </si>
  <si>
    <t>Minoru</t>
    <phoneticPr fontId="5"/>
  </si>
  <si>
    <t>OKAZAKI</t>
    <phoneticPr fontId="5"/>
  </si>
  <si>
    <t>Taiga</t>
    <phoneticPr fontId="5"/>
  </si>
  <si>
    <t>KAWAMURA</t>
    <phoneticPr fontId="5"/>
  </si>
  <si>
    <t>Kosei</t>
    <phoneticPr fontId="5"/>
  </si>
  <si>
    <t>KIMOTO</t>
    <phoneticPr fontId="5"/>
  </si>
  <si>
    <t>Ryoji</t>
    <phoneticPr fontId="5"/>
  </si>
  <si>
    <t>SHIOMI</t>
    <phoneticPr fontId="5"/>
  </si>
  <si>
    <t>Ryuta</t>
    <phoneticPr fontId="5"/>
  </si>
  <si>
    <t>SUMI</t>
    <phoneticPr fontId="5"/>
  </si>
  <si>
    <t>Yasuhiro</t>
    <phoneticPr fontId="5"/>
  </si>
  <si>
    <t>TAKEMOTO</t>
    <phoneticPr fontId="5"/>
  </si>
  <si>
    <t>TACHIBANA</t>
    <phoneticPr fontId="5"/>
  </si>
  <si>
    <t>NAGAO</t>
    <phoneticPr fontId="5"/>
  </si>
  <si>
    <t>NAKASHIMA</t>
    <phoneticPr fontId="5"/>
  </si>
  <si>
    <t>Shinya</t>
    <phoneticPr fontId="5"/>
  </si>
  <si>
    <t>NAGINO</t>
    <phoneticPr fontId="5"/>
  </si>
  <si>
    <t>Kyosuke</t>
    <phoneticPr fontId="5"/>
  </si>
  <si>
    <t>NAHA</t>
    <phoneticPr fontId="5"/>
  </si>
  <si>
    <t>NODO</t>
    <phoneticPr fontId="5"/>
  </si>
  <si>
    <t>MIHO</t>
    <phoneticPr fontId="5"/>
  </si>
  <si>
    <t>Takamasa</t>
    <phoneticPr fontId="5"/>
  </si>
  <si>
    <t>MIYAJIMA</t>
    <phoneticPr fontId="5"/>
  </si>
  <si>
    <t>Shuri</t>
    <phoneticPr fontId="5"/>
  </si>
  <si>
    <t>Hiroyuki</t>
    <phoneticPr fontId="5"/>
  </si>
  <si>
    <t>Takuya</t>
    <phoneticPr fontId="5"/>
  </si>
  <si>
    <t>ESAKI</t>
    <phoneticPr fontId="5"/>
  </si>
  <si>
    <t>Sho</t>
    <phoneticPr fontId="5"/>
  </si>
  <si>
    <t>OKADA</t>
    <phoneticPr fontId="5"/>
  </si>
  <si>
    <t>Taiyo</t>
    <phoneticPr fontId="5"/>
  </si>
  <si>
    <t>OKUDA</t>
    <phoneticPr fontId="5"/>
  </si>
  <si>
    <t>OZAKI</t>
    <phoneticPr fontId="5"/>
  </si>
  <si>
    <t>Takane</t>
    <phoneticPr fontId="5"/>
  </si>
  <si>
    <t>Retsu</t>
    <phoneticPr fontId="5"/>
  </si>
  <si>
    <t>KODERA</t>
    <phoneticPr fontId="5"/>
  </si>
  <si>
    <t>Shuto</t>
    <phoneticPr fontId="5"/>
  </si>
  <si>
    <t>SHIBAGAKI</t>
    <phoneticPr fontId="5"/>
  </si>
  <si>
    <t>DOTO</t>
    <phoneticPr fontId="5"/>
  </si>
  <si>
    <t>NAKANO</t>
    <phoneticPr fontId="5"/>
  </si>
  <si>
    <t>Shunsaku</t>
    <phoneticPr fontId="5"/>
  </si>
  <si>
    <t>NOBUTO</t>
    <phoneticPr fontId="5"/>
  </si>
  <si>
    <t>Raiya</t>
    <phoneticPr fontId="5"/>
  </si>
  <si>
    <t>Ryuto</t>
    <phoneticPr fontId="5"/>
  </si>
  <si>
    <t>FUJII</t>
    <phoneticPr fontId="5"/>
  </si>
  <si>
    <t>Yuji</t>
    <phoneticPr fontId="5"/>
  </si>
  <si>
    <t xml:space="preserve">MATSUKAWA </t>
    <phoneticPr fontId="5"/>
  </si>
  <si>
    <t>Tetsuhiro</t>
    <phoneticPr fontId="5"/>
  </si>
  <si>
    <t>MUKOYAMA</t>
    <phoneticPr fontId="5"/>
  </si>
  <si>
    <t>YAMAZAKI</t>
    <phoneticPr fontId="5"/>
  </si>
  <si>
    <t>Shingo</t>
    <phoneticPr fontId="5"/>
  </si>
  <si>
    <t>ASANO</t>
    <phoneticPr fontId="5"/>
  </si>
  <si>
    <t>Shunsuke</t>
    <phoneticPr fontId="5"/>
  </si>
  <si>
    <t>Satoshi</t>
    <phoneticPr fontId="5"/>
  </si>
  <si>
    <t>HITANI</t>
    <phoneticPr fontId="5"/>
  </si>
  <si>
    <t>Shu</t>
    <phoneticPr fontId="5"/>
  </si>
  <si>
    <t>YAMASHIRO</t>
    <phoneticPr fontId="5"/>
  </si>
  <si>
    <t>ENOKAWA</t>
    <phoneticPr fontId="5"/>
  </si>
  <si>
    <t>OHASHI</t>
    <phoneticPr fontId="5"/>
  </si>
  <si>
    <t>KAMIKOGAWA</t>
    <phoneticPr fontId="5"/>
  </si>
  <si>
    <t>Riuki</t>
    <phoneticPr fontId="5"/>
  </si>
  <si>
    <t>NISHIBU</t>
    <phoneticPr fontId="5"/>
  </si>
  <si>
    <t>NISHIMURA</t>
    <phoneticPr fontId="5"/>
  </si>
  <si>
    <t>Shoya</t>
    <phoneticPr fontId="5"/>
  </si>
  <si>
    <t>TAKASHIMA</t>
    <phoneticPr fontId="5"/>
  </si>
  <si>
    <t>TAKAYA</t>
    <phoneticPr fontId="5"/>
  </si>
  <si>
    <t>TSUKAGOSHI</t>
    <phoneticPr fontId="5"/>
  </si>
  <si>
    <t>Yudai</t>
    <phoneticPr fontId="5"/>
  </si>
  <si>
    <t>NAKAO</t>
    <phoneticPr fontId="5"/>
  </si>
  <si>
    <t>Keiya</t>
    <phoneticPr fontId="5"/>
  </si>
  <si>
    <t>MURAMATU</t>
    <phoneticPr fontId="5"/>
  </si>
  <si>
    <t>Shunya</t>
    <phoneticPr fontId="5"/>
  </si>
  <si>
    <t>IZAWA</t>
    <phoneticPr fontId="5"/>
  </si>
  <si>
    <t>Aoi</t>
    <phoneticPr fontId="5"/>
  </si>
  <si>
    <t>UKAI</t>
    <phoneticPr fontId="5"/>
  </si>
  <si>
    <t>Ren</t>
    <phoneticPr fontId="5"/>
  </si>
  <si>
    <t>OSAKI</t>
    <phoneticPr fontId="5"/>
  </si>
  <si>
    <t>Sohei</t>
    <phoneticPr fontId="5"/>
  </si>
  <si>
    <t>HYODO</t>
    <phoneticPr fontId="5"/>
  </si>
  <si>
    <t>FURUICHI</t>
    <phoneticPr fontId="5"/>
  </si>
  <si>
    <t>HASIMOTO</t>
    <phoneticPr fontId="5"/>
  </si>
  <si>
    <t>KITAGAWA</t>
    <phoneticPr fontId="5"/>
  </si>
  <si>
    <t>Naoto</t>
    <phoneticPr fontId="5"/>
  </si>
  <si>
    <t>NAGASAKI</t>
    <phoneticPr fontId="5"/>
  </si>
  <si>
    <t>NONOGAKI</t>
    <phoneticPr fontId="5"/>
  </si>
  <si>
    <t>Keishin</t>
    <phoneticPr fontId="5"/>
  </si>
  <si>
    <t>YOSHIDA</t>
    <phoneticPr fontId="5"/>
  </si>
  <si>
    <t>Yasushi</t>
    <phoneticPr fontId="5"/>
  </si>
  <si>
    <t>Gota</t>
    <phoneticPr fontId="5"/>
  </si>
  <si>
    <t>YASUE</t>
    <phoneticPr fontId="5"/>
  </si>
  <si>
    <t>KITAZONO</t>
    <phoneticPr fontId="5"/>
  </si>
  <si>
    <t>KAWASHIMA</t>
    <phoneticPr fontId="5"/>
  </si>
  <si>
    <t>Taiki</t>
    <phoneticPr fontId="5"/>
  </si>
  <si>
    <t>TAGAWA</t>
    <phoneticPr fontId="5"/>
  </si>
  <si>
    <t>MATSUBARA</t>
    <phoneticPr fontId="5"/>
  </si>
  <si>
    <t>Syogo</t>
    <phoneticPr fontId="5"/>
  </si>
  <si>
    <t>Kensuke</t>
    <phoneticPr fontId="5"/>
  </si>
  <si>
    <t>ADACHI</t>
    <phoneticPr fontId="5"/>
  </si>
  <si>
    <t>Takaya</t>
    <phoneticPr fontId="5"/>
  </si>
  <si>
    <t>KASAI</t>
    <phoneticPr fontId="5"/>
  </si>
  <si>
    <t>HIOKI</t>
    <phoneticPr fontId="5"/>
  </si>
  <si>
    <t>Mikiya</t>
    <phoneticPr fontId="5"/>
  </si>
  <si>
    <t>AKAHANE</t>
    <phoneticPr fontId="5"/>
  </si>
  <si>
    <t>TANIGAWARA</t>
    <phoneticPr fontId="5"/>
  </si>
  <si>
    <t>Ryunosuke</t>
    <phoneticPr fontId="5"/>
  </si>
  <si>
    <t>MATSUI</t>
    <phoneticPr fontId="5"/>
  </si>
  <si>
    <t>Toshiaki</t>
    <phoneticPr fontId="5"/>
  </si>
  <si>
    <t>OGAWA</t>
    <phoneticPr fontId="5"/>
  </si>
  <si>
    <t>Yoshinari</t>
    <phoneticPr fontId="5"/>
  </si>
  <si>
    <t>FUKAMATSU</t>
    <phoneticPr fontId="5"/>
  </si>
  <si>
    <t>Yoshinori</t>
    <phoneticPr fontId="5"/>
  </si>
  <si>
    <t>WADA</t>
    <phoneticPr fontId="5"/>
  </si>
  <si>
    <t>ISHIHAMA</t>
    <phoneticPr fontId="5"/>
  </si>
  <si>
    <t>Toru</t>
    <phoneticPr fontId="5"/>
  </si>
  <si>
    <t>OSAMURA</t>
    <phoneticPr fontId="5"/>
  </si>
  <si>
    <t>OMURA</t>
    <phoneticPr fontId="5"/>
  </si>
  <si>
    <t>KAGEYAMA</t>
    <phoneticPr fontId="5"/>
  </si>
  <si>
    <t>Yu</t>
    <phoneticPr fontId="5"/>
  </si>
  <si>
    <t>UENO</t>
    <phoneticPr fontId="5"/>
  </si>
  <si>
    <t>Kensho</t>
    <phoneticPr fontId="5"/>
  </si>
  <si>
    <t>IZUHARA</t>
    <phoneticPr fontId="5"/>
  </si>
  <si>
    <t>Kebin</t>
    <phoneticPr fontId="5"/>
  </si>
  <si>
    <t>OKANO</t>
    <phoneticPr fontId="5"/>
  </si>
  <si>
    <t>KASAHARA</t>
    <phoneticPr fontId="5"/>
  </si>
  <si>
    <t>KUDOMI</t>
    <phoneticPr fontId="5"/>
  </si>
  <si>
    <t>Masahiro</t>
    <phoneticPr fontId="5"/>
  </si>
  <si>
    <t>SOMIYA</t>
    <phoneticPr fontId="5"/>
  </si>
  <si>
    <t>ISHIBASHI</t>
    <phoneticPr fontId="5"/>
  </si>
  <si>
    <t>Arata</t>
    <phoneticPr fontId="5"/>
  </si>
  <si>
    <t>Masato</t>
    <phoneticPr fontId="5"/>
  </si>
  <si>
    <t>TACHIKAWA</t>
    <phoneticPr fontId="5"/>
  </si>
  <si>
    <t>Nao</t>
    <phoneticPr fontId="5"/>
  </si>
  <si>
    <t>SAITO</t>
    <phoneticPr fontId="5"/>
  </si>
  <si>
    <t>TAJIMI</t>
    <phoneticPr fontId="5"/>
  </si>
  <si>
    <t>MORIYAMA</t>
    <phoneticPr fontId="5"/>
  </si>
  <si>
    <t>YAMANISHI</t>
    <phoneticPr fontId="5"/>
  </si>
  <si>
    <t>HIGASHIMORI</t>
    <phoneticPr fontId="5"/>
  </si>
  <si>
    <t>Natsuki</t>
    <phoneticPr fontId="5"/>
  </si>
  <si>
    <t>ANNOMAE</t>
    <phoneticPr fontId="5"/>
  </si>
  <si>
    <t>YOSHIYA</t>
    <phoneticPr fontId="5"/>
  </si>
  <si>
    <t>OYAMA</t>
    <phoneticPr fontId="5"/>
  </si>
  <si>
    <t>Yutaka</t>
    <phoneticPr fontId="5"/>
  </si>
  <si>
    <t>TOYOZUMI</t>
    <phoneticPr fontId="5"/>
  </si>
  <si>
    <t>HONDA</t>
    <phoneticPr fontId="5"/>
  </si>
  <si>
    <t>Motoi</t>
    <phoneticPr fontId="5"/>
  </si>
  <si>
    <t>Shuki</t>
    <phoneticPr fontId="5"/>
  </si>
  <si>
    <t>NAKANISHI</t>
    <phoneticPr fontId="5"/>
  </si>
  <si>
    <t>MITANI</t>
    <phoneticPr fontId="5"/>
  </si>
  <si>
    <t>MIMURA</t>
    <phoneticPr fontId="5"/>
  </si>
  <si>
    <t>Kenshi</t>
    <phoneticPr fontId="5"/>
  </si>
  <si>
    <t>YAMASHITA</t>
    <phoneticPr fontId="5"/>
  </si>
  <si>
    <t>Ryoma</t>
    <phoneticPr fontId="5"/>
  </si>
  <si>
    <t>ISODA</t>
    <phoneticPr fontId="5"/>
  </si>
  <si>
    <t>ONO</t>
    <phoneticPr fontId="5"/>
  </si>
  <si>
    <t>Maya</t>
    <phoneticPr fontId="5"/>
  </si>
  <si>
    <t>SAKAI</t>
    <phoneticPr fontId="5"/>
  </si>
  <si>
    <t>Hayata</t>
    <phoneticPr fontId="5"/>
  </si>
  <si>
    <t>MOTOI</t>
    <phoneticPr fontId="5"/>
  </si>
  <si>
    <t>KIYOTA</t>
    <phoneticPr fontId="5"/>
  </si>
  <si>
    <t>GOSHIMA</t>
    <phoneticPr fontId="5"/>
  </si>
  <si>
    <t>Kaisei</t>
    <phoneticPr fontId="5"/>
  </si>
  <si>
    <t>KOMIYAMA</t>
    <phoneticPr fontId="5"/>
  </si>
  <si>
    <t>Taishu</t>
    <phoneticPr fontId="5"/>
  </si>
  <si>
    <t>TANIGUCHI</t>
    <phoneticPr fontId="5"/>
  </si>
  <si>
    <t>HAMAGUCHI</t>
    <phoneticPr fontId="5"/>
  </si>
  <si>
    <t>Yusei</t>
    <phoneticPr fontId="5"/>
  </si>
  <si>
    <t>MATSUZUKI</t>
    <phoneticPr fontId="5"/>
  </si>
  <si>
    <t>YONEKAWA</t>
    <phoneticPr fontId="5"/>
  </si>
  <si>
    <t>KANAMORI</t>
    <phoneticPr fontId="5"/>
  </si>
  <si>
    <t>Kennosuke</t>
    <phoneticPr fontId="5"/>
  </si>
  <si>
    <t>KAMIMURA</t>
    <phoneticPr fontId="5"/>
  </si>
  <si>
    <t>KAWASE</t>
    <phoneticPr fontId="5"/>
  </si>
  <si>
    <t>KUWAYAMA</t>
    <phoneticPr fontId="5"/>
  </si>
  <si>
    <t>Fuya</t>
    <phoneticPr fontId="5"/>
  </si>
  <si>
    <t>TANABE</t>
    <phoneticPr fontId="5"/>
  </si>
  <si>
    <t>HIRAYAMA</t>
    <phoneticPr fontId="5"/>
  </si>
  <si>
    <t>MIYAGI</t>
    <phoneticPr fontId="5"/>
  </si>
  <si>
    <t>Hibiki</t>
    <phoneticPr fontId="5"/>
  </si>
  <si>
    <t>Motonori</t>
    <phoneticPr fontId="5"/>
  </si>
  <si>
    <t>Kiryu</t>
    <phoneticPr fontId="5"/>
  </si>
  <si>
    <t>HARADA</t>
    <phoneticPr fontId="5"/>
  </si>
  <si>
    <t>Tsubasa</t>
    <phoneticPr fontId="5"/>
  </si>
  <si>
    <t>SASATAKE</t>
    <phoneticPr fontId="5"/>
  </si>
  <si>
    <t>SHIBATA</t>
    <phoneticPr fontId="5"/>
  </si>
  <si>
    <t>Ryuichi</t>
    <phoneticPr fontId="5"/>
  </si>
  <si>
    <t>SHIMOMURA</t>
    <phoneticPr fontId="5"/>
  </si>
  <si>
    <t>TAKEUCHI</t>
    <phoneticPr fontId="5"/>
  </si>
  <si>
    <t>Keiichiro</t>
    <phoneticPr fontId="5"/>
  </si>
  <si>
    <t>DOHI</t>
    <phoneticPr fontId="5"/>
  </si>
  <si>
    <t>HANAI</t>
    <phoneticPr fontId="5"/>
  </si>
  <si>
    <t>Shusuke</t>
    <phoneticPr fontId="5"/>
  </si>
  <si>
    <t>MIYANO</t>
    <phoneticPr fontId="5"/>
  </si>
  <si>
    <t>Renya</t>
    <phoneticPr fontId="5"/>
  </si>
  <si>
    <t>MIYAMOTO</t>
    <phoneticPr fontId="5"/>
  </si>
  <si>
    <t xml:space="preserve">MURAI </t>
    <phoneticPr fontId="5"/>
  </si>
  <si>
    <t>Koyo</t>
    <phoneticPr fontId="5"/>
  </si>
  <si>
    <t>TSUTSUI</t>
    <phoneticPr fontId="5"/>
  </si>
  <si>
    <t>Katsumi</t>
    <phoneticPr fontId="5"/>
  </si>
  <si>
    <t>YAMANAKA</t>
    <phoneticPr fontId="5"/>
  </si>
  <si>
    <t>Masahumi</t>
    <phoneticPr fontId="5"/>
  </si>
  <si>
    <t>Hinata</t>
    <phoneticPr fontId="5"/>
  </si>
  <si>
    <t>KURACHI</t>
    <phoneticPr fontId="5"/>
  </si>
  <si>
    <t>Tatsuki</t>
    <phoneticPr fontId="5"/>
  </si>
  <si>
    <t>Kento</t>
    <phoneticPr fontId="5"/>
  </si>
  <si>
    <t>TAKEMURA</t>
    <phoneticPr fontId="5"/>
  </si>
  <si>
    <t>Soma</t>
    <phoneticPr fontId="5"/>
  </si>
  <si>
    <t>SAKAGUCHI</t>
    <phoneticPr fontId="5"/>
  </si>
  <si>
    <t>IKEUCHI</t>
    <phoneticPr fontId="5"/>
  </si>
  <si>
    <t>YOSHIKAWA</t>
    <phoneticPr fontId="5"/>
  </si>
  <si>
    <t>Tappei</t>
    <phoneticPr fontId="5"/>
  </si>
  <si>
    <t>SAKAMOTO</t>
    <phoneticPr fontId="5"/>
  </si>
  <si>
    <t>Tsunagu</t>
    <phoneticPr fontId="5"/>
  </si>
  <si>
    <t>ENOMOTO</t>
    <phoneticPr fontId="5"/>
  </si>
  <si>
    <t>OMI</t>
    <phoneticPr fontId="5"/>
  </si>
  <si>
    <t>NAKAZAWA</t>
    <phoneticPr fontId="5"/>
  </si>
  <si>
    <t>FUNAHASHI</t>
    <phoneticPr fontId="5"/>
  </si>
  <si>
    <t>Toshi</t>
    <phoneticPr fontId="5"/>
  </si>
  <si>
    <t>MORIZAWA</t>
    <phoneticPr fontId="5"/>
  </si>
  <si>
    <t>Toshiharu</t>
    <phoneticPr fontId="5"/>
  </si>
  <si>
    <t>Kimiyasu</t>
    <phoneticPr fontId="5"/>
  </si>
  <si>
    <t>Tasuku</t>
    <phoneticPr fontId="5"/>
  </si>
  <si>
    <t>UJITA</t>
    <phoneticPr fontId="5"/>
  </si>
  <si>
    <t>TSUDA</t>
    <phoneticPr fontId="5"/>
  </si>
  <si>
    <t>Masahito</t>
    <phoneticPr fontId="5"/>
  </si>
  <si>
    <t>Jinto</t>
    <phoneticPr fontId="5"/>
  </si>
  <si>
    <t>ARAKI</t>
    <phoneticPr fontId="5"/>
  </si>
  <si>
    <t>Shigetaka</t>
    <phoneticPr fontId="5"/>
  </si>
  <si>
    <t>INO</t>
    <phoneticPr fontId="5"/>
  </si>
  <si>
    <t>EGUCHI</t>
    <phoneticPr fontId="5"/>
  </si>
  <si>
    <t>Motohiro</t>
    <phoneticPr fontId="5"/>
  </si>
  <si>
    <t>OGO</t>
    <phoneticPr fontId="5"/>
  </si>
  <si>
    <t>Ryoya</t>
    <phoneticPr fontId="5"/>
  </si>
  <si>
    <t>OKAMOTO</t>
    <phoneticPr fontId="5"/>
  </si>
  <si>
    <t>Kimiya</t>
    <phoneticPr fontId="5"/>
  </si>
  <si>
    <t xml:space="preserve">KAWAI </t>
    <phoneticPr fontId="5"/>
  </si>
  <si>
    <t>Daishi</t>
    <phoneticPr fontId="5"/>
  </si>
  <si>
    <t>KOUNO</t>
    <phoneticPr fontId="5"/>
  </si>
  <si>
    <t>FUKAGAWA</t>
    <phoneticPr fontId="5"/>
  </si>
  <si>
    <t>Ibuki</t>
    <phoneticPr fontId="5"/>
  </si>
  <si>
    <t>Manamu</t>
    <phoneticPr fontId="5"/>
  </si>
  <si>
    <t>YODA</t>
    <phoneticPr fontId="5"/>
  </si>
  <si>
    <t>Shogo</t>
    <phoneticPr fontId="5"/>
  </si>
  <si>
    <t>TAKAGI</t>
    <phoneticPr fontId="5"/>
  </si>
  <si>
    <t>DAICHO</t>
    <phoneticPr fontId="5"/>
  </si>
  <si>
    <t>TSUKAMOTO</t>
    <phoneticPr fontId="5"/>
  </si>
  <si>
    <t>Bunta</t>
    <phoneticPr fontId="5"/>
  </si>
  <si>
    <t>MURAMATSU</t>
    <phoneticPr fontId="5"/>
  </si>
  <si>
    <t>Kazuya</t>
    <phoneticPr fontId="5"/>
  </si>
  <si>
    <t>TSUKUNO</t>
    <phoneticPr fontId="5"/>
  </si>
  <si>
    <t>OZAWA</t>
    <phoneticPr fontId="5"/>
  </si>
  <si>
    <t>OBATA</t>
    <phoneticPr fontId="5"/>
  </si>
  <si>
    <t>Eito</t>
    <phoneticPr fontId="5"/>
  </si>
  <si>
    <t>Yuuki</t>
    <phoneticPr fontId="5"/>
  </si>
  <si>
    <t>MATSUOKA</t>
    <phoneticPr fontId="5"/>
  </si>
  <si>
    <t>BABA</t>
    <phoneticPr fontId="5"/>
  </si>
  <si>
    <t>Takao</t>
    <phoneticPr fontId="5"/>
  </si>
  <si>
    <t>MATSUISHI</t>
    <phoneticPr fontId="5"/>
  </si>
  <si>
    <t>ISHIZUKA</t>
    <phoneticPr fontId="5"/>
  </si>
  <si>
    <t>ISHIMAKI</t>
    <phoneticPr fontId="5"/>
  </si>
  <si>
    <t>Yoshiya</t>
    <phoneticPr fontId="5"/>
  </si>
  <si>
    <t>OGASAWARA</t>
    <phoneticPr fontId="5"/>
  </si>
  <si>
    <t>KURATSUJI</t>
    <phoneticPr fontId="5"/>
  </si>
  <si>
    <t>Ken</t>
    <phoneticPr fontId="5"/>
  </si>
  <si>
    <t>SUGETA</t>
    <phoneticPr fontId="5"/>
  </si>
  <si>
    <t>Rui</t>
    <phoneticPr fontId="5"/>
  </si>
  <si>
    <t>Kaiki</t>
    <phoneticPr fontId="5"/>
  </si>
  <si>
    <t>UMETANI</t>
    <phoneticPr fontId="5"/>
  </si>
  <si>
    <t>TAKENO</t>
    <phoneticPr fontId="5"/>
  </si>
  <si>
    <t>TERAI</t>
    <phoneticPr fontId="5"/>
  </si>
  <si>
    <t>HORIUCHI</t>
    <phoneticPr fontId="5"/>
  </si>
  <si>
    <t>Tomotaka</t>
    <phoneticPr fontId="5"/>
  </si>
  <si>
    <t>Toshihiko</t>
    <phoneticPr fontId="5"/>
  </si>
  <si>
    <t>MATSUDA</t>
    <phoneticPr fontId="5"/>
  </si>
  <si>
    <t xml:space="preserve">HIRAMATSU </t>
    <phoneticPr fontId="5"/>
  </si>
  <si>
    <t>NIMI</t>
    <phoneticPr fontId="5"/>
  </si>
  <si>
    <t>Syugo</t>
    <phoneticPr fontId="5"/>
  </si>
  <si>
    <t>IMAMURA</t>
    <phoneticPr fontId="5"/>
  </si>
  <si>
    <t>Kasei</t>
    <phoneticPr fontId="5"/>
  </si>
  <si>
    <t>Mikio</t>
    <phoneticPr fontId="5"/>
  </si>
  <si>
    <t>AMAKAWA</t>
    <phoneticPr fontId="5"/>
  </si>
  <si>
    <t>Tsuyoshi</t>
    <phoneticPr fontId="5"/>
  </si>
  <si>
    <t>NEMOTO</t>
    <phoneticPr fontId="5"/>
  </si>
  <si>
    <t>WAKAHAMA</t>
    <phoneticPr fontId="5"/>
  </si>
  <si>
    <t xml:space="preserve">KATAYAMA </t>
    <phoneticPr fontId="5"/>
  </si>
  <si>
    <t>BANNO</t>
    <phoneticPr fontId="5"/>
  </si>
  <si>
    <t>TOKUE</t>
    <phoneticPr fontId="5"/>
  </si>
  <si>
    <t>OJI</t>
    <phoneticPr fontId="5"/>
  </si>
  <si>
    <t>Akito</t>
    <phoneticPr fontId="5"/>
  </si>
  <si>
    <t>KAKUTANI</t>
    <phoneticPr fontId="5"/>
  </si>
  <si>
    <t>Toshiya</t>
    <phoneticPr fontId="5"/>
  </si>
  <si>
    <t>KOSATO</t>
    <phoneticPr fontId="5"/>
  </si>
  <si>
    <t>Ryuya</t>
    <phoneticPr fontId="5"/>
  </si>
  <si>
    <t>Akihito</t>
    <phoneticPr fontId="5"/>
  </si>
  <si>
    <t>TAKATSUJI</t>
    <phoneticPr fontId="5"/>
  </si>
  <si>
    <t>IGUCHI</t>
    <phoneticPr fontId="5"/>
  </si>
  <si>
    <t>Sotaro</t>
    <phoneticPr fontId="5"/>
  </si>
  <si>
    <t>SAKATA</t>
    <phoneticPr fontId="5"/>
  </si>
  <si>
    <t>Rei</t>
    <phoneticPr fontId="5"/>
  </si>
  <si>
    <t>YOKOYAMA</t>
    <phoneticPr fontId="5"/>
  </si>
  <si>
    <t>SUEMOTO</t>
    <phoneticPr fontId="5"/>
  </si>
  <si>
    <t>Kousei</t>
    <phoneticPr fontId="5"/>
  </si>
  <si>
    <t>SEIKE</t>
    <phoneticPr fontId="5"/>
  </si>
  <si>
    <t>ISHIGAKI</t>
    <phoneticPr fontId="5"/>
  </si>
  <si>
    <t>Yoshito</t>
    <phoneticPr fontId="5"/>
  </si>
  <si>
    <t>NISHIMORI</t>
    <phoneticPr fontId="5"/>
  </si>
  <si>
    <t>Genki</t>
    <phoneticPr fontId="5"/>
  </si>
  <si>
    <t>KAMATA</t>
    <phoneticPr fontId="5"/>
  </si>
  <si>
    <t>Takeru</t>
    <phoneticPr fontId="5"/>
  </si>
  <si>
    <t>MARUYAMA</t>
    <phoneticPr fontId="5"/>
  </si>
  <si>
    <t>NAGASE</t>
    <phoneticPr fontId="5"/>
  </si>
  <si>
    <t>Itsuki</t>
    <phoneticPr fontId="5"/>
  </si>
  <si>
    <t xml:space="preserve">KANDA </t>
    <phoneticPr fontId="5"/>
  </si>
  <si>
    <t>Oki</t>
    <phoneticPr fontId="5"/>
  </si>
  <si>
    <t>KANEKO</t>
    <phoneticPr fontId="5"/>
  </si>
  <si>
    <t>Taira</t>
    <phoneticPr fontId="5"/>
  </si>
  <si>
    <t>AYUKAWA</t>
    <phoneticPr fontId="5"/>
  </si>
  <si>
    <t>Ritsu</t>
    <phoneticPr fontId="5"/>
  </si>
  <si>
    <t>II</t>
    <phoneticPr fontId="5"/>
  </si>
  <si>
    <t>Hiroaki</t>
    <phoneticPr fontId="5"/>
  </si>
  <si>
    <t>OZEKI</t>
    <phoneticPr fontId="5"/>
  </si>
  <si>
    <t>Kango</t>
    <phoneticPr fontId="5"/>
  </si>
  <si>
    <t>YAMATO</t>
    <phoneticPr fontId="5"/>
  </si>
  <si>
    <t>Hironori</t>
    <phoneticPr fontId="5"/>
  </si>
  <si>
    <t>YOKOCHI</t>
    <phoneticPr fontId="5"/>
  </si>
  <si>
    <t>Mochihiro</t>
    <phoneticPr fontId="5"/>
  </si>
  <si>
    <t>NAITO</t>
    <phoneticPr fontId="5"/>
  </si>
  <si>
    <t>Ryujin</t>
    <phoneticPr fontId="5"/>
  </si>
  <si>
    <t>HISHIDA</t>
    <phoneticPr fontId="5"/>
  </si>
  <si>
    <t>Yunosuke</t>
    <phoneticPr fontId="5"/>
  </si>
  <si>
    <t>KAWAGUCHI</t>
    <phoneticPr fontId="5"/>
  </si>
  <si>
    <t>Takehiro</t>
    <phoneticPr fontId="5"/>
  </si>
  <si>
    <t>SAGO</t>
    <phoneticPr fontId="5"/>
  </si>
  <si>
    <t>Soto</t>
    <phoneticPr fontId="5"/>
  </si>
  <si>
    <t>Haruhi</t>
    <phoneticPr fontId="5"/>
  </si>
  <si>
    <t>NIWA</t>
    <phoneticPr fontId="5"/>
  </si>
  <si>
    <t>Akira</t>
    <phoneticPr fontId="5"/>
  </si>
  <si>
    <t xml:space="preserve">MAKISAKO </t>
    <phoneticPr fontId="5"/>
  </si>
  <si>
    <t>BAN</t>
    <phoneticPr fontId="5"/>
  </si>
  <si>
    <t>GOTO</t>
    <phoneticPr fontId="5"/>
  </si>
  <si>
    <t>MORI</t>
    <phoneticPr fontId="5"/>
  </si>
  <si>
    <t>MARUCHI</t>
    <phoneticPr fontId="5"/>
  </si>
  <si>
    <t>YASUI</t>
    <phoneticPr fontId="5"/>
  </si>
  <si>
    <t>TORII</t>
    <phoneticPr fontId="5"/>
  </si>
  <si>
    <t>OE</t>
    <phoneticPr fontId="5"/>
  </si>
  <si>
    <t>IIDA</t>
    <phoneticPr fontId="5"/>
  </si>
  <si>
    <t>SHIGETA</t>
    <phoneticPr fontId="5"/>
  </si>
  <si>
    <t>Naotaka</t>
    <phoneticPr fontId="5"/>
  </si>
  <si>
    <t>MORIKAWA</t>
    <phoneticPr fontId="5"/>
  </si>
  <si>
    <t>Haruyuki</t>
    <phoneticPr fontId="5"/>
  </si>
  <si>
    <t>KAMINO</t>
    <phoneticPr fontId="5"/>
  </si>
  <si>
    <t>Etsutaro</t>
    <phoneticPr fontId="5"/>
  </si>
  <si>
    <t>Atsuki</t>
    <phoneticPr fontId="5"/>
  </si>
  <si>
    <t>SOMA</t>
    <phoneticPr fontId="5"/>
  </si>
  <si>
    <t>MEGA</t>
    <phoneticPr fontId="5"/>
  </si>
  <si>
    <t>MIYAHARA</t>
    <phoneticPr fontId="5"/>
  </si>
  <si>
    <t>SUWA</t>
    <phoneticPr fontId="5"/>
  </si>
  <si>
    <t>FUKATSU</t>
    <phoneticPr fontId="5"/>
  </si>
  <si>
    <t>Yoshihito</t>
    <phoneticPr fontId="5"/>
  </si>
  <si>
    <t>HARAYA</t>
    <phoneticPr fontId="5"/>
  </si>
  <si>
    <t>Seiryu</t>
    <phoneticPr fontId="5"/>
  </si>
  <si>
    <t>KUNISHI</t>
    <phoneticPr fontId="5"/>
  </si>
  <si>
    <t>UGA</t>
    <phoneticPr fontId="5"/>
  </si>
  <si>
    <t>Motoki</t>
    <phoneticPr fontId="5"/>
  </si>
  <si>
    <t>KATTA</t>
    <phoneticPr fontId="5"/>
  </si>
  <si>
    <t>Tetsufumi</t>
    <phoneticPr fontId="5"/>
  </si>
  <si>
    <t>Tatsuhiko</t>
    <phoneticPr fontId="5"/>
  </si>
  <si>
    <t>Noa</t>
    <phoneticPr fontId="5"/>
  </si>
  <si>
    <t>MORISHITA</t>
    <phoneticPr fontId="5"/>
  </si>
  <si>
    <t>Hiromitsu</t>
    <phoneticPr fontId="5"/>
  </si>
  <si>
    <t>SHINKAI</t>
    <phoneticPr fontId="5"/>
  </si>
  <si>
    <t>SAKAYORI</t>
    <phoneticPr fontId="5"/>
  </si>
  <si>
    <t>SEKINO</t>
    <phoneticPr fontId="5"/>
  </si>
  <si>
    <t>AMAIKE</t>
    <phoneticPr fontId="5"/>
  </si>
  <si>
    <t>KAWAKAMI</t>
    <phoneticPr fontId="5"/>
  </si>
  <si>
    <t>Chikara</t>
    <phoneticPr fontId="5"/>
  </si>
  <si>
    <t>UMEMOTO</t>
    <phoneticPr fontId="5"/>
  </si>
  <si>
    <t>Tomohide</t>
    <phoneticPr fontId="5"/>
  </si>
  <si>
    <t>TOMITA</t>
    <phoneticPr fontId="5"/>
  </si>
  <si>
    <t>OKIJIMA</t>
    <phoneticPr fontId="5"/>
  </si>
  <si>
    <t>TOMIDA</t>
    <phoneticPr fontId="5"/>
  </si>
  <si>
    <t>KANEDA</t>
    <phoneticPr fontId="5"/>
  </si>
  <si>
    <t>Junya</t>
    <phoneticPr fontId="5"/>
  </si>
  <si>
    <t>YAMAHARA</t>
    <phoneticPr fontId="5"/>
  </si>
  <si>
    <t>Nobuhito</t>
    <phoneticPr fontId="5"/>
  </si>
  <si>
    <t>AWATA</t>
    <phoneticPr fontId="5"/>
  </si>
  <si>
    <t>KOYAMA</t>
    <phoneticPr fontId="5"/>
  </si>
  <si>
    <t>Wataru</t>
    <phoneticPr fontId="5"/>
  </si>
  <si>
    <t>KOZAKAI</t>
    <phoneticPr fontId="5"/>
  </si>
  <si>
    <t>Katsuya</t>
    <phoneticPr fontId="5"/>
  </si>
  <si>
    <t>IMAOKA</t>
    <phoneticPr fontId="5"/>
  </si>
  <si>
    <t>KIYOHARA</t>
    <phoneticPr fontId="5"/>
  </si>
  <si>
    <t>SUMIYA</t>
    <phoneticPr fontId="5"/>
  </si>
  <si>
    <t>HARIU</t>
    <phoneticPr fontId="5"/>
  </si>
  <si>
    <t>IWAI</t>
    <phoneticPr fontId="5"/>
  </si>
  <si>
    <t>YOKOI</t>
    <phoneticPr fontId="5"/>
  </si>
  <si>
    <t>TAGA</t>
    <phoneticPr fontId="5"/>
  </si>
  <si>
    <t>Yuma</t>
    <phoneticPr fontId="5"/>
  </si>
  <si>
    <t>MATANO</t>
    <phoneticPr fontId="5"/>
  </si>
  <si>
    <t>YAGYU</t>
    <phoneticPr fontId="5"/>
  </si>
  <si>
    <t>Kenshin</t>
    <phoneticPr fontId="5"/>
  </si>
  <si>
    <t>HARUKI</t>
    <phoneticPr fontId="5"/>
  </si>
  <si>
    <t>Kei</t>
    <phoneticPr fontId="5"/>
  </si>
  <si>
    <t>KURA</t>
    <phoneticPr fontId="5"/>
  </si>
  <si>
    <t>MACHIDA</t>
    <phoneticPr fontId="5"/>
  </si>
  <si>
    <t>Gen</t>
    <phoneticPr fontId="5"/>
  </si>
  <si>
    <t>FUJI</t>
    <phoneticPr fontId="5"/>
  </si>
  <si>
    <t>SANMA</t>
    <phoneticPr fontId="5"/>
  </si>
  <si>
    <t>Kyohei</t>
    <phoneticPr fontId="5"/>
  </si>
  <si>
    <t>SOGA</t>
    <phoneticPr fontId="5"/>
  </si>
  <si>
    <t>Tsukasa</t>
    <phoneticPr fontId="5"/>
  </si>
  <si>
    <t>Syoya</t>
    <phoneticPr fontId="5"/>
  </si>
  <si>
    <t>Katsuki</t>
    <phoneticPr fontId="5"/>
  </si>
  <si>
    <t>MITSUKI</t>
    <phoneticPr fontId="5"/>
  </si>
  <si>
    <t>Keiryu</t>
    <phoneticPr fontId="5"/>
  </si>
  <si>
    <t>ICHIRYU</t>
    <phoneticPr fontId="5"/>
  </si>
  <si>
    <t>Rin</t>
    <phoneticPr fontId="5"/>
  </si>
  <si>
    <t>KONISHI</t>
    <phoneticPr fontId="5"/>
  </si>
  <si>
    <t>TAMI</t>
    <phoneticPr fontId="5"/>
  </si>
  <si>
    <t>Satoru</t>
    <phoneticPr fontId="5"/>
  </si>
  <si>
    <t>NAKAGAWA</t>
    <phoneticPr fontId="5"/>
  </si>
  <si>
    <t>Sorachi</t>
    <phoneticPr fontId="5"/>
  </si>
  <si>
    <t>HOSOKI</t>
    <phoneticPr fontId="5"/>
  </si>
  <si>
    <t>FUJIYA</t>
    <phoneticPr fontId="5"/>
  </si>
  <si>
    <t>KYODO</t>
    <phoneticPr fontId="5"/>
  </si>
  <si>
    <t>NOSE</t>
    <phoneticPr fontId="5"/>
  </si>
  <si>
    <t>Toshihiro</t>
    <phoneticPr fontId="5"/>
  </si>
  <si>
    <t>ANDO</t>
    <phoneticPr fontId="5"/>
  </si>
  <si>
    <t>Hideaki</t>
    <phoneticPr fontId="5"/>
  </si>
  <si>
    <t>AMANO</t>
    <phoneticPr fontId="5"/>
  </si>
  <si>
    <t>Shosei</t>
    <phoneticPr fontId="5"/>
  </si>
  <si>
    <t>TANDA</t>
    <phoneticPr fontId="5"/>
  </si>
  <si>
    <t>KUNO</t>
    <phoneticPr fontId="5"/>
  </si>
  <si>
    <t>Gakuto</t>
    <phoneticPr fontId="5"/>
  </si>
  <si>
    <t>KOMATSU</t>
    <phoneticPr fontId="5"/>
  </si>
  <si>
    <t>Tosiki</t>
    <phoneticPr fontId="5"/>
  </si>
  <si>
    <t>KOUDUKA</t>
    <phoneticPr fontId="5"/>
  </si>
  <si>
    <t>Kazuaki</t>
    <phoneticPr fontId="5"/>
  </si>
  <si>
    <t>Ayato</t>
    <phoneticPr fontId="5"/>
  </si>
  <si>
    <t>KONO</t>
    <phoneticPr fontId="5"/>
  </si>
  <si>
    <t>TAKAI</t>
    <phoneticPr fontId="5"/>
  </si>
  <si>
    <t>MOTOMURA</t>
    <phoneticPr fontId="5"/>
  </si>
  <si>
    <t>Jun</t>
    <phoneticPr fontId="5"/>
  </si>
  <si>
    <t>KAMIHATA</t>
    <phoneticPr fontId="5"/>
  </si>
  <si>
    <t>Takato</t>
    <phoneticPr fontId="5"/>
  </si>
  <si>
    <t>Seiki</t>
    <phoneticPr fontId="5"/>
  </si>
  <si>
    <t xml:space="preserve">ISOGAWA </t>
    <phoneticPr fontId="5"/>
  </si>
  <si>
    <t>Ao</t>
    <phoneticPr fontId="5"/>
  </si>
  <si>
    <t>UMEMURA</t>
    <phoneticPr fontId="5"/>
  </si>
  <si>
    <t>OSAWA</t>
    <phoneticPr fontId="5"/>
  </si>
  <si>
    <t>Kengo</t>
    <phoneticPr fontId="5"/>
  </si>
  <si>
    <t>KAWATSU</t>
    <phoneticPr fontId="5"/>
  </si>
  <si>
    <t>NABESHIMA</t>
    <phoneticPr fontId="5"/>
  </si>
  <si>
    <t>HOSOYA</t>
    <phoneticPr fontId="5"/>
  </si>
  <si>
    <t>MURAYAMA</t>
    <phoneticPr fontId="5"/>
  </si>
  <si>
    <t>Tomonori</t>
    <phoneticPr fontId="5"/>
  </si>
  <si>
    <t>KOIKE</t>
    <phoneticPr fontId="5"/>
  </si>
  <si>
    <t>Daiji</t>
    <phoneticPr fontId="5"/>
  </si>
  <si>
    <t>Nobutoyo</t>
    <phoneticPr fontId="5"/>
  </si>
  <si>
    <t>Takuto</t>
    <phoneticPr fontId="5"/>
  </si>
  <si>
    <t>HIRAI</t>
    <phoneticPr fontId="5"/>
  </si>
  <si>
    <t>KATAGIRI</t>
    <phoneticPr fontId="5"/>
  </si>
  <si>
    <t>ITAKURA</t>
    <phoneticPr fontId="5"/>
  </si>
  <si>
    <t>IDE</t>
    <phoneticPr fontId="5"/>
  </si>
  <si>
    <t>OWAKI</t>
    <phoneticPr fontId="5"/>
  </si>
  <si>
    <t>ISHIZU</t>
    <phoneticPr fontId="5"/>
  </si>
  <si>
    <t>MORIOKA</t>
    <phoneticPr fontId="5"/>
  </si>
  <si>
    <t>Takafumi</t>
    <phoneticPr fontId="5"/>
  </si>
  <si>
    <t>MITSUI</t>
    <phoneticPr fontId="5"/>
  </si>
  <si>
    <t>Leo</t>
    <phoneticPr fontId="5"/>
  </si>
  <si>
    <t>ISHIHARA</t>
    <phoneticPr fontId="5"/>
  </si>
  <si>
    <t>Teruchika</t>
    <phoneticPr fontId="5"/>
  </si>
  <si>
    <t>NAKADA</t>
    <phoneticPr fontId="5"/>
  </si>
  <si>
    <t>FUJITA</t>
    <phoneticPr fontId="5"/>
  </si>
  <si>
    <t>SHINGU</t>
    <phoneticPr fontId="5"/>
  </si>
  <si>
    <t>Yoshihiro</t>
    <phoneticPr fontId="5"/>
  </si>
  <si>
    <t>SHIMIZU</t>
    <phoneticPr fontId="5"/>
  </si>
  <si>
    <t>Kenichiro</t>
    <phoneticPr fontId="5"/>
  </si>
  <si>
    <t>MIZUKOSI</t>
    <phoneticPr fontId="5"/>
  </si>
  <si>
    <t>Asahi</t>
    <phoneticPr fontId="5"/>
  </si>
  <si>
    <t>UOURA</t>
    <phoneticPr fontId="5"/>
  </si>
  <si>
    <t>Junomarde</t>
    <phoneticPr fontId="5"/>
  </si>
  <si>
    <t>Rai</t>
    <phoneticPr fontId="5"/>
  </si>
  <si>
    <t>TAHARA</t>
    <phoneticPr fontId="5"/>
  </si>
  <si>
    <t>FURUKAWA</t>
    <phoneticPr fontId="5"/>
  </si>
  <si>
    <t>CHINEN</t>
    <phoneticPr fontId="5"/>
  </si>
  <si>
    <t>Saeru</t>
    <phoneticPr fontId="5"/>
  </si>
  <si>
    <t>Hidetaro</t>
    <phoneticPr fontId="5"/>
  </si>
  <si>
    <t>UWATOKO</t>
    <phoneticPr fontId="5"/>
  </si>
  <si>
    <t xml:space="preserve">OGAWA </t>
    <phoneticPr fontId="5"/>
  </si>
  <si>
    <t>Henrique</t>
    <phoneticPr fontId="5"/>
  </si>
  <si>
    <t>Shoei</t>
    <phoneticPr fontId="5"/>
  </si>
  <si>
    <t>SANO</t>
    <phoneticPr fontId="5"/>
  </si>
  <si>
    <t>Reimu</t>
    <phoneticPr fontId="5"/>
  </si>
  <si>
    <t>TAMIYA</t>
    <phoneticPr fontId="5"/>
  </si>
  <si>
    <t>TSUKAHARA</t>
    <phoneticPr fontId="5"/>
  </si>
  <si>
    <t>Sera</t>
    <phoneticPr fontId="5"/>
  </si>
  <si>
    <t>Shigetora</t>
    <phoneticPr fontId="5"/>
  </si>
  <si>
    <t>TOISAKA</t>
    <phoneticPr fontId="5"/>
  </si>
  <si>
    <t>NAKAGITA</t>
    <phoneticPr fontId="5"/>
  </si>
  <si>
    <t>HAYASHI</t>
    <phoneticPr fontId="5"/>
  </si>
  <si>
    <t>Natsuya</t>
    <phoneticPr fontId="5"/>
  </si>
  <si>
    <t>HOSHI</t>
    <phoneticPr fontId="5"/>
  </si>
  <si>
    <t>MATSUO</t>
    <phoneticPr fontId="5"/>
  </si>
  <si>
    <t>Seito</t>
    <phoneticPr fontId="5"/>
  </si>
  <si>
    <t>YAMAMURA</t>
    <phoneticPr fontId="5"/>
  </si>
  <si>
    <t>Raita</t>
    <phoneticPr fontId="5"/>
  </si>
  <si>
    <t>SAOTOME</t>
    <phoneticPr fontId="5"/>
  </si>
  <si>
    <t>Ryoichi</t>
    <phoneticPr fontId="5"/>
  </si>
  <si>
    <t>Yutaro</t>
    <phoneticPr fontId="5"/>
  </si>
  <si>
    <t>YASUDA</t>
    <phoneticPr fontId="5"/>
  </si>
  <si>
    <t>Sora</t>
    <phoneticPr fontId="5"/>
  </si>
  <si>
    <t>ISHIGURO</t>
    <phoneticPr fontId="5"/>
  </si>
  <si>
    <t>KABAZAWA</t>
    <phoneticPr fontId="5"/>
  </si>
  <si>
    <t>KENMOTSU</t>
    <phoneticPr fontId="5"/>
  </si>
  <si>
    <t>Towa</t>
    <phoneticPr fontId="5"/>
  </si>
  <si>
    <t>TSUJIMURA</t>
    <phoneticPr fontId="5"/>
  </si>
  <si>
    <t>TOKIMITSU</t>
    <phoneticPr fontId="5"/>
  </si>
  <si>
    <t>MURASE</t>
    <phoneticPr fontId="5"/>
  </si>
  <si>
    <t>Koyu</t>
    <phoneticPr fontId="5"/>
  </si>
  <si>
    <t>Hiromu</t>
    <phoneticPr fontId="5"/>
  </si>
  <si>
    <t>SUGAYA</t>
    <phoneticPr fontId="5"/>
  </si>
  <si>
    <t>Hiroshi</t>
    <phoneticPr fontId="5"/>
  </si>
  <si>
    <t xml:space="preserve">AZUMA </t>
    <phoneticPr fontId="5"/>
  </si>
  <si>
    <t>ISA</t>
    <phoneticPr fontId="5"/>
  </si>
  <si>
    <t>KURODA</t>
    <phoneticPr fontId="5"/>
  </si>
  <si>
    <t>Haruto</t>
    <phoneticPr fontId="5"/>
  </si>
  <si>
    <t>Masakazu</t>
    <phoneticPr fontId="5"/>
  </si>
  <si>
    <t>OKUBO</t>
    <phoneticPr fontId="5"/>
  </si>
  <si>
    <t>Kikyo</t>
    <phoneticPr fontId="5"/>
  </si>
  <si>
    <t>TORIYAMA</t>
    <phoneticPr fontId="5"/>
  </si>
  <si>
    <t>NISHIOKA</t>
    <phoneticPr fontId="5"/>
  </si>
  <si>
    <t>MEDINA</t>
    <phoneticPr fontId="5"/>
  </si>
  <si>
    <t>Samiru</t>
    <phoneticPr fontId="5"/>
  </si>
  <si>
    <t>TOMATSU</t>
    <phoneticPr fontId="5"/>
  </si>
  <si>
    <t>TOYODA</t>
    <phoneticPr fontId="5"/>
  </si>
  <si>
    <t xml:space="preserve">NISHIKAWA </t>
    <phoneticPr fontId="5"/>
  </si>
  <si>
    <t>NODA</t>
    <phoneticPr fontId="5"/>
  </si>
  <si>
    <t>Ryosei</t>
    <phoneticPr fontId="5"/>
  </si>
  <si>
    <t>Toki</t>
    <phoneticPr fontId="5"/>
  </si>
  <si>
    <t>WANI</t>
    <phoneticPr fontId="5"/>
  </si>
  <si>
    <t>Koga</t>
    <phoneticPr fontId="5"/>
  </si>
  <si>
    <t>Masaki</t>
    <phoneticPr fontId="5"/>
  </si>
  <si>
    <t>KURUMAMOTO</t>
    <phoneticPr fontId="5"/>
  </si>
  <si>
    <t>Togo</t>
    <phoneticPr fontId="5"/>
  </si>
  <si>
    <t>NAGAYANAGI</t>
    <phoneticPr fontId="5"/>
  </si>
  <si>
    <t>HIRATA</t>
    <phoneticPr fontId="5"/>
  </si>
  <si>
    <t>FUKUDA</t>
    <phoneticPr fontId="5"/>
  </si>
  <si>
    <t>Junichi</t>
    <phoneticPr fontId="5"/>
  </si>
  <si>
    <t>MIZOGUCHI</t>
    <phoneticPr fontId="5"/>
  </si>
  <si>
    <t>Hironao</t>
    <phoneticPr fontId="5"/>
  </si>
  <si>
    <t>IKUMA</t>
    <phoneticPr fontId="5"/>
  </si>
  <si>
    <t>KISHI</t>
    <phoneticPr fontId="5"/>
  </si>
  <si>
    <t>Reo</t>
    <phoneticPr fontId="5"/>
  </si>
  <si>
    <t>Toshiki</t>
    <phoneticPr fontId="5"/>
  </si>
  <si>
    <t>Taro</t>
    <phoneticPr fontId="5"/>
  </si>
  <si>
    <t>MATSUEDA</t>
    <phoneticPr fontId="5"/>
  </si>
  <si>
    <t>Hisashi</t>
    <phoneticPr fontId="5"/>
  </si>
  <si>
    <t xml:space="preserve">OKUBO </t>
    <phoneticPr fontId="5"/>
  </si>
  <si>
    <t>MAEHATA</t>
    <phoneticPr fontId="5"/>
  </si>
  <si>
    <t>Atsuhiro</t>
    <phoneticPr fontId="5"/>
  </si>
  <si>
    <t>INADA</t>
    <phoneticPr fontId="5"/>
  </si>
  <si>
    <t>HAKOYAMA</t>
    <phoneticPr fontId="5"/>
  </si>
  <si>
    <t>TAIRA</t>
    <phoneticPr fontId="5"/>
  </si>
  <si>
    <t>YOKOKAWA</t>
    <phoneticPr fontId="5"/>
  </si>
  <si>
    <t>KOMOTO</t>
    <phoneticPr fontId="5"/>
  </si>
  <si>
    <t>Shunnosuke</t>
    <phoneticPr fontId="5"/>
  </si>
  <si>
    <t>SHINODA</t>
    <phoneticPr fontId="5"/>
  </si>
  <si>
    <t>Hiroya</t>
    <phoneticPr fontId="5"/>
  </si>
  <si>
    <t>YAMAMICHI</t>
    <phoneticPr fontId="5"/>
  </si>
  <si>
    <t>Jinnoshin</t>
    <phoneticPr fontId="5"/>
  </si>
  <si>
    <t>Genta</t>
    <phoneticPr fontId="5"/>
  </si>
  <si>
    <t>SHINTANI</t>
    <phoneticPr fontId="5"/>
  </si>
  <si>
    <t>OUCHI</t>
    <phoneticPr fontId="5"/>
  </si>
  <si>
    <t>MIZUNO</t>
  </si>
  <si>
    <t>Hiroki</t>
  </si>
  <si>
    <t>Yuki</t>
  </si>
  <si>
    <t>KUROKAWA</t>
  </si>
  <si>
    <t>MATSUOKA</t>
  </si>
  <si>
    <t>MURAMATSU</t>
  </si>
  <si>
    <t>TAGUCHI</t>
  </si>
  <si>
    <t>Takumi</t>
  </si>
  <si>
    <t>SUZUKI</t>
  </si>
  <si>
    <t>TANAKA</t>
  </si>
  <si>
    <t>OKADA</t>
  </si>
  <si>
    <t>SAITO</t>
  </si>
  <si>
    <t>Yuya</t>
  </si>
  <si>
    <t>Taisei</t>
  </si>
  <si>
    <t>ITO</t>
  </si>
  <si>
    <t>UNNO</t>
  </si>
  <si>
    <t>Kai</t>
  </si>
  <si>
    <t>ONO</t>
  </si>
  <si>
    <t>Kazuki</t>
  </si>
  <si>
    <t>KATO</t>
  </si>
  <si>
    <t>SHIMIZU</t>
  </si>
  <si>
    <t>Yuta</t>
  </si>
  <si>
    <t>MATSUI</t>
  </si>
  <si>
    <t>Yuto</t>
  </si>
  <si>
    <t>OCHIAI</t>
  </si>
  <si>
    <t>KOJIMA</t>
  </si>
  <si>
    <t>MURAKAMI</t>
  </si>
  <si>
    <t>Ryo</t>
  </si>
  <si>
    <t>KAWABE</t>
  </si>
  <si>
    <t>FUJIMOTO</t>
  </si>
  <si>
    <t>HARA</t>
  </si>
  <si>
    <t>Akira</t>
  </si>
  <si>
    <t>OKUBO</t>
  </si>
  <si>
    <t>ANDO</t>
  </si>
  <si>
    <t>KAWAGUCHI</t>
  </si>
  <si>
    <t>Yu</t>
  </si>
  <si>
    <t>ASANO</t>
  </si>
  <si>
    <t>KOBAYASHI</t>
  </si>
  <si>
    <t>HAYASHI</t>
  </si>
  <si>
    <t>Reo</t>
  </si>
  <si>
    <t>Yuito</t>
  </si>
  <si>
    <t>SATO</t>
  </si>
  <si>
    <t>Hikaru</t>
  </si>
  <si>
    <t>YAMAMOTO</t>
  </si>
  <si>
    <t>KAMIYA</t>
  </si>
  <si>
    <t>IWATA</t>
  </si>
  <si>
    <t>NISHIMURA</t>
  </si>
  <si>
    <t>Haru</t>
  </si>
  <si>
    <t>ICHIKAWA</t>
  </si>
  <si>
    <t>YAMADA</t>
  </si>
  <si>
    <t>Shota</t>
  </si>
  <si>
    <t>KONDO</t>
  </si>
  <si>
    <t>SAKAMOTO</t>
  </si>
  <si>
    <t>Yuma</t>
  </si>
  <si>
    <t>981023</t>
  </si>
  <si>
    <t>980404</t>
  </si>
  <si>
    <t>990513</t>
  </si>
  <si>
    <t>940207</t>
  </si>
  <si>
    <t>960502</t>
  </si>
  <si>
    <t>970309</t>
  </si>
  <si>
    <t>980417</t>
  </si>
  <si>
    <t>980424</t>
  </si>
  <si>
    <t>980804</t>
  </si>
  <si>
    <t>980611</t>
  </si>
  <si>
    <t>980817</t>
  </si>
  <si>
    <t>980527</t>
  </si>
  <si>
    <t>981029</t>
  </si>
  <si>
    <t>980603</t>
  </si>
  <si>
    <t>980608</t>
  </si>
  <si>
    <t>980912</t>
  </si>
  <si>
    <t>981102</t>
  </si>
  <si>
    <t>980830</t>
  </si>
  <si>
    <t>980814</t>
  </si>
  <si>
    <t>980703</t>
  </si>
  <si>
    <t>981215</t>
  </si>
  <si>
    <t>981212</t>
  </si>
  <si>
    <t>980702</t>
  </si>
  <si>
    <t>960403</t>
  </si>
  <si>
    <t>981228</t>
  </si>
  <si>
    <t>981010</t>
  </si>
  <si>
    <t>980522</t>
  </si>
  <si>
    <t>981028</t>
  </si>
  <si>
    <t>980813</t>
  </si>
  <si>
    <t>990127</t>
  </si>
  <si>
    <t>990308</t>
  </si>
  <si>
    <t>980827</t>
  </si>
  <si>
    <t>980725</t>
  </si>
  <si>
    <t>990303</t>
  </si>
  <si>
    <t>980615</t>
  </si>
  <si>
    <t>980928</t>
  </si>
  <si>
    <t>981110</t>
  </si>
  <si>
    <t>980708</t>
  </si>
  <si>
    <t>981006</t>
  </si>
  <si>
    <t>990721</t>
  </si>
  <si>
    <t>990729</t>
  </si>
  <si>
    <t>990612</t>
  </si>
  <si>
    <t>991020</t>
  </si>
  <si>
    <t>990414</t>
  </si>
  <si>
    <t>990424</t>
  </si>
  <si>
    <t>991014</t>
  </si>
  <si>
    <t>990503</t>
  </si>
  <si>
    <t>990819</t>
  </si>
  <si>
    <t>990410</t>
  </si>
  <si>
    <t>991207</t>
  </si>
  <si>
    <t>990527</t>
  </si>
  <si>
    <t>000118</t>
  </si>
  <si>
    <t>990507</t>
  </si>
  <si>
    <t>000220</t>
  </si>
  <si>
    <t>990913</t>
  </si>
  <si>
    <t>990623</t>
  </si>
  <si>
    <t>990616</t>
  </si>
  <si>
    <t>990924</t>
  </si>
  <si>
    <t>960718</t>
  </si>
  <si>
    <t>991008</t>
  </si>
  <si>
    <t>990603</t>
  </si>
  <si>
    <t>990409</t>
  </si>
  <si>
    <t>990814</t>
  </si>
  <si>
    <t>990520</t>
  </si>
  <si>
    <t>991202</t>
  </si>
  <si>
    <t>990726</t>
  </si>
  <si>
    <t>990823</t>
  </si>
  <si>
    <t>000122</t>
  </si>
  <si>
    <t>981004</t>
  </si>
  <si>
    <t>990807</t>
  </si>
  <si>
    <t>990805</t>
  </si>
  <si>
    <t>990829</t>
  </si>
  <si>
    <t>001117</t>
  </si>
  <si>
    <t>001215</t>
  </si>
  <si>
    <t>010131</t>
  </si>
  <si>
    <t>000430</t>
  </si>
  <si>
    <t>001205</t>
  </si>
  <si>
    <t>000727</t>
  </si>
  <si>
    <t>000420</t>
  </si>
  <si>
    <t>001116</t>
  </si>
  <si>
    <t>001008</t>
  </si>
  <si>
    <t>010330</t>
  </si>
  <si>
    <t>010109</t>
  </si>
  <si>
    <t>010129</t>
  </si>
  <si>
    <t>990512</t>
  </si>
  <si>
    <t>001003</t>
  </si>
  <si>
    <t>000507</t>
  </si>
  <si>
    <t>000627</t>
  </si>
  <si>
    <t>010214</t>
  </si>
  <si>
    <t>000421</t>
  </si>
  <si>
    <t>000803</t>
  </si>
  <si>
    <t>000924</t>
  </si>
  <si>
    <t>000516</t>
  </si>
  <si>
    <t>000508</t>
  </si>
  <si>
    <t>010123</t>
  </si>
  <si>
    <t>000513</t>
  </si>
  <si>
    <t>000610</t>
  </si>
  <si>
    <t>001124</t>
  </si>
  <si>
    <t>000826</t>
  </si>
  <si>
    <t>000621</t>
  </si>
  <si>
    <t>001220</t>
  </si>
  <si>
    <t>010102</t>
  </si>
  <si>
    <t>001103</t>
  </si>
  <si>
    <t>010926</t>
  </si>
  <si>
    <t>011026</t>
  </si>
  <si>
    <t>011015</t>
  </si>
  <si>
    <t>010803</t>
  </si>
  <si>
    <t>010809</t>
  </si>
  <si>
    <t>010508</t>
  </si>
  <si>
    <t>010419</t>
  </si>
  <si>
    <t>020331</t>
  </si>
  <si>
    <t>010530</t>
  </si>
  <si>
    <t>010528</t>
  </si>
  <si>
    <t>020204</t>
  </si>
  <si>
    <t>020206</t>
  </si>
  <si>
    <t>010413</t>
  </si>
  <si>
    <t>960803</t>
  </si>
  <si>
    <t>980630</t>
  </si>
  <si>
    <t>980927</t>
  </si>
  <si>
    <t>981001</t>
  </si>
  <si>
    <t>980807</t>
  </si>
  <si>
    <t>990711</t>
  </si>
  <si>
    <t>990411</t>
  </si>
  <si>
    <t>991209</t>
  </si>
  <si>
    <t>990617</t>
  </si>
  <si>
    <t>990529</t>
  </si>
  <si>
    <t>991107</t>
  </si>
  <si>
    <t>990421</t>
  </si>
  <si>
    <t>990406</t>
  </si>
  <si>
    <t>991119</t>
  </si>
  <si>
    <t>990607</t>
  </si>
  <si>
    <t>991126</t>
  </si>
  <si>
    <t>990920</t>
  </si>
  <si>
    <t>000607</t>
  </si>
  <si>
    <t>010227</t>
  </si>
  <si>
    <t>000715</t>
  </si>
  <si>
    <t>001219</t>
  </si>
  <si>
    <t>000721</t>
  </si>
  <si>
    <t>010315</t>
  </si>
  <si>
    <t>000615</t>
  </si>
  <si>
    <t>950616</t>
  </si>
  <si>
    <t>960919</t>
  </si>
  <si>
    <t>961118</t>
  </si>
  <si>
    <t>970414</t>
  </si>
  <si>
    <t>970513</t>
  </si>
  <si>
    <t>970620</t>
  </si>
  <si>
    <t>970815</t>
  </si>
  <si>
    <t>971205</t>
  </si>
  <si>
    <t>980513</t>
  </si>
  <si>
    <t>980613</t>
  </si>
  <si>
    <t>981022</t>
  </si>
  <si>
    <t>981120</t>
  </si>
  <si>
    <t>981230</t>
  </si>
  <si>
    <t>990218</t>
  </si>
  <si>
    <t>990708</t>
  </si>
  <si>
    <t>990713</t>
  </si>
  <si>
    <t>990725</t>
  </si>
  <si>
    <t>991103</t>
  </si>
  <si>
    <t>991104</t>
  </si>
  <si>
    <t>000416</t>
  </si>
  <si>
    <t>000630</t>
  </si>
  <si>
    <t>000913</t>
  </si>
  <si>
    <t>000930</t>
  </si>
  <si>
    <t>001202</t>
  </si>
  <si>
    <t>001206</t>
  </si>
  <si>
    <t>010121</t>
  </si>
  <si>
    <t>020223</t>
  </si>
  <si>
    <t>990312</t>
  </si>
  <si>
    <t>980723</t>
  </si>
  <si>
    <t>980508</t>
  </si>
  <si>
    <t>980707</t>
  </si>
  <si>
    <t>981014</t>
  </si>
  <si>
    <t>990307</t>
  </si>
  <si>
    <t>000530</t>
  </si>
  <si>
    <t>000104</t>
  </si>
  <si>
    <t>001114</t>
  </si>
  <si>
    <t>000613</t>
  </si>
  <si>
    <t>000628</t>
  </si>
  <si>
    <t>011028</t>
  </si>
  <si>
    <t>020325</t>
  </si>
  <si>
    <t>010510</t>
  </si>
  <si>
    <t>011225</t>
  </si>
  <si>
    <t>010531</t>
  </si>
  <si>
    <t>001029</t>
  </si>
  <si>
    <t>000703</t>
  </si>
  <si>
    <t>990609</t>
  </si>
  <si>
    <t>990902</t>
  </si>
  <si>
    <t>990403</t>
  </si>
  <si>
    <t>990705</t>
  </si>
  <si>
    <t>000813</t>
  </si>
  <si>
    <t>000601</t>
  </si>
  <si>
    <t>010115</t>
  </si>
  <si>
    <t>010211</t>
  </si>
  <si>
    <t>010308</t>
  </si>
  <si>
    <t>000531</t>
  </si>
  <si>
    <t>001009</t>
  </si>
  <si>
    <t>000110</t>
  </si>
  <si>
    <t>980628</t>
  </si>
  <si>
    <t>000117</t>
  </si>
  <si>
    <t>000719</t>
  </si>
  <si>
    <t>980607</t>
  </si>
  <si>
    <t>980408</t>
  </si>
  <si>
    <t>981106</t>
  </si>
  <si>
    <t>990101</t>
  </si>
  <si>
    <t>981107</t>
  </si>
  <si>
    <t>990220</t>
  </si>
  <si>
    <t>981225</t>
  </si>
  <si>
    <t>981123</t>
  </si>
  <si>
    <t>981226</t>
  </si>
  <si>
    <t>980421</t>
  </si>
  <si>
    <t>971015</t>
  </si>
  <si>
    <t>980717</t>
  </si>
  <si>
    <t>980414</t>
  </si>
  <si>
    <t>980505</t>
  </si>
  <si>
    <t>981205</t>
  </si>
  <si>
    <t>981013</t>
  </si>
  <si>
    <t>980507</t>
  </si>
  <si>
    <t>980902</t>
  </si>
  <si>
    <t>981214</t>
  </si>
  <si>
    <t>980819</t>
  </si>
  <si>
    <t>980724</t>
  </si>
  <si>
    <t>990104</t>
  </si>
  <si>
    <t>980920</t>
  </si>
  <si>
    <t>990510</t>
  </si>
  <si>
    <t>000121</t>
  </si>
  <si>
    <t>990416</t>
  </si>
  <si>
    <t>990722</t>
  </si>
  <si>
    <t>000103</t>
  </si>
  <si>
    <t>000305</t>
  </si>
  <si>
    <t>991109</t>
  </si>
  <si>
    <t>990910</t>
  </si>
  <si>
    <t>991005</t>
  </si>
  <si>
    <t>990916</t>
  </si>
  <si>
    <t>990925</t>
  </si>
  <si>
    <t>990508</t>
  </si>
  <si>
    <t>991112</t>
  </si>
  <si>
    <t>990707</t>
  </si>
  <si>
    <t>990918</t>
  </si>
  <si>
    <t>990710</t>
  </si>
  <si>
    <t>990613</t>
  </si>
  <si>
    <t>000214</t>
  </si>
  <si>
    <t>000213</t>
  </si>
  <si>
    <t>990504</t>
  </si>
  <si>
    <t>000329</t>
  </si>
  <si>
    <t>990408</t>
  </si>
  <si>
    <t>991006</t>
  </si>
  <si>
    <t>991116</t>
  </si>
  <si>
    <t>000909</t>
  </si>
  <si>
    <t>001227</t>
  </si>
  <si>
    <t>000821</t>
  </si>
  <si>
    <t>010106</t>
  </si>
  <si>
    <t>000611</t>
  </si>
  <si>
    <t>000412</t>
  </si>
  <si>
    <t>010209</t>
  </si>
  <si>
    <t>000812</t>
  </si>
  <si>
    <t>000624</t>
  </si>
  <si>
    <t>000910</t>
  </si>
  <si>
    <t>001218</t>
  </si>
  <si>
    <t>000824</t>
  </si>
  <si>
    <t>001115</t>
  </si>
  <si>
    <t>990208</t>
  </si>
  <si>
    <t>990206</t>
  </si>
  <si>
    <t>981117</t>
  </si>
  <si>
    <t>980602</t>
  </si>
  <si>
    <t>990203</t>
  </si>
  <si>
    <t>981017</t>
  </si>
  <si>
    <t>000229</t>
  </si>
  <si>
    <t>991220</t>
  </si>
  <si>
    <t>991129</t>
  </si>
  <si>
    <t>991204</t>
  </si>
  <si>
    <t>991221</t>
  </si>
  <si>
    <t>990820</t>
  </si>
  <si>
    <t>991030</t>
  </si>
  <si>
    <t>001011</t>
  </si>
  <si>
    <t>000819</t>
  </si>
  <si>
    <t>010329</t>
  </si>
  <si>
    <t>010307</t>
  </si>
  <si>
    <t>001022</t>
  </si>
  <si>
    <t>010312</t>
  </si>
  <si>
    <t>001018</t>
  </si>
  <si>
    <t>010518</t>
  </si>
  <si>
    <t>010605</t>
  </si>
  <si>
    <t>010901</t>
  </si>
  <si>
    <t>020329</t>
  </si>
  <si>
    <t>020126</t>
  </si>
  <si>
    <t>000413</t>
  </si>
  <si>
    <t>010619</t>
  </si>
  <si>
    <t>010405</t>
  </si>
  <si>
    <t>010725</t>
  </si>
  <si>
    <t>011122</t>
  </si>
  <si>
    <t>010127</t>
  </si>
  <si>
    <t>011215</t>
  </si>
  <si>
    <t>011201</t>
  </si>
  <si>
    <t>010620</t>
  </si>
  <si>
    <t>980406</t>
  </si>
  <si>
    <t>000811</t>
  </si>
  <si>
    <t>001230</t>
  </si>
  <si>
    <t>010804</t>
  </si>
  <si>
    <t>010520</t>
  </si>
  <si>
    <t>970208</t>
  </si>
  <si>
    <t>960520</t>
  </si>
  <si>
    <t>971024</t>
  </si>
  <si>
    <t>970416</t>
  </si>
  <si>
    <t>981005</t>
  </si>
  <si>
    <t>990105</t>
  </si>
  <si>
    <t>980515</t>
  </si>
  <si>
    <t>980624</t>
  </si>
  <si>
    <t>990517</t>
  </si>
  <si>
    <t>990827</t>
  </si>
  <si>
    <t>990906</t>
  </si>
  <si>
    <t>991210</t>
  </si>
  <si>
    <t>000212</t>
  </si>
  <si>
    <t>000218</t>
  </si>
  <si>
    <t>000411</t>
  </si>
  <si>
    <t>970130</t>
  </si>
  <si>
    <t>980913</t>
  </si>
  <si>
    <t>981020</t>
  </si>
  <si>
    <t>970921</t>
  </si>
  <si>
    <t>981104</t>
  </si>
  <si>
    <t>980111</t>
  </si>
  <si>
    <t>980426</t>
  </si>
  <si>
    <t>980917</t>
  </si>
  <si>
    <t>980907</t>
  </si>
  <si>
    <t>970417</t>
  </si>
  <si>
    <t>000307</t>
  </si>
  <si>
    <t>010515</t>
  </si>
  <si>
    <t>010425</t>
  </si>
  <si>
    <t>010722</t>
  </si>
  <si>
    <t>011102</t>
  </si>
  <si>
    <t>010116</t>
  </si>
  <si>
    <t>990219</t>
  </si>
  <si>
    <t>990313</t>
  </si>
  <si>
    <t>980811</t>
  </si>
  <si>
    <t>980605</t>
  </si>
  <si>
    <t>980422</t>
  </si>
  <si>
    <t>980429</t>
  </si>
  <si>
    <t>981125</t>
  </si>
  <si>
    <t>980926</t>
  </si>
  <si>
    <t>980905</t>
  </si>
  <si>
    <t>990423</t>
  </si>
  <si>
    <t>000731</t>
  </si>
  <si>
    <t>001024</t>
  </si>
  <si>
    <t>000808</t>
  </si>
  <si>
    <t>000409</t>
  </si>
  <si>
    <t>001102</t>
  </si>
  <si>
    <t>000501</t>
  </si>
  <si>
    <t>000519</t>
  </si>
  <si>
    <t>990210</t>
  </si>
  <si>
    <t>980719</t>
  </si>
  <si>
    <t>990225</t>
  </si>
  <si>
    <t>981130</t>
  </si>
  <si>
    <t>000219</t>
  </si>
  <si>
    <t>990415</t>
  </si>
  <si>
    <t>990426</t>
  </si>
  <si>
    <t>001005</t>
  </si>
  <si>
    <t>000608</t>
  </si>
  <si>
    <t>001130</t>
  </si>
  <si>
    <t>001113</t>
  </si>
  <si>
    <t>000728</t>
  </si>
  <si>
    <t>000625</t>
  </si>
  <si>
    <t>000701</t>
  </si>
  <si>
    <t>000406</t>
  </si>
  <si>
    <t>010323</t>
  </si>
  <si>
    <t>001104</t>
  </si>
  <si>
    <t>991222</t>
  </si>
  <si>
    <t>001204</t>
  </si>
  <si>
    <t>001106</t>
  </si>
  <si>
    <t>000807</t>
  </si>
  <si>
    <t>020104</t>
  </si>
  <si>
    <t>000403</t>
  </si>
  <si>
    <t>020123</t>
  </si>
  <si>
    <t>980914</t>
  </si>
  <si>
    <t>000205</t>
  </si>
  <si>
    <t>000818</t>
  </si>
  <si>
    <t>991125</t>
  </si>
  <si>
    <t>981229</t>
  </si>
  <si>
    <t>980521</t>
  </si>
  <si>
    <t>980405</t>
  </si>
  <si>
    <t>981218</t>
  </si>
  <si>
    <t>981026</t>
  </si>
  <si>
    <t>980526</t>
  </si>
  <si>
    <t>990202</t>
  </si>
  <si>
    <t>980728</t>
  </si>
  <si>
    <t>991026</t>
  </si>
  <si>
    <t>990404</t>
  </si>
  <si>
    <t>990528</t>
  </si>
  <si>
    <t>000228</t>
  </si>
  <si>
    <t>000304</t>
  </si>
  <si>
    <t>991111</t>
  </si>
  <si>
    <t>990830</t>
  </si>
  <si>
    <t>990815</t>
  </si>
  <si>
    <t>000629</t>
  </si>
  <si>
    <t>000620</t>
  </si>
  <si>
    <t>000429</t>
  </si>
  <si>
    <t>000729</t>
  </si>
  <si>
    <t>010124</t>
  </si>
  <si>
    <t>001019</t>
  </si>
  <si>
    <t>001013</t>
  </si>
  <si>
    <t>990514</t>
  </si>
  <si>
    <t>991213</t>
  </si>
  <si>
    <t>980922</t>
  </si>
  <si>
    <t>980714</t>
  </si>
  <si>
    <t>970919</t>
  </si>
  <si>
    <t>960923</t>
  </si>
  <si>
    <t>001211</t>
  </si>
  <si>
    <t>001214</t>
  </si>
  <si>
    <t>990717</t>
  </si>
  <si>
    <t>000427</t>
  </si>
  <si>
    <t>011119</t>
  </si>
  <si>
    <t>010601</t>
  </si>
  <si>
    <t>980529</t>
  </si>
  <si>
    <t>981204</t>
  </si>
  <si>
    <t>980715</t>
  </si>
  <si>
    <t>991001</t>
  </si>
  <si>
    <t>990626</t>
  </si>
  <si>
    <t>991120</t>
  </si>
  <si>
    <t>990531</t>
  </si>
  <si>
    <t>970607</t>
  </si>
  <si>
    <t>991105</t>
  </si>
  <si>
    <t>000125</t>
  </si>
  <si>
    <t>990824</t>
  </si>
  <si>
    <t>990611</t>
  </si>
  <si>
    <t>010213</t>
  </si>
  <si>
    <t>000619</t>
  </si>
  <si>
    <t>000918</t>
  </si>
  <si>
    <t>010316</t>
  </si>
  <si>
    <t>000614</t>
  </si>
  <si>
    <t>001120</t>
  </si>
  <si>
    <t>990114</t>
  </si>
  <si>
    <t>970520</t>
  </si>
  <si>
    <t>980718</t>
  </si>
  <si>
    <t>981113</t>
  </si>
  <si>
    <t>990701</t>
  </si>
  <si>
    <t>010219</t>
  </si>
  <si>
    <t>991217</t>
  </si>
  <si>
    <t>981009</t>
  </si>
  <si>
    <t>980802</t>
  </si>
  <si>
    <t>990428</t>
  </si>
  <si>
    <t>000908</t>
  </si>
  <si>
    <t>000828</t>
  </si>
  <si>
    <t>000404</t>
  </si>
  <si>
    <t>000916</t>
  </si>
  <si>
    <t>000523</t>
  </si>
  <si>
    <t>000526</t>
  </si>
  <si>
    <t>010505</t>
  </si>
  <si>
    <t>010726</t>
  </si>
  <si>
    <t>010608</t>
  </si>
  <si>
    <t>020319</t>
  </si>
  <si>
    <t>980131</t>
  </si>
  <si>
    <t>960908</t>
  </si>
  <si>
    <t>971204</t>
  </si>
  <si>
    <t>931212</t>
  </si>
  <si>
    <t>960130</t>
  </si>
  <si>
    <t>990915</t>
  </si>
  <si>
    <t>010130</t>
  </si>
  <si>
    <t>970527</t>
  </si>
  <si>
    <t>000816</t>
  </si>
  <si>
    <t>990309</t>
  </si>
  <si>
    <t>000525</t>
  </si>
  <si>
    <t>000814</t>
  </si>
  <si>
    <t>001108</t>
  </si>
  <si>
    <t>960415</t>
  </si>
  <si>
    <t>000509</t>
  </si>
  <si>
    <t>960627</t>
  </si>
  <si>
    <t>001221</t>
  </si>
  <si>
    <t>990402</t>
  </si>
  <si>
    <t>940418</t>
  </si>
  <si>
    <t>981019</t>
  </si>
  <si>
    <t>980822</t>
  </si>
  <si>
    <t>000222</t>
  </si>
  <si>
    <t>990901</t>
  </si>
  <si>
    <t>990102</t>
  </si>
  <si>
    <t>000317</t>
  </si>
  <si>
    <t>930812</t>
  </si>
  <si>
    <t>001007</t>
  </si>
  <si>
    <t>990610</t>
  </si>
  <si>
    <t>000321</t>
  </si>
  <si>
    <t>990316</t>
  </si>
  <si>
    <t>000825</t>
  </si>
  <si>
    <t>960707</t>
  </si>
  <si>
    <t>990502</t>
  </si>
  <si>
    <t>010206</t>
  </si>
  <si>
    <t>960521</t>
  </si>
  <si>
    <t>971013</t>
  </si>
  <si>
    <t>980919</t>
  </si>
  <si>
    <t>971022</t>
  </si>
  <si>
    <t>000108</t>
  </si>
  <si>
    <t>971112</t>
  </si>
  <si>
    <t>970618</t>
  </si>
  <si>
    <t>990614</t>
  </si>
  <si>
    <t>980202</t>
  </si>
  <si>
    <t>991024</t>
  </si>
  <si>
    <t>991016</t>
  </si>
  <si>
    <t>990909</t>
  </si>
  <si>
    <t>970630</t>
  </si>
  <si>
    <t>960116</t>
  </si>
  <si>
    <t>010301</t>
  </si>
  <si>
    <t>001017</t>
  </si>
  <si>
    <t>950814</t>
  </si>
  <si>
    <t>960713</t>
  </si>
  <si>
    <t>990427</t>
  </si>
  <si>
    <t>000210</t>
  </si>
  <si>
    <t>960802</t>
  </si>
  <si>
    <t>980713</t>
  </si>
  <si>
    <t>980716</t>
  </si>
  <si>
    <t>980430</t>
  </si>
  <si>
    <t>970615</t>
  </si>
  <si>
    <t>980511</t>
  </si>
  <si>
    <t>000521</t>
  </si>
  <si>
    <t>990627</t>
  </si>
  <si>
    <t>010827</t>
  </si>
  <si>
    <t>980618</t>
  </si>
  <si>
    <t>000517</t>
  </si>
  <si>
    <t>020320</t>
  </si>
  <si>
    <t>990806</t>
  </si>
  <si>
    <t>990813</t>
  </si>
  <si>
    <t>991123</t>
  </si>
  <si>
    <t>000428</t>
  </si>
  <si>
    <t>980518</t>
  </si>
  <si>
    <t>990622</t>
  </si>
  <si>
    <t>990702</t>
  </si>
  <si>
    <t>980918</t>
  </si>
  <si>
    <t>980929</t>
  </si>
  <si>
    <t>980911</t>
  </si>
  <si>
    <t>010522</t>
  </si>
  <si>
    <t>940620</t>
  </si>
  <si>
    <t>980908</t>
  </si>
  <si>
    <t>000310</t>
  </si>
  <si>
    <t>000101</t>
  </si>
  <si>
    <t>970917</t>
  </si>
  <si>
    <t>991205</t>
  </si>
  <si>
    <t>990524</t>
  </si>
  <si>
    <t>000815</t>
  </si>
  <si>
    <t>000616</t>
  </si>
  <si>
    <t>980709</t>
  </si>
  <si>
    <t>980904</t>
  </si>
  <si>
    <t>981220</t>
  </si>
  <si>
    <t>000923</t>
  </si>
  <si>
    <t>980528</t>
  </si>
  <si>
    <t>980523</t>
  </si>
  <si>
    <t>010218</t>
  </si>
  <si>
    <t>980809</t>
  </si>
  <si>
    <t>000604</t>
  </si>
  <si>
    <t>000529</t>
  </si>
  <si>
    <t>990822</t>
  </si>
  <si>
    <t>960925</t>
  </si>
  <si>
    <t>000227</t>
  </si>
  <si>
    <t>970702</t>
  </si>
  <si>
    <t>001027</t>
  </si>
  <si>
    <t>991108</t>
  </si>
  <si>
    <t>970423</t>
  </si>
  <si>
    <t>980617</t>
  </si>
  <si>
    <t>981025</t>
  </si>
  <si>
    <t>010817</t>
  </si>
  <si>
    <t>010814</t>
  </si>
  <si>
    <t>010716</t>
  </si>
  <si>
    <t>020101</t>
  </si>
  <si>
    <t>010916</t>
  </si>
  <si>
    <t>010616</t>
  </si>
  <si>
    <t>010808</t>
  </si>
  <si>
    <t>011116</t>
  </si>
  <si>
    <t>020106</t>
  </si>
  <si>
    <t>020202</t>
  </si>
  <si>
    <t>010701</t>
  </si>
  <si>
    <t>011111</t>
  </si>
  <si>
    <t>010720</t>
  </si>
  <si>
    <t>010927</t>
  </si>
  <si>
    <t>011021</t>
  </si>
  <si>
    <t>010709</t>
  </si>
  <si>
    <t>010923</t>
  </si>
  <si>
    <t>990128</t>
  </si>
  <si>
    <t>910614</t>
  </si>
  <si>
    <t>970718</t>
  </si>
  <si>
    <t>000907</t>
  </si>
  <si>
    <t>981114</t>
  </si>
  <si>
    <t>990121</t>
  </si>
  <si>
    <t>990126</t>
  </si>
  <si>
    <t>981128</t>
  </si>
  <si>
    <t>981119</t>
  </si>
  <si>
    <t>981202</t>
  </si>
  <si>
    <t>980520</t>
  </si>
  <si>
    <t>000528</t>
  </si>
  <si>
    <t>000612</t>
  </si>
  <si>
    <t>020122</t>
  </si>
  <si>
    <t>011017</t>
  </si>
  <si>
    <t>011101</t>
  </si>
  <si>
    <t>010731</t>
  </si>
  <si>
    <t>020316</t>
  </si>
  <si>
    <t>010713</t>
  </si>
  <si>
    <t>010928</t>
  </si>
  <si>
    <t>011108</t>
  </si>
  <si>
    <t>980629</t>
  </si>
  <si>
    <t>990305</t>
  </si>
  <si>
    <t>980530</t>
  </si>
  <si>
    <t>981007</t>
  </si>
  <si>
    <t>990315</t>
  </si>
  <si>
    <t>980722</t>
  </si>
  <si>
    <t>990304</t>
  </si>
  <si>
    <t>990526</t>
  </si>
  <si>
    <t>991229</t>
  </si>
  <si>
    <t>000320</t>
  </si>
  <si>
    <t>000306</t>
  </si>
  <si>
    <t>990505</t>
  </si>
  <si>
    <t>991011</t>
  </si>
  <si>
    <t>010319</t>
  </si>
  <si>
    <t>000602</t>
  </si>
  <si>
    <t>001210</t>
  </si>
  <si>
    <t>010207</t>
  </si>
  <si>
    <t>000724</t>
  </si>
  <si>
    <t>980601</t>
  </si>
  <si>
    <t>980701</t>
  </si>
  <si>
    <t>990523</t>
  </si>
  <si>
    <t>970906</t>
  </si>
  <si>
    <t>000502</t>
  </si>
  <si>
    <t>000711</t>
  </si>
  <si>
    <t>000929</t>
  </si>
  <si>
    <t>971129</t>
  </si>
  <si>
    <t>990420</t>
  </si>
  <si>
    <t>950517</t>
  </si>
  <si>
    <t>970514</t>
  </si>
  <si>
    <t>010629</t>
  </si>
  <si>
    <t>010830</t>
  </si>
  <si>
    <t>981208</t>
  </si>
  <si>
    <t>990723</t>
  </si>
  <si>
    <t>991127</t>
  </si>
  <si>
    <t>010426</t>
  </si>
  <si>
    <t>010806</t>
  </si>
  <si>
    <t>010429</t>
  </si>
  <si>
    <t>020314</t>
  </si>
  <si>
    <t>010627</t>
  </si>
  <si>
    <t>001224</t>
  </si>
  <si>
    <t>990615</t>
  </si>
  <si>
    <t>000326</t>
  </si>
  <si>
    <t>000308</t>
  </si>
  <si>
    <t>990802</t>
  </si>
  <si>
    <t>990728</t>
  </si>
  <si>
    <t>990608</t>
  </si>
  <si>
    <t>981105</t>
  </si>
  <si>
    <t>990112</t>
  </si>
  <si>
    <t>020118</t>
  </si>
  <si>
    <t>010519</t>
  </si>
  <si>
    <t>010921</t>
  </si>
  <si>
    <t>010807</t>
  </si>
  <si>
    <t>020117</t>
  </si>
  <si>
    <t>010712</t>
  </si>
  <si>
    <t>020324</t>
  </si>
  <si>
    <t>011209</t>
  </si>
  <si>
    <t>991208</t>
  </si>
  <si>
    <t>010819</t>
  </si>
  <si>
    <t>980501</t>
  </si>
  <si>
    <t>961212</t>
  </si>
  <si>
    <t>960510</t>
  </si>
  <si>
    <t>940714</t>
  </si>
  <si>
    <t>990912</t>
  </si>
  <si>
    <t>970625</t>
  </si>
  <si>
    <t>010404</t>
  </si>
  <si>
    <t>010411</t>
  </si>
  <si>
    <t>010507</t>
  </si>
  <si>
    <t>010610</t>
  </si>
  <si>
    <t>010831</t>
  </si>
  <si>
    <t>020326</t>
  </si>
  <si>
    <t>000904</t>
  </si>
  <si>
    <t>010904</t>
  </si>
  <si>
    <t>970802</t>
  </si>
  <si>
    <t>970626</t>
  </si>
  <si>
    <t>980531</t>
  </si>
  <si>
    <t>981031</t>
  </si>
  <si>
    <t>011010</t>
  </si>
  <si>
    <t>011124</t>
  </si>
  <si>
    <t>010512</t>
  </si>
  <si>
    <t>020306</t>
  </si>
  <si>
    <t>010602</t>
  </si>
  <si>
    <t>020109</t>
  </si>
  <si>
    <t>010526</t>
  </si>
  <si>
    <t>990628</t>
  </si>
  <si>
    <t>980826</t>
  </si>
  <si>
    <t>000325</t>
  </si>
  <si>
    <t>971222</t>
  </si>
  <si>
    <t>990821</t>
  </si>
  <si>
    <t>010204</t>
  </si>
  <si>
    <t>991007</t>
  </si>
  <si>
    <t>980612</t>
  </si>
  <si>
    <t>980622</t>
  </si>
  <si>
    <t>010410</t>
  </si>
  <si>
    <t>010523</t>
  </si>
  <si>
    <t>010805</t>
  </si>
  <si>
    <t>010415</t>
  </si>
  <si>
    <t>020218</t>
  </si>
  <si>
    <t>011106</t>
  </si>
  <si>
    <t>010825</t>
  </si>
  <si>
    <t>010412</t>
  </si>
  <si>
    <t>010509</t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</si>
  <si>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</si>
  <si>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</si>
  <si>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</si>
  <si>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</si>
  <si>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</si>
  <si>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</si>
  <si>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</si>
  <si>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</si>
  <si>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</si>
  <si>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</si>
  <si>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S4</t>
  </si>
  <si>
    <t>ビブス</t>
  </si>
  <si>
    <t>100m</t>
  </si>
  <si>
    <t>100m</t>
    <phoneticPr fontId="3"/>
  </si>
  <si>
    <t>200m</t>
  </si>
  <si>
    <t>200m</t>
    <phoneticPr fontId="3"/>
  </si>
  <si>
    <t>400m</t>
  </si>
  <si>
    <t>400m</t>
    <phoneticPr fontId="3"/>
  </si>
  <si>
    <t>800m</t>
  </si>
  <si>
    <t>800m</t>
    <phoneticPr fontId="3"/>
  </si>
  <si>
    <t>1500m</t>
  </si>
  <si>
    <t>1500m</t>
    <phoneticPr fontId="3"/>
  </si>
  <si>
    <t>5000m</t>
  </si>
  <si>
    <t>5000m</t>
    <phoneticPr fontId="3"/>
  </si>
  <si>
    <t>10000m</t>
  </si>
  <si>
    <t>10000m</t>
    <phoneticPr fontId="3"/>
  </si>
  <si>
    <t>110mH</t>
  </si>
  <si>
    <t>110mH</t>
    <phoneticPr fontId="3"/>
  </si>
  <si>
    <t>400mH</t>
  </si>
  <si>
    <t>400mH</t>
    <phoneticPr fontId="3"/>
  </si>
  <si>
    <t>3000mSC</t>
  </si>
  <si>
    <t>3000mSC</t>
    <phoneticPr fontId="3"/>
  </si>
  <si>
    <t>10000mW</t>
  </si>
  <si>
    <t>10000mW</t>
    <phoneticPr fontId="3"/>
  </si>
  <si>
    <t>4×100mR</t>
    <phoneticPr fontId="3"/>
  </si>
  <si>
    <t>4×400mR</t>
  </si>
  <si>
    <t>4×400mR</t>
    <phoneticPr fontId="3"/>
  </si>
  <si>
    <t>走高跳</t>
  </si>
  <si>
    <t>走高跳</t>
    <rPh sb="0" eb="3">
      <t>ハシリタカトビ</t>
    </rPh>
    <phoneticPr fontId="3"/>
  </si>
  <si>
    <t>棒高跳</t>
  </si>
  <si>
    <t>棒高跳</t>
    <rPh sb="0" eb="3">
      <t>ボウタカトビ</t>
    </rPh>
    <phoneticPr fontId="3"/>
  </si>
  <si>
    <t>走幅跳</t>
  </si>
  <si>
    <t>走幅跳</t>
    <rPh sb="0" eb="1">
      <t>ハシ</t>
    </rPh>
    <rPh sb="1" eb="3">
      <t>ハバト</t>
    </rPh>
    <phoneticPr fontId="3"/>
  </si>
  <si>
    <t>三段跳</t>
  </si>
  <si>
    <t>三段跳</t>
    <rPh sb="0" eb="3">
      <t>サンダントビ</t>
    </rPh>
    <phoneticPr fontId="3"/>
  </si>
  <si>
    <t>砲丸投</t>
  </si>
  <si>
    <t>砲丸投</t>
    <rPh sb="0" eb="3">
      <t>ホウガンナ</t>
    </rPh>
    <phoneticPr fontId="3"/>
  </si>
  <si>
    <t>円盤投</t>
  </si>
  <si>
    <t>円盤投</t>
    <rPh sb="0" eb="3">
      <t>エンバンナ</t>
    </rPh>
    <phoneticPr fontId="3"/>
  </si>
  <si>
    <t>ハンマー投</t>
  </si>
  <si>
    <t>ハンマー投</t>
    <rPh sb="4" eb="5">
      <t>ナ</t>
    </rPh>
    <phoneticPr fontId="3"/>
  </si>
  <si>
    <t>やり投</t>
  </si>
  <si>
    <t>やり投</t>
    <rPh sb="2" eb="3">
      <t>ナ</t>
    </rPh>
    <phoneticPr fontId="3"/>
  </si>
  <si>
    <t>十種競技</t>
  </si>
  <si>
    <t>十種競技</t>
    <rPh sb="0" eb="2">
      <t>ジュッシュ</t>
    </rPh>
    <rPh sb="2" eb="4">
      <t>キョウギ</t>
    </rPh>
    <phoneticPr fontId="3"/>
  </si>
  <si>
    <t>七種競技</t>
  </si>
  <si>
    <t>七種競技</t>
    <rPh sb="0" eb="2">
      <t>ナナシュ</t>
    </rPh>
    <rPh sb="2" eb="4">
      <t>キョウギ</t>
    </rPh>
    <phoneticPr fontId="3"/>
  </si>
  <si>
    <t>100mH</t>
  </si>
  <si>
    <t>100mH</t>
    <phoneticPr fontId="3"/>
  </si>
  <si>
    <t>北海道</t>
  </si>
  <si>
    <t>01</t>
  </si>
  <si>
    <t>青森県</t>
  </si>
  <si>
    <t>02</t>
  </si>
  <si>
    <t>岩手県</t>
  </si>
  <si>
    <t>03</t>
  </si>
  <si>
    <t>宮城県</t>
  </si>
  <si>
    <t>04</t>
  </si>
  <si>
    <t>秋田県</t>
  </si>
  <si>
    <t>05</t>
  </si>
  <si>
    <t>山形県</t>
  </si>
  <si>
    <t>06</t>
  </si>
  <si>
    <t>福島県</t>
  </si>
  <si>
    <t>07</t>
  </si>
  <si>
    <t>茨城県</t>
  </si>
  <si>
    <t>08</t>
  </si>
  <si>
    <t>栃木県</t>
  </si>
  <si>
    <t>09</t>
  </si>
  <si>
    <t>群馬県</t>
  </si>
  <si>
    <t>10</t>
  </si>
  <si>
    <t>男子走高跳</t>
  </si>
  <si>
    <t>埼玉県</t>
  </si>
  <si>
    <t>11</t>
  </si>
  <si>
    <t>千葉県</t>
  </si>
  <si>
    <t>12</t>
  </si>
  <si>
    <t>男子走幅跳</t>
  </si>
  <si>
    <t>東京都</t>
  </si>
  <si>
    <t>13</t>
  </si>
  <si>
    <t>男子三段跳</t>
  </si>
  <si>
    <t>神奈川県</t>
  </si>
  <si>
    <t>14</t>
  </si>
  <si>
    <t>新潟県</t>
  </si>
  <si>
    <t>15</t>
  </si>
  <si>
    <t>富山県</t>
  </si>
  <si>
    <t>16</t>
  </si>
  <si>
    <t>石川県</t>
  </si>
  <si>
    <t>17</t>
  </si>
  <si>
    <t>福井県</t>
  </si>
  <si>
    <t>18</t>
  </si>
  <si>
    <t>山梨県</t>
  </si>
  <si>
    <t>19</t>
  </si>
  <si>
    <t>長野県</t>
  </si>
  <si>
    <t>20</t>
  </si>
  <si>
    <t>岐阜県</t>
  </si>
  <si>
    <t>21</t>
  </si>
  <si>
    <t>静岡県</t>
  </si>
  <si>
    <t>22</t>
  </si>
  <si>
    <t>愛知県</t>
  </si>
  <si>
    <t>23</t>
  </si>
  <si>
    <t>三重県</t>
  </si>
  <si>
    <t>24</t>
  </si>
  <si>
    <t>滋賀県</t>
  </si>
  <si>
    <t>25</t>
  </si>
  <si>
    <t>京都府</t>
  </si>
  <si>
    <t>26</t>
  </si>
  <si>
    <t>大阪府</t>
  </si>
  <si>
    <t>27</t>
  </si>
  <si>
    <t>女子走高跳</t>
  </si>
  <si>
    <t>兵庫県</t>
  </si>
  <si>
    <t>28</t>
  </si>
  <si>
    <t>奈良県</t>
  </si>
  <si>
    <t>29</t>
  </si>
  <si>
    <t>女子走幅跳</t>
  </si>
  <si>
    <t>和歌山県</t>
  </si>
  <si>
    <t>30</t>
  </si>
  <si>
    <t>鳥取県</t>
  </si>
  <si>
    <t>31</t>
  </si>
  <si>
    <t>島根県</t>
  </si>
  <si>
    <t>32</t>
  </si>
  <si>
    <t>岡山県</t>
  </si>
  <si>
    <t>33</t>
  </si>
  <si>
    <t>広島県</t>
  </si>
  <si>
    <t>34</t>
  </si>
  <si>
    <t>山口県</t>
  </si>
  <si>
    <t>35</t>
  </si>
  <si>
    <t>徳島県</t>
  </si>
  <si>
    <t>36</t>
  </si>
  <si>
    <t>香川県</t>
  </si>
  <si>
    <t>37</t>
  </si>
  <si>
    <t>愛媛県</t>
  </si>
  <si>
    <t>38</t>
  </si>
  <si>
    <t>高知県</t>
  </si>
  <si>
    <t>39</t>
  </si>
  <si>
    <t>福岡県</t>
  </si>
  <si>
    <t>40</t>
  </si>
  <si>
    <t>佐賀県</t>
  </si>
  <si>
    <t>41</t>
  </si>
  <si>
    <t>長崎県</t>
  </si>
  <si>
    <t>42</t>
  </si>
  <si>
    <t>熊本県</t>
  </si>
  <si>
    <t>43</t>
  </si>
  <si>
    <t>大分県</t>
  </si>
  <si>
    <t>44</t>
  </si>
  <si>
    <t>宮崎県</t>
  </si>
  <si>
    <t>45</t>
  </si>
  <si>
    <t>鹿児島県</t>
  </si>
  <si>
    <t>46</t>
  </si>
  <si>
    <t>沖縄県</t>
  </si>
  <si>
    <t>47</t>
  </si>
  <si>
    <t>登録陸協なし</t>
    <rPh sb="0" eb="4">
      <t>トウロクリクキョウ</t>
    </rPh>
    <phoneticPr fontId="13"/>
  </si>
  <si>
    <t>女子100m</t>
  </si>
  <si>
    <t>ﾎｯｶｲﾄﾞｳ</t>
  </si>
  <si>
    <t>青　森</t>
  </si>
  <si>
    <t>ｱｵﾓﾘ</t>
  </si>
  <si>
    <t>岩　手</t>
  </si>
  <si>
    <t>ｲﾜﾃ</t>
  </si>
  <si>
    <t>宮　城</t>
  </si>
  <si>
    <t>ﾐﾔｷﾞ</t>
  </si>
  <si>
    <t>秋　田</t>
  </si>
  <si>
    <t>ｱｷﾀ</t>
  </si>
  <si>
    <t>山　形</t>
  </si>
  <si>
    <t>ﾔﾏｶﾞﾀ</t>
  </si>
  <si>
    <t>福　島</t>
  </si>
  <si>
    <t>ﾌｸｼﾏ</t>
  </si>
  <si>
    <t>茨　城</t>
  </si>
  <si>
    <t>ｲﾊﾞﾗｷ</t>
  </si>
  <si>
    <t>栃　木</t>
  </si>
  <si>
    <t>ﾄﾁｷﾞ</t>
  </si>
  <si>
    <t>群　馬</t>
  </si>
  <si>
    <t>ｸﾞﾝﾏ</t>
  </si>
  <si>
    <t>埼　玉</t>
  </si>
  <si>
    <t>ｻｲﾀﾏ</t>
  </si>
  <si>
    <t>千　葉</t>
  </si>
  <si>
    <t>ﾁﾊﾞ</t>
  </si>
  <si>
    <t>東　京</t>
  </si>
  <si>
    <t>ﾄｳｷｮｳ</t>
  </si>
  <si>
    <t>神奈川</t>
  </si>
  <si>
    <t>ｶﾅｶﾞﾜ</t>
  </si>
  <si>
    <t>山　梨</t>
  </si>
  <si>
    <t>ﾔﾏﾅｼ</t>
  </si>
  <si>
    <t>新　潟</t>
  </si>
  <si>
    <t>ﾆｲｶﾞﾀ</t>
  </si>
  <si>
    <t>富　山</t>
  </si>
  <si>
    <t>ﾄﾔﾏ</t>
  </si>
  <si>
    <t>石　川</t>
  </si>
  <si>
    <t>ｲｼｶﾜ</t>
  </si>
  <si>
    <t>福　井</t>
  </si>
  <si>
    <t>ﾌｸｲ</t>
  </si>
  <si>
    <t>長　野</t>
  </si>
  <si>
    <t>ﾅｶﾞﾉ</t>
  </si>
  <si>
    <t>静　岡</t>
  </si>
  <si>
    <t>ｼｽﾞｵｶ</t>
  </si>
  <si>
    <t>愛　知</t>
  </si>
  <si>
    <t>ｱｲﾁ</t>
  </si>
  <si>
    <t>岐　阜</t>
  </si>
  <si>
    <t>ｷﾞﾌ</t>
  </si>
  <si>
    <t>三　重</t>
  </si>
  <si>
    <t>ﾐｴ</t>
  </si>
  <si>
    <t>滋　賀</t>
  </si>
  <si>
    <t>ｼｶﾞ</t>
  </si>
  <si>
    <t>京　都</t>
  </si>
  <si>
    <t>ｷｮｳﾄ</t>
  </si>
  <si>
    <t>大　阪</t>
  </si>
  <si>
    <t>ｵｵｻｶ</t>
  </si>
  <si>
    <t>兵　庫</t>
  </si>
  <si>
    <t>ﾋｮｳｺﾞ</t>
  </si>
  <si>
    <t>奈　良</t>
  </si>
  <si>
    <t>ﾅﾗ</t>
  </si>
  <si>
    <t>和歌山</t>
  </si>
  <si>
    <t>ﾜｶﾔﾏ</t>
  </si>
  <si>
    <t>鳥　取</t>
  </si>
  <si>
    <t>ﾄｯﾄﾘ</t>
  </si>
  <si>
    <t>島　根</t>
  </si>
  <si>
    <t>ｼﾏﾈ</t>
  </si>
  <si>
    <t>岡　山</t>
  </si>
  <si>
    <t>ｵｶﾔﾏ</t>
  </si>
  <si>
    <t>広　島</t>
  </si>
  <si>
    <t>ﾋﾛｼﾏ</t>
  </si>
  <si>
    <t>山　口</t>
  </si>
  <si>
    <t>ﾔﾏｸﾞﾁ</t>
  </si>
  <si>
    <t>徳　島</t>
  </si>
  <si>
    <t>ﾄｸｼﾏ</t>
  </si>
  <si>
    <t>香　川</t>
  </si>
  <si>
    <t>ｶｶﾞﾜ</t>
  </si>
  <si>
    <t>愛　媛</t>
  </si>
  <si>
    <t>ｴﾋﾒ</t>
  </si>
  <si>
    <t>高　知</t>
  </si>
  <si>
    <t>ｺｳﾁ</t>
  </si>
  <si>
    <t>福　岡</t>
  </si>
  <si>
    <t>ﾌｸｵｶ</t>
  </si>
  <si>
    <t>佐　賀</t>
  </si>
  <si>
    <t>ｻｶﾞ</t>
  </si>
  <si>
    <t>長　崎</t>
  </si>
  <si>
    <t>ﾅｶﾞｻｷ</t>
  </si>
  <si>
    <t>熊　本</t>
  </si>
  <si>
    <t>ｸﾏﾓﾄ</t>
  </si>
  <si>
    <t>大　分</t>
  </si>
  <si>
    <t>ｵｵｲﾀ</t>
  </si>
  <si>
    <t>宮　崎</t>
  </si>
  <si>
    <t>ﾐﾔｻﾞｷ</t>
  </si>
  <si>
    <t>鹿児島</t>
  </si>
  <si>
    <t>ｶｺﾞｼﾏ</t>
  </si>
  <si>
    <t>沖　縄</t>
  </si>
  <si>
    <t>ｵｷﾅﾜ</t>
  </si>
  <si>
    <t>学　連　</t>
  </si>
  <si>
    <t>ｶﾞｸﾚﾝ</t>
  </si>
  <si>
    <t>ﾌﾘｶﾞﾅ</t>
  </si>
  <si>
    <t>○</t>
    <phoneticPr fontId="3"/>
  </si>
  <si>
    <t>入力方法</t>
    <rPh sb="0" eb="2">
      <t>ニュウリョク</t>
    </rPh>
    <rPh sb="2" eb="4">
      <t>ホウホウ</t>
    </rPh>
    <phoneticPr fontId="3"/>
  </si>
  <si>
    <t>エラーチェック</t>
    <phoneticPr fontId="3"/>
  </si>
  <si>
    <t>登録番号</t>
    <rPh sb="0" eb="2">
      <t>トウロク</t>
    </rPh>
    <rPh sb="2" eb="4">
      <t>バンゴウ</t>
    </rPh>
    <phoneticPr fontId="3"/>
  </si>
  <si>
    <t>出場種目</t>
    <rPh sb="0" eb="2">
      <t>シュツジョウ</t>
    </rPh>
    <rPh sb="2" eb="4">
      <t>シュモク</t>
    </rPh>
    <phoneticPr fontId="3"/>
  </si>
  <si>
    <t>記録</t>
    <rPh sb="0" eb="2">
      <t>キロク</t>
    </rPh>
    <phoneticPr fontId="3"/>
  </si>
  <si>
    <t>リレー</t>
    <phoneticPr fontId="3"/>
  </si>
  <si>
    <t>参考記録</t>
    <rPh sb="0" eb="2">
      <t>サンコウ</t>
    </rPh>
    <rPh sb="2" eb="4">
      <t>キロク</t>
    </rPh>
    <phoneticPr fontId="3"/>
  </si>
  <si>
    <t>ﾌﾘｶﾞﾅ</t>
    <phoneticPr fontId="3"/>
  </si>
  <si>
    <t>5-</t>
    <phoneticPr fontId="3"/>
  </si>
  <si>
    <t>種目①</t>
    <rPh sb="0" eb="2">
      <t>シュモク</t>
    </rPh>
    <phoneticPr fontId="3"/>
  </si>
  <si>
    <t>種目②</t>
    <rPh sb="0" eb="2">
      <t>シュモク</t>
    </rPh>
    <phoneticPr fontId="3"/>
  </si>
  <si>
    <t>種目③</t>
    <rPh sb="0" eb="2">
      <t>シュモク</t>
    </rPh>
    <phoneticPr fontId="3"/>
  </si>
  <si>
    <t>①</t>
    <phoneticPr fontId="3"/>
  </si>
  <si>
    <t>②</t>
    <phoneticPr fontId="3"/>
  </si>
  <si>
    <t>3</t>
  </si>
  <si>
    <t>4</t>
  </si>
  <si>
    <t>2</t>
  </si>
  <si>
    <t>D3</t>
  </si>
  <si>
    <t>M2</t>
  </si>
  <si>
    <t>1</t>
  </si>
  <si>
    <t>M1</t>
  </si>
  <si>
    <t>5</t>
  </si>
  <si>
    <t>３</t>
  </si>
  <si>
    <t>D2</t>
  </si>
  <si>
    <t>D1</t>
  </si>
  <si>
    <t>6</t>
  </si>
  <si>
    <t>D5</t>
  </si>
  <si>
    <t>4</t>
    <phoneticPr fontId="3"/>
  </si>
  <si>
    <t>3</t>
    <phoneticPr fontId="3"/>
  </si>
  <si>
    <t>JPN</t>
  </si>
  <si>
    <t>中京大学</t>
  </si>
  <si>
    <t>愛知医科大学</t>
  </si>
  <si>
    <t>愛知学院大学</t>
  </si>
  <si>
    <t>愛知教育大学</t>
  </si>
  <si>
    <t>愛知工業大学</t>
  </si>
  <si>
    <t>愛知淑徳大学</t>
  </si>
  <si>
    <t>愛知大学</t>
  </si>
  <si>
    <t>岐阜協立大学</t>
  </si>
  <si>
    <t>岐阜工業高等専門学校</t>
  </si>
  <si>
    <t>岐阜聖徳学園大学</t>
  </si>
  <si>
    <t>岐阜大学</t>
  </si>
  <si>
    <t>近畿大学工業高等専門学校</t>
  </si>
  <si>
    <t>皇學館大学</t>
  </si>
  <si>
    <t>豊田工業高等専門学校</t>
  </si>
  <si>
    <t>三重大学</t>
  </si>
  <si>
    <t>三重短期大学</t>
  </si>
  <si>
    <t>至学館大学</t>
  </si>
  <si>
    <t>静岡県立大学</t>
  </si>
  <si>
    <t>中部学院大学</t>
  </si>
  <si>
    <t>中部大学</t>
  </si>
  <si>
    <t>南山大学</t>
  </si>
  <si>
    <t>日本福祉大学</t>
  </si>
  <si>
    <t>浜松医科大学</t>
  </si>
  <si>
    <t>名古屋市立大学</t>
  </si>
  <si>
    <t>名古屋商科大学</t>
  </si>
  <si>
    <t>名古屋大学</t>
  </si>
  <si>
    <t>名城大学</t>
  </si>
  <si>
    <t>鈴鹿工業高等専門学校</t>
  </si>
  <si>
    <t>愛知東邦大学</t>
  </si>
  <si>
    <t>静岡産業大学</t>
  </si>
  <si>
    <t>藤田医科大学</t>
  </si>
  <si>
    <t>名古屋学院大学</t>
  </si>
  <si>
    <t>名古屋工業大学</t>
  </si>
  <si>
    <t>岐阜薬科大学</t>
  </si>
  <si>
    <t>東海学園大学</t>
  </si>
  <si>
    <t>東海大学東海</t>
  </si>
  <si>
    <t>常葉大学</t>
  </si>
  <si>
    <t>静岡大学</t>
  </si>
  <si>
    <t>沼津工業高等専門学校</t>
  </si>
  <si>
    <t>団体略称</t>
    <rPh sb="0" eb="2">
      <t>ダンタイ</t>
    </rPh>
    <rPh sb="2" eb="4">
      <t>リャクショウ</t>
    </rPh>
    <phoneticPr fontId="3"/>
  </si>
  <si>
    <t>清水　宝</t>
  </si>
  <si>
    <t>ｼﾐｽﾞ ﾀｶﾗ</t>
  </si>
  <si>
    <t>松本　峻太郎</t>
  </si>
  <si>
    <t>ﾏﾂﾓﾄ ﾘｮｳﾀﾛｳ</t>
  </si>
  <si>
    <t>可児　大晟</t>
  </si>
  <si>
    <t>ｶﾆ ﾀｲｾｲ</t>
  </si>
  <si>
    <t>伊藤　愛斗</t>
  </si>
  <si>
    <t>ｲﾄｳ ﾏﾅﾄ</t>
  </si>
  <si>
    <t>村井　奎斗</t>
  </si>
  <si>
    <t>ﾑﾗｲ ｹｲﾄ</t>
  </si>
  <si>
    <t>山下　大輝</t>
  </si>
  <si>
    <t>ﾔﾏｼﾀ ﾀﾞｲｷ</t>
  </si>
  <si>
    <t>牧田　良介</t>
  </si>
  <si>
    <t>ﾏｷﾀ ﾘｮｳｽｹ</t>
  </si>
  <si>
    <t>菊池　昌太郎</t>
  </si>
  <si>
    <t>ｷｸﾁ ｼｮｳﾀﾛｳ</t>
  </si>
  <si>
    <t>酒井　渉太</t>
  </si>
  <si>
    <t>花輪　駿也</t>
  </si>
  <si>
    <t>ﾊﾅﾜ ｼｭﾝﾔ</t>
  </si>
  <si>
    <t>辻野　到磨</t>
  </si>
  <si>
    <t>ﾂｼﾞﾉ ﾄｳﾏ</t>
  </si>
  <si>
    <t>杉山　喜紀</t>
  </si>
  <si>
    <t>ｽｷﾞﾔﾏ ﾖｼｷ</t>
  </si>
  <si>
    <t>田畑　論太郎</t>
  </si>
  <si>
    <t>ﾀﾊﾞﾀ ﾛﾝﾀﾛｳ</t>
  </si>
  <si>
    <t>長屋　暁大</t>
  </si>
  <si>
    <t>ﾅｶﾞﾔ ｱｷﾋﾛ</t>
  </si>
  <si>
    <t>小川　真誉</t>
  </si>
  <si>
    <t>ｵｶﾞﾜ ﾏﾖ</t>
  </si>
  <si>
    <t>千野　雅人</t>
  </si>
  <si>
    <t>ﾁﾉ ﾏｻﾄ</t>
  </si>
  <si>
    <t>平野　和弥</t>
  </si>
  <si>
    <t>ﾋﾗﾉ ｶｽﾞﾔ</t>
  </si>
  <si>
    <t>村松　祐志</t>
  </si>
  <si>
    <t>ﾑﾗﾏﾂ ﾕｳｼ</t>
  </si>
  <si>
    <t>米倉　祐貴</t>
  </si>
  <si>
    <t>ﾖﾈｸﾗ ﾕｳｷ</t>
  </si>
  <si>
    <t>沢山　匠</t>
  </si>
  <si>
    <t>ｻﾜﾔﾏ ﾀｸﾐ</t>
  </si>
  <si>
    <t>大場　稜斗</t>
  </si>
  <si>
    <t>ｵｵﾊﾞ ﾘｮｳﾄ</t>
  </si>
  <si>
    <t>長瀬　博哉</t>
  </si>
  <si>
    <t>ﾅｶﾞｾ ﾋﾛﾔ</t>
  </si>
  <si>
    <t>安達　太陽</t>
  </si>
  <si>
    <t>ｱﾀﾞﾁ ﾀｲﾖｳ</t>
  </si>
  <si>
    <t>和田　剛輔</t>
  </si>
  <si>
    <t>ﾜﾀﾞ ｺﾞｳｽｹ</t>
  </si>
  <si>
    <t>篠原　理玖</t>
  </si>
  <si>
    <t>ｼﾉﾊﾗ ﾘｸ</t>
  </si>
  <si>
    <t>牧野　泰河</t>
  </si>
  <si>
    <t>ﾏｷﾉ ﾀｲｶﾞ</t>
  </si>
  <si>
    <t>辻川　侑馬</t>
  </si>
  <si>
    <t>ﾂｼﾞｶﾜ ﾕｳﾏ</t>
  </si>
  <si>
    <t>望月　滉洋</t>
  </si>
  <si>
    <t>ﾓﾁﾂﾞｷ ｺｳﾖｳ</t>
  </si>
  <si>
    <t>河田　友峻</t>
  </si>
  <si>
    <t>ｶﾜﾀﾞ ﾄﾓﾀｶ</t>
  </si>
  <si>
    <t>居森　圭哉</t>
  </si>
  <si>
    <t>ｲﾓﾘ ｹｲﾔ</t>
  </si>
  <si>
    <t>吉川　尚典</t>
  </si>
  <si>
    <t>増田　裕太</t>
  </si>
  <si>
    <t>ﾏｽﾀﾞ ﾕｳﾀ</t>
  </si>
  <si>
    <t>木下　涼雅</t>
  </si>
  <si>
    <t>ｷﾉｼﾀ ﾘｮｳｶﾞ</t>
  </si>
  <si>
    <t>福井　達也</t>
  </si>
  <si>
    <t>ﾌｸｲ ﾀﾂﾔ</t>
  </si>
  <si>
    <t>佐藤　祐杜</t>
  </si>
  <si>
    <t>ｻﾄｳ ﾕｳﾄ</t>
  </si>
  <si>
    <t>山崎　駆</t>
  </si>
  <si>
    <t>ﾔﾏｻﾞｷ ｶｹﾙ</t>
  </si>
  <si>
    <t>加藤　寛之</t>
  </si>
  <si>
    <t>ｶﾄｳ ﾋﾛﾕｷ</t>
  </si>
  <si>
    <t>菅　亮太</t>
  </si>
  <si>
    <t>ｽｶﾞ ﾘｮｳﾀ</t>
  </si>
  <si>
    <t>池田　篤志</t>
  </si>
  <si>
    <t>ｲｹﾀﾞ ｱﾂｼ</t>
  </si>
  <si>
    <t>山口　理生</t>
  </si>
  <si>
    <t>ﾔﾏｸﾞﾁ ﾘｵ</t>
  </si>
  <si>
    <t>大隅　亮太</t>
  </si>
  <si>
    <t>ｵｵｽﾐ ﾘｮｳﾀ</t>
  </si>
  <si>
    <t>石神　夏実</t>
  </si>
  <si>
    <t>ｲｼｶﾞﾐ ﾅﾂﾐ</t>
  </si>
  <si>
    <t>尾川　知也</t>
  </si>
  <si>
    <t>ｵｶﾞﾜ ﾄﾓﾔ</t>
  </si>
  <si>
    <t>町田　直人</t>
  </si>
  <si>
    <t>ﾏﾁﾀﾞ ﾅｵﾄ</t>
  </si>
  <si>
    <t>副島　大輔</t>
  </si>
  <si>
    <t>ｿｴｼﾞﾏ ﾀﾞｲｽｹ</t>
  </si>
  <si>
    <t>渡邉　直希</t>
  </si>
  <si>
    <t>ﾜﾀﾅﾍﾞ ﾅｵｷ</t>
  </si>
  <si>
    <t>増田　大河</t>
  </si>
  <si>
    <t>ﾏｽﾀﾞ ﾀｲｶﾞ</t>
  </si>
  <si>
    <t>谷中　宏太朗</t>
  </si>
  <si>
    <t>ﾔﾅｶ ｺｳﾀﾛｳ</t>
  </si>
  <si>
    <t>上野　想</t>
  </si>
  <si>
    <t>ｳｴﾉ ｿｳ</t>
  </si>
  <si>
    <t>二見　隆亮</t>
  </si>
  <si>
    <t>ﾌﾀﾐ ﾀｶｱｷ</t>
  </si>
  <si>
    <t>坂崎　功太郎</t>
  </si>
  <si>
    <t>ｻｶｻﾞｷ ｺｳﾀﾛｳ</t>
  </si>
  <si>
    <t>小嵐　亮</t>
  </si>
  <si>
    <t>ｺｱﾗｼ ﾘｮｳ</t>
  </si>
  <si>
    <t>岩瀬　颯吾</t>
  </si>
  <si>
    <t>ｲﾜｾ ｿｳｺﾞ</t>
  </si>
  <si>
    <t>宮本　幸輝</t>
  </si>
  <si>
    <t>久保　勇稀</t>
  </si>
  <si>
    <t>ｸﾎﾞ ﾕｳｷ</t>
  </si>
  <si>
    <t>高橋　佳篤</t>
  </si>
  <si>
    <t>ﾀｶﾊｼ ｶｲﾄ</t>
  </si>
  <si>
    <t>中井　裕人</t>
  </si>
  <si>
    <t>ﾅｶｲ ﾋﾛﾄ</t>
  </si>
  <si>
    <t>佐藤　和樹</t>
  </si>
  <si>
    <t>ｻﾄｳ ｶｽﾞｷ</t>
  </si>
  <si>
    <t>廣瀬　拓</t>
  </si>
  <si>
    <t>ﾋﾛｾ ﾀｸ</t>
  </si>
  <si>
    <t>真野　悠太郎</t>
  </si>
  <si>
    <t>ﾏﾉ ﾕｳﾀﾛｳ</t>
  </si>
  <si>
    <t>髙間　聖大</t>
  </si>
  <si>
    <t>ﾀｶﾏ ｼｮｳﾀﾞｲ</t>
  </si>
  <si>
    <t>安岡　大生</t>
  </si>
  <si>
    <t>ﾔｽｵｶ ﾀｲｾｲ</t>
  </si>
  <si>
    <t>伊里　友希</t>
  </si>
  <si>
    <t>ｲﾘ ﾕｳｷ</t>
  </si>
  <si>
    <t>大久保　信哉</t>
  </si>
  <si>
    <t>ｵｵｸﾎﾞ ｼﾝﾔ</t>
  </si>
  <si>
    <t>大島　涼賀</t>
  </si>
  <si>
    <t>ｵｵｼﾏ ﾘｮｳｶﾞ</t>
  </si>
  <si>
    <t>三矢　泰河</t>
  </si>
  <si>
    <t>ﾐﾂﾔ ﾀｲｶﾞ</t>
  </si>
  <si>
    <t>斉藤　雄</t>
  </si>
  <si>
    <t>ｻｲﾄｳ ﾕｳ</t>
  </si>
  <si>
    <t>杉原　陸斗</t>
  </si>
  <si>
    <t>ｽｷﾞﾊﾗ ﾘｸﾄ</t>
  </si>
  <si>
    <t>犬飼　佳寛</t>
  </si>
  <si>
    <t>ｲﾇｶｲ ﾖｼﾋﾛ</t>
  </si>
  <si>
    <t>山代　大海</t>
  </si>
  <si>
    <t>ﾔﾏｼﾛ ﾋﾛﾐ</t>
  </si>
  <si>
    <t>佐々木　寛太</t>
  </si>
  <si>
    <t>ｻｻｷ ｶﾝﾀ</t>
  </si>
  <si>
    <t>八谷　隆太郎</t>
  </si>
  <si>
    <t>ﾔﾂﾔ ﾘｭｳﾀﾛｳ</t>
  </si>
  <si>
    <t>長坂　侑馬</t>
  </si>
  <si>
    <t>ﾅｶﾞｻｶ ﾕｳﾏ</t>
  </si>
  <si>
    <t>迫　朝澄</t>
  </si>
  <si>
    <t>ｻｺ ｱｽﾞﾐ</t>
  </si>
  <si>
    <t>渡辺　裕介</t>
  </si>
  <si>
    <t>ﾜﾀﾅﾍﾞ ﾕｳｽｹ</t>
  </si>
  <si>
    <t>清水　涼雅</t>
  </si>
  <si>
    <t>ｼﾐｽﾞ ﾘｮｳｶﾞ</t>
  </si>
  <si>
    <t>勝間　光希</t>
  </si>
  <si>
    <t>ｶﾂﾏ ﾐﾂｷ</t>
  </si>
  <si>
    <t>合田　治</t>
  </si>
  <si>
    <t>ｺﾞｳﾀﾞ ｵｻﾑ</t>
  </si>
  <si>
    <t>山東　柚輝</t>
  </si>
  <si>
    <t>ｻﾝﾄｳ ﾕｽﾞｷ</t>
  </si>
  <si>
    <t>渡辺　太陽</t>
  </si>
  <si>
    <t>ﾜﾀﾅﾍﾞ ﾀｲﾖｳ</t>
  </si>
  <si>
    <t>山内　秀馬</t>
  </si>
  <si>
    <t>ﾔﾏｳﾁ ｼｭｳﾏ</t>
  </si>
  <si>
    <t>大林　湧</t>
  </si>
  <si>
    <t>ｵｵﾊﾞﾔｼ ﾜｸ</t>
  </si>
  <si>
    <t>羽柴　龍二</t>
  </si>
  <si>
    <t>ﾊｼﾊﾞ ﾘｭｳｼﾞ</t>
  </si>
  <si>
    <t>花島　育斗</t>
  </si>
  <si>
    <t>ﾊﾅｼﾏ ｲｸﾄ</t>
  </si>
  <si>
    <t>山口　凌司</t>
  </si>
  <si>
    <t>ﾔﾏｸﾞﾁ ﾘｮｳｼﾞ</t>
  </si>
  <si>
    <t>加藤　兄野</t>
  </si>
  <si>
    <t>ｶﾄｳ ｹｲﾔ</t>
  </si>
  <si>
    <t>田村　峻</t>
  </si>
  <si>
    <t>ﾀﾑﾗ ｼｭﾝ</t>
  </si>
  <si>
    <t>伊藤　有哉</t>
  </si>
  <si>
    <t>岩田　勇来</t>
  </si>
  <si>
    <t>ｲﾜﾀ ﾕｳｷ</t>
  </si>
  <si>
    <t>竹内　浩樹</t>
  </si>
  <si>
    <t>ﾀｹｳﾁ ｺｳｷ</t>
  </si>
  <si>
    <t>坂　公希</t>
  </si>
  <si>
    <t>ﾊﾞﾝ ｺｳｷ</t>
  </si>
  <si>
    <t>牧原　浩樹</t>
  </si>
  <si>
    <t>ﾏｷﾊﾗ ｺｳｷ</t>
  </si>
  <si>
    <t>佐藤　駿太</t>
  </si>
  <si>
    <t>ｻﾄｳ ｼｭﾝﾀ</t>
  </si>
  <si>
    <t>大原　快</t>
  </si>
  <si>
    <t>ｵｵﾊﾗ ｶｲ</t>
  </si>
  <si>
    <t>中溝 大地</t>
  </si>
  <si>
    <t>ﾅｶﾐｿﾞ ﾀﾞｲﾁ</t>
  </si>
  <si>
    <t>福岡　光貴</t>
  </si>
  <si>
    <t>ﾌｸｵｶ ｺｳｷ</t>
  </si>
  <si>
    <t>白邦　勇樹</t>
  </si>
  <si>
    <t>ｼﾗｸﾆ ﾖﾝｽ</t>
  </si>
  <si>
    <t>桜木　優斗</t>
  </si>
  <si>
    <t>ｻｸﾗｷﾞ ﾕｳﾄ</t>
  </si>
  <si>
    <t>脇田　航輝</t>
  </si>
  <si>
    <t>ﾜｷﾀ ｺｳｷ</t>
  </si>
  <si>
    <t>山田　陸駆</t>
  </si>
  <si>
    <t>ﾔﾏﾀﾞ ﾘｸ</t>
  </si>
  <si>
    <t>伊藤　立樹</t>
  </si>
  <si>
    <t>ｲﾄｳ ﾘﾂｷ</t>
  </si>
  <si>
    <t>高畑　永遠</t>
  </si>
  <si>
    <t>ﾀｶﾊﾀ ﾄﾜ</t>
  </si>
  <si>
    <t>近藤　直斗</t>
  </si>
  <si>
    <t>ｺﾝﾄﾞｳ ﾅｵﾄ</t>
  </si>
  <si>
    <t>安永　賢士郎</t>
  </si>
  <si>
    <t>ﾔｽﾅｶﾞ ｹﾝｼﾛｳ</t>
  </si>
  <si>
    <t>高木　陽</t>
  </si>
  <si>
    <t>ﾀｶｷﾞ ﾖｳ</t>
  </si>
  <si>
    <t>森本　直矢</t>
  </si>
  <si>
    <t>ﾓﾘﾓﾄ ﾅｵﾔ</t>
  </si>
  <si>
    <t>山内 健太郎</t>
  </si>
  <si>
    <t>ﾔﾏｳﾁ ｹﾝﾀﾛｳ</t>
  </si>
  <si>
    <t>永戸　悠太郎</t>
  </si>
  <si>
    <t>ﾅｶﾞﾄ ﾕｳﾀﾛｳ</t>
  </si>
  <si>
    <t>祝　翔瑛</t>
  </si>
  <si>
    <t>ｲﾜｲ ｼｮｳｴｲ</t>
  </si>
  <si>
    <t>安永　英生</t>
  </si>
  <si>
    <t>ﾔｽﾅｶﾞ ｴｲｷ</t>
  </si>
  <si>
    <t>横山　竜輝</t>
  </si>
  <si>
    <t>ﾖｺﾔﾏ ﾘｭｳｷ</t>
  </si>
  <si>
    <t>西尾　幸晟</t>
  </si>
  <si>
    <t>ﾆｼｵ ｺｳｾｲ</t>
  </si>
  <si>
    <t>林　凌輝</t>
  </si>
  <si>
    <t>ﾊﾔｼ ﾘｮｳｷ</t>
  </si>
  <si>
    <t>杉浦　彰一</t>
  </si>
  <si>
    <t>ｽｷﾞｳﾗ ｼｮｳｲﾁ</t>
  </si>
  <si>
    <t>北　聖大</t>
  </si>
  <si>
    <t>ｷﾀ ﾏｻﾋﾛ</t>
  </si>
  <si>
    <t>城所　祥太</t>
  </si>
  <si>
    <t>ｷﾄﾞｺﾛ ｼｮｳﾀ</t>
  </si>
  <si>
    <t>瀧口　周</t>
  </si>
  <si>
    <t>ﾀｷｸﾞﾁ ｱﾏﾈ</t>
  </si>
  <si>
    <t>鈴木　愛矢</t>
  </si>
  <si>
    <t>ｽｽﾞｷ ﾏﾅﾔ</t>
  </si>
  <si>
    <t>袴田 岬</t>
  </si>
  <si>
    <t>ﾊｶﾏﾀ ﾐｻｷ</t>
  </si>
  <si>
    <t>村松　佑哉</t>
  </si>
  <si>
    <t>ﾑﾗﾏﾂ ﾕｳﾔ</t>
  </si>
  <si>
    <t>山崎　優太朗</t>
  </si>
  <si>
    <t>ﾔﾏｻﾞｷ ﾕｳﾀﾛｳ</t>
  </si>
  <si>
    <t>海野　竜仁</t>
  </si>
  <si>
    <t>ｳﾝﾉ ﾘｭｳﾄ</t>
  </si>
  <si>
    <t>内藤　直人</t>
  </si>
  <si>
    <t>ﾅｲﾄｳ ﾅｵﾄ</t>
  </si>
  <si>
    <t>猪爪　宏樹</t>
  </si>
  <si>
    <t>ｲﾉﾂﾒ ﾋﾛｷ</t>
  </si>
  <si>
    <t>大和　利成</t>
  </si>
  <si>
    <t>ﾔﾏﾄ ﾄｼﾅﾘ</t>
  </si>
  <si>
    <t>鈴木　優成</t>
  </si>
  <si>
    <t>ｽｽﾞｷ ﾕｳｾｲ</t>
  </si>
  <si>
    <t>梅谷　太紀</t>
  </si>
  <si>
    <t>ｳﾒﾀﾆ ﾀﾞｲｷ</t>
  </si>
  <si>
    <t>江村　一輝</t>
  </si>
  <si>
    <t>ｴﾑﾗ ｶｽﾞｷ</t>
  </si>
  <si>
    <t>大久保　俊哉</t>
  </si>
  <si>
    <t>ｵｵｸﾎﾞ ﾄｼﾔ</t>
  </si>
  <si>
    <t>坂上　大陽</t>
  </si>
  <si>
    <t>ｻｶｳｴ ﾀｲﾖｳ</t>
  </si>
  <si>
    <t>古里　祐樹</t>
  </si>
  <si>
    <t>ﾌﾙｻﾄ ﾕｳｷ</t>
  </si>
  <si>
    <t>森　志郎</t>
  </si>
  <si>
    <t>ﾓﾘ ｼﾛｳ</t>
  </si>
  <si>
    <t>湯野澤　太陽</t>
  </si>
  <si>
    <t>ﾕﾉｻﾜ ﾀｲﾖｳ</t>
  </si>
  <si>
    <t>勝家　海大</t>
  </si>
  <si>
    <t>ｶﾂﾔ ﾐｸﾄ</t>
  </si>
  <si>
    <t>石川　智也</t>
  </si>
  <si>
    <t>ｲｼｶﾜ ﾄﾓﾔ</t>
  </si>
  <si>
    <t>小池　真広</t>
  </si>
  <si>
    <t>ｺｲｹ ﾏﾋﾛ</t>
  </si>
  <si>
    <t>辻井　宏樹</t>
  </si>
  <si>
    <t>ﾂｼﾞｲ ﾋﾛｷ</t>
  </si>
  <si>
    <t>杉浦　隆輝</t>
  </si>
  <si>
    <t>ｽｷﾞｳﾗ ﾘｭｳｷ</t>
  </si>
  <si>
    <t>巽　涼</t>
  </si>
  <si>
    <t>ﾀﾂﾐ ﾘｮｳ</t>
  </si>
  <si>
    <t>田中　椋</t>
  </si>
  <si>
    <t>ﾀﾅｶ ﾘｮｳ</t>
  </si>
  <si>
    <t>寺崎　秀一</t>
  </si>
  <si>
    <t>ﾃﾗｻｷ ｼｭｳｲﾁ</t>
  </si>
  <si>
    <t>長坂　尚哉</t>
  </si>
  <si>
    <t>ﾅｶﾞｻｶ ﾅｵﾔ</t>
  </si>
  <si>
    <t>青井　拓海</t>
  </si>
  <si>
    <t>ｱｵｲ ﾀｸﾐ</t>
  </si>
  <si>
    <t>伊藤　翔雲</t>
  </si>
  <si>
    <t>ｲﾄｳ ｼｮｳｳﾝ</t>
  </si>
  <si>
    <t>鈴木　龍也</t>
  </si>
  <si>
    <t>ｽｽﾞｷ ﾘｭｳﾔ</t>
  </si>
  <si>
    <t>富田　泰理</t>
  </si>
  <si>
    <t>ﾄﾐﾀ ﾀｲﾘ</t>
  </si>
  <si>
    <t>外山　侑稜</t>
  </si>
  <si>
    <t>ﾄﾔﾏ ﾕｳﾘ</t>
  </si>
  <si>
    <t>堀江　爽太郎</t>
  </si>
  <si>
    <t>ﾎﾘｴ ｿｳﾀﾛｳ</t>
  </si>
  <si>
    <t>榊間　康生</t>
  </si>
  <si>
    <t>ｻｶｷﾏ ｺｳｾｲ</t>
  </si>
  <si>
    <t>安田　直暉</t>
  </si>
  <si>
    <t>ﾔｽﾀﾞ ﾅｵｷ</t>
  </si>
  <si>
    <t>稲岡　優人</t>
  </si>
  <si>
    <t>ｲﾅｵｶ ﾕｳﾄ</t>
  </si>
  <si>
    <t>舟木　悠人</t>
  </si>
  <si>
    <t>ﾌﾅｷ ﾊﾙﾄ</t>
  </si>
  <si>
    <t>分野　涼太</t>
  </si>
  <si>
    <t>ﾌﾞﾝﾉ ﾘｮｳﾀ</t>
  </si>
  <si>
    <t>音田　澪希</t>
  </si>
  <si>
    <t>ｵﾝﾀﾞ ﾚｷ</t>
  </si>
  <si>
    <t>西垣　剛大</t>
  </si>
  <si>
    <t>ﾆｼｶﾞｷ ﾀｹﾋﾛ</t>
  </si>
  <si>
    <t>尾崎　楓太</t>
  </si>
  <si>
    <t>ｵｻﾞｷ ﾌｳﾀ</t>
  </si>
  <si>
    <t>蔵　浩暉</t>
  </si>
  <si>
    <t>ｸﾗ ﾋﾛｷ</t>
  </si>
  <si>
    <t>水野 馨登</t>
  </si>
  <si>
    <t>ﾐｽﾞﾉ ｹｲﾄ</t>
  </si>
  <si>
    <t>相馬 唯杜</t>
  </si>
  <si>
    <t>ｿｳﾏ ﾕｲﾄ</t>
  </si>
  <si>
    <t>大工 夏蔵</t>
  </si>
  <si>
    <t>ﾀﾞｲｸ ｶｸﾞﾗ</t>
  </si>
  <si>
    <t>Takara</t>
  </si>
  <si>
    <t>KANI</t>
    <phoneticPr fontId="5"/>
  </si>
  <si>
    <t>Manato</t>
    <phoneticPr fontId="5"/>
  </si>
  <si>
    <t>MURAI</t>
    <phoneticPr fontId="5"/>
  </si>
  <si>
    <t>MAKITA</t>
    <phoneticPr fontId="5"/>
  </si>
  <si>
    <t>KIKUCHI</t>
    <phoneticPr fontId="5"/>
  </si>
  <si>
    <t>Shotaro</t>
    <phoneticPr fontId="5"/>
  </si>
  <si>
    <t>HANAWA</t>
    <phoneticPr fontId="5"/>
  </si>
  <si>
    <t>TSUJINO</t>
    <phoneticPr fontId="5"/>
  </si>
  <si>
    <t>Toma</t>
    <phoneticPr fontId="5"/>
  </si>
  <si>
    <t>TABATA</t>
    <phoneticPr fontId="5"/>
  </si>
  <si>
    <t>Rontaro</t>
    <phoneticPr fontId="5"/>
  </si>
  <si>
    <t>NAGAYA</t>
    <phoneticPr fontId="5"/>
  </si>
  <si>
    <t>Akihiro</t>
    <phoneticPr fontId="5"/>
  </si>
  <si>
    <t>Mayo</t>
    <phoneticPr fontId="5"/>
  </si>
  <si>
    <t>CHINO</t>
    <phoneticPr fontId="5"/>
  </si>
  <si>
    <t>HIRANO</t>
    <phoneticPr fontId="5"/>
  </si>
  <si>
    <t>Yushi</t>
    <phoneticPr fontId="5"/>
  </si>
  <si>
    <t>YONEKURA</t>
    <phoneticPr fontId="5"/>
  </si>
  <si>
    <t>SAWAYAMA</t>
    <phoneticPr fontId="5"/>
  </si>
  <si>
    <t>OBA</t>
    <phoneticPr fontId="5"/>
  </si>
  <si>
    <t>Ryoto</t>
    <phoneticPr fontId="5"/>
  </si>
  <si>
    <t>Gosuke</t>
    <phoneticPr fontId="5"/>
  </si>
  <si>
    <t>SHINOHARA</t>
    <phoneticPr fontId="5"/>
  </si>
  <si>
    <t>TSUJIKAWA</t>
    <phoneticPr fontId="5"/>
  </si>
  <si>
    <t>MOCHIZUKI</t>
    <phoneticPr fontId="5"/>
  </si>
  <si>
    <t>KAWADA</t>
    <phoneticPr fontId="5"/>
  </si>
  <si>
    <t>IMORI</t>
    <phoneticPr fontId="5"/>
  </si>
  <si>
    <t>Naonori</t>
    <phoneticPr fontId="5"/>
  </si>
  <si>
    <t>FUKUI</t>
    <phoneticPr fontId="5"/>
  </si>
  <si>
    <t>SUGA</t>
    <phoneticPr fontId="5"/>
  </si>
  <si>
    <t>Atsushi</t>
    <phoneticPr fontId="5"/>
  </si>
  <si>
    <t>Rio</t>
    <phoneticPr fontId="5"/>
  </si>
  <si>
    <t>OSUMI</t>
    <phoneticPr fontId="5"/>
  </si>
  <si>
    <t>ISHIGAMI</t>
    <phoneticPr fontId="5"/>
  </si>
  <si>
    <t>Natsumi</t>
    <phoneticPr fontId="5"/>
  </si>
  <si>
    <t>SOEJIMA</t>
    <phoneticPr fontId="5"/>
  </si>
  <si>
    <t>YANAKA</t>
    <phoneticPr fontId="5"/>
  </si>
  <si>
    <t>So</t>
    <phoneticPr fontId="5"/>
  </si>
  <si>
    <t>FUTAMI</t>
    <phoneticPr fontId="5"/>
  </si>
  <si>
    <t>Takaaki</t>
    <phoneticPr fontId="5"/>
  </si>
  <si>
    <t>SAKAZAKI</t>
    <phoneticPr fontId="5"/>
  </si>
  <si>
    <t>KOARASHI</t>
    <phoneticPr fontId="5"/>
  </si>
  <si>
    <t>Sogo</t>
    <phoneticPr fontId="5"/>
  </si>
  <si>
    <t>KUBO</t>
    <phoneticPr fontId="5"/>
  </si>
  <si>
    <t>HIROSE</t>
    <phoneticPr fontId="5"/>
  </si>
  <si>
    <t>Taku</t>
    <phoneticPr fontId="5"/>
  </si>
  <si>
    <t>MANO</t>
    <phoneticPr fontId="5"/>
  </si>
  <si>
    <t>TAKAMA</t>
    <phoneticPr fontId="5"/>
  </si>
  <si>
    <t>Shodai</t>
    <phoneticPr fontId="5"/>
  </si>
  <si>
    <t>YASUOKA</t>
    <phoneticPr fontId="5"/>
  </si>
  <si>
    <t>IRI</t>
    <phoneticPr fontId="5"/>
  </si>
  <si>
    <t>MITSUYA</t>
    <phoneticPr fontId="5"/>
  </si>
  <si>
    <t>SUGIHARA</t>
    <phoneticPr fontId="5"/>
  </si>
  <si>
    <t>Rikuto</t>
    <phoneticPr fontId="5"/>
  </si>
  <si>
    <t>INUKAI</t>
    <phoneticPr fontId="5"/>
  </si>
  <si>
    <t>Hiromi</t>
    <phoneticPr fontId="5"/>
  </si>
  <si>
    <t>YATSUYA</t>
    <phoneticPr fontId="5"/>
  </si>
  <si>
    <t>NAGASAKA</t>
    <phoneticPr fontId="5"/>
  </si>
  <si>
    <t>SAKO</t>
    <phoneticPr fontId="5"/>
  </si>
  <si>
    <t>Azumi</t>
    <phoneticPr fontId="5"/>
  </si>
  <si>
    <t>KATSUMA</t>
    <phoneticPr fontId="5"/>
  </si>
  <si>
    <t>Mitsuki</t>
    <phoneticPr fontId="5"/>
  </si>
  <si>
    <t>GODA</t>
    <phoneticPr fontId="5"/>
  </si>
  <si>
    <t>Osamu</t>
    <phoneticPr fontId="5"/>
  </si>
  <si>
    <t>SANTO</t>
    <phoneticPr fontId="5"/>
  </si>
  <si>
    <t>Yuzuki</t>
    <phoneticPr fontId="5"/>
  </si>
  <si>
    <t>Shuma</t>
    <phoneticPr fontId="5"/>
  </si>
  <si>
    <t>OBAYASHI</t>
    <phoneticPr fontId="5"/>
  </si>
  <si>
    <t>Waku</t>
    <phoneticPr fontId="5"/>
  </si>
  <si>
    <t>HASHIBA</t>
    <phoneticPr fontId="5"/>
  </si>
  <si>
    <t>Ryuji</t>
    <phoneticPr fontId="5"/>
  </si>
  <si>
    <t>HANASHIMA</t>
    <phoneticPr fontId="5"/>
  </si>
  <si>
    <t>Ikuto</t>
    <phoneticPr fontId="5"/>
  </si>
  <si>
    <t>MAKIHARA</t>
    <phoneticPr fontId="5"/>
  </si>
  <si>
    <t>NAKAMIZO</t>
    <phoneticPr fontId="5"/>
  </si>
  <si>
    <t>SHIRAKUNI</t>
    <phoneticPr fontId="5"/>
  </si>
  <si>
    <t>Yonsu</t>
    <phoneticPr fontId="5"/>
  </si>
  <si>
    <t>SAKURAGI</t>
    <phoneticPr fontId="5"/>
  </si>
  <si>
    <t>WAKITA</t>
    <phoneticPr fontId="5"/>
  </si>
  <si>
    <t xml:space="preserve">YAMADA </t>
    <phoneticPr fontId="5"/>
  </si>
  <si>
    <t>Ritsuki</t>
    <phoneticPr fontId="5"/>
  </si>
  <si>
    <t>TAKAHATA</t>
    <phoneticPr fontId="5"/>
  </si>
  <si>
    <t>YASUNAGA</t>
  </si>
  <si>
    <t>Kenshiro</t>
  </si>
  <si>
    <t>TAKAGI</t>
  </si>
  <si>
    <t>Yo</t>
  </si>
  <si>
    <t>MORIMOTO</t>
  </si>
  <si>
    <t>Naoya</t>
  </si>
  <si>
    <t xml:space="preserve">YAMAUCHI </t>
  </si>
  <si>
    <t>Kentaro</t>
  </si>
  <si>
    <t>NAGATO</t>
  </si>
  <si>
    <t>Yutaro</t>
  </si>
  <si>
    <t>IWAI</t>
  </si>
  <si>
    <t>Shoei</t>
  </si>
  <si>
    <t>Eiki</t>
  </si>
  <si>
    <t>YOKOYAMA</t>
  </si>
  <si>
    <t>Ryuki</t>
  </si>
  <si>
    <t>NISHIO</t>
  </si>
  <si>
    <t>Kosei</t>
  </si>
  <si>
    <t>Ryoki</t>
  </si>
  <si>
    <t>SUGIURA</t>
  </si>
  <si>
    <t>Shoichi</t>
  </si>
  <si>
    <t>KITA</t>
  </si>
  <si>
    <t>Masahiro</t>
  </si>
  <si>
    <t>KIDOKORO</t>
  </si>
  <si>
    <t>TAKIGUCHI</t>
  </si>
  <si>
    <t>Amane</t>
  </si>
  <si>
    <t>Manaya</t>
  </si>
  <si>
    <t>HAKAMATA</t>
  </si>
  <si>
    <t>Misaki</t>
  </si>
  <si>
    <t>YAMAZAKI</t>
  </si>
  <si>
    <t>Ryuto</t>
  </si>
  <si>
    <t>NAITO</t>
  </si>
  <si>
    <t>Naoto</t>
  </si>
  <si>
    <t>INOTSUME</t>
  </si>
  <si>
    <t>YAMATO</t>
  </si>
  <si>
    <t>Toshinari</t>
  </si>
  <si>
    <t xml:space="preserve">SUZUKI </t>
  </si>
  <si>
    <t>Yusei</t>
  </si>
  <si>
    <t>UMETANI</t>
  </si>
  <si>
    <t>Daiki</t>
  </si>
  <si>
    <t>EMURA</t>
  </si>
  <si>
    <t>Toshiya</t>
  </si>
  <si>
    <t xml:space="preserve">OHARA </t>
  </si>
  <si>
    <t xml:space="preserve">SAKAUE </t>
  </si>
  <si>
    <t>Taiyo</t>
  </si>
  <si>
    <t>HURUSATO</t>
  </si>
  <si>
    <t xml:space="preserve">MORI </t>
  </si>
  <si>
    <t>Shiro</t>
  </si>
  <si>
    <t>YUNOSAWA</t>
  </si>
  <si>
    <t>KATUYA</t>
  </si>
  <si>
    <t>Mikuto</t>
  </si>
  <si>
    <t>ISHIKAWA</t>
  </si>
  <si>
    <t>Tomoya</t>
  </si>
  <si>
    <t>KOIKE</t>
  </si>
  <si>
    <t>Mahiro</t>
  </si>
  <si>
    <t>TSUJII</t>
  </si>
  <si>
    <t>TATSUMI</t>
  </si>
  <si>
    <t>TERASAKI</t>
  </si>
  <si>
    <t>Shuichi</t>
  </si>
  <si>
    <t>NAGASAKA</t>
  </si>
  <si>
    <t>AOI</t>
  </si>
  <si>
    <t>Shoun</t>
  </si>
  <si>
    <t>Ryuya</t>
  </si>
  <si>
    <t>TOMITA</t>
  </si>
  <si>
    <t>Tairi</t>
  </si>
  <si>
    <t>TOYAMA</t>
  </si>
  <si>
    <t>Yuri</t>
  </si>
  <si>
    <t>HORIE</t>
  </si>
  <si>
    <t>Sotaro</t>
  </si>
  <si>
    <t>SAKAKIMA</t>
  </si>
  <si>
    <t>YASUDA</t>
  </si>
  <si>
    <t>Naoki</t>
  </si>
  <si>
    <t>INAOKA</t>
  </si>
  <si>
    <t>FUNAKI</t>
  </si>
  <si>
    <t>Haruto</t>
  </si>
  <si>
    <t>BUNNO</t>
  </si>
  <si>
    <t>Ryota</t>
  </si>
  <si>
    <t>ONDA</t>
  </si>
  <si>
    <t>Reki</t>
  </si>
  <si>
    <t>NISHIGAKI</t>
  </si>
  <si>
    <t>Takehiro</t>
  </si>
  <si>
    <t>OZAKI</t>
  </si>
  <si>
    <t>Futa</t>
  </si>
  <si>
    <t>KURA</t>
  </si>
  <si>
    <t>Keito</t>
  </si>
  <si>
    <t>SOUMA</t>
  </si>
  <si>
    <t>DAIKU</t>
  </si>
  <si>
    <t>Kagura</t>
  </si>
  <si>
    <t>011202</t>
  </si>
  <si>
    <t>010420</t>
  </si>
  <si>
    <t>010418</t>
  </si>
  <si>
    <t>011120</t>
  </si>
  <si>
    <t>011228</t>
  </si>
  <si>
    <t>990223</t>
  </si>
  <si>
    <t>980309</t>
  </si>
  <si>
    <t>981124</t>
  </si>
  <si>
    <t>980806</t>
  </si>
  <si>
    <t>970510</t>
  </si>
  <si>
    <t>970812</t>
  </si>
  <si>
    <t>971019</t>
  </si>
  <si>
    <t>990318</t>
  </si>
  <si>
    <t>000106</t>
  </si>
  <si>
    <t>990812</t>
  </si>
  <si>
    <t>991228</t>
  </si>
  <si>
    <t>000319</t>
  </si>
  <si>
    <t>990530</t>
  </si>
  <si>
    <t>991002</t>
  </si>
  <si>
    <t>990511</t>
  </si>
  <si>
    <t>991113</t>
  </si>
  <si>
    <t>990731</t>
  </si>
  <si>
    <t>000217</t>
  </si>
  <si>
    <t>990809</t>
  </si>
  <si>
    <t>000402</t>
  </si>
  <si>
    <t>000505</t>
  </si>
  <si>
    <t>000510</t>
  </si>
  <si>
    <t>000710</t>
  </si>
  <si>
    <t>000503</t>
  </si>
  <si>
    <t>001006</t>
  </si>
  <si>
    <t>970404</t>
  </si>
  <si>
    <t>980303</t>
  </si>
  <si>
    <t>970519</t>
  </si>
  <si>
    <t>960424</t>
  </si>
  <si>
    <t>821111</t>
  </si>
  <si>
    <t>951030</t>
  </si>
  <si>
    <t>010516</t>
  </si>
  <si>
    <t>011004</t>
  </si>
  <si>
    <t>010913</t>
  </si>
  <si>
    <t>010110</t>
  </si>
  <si>
    <t>000120</t>
  </si>
  <si>
    <t>961217</t>
  </si>
  <si>
    <t>010212</t>
  </si>
  <si>
    <t>000524</t>
  </si>
  <si>
    <t>020227</t>
  </si>
  <si>
    <t>001127</t>
  </si>
  <si>
    <t>010314</t>
  </si>
  <si>
    <t>940625</t>
  </si>
  <si>
    <t>991118</t>
  </si>
  <si>
    <t>000410</t>
  </si>
  <si>
    <t>011207</t>
  </si>
  <si>
    <t>020307</t>
  </si>
  <si>
    <t>010504</t>
  </si>
  <si>
    <t>011218</t>
  </si>
  <si>
    <t>010708</t>
  </si>
  <si>
    <t>010727</t>
  </si>
  <si>
    <t>010707</t>
  </si>
  <si>
    <t>011014</t>
  </si>
  <si>
    <t>010824</t>
  </si>
  <si>
    <t>011002</t>
  </si>
  <si>
    <t>010621</t>
  </si>
  <si>
    <t>020317</t>
  </si>
  <si>
    <t>010721</t>
  </si>
  <si>
    <t>010930</t>
  </si>
  <si>
    <t>011025</t>
  </si>
  <si>
    <t>010414</t>
  </si>
  <si>
    <t>011224</t>
  </si>
  <si>
    <t>991012</t>
  </si>
  <si>
    <t>991110</t>
  </si>
  <si>
    <t>010710</t>
  </si>
  <si>
    <t>011221</t>
  </si>
  <si>
    <t>010715</t>
  </si>
  <si>
    <t>010912</t>
  </si>
  <si>
    <t>981121</t>
  </si>
  <si>
    <t>020224</t>
  </si>
  <si>
    <t>011112</t>
  </si>
  <si>
    <t>010702</t>
  </si>
  <si>
    <t>010416</t>
  </si>
  <si>
    <t>000831</t>
  </si>
  <si>
    <t>020113</t>
  </si>
  <si>
    <t>990602</t>
  </si>
  <si>
    <t>011016</t>
  </si>
  <si>
    <t>020315</t>
  </si>
  <si>
    <t>020114</t>
  </si>
  <si>
    <t>010105</t>
  </si>
  <si>
    <t>010729</t>
  </si>
  <si>
    <t>010810</t>
  </si>
  <si>
    <t>010813</t>
  </si>
  <si>
    <t>011208</t>
  </si>
  <si>
    <t>000511</t>
  </si>
  <si>
    <t>000704</t>
  </si>
  <si>
    <t>010603</t>
  </si>
  <si>
    <t>010407</t>
  </si>
  <si>
    <t>020310</t>
  </si>
  <si>
    <t>010802</t>
  </si>
  <si>
    <t>011125</t>
  </si>
  <si>
    <t>011214</t>
  </si>
  <si>
    <t>011229</t>
  </si>
  <si>
    <t>010524</t>
  </si>
  <si>
    <t>020124</t>
  </si>
  <si>
    <t>010829</t>
  </si>
  <si>
    <t>001002</t>
  </si>
  <si>
    <t>010430</t>
  </si>
  <si>
    <t>010922</t>
  </si>
  <si>
    <t>2001</t>
  </si>
  <si>
    <t>北村　愛</t>
  </si>
  <si>
    <t>ｷﾀﾑﾗ ｱｲ</t>
  </si>
  <si>
    <t>2002</t>
  </si>
  <si>
    <t>河村　美月</t>
  </si>
  <si>
    <t>ｶﾜﾑﾗ ﾐｽﾞｷ</t>
  </si>
  <si>
    <t>2003</t>
  </si>
  <si>
    <t>杉山　そら</t>
  </si>
  <si>
    <t>ｽｷﾞﾔﾏ ｿﾗ</t>
  </si>
  <si>
    <t>2004</t>
  </si>
  <si>
    <t>明星　光</t>
  </si>
  <si>
    <t>ｱｹﾎﾞｼ ﾋｶﾙ</t>
  </si>
  <si>
    <t>2005</t>
  </si>
  <si>
    <t>齋藤　彩佳</t>
  </si>
  <si>
    <t>ｻｲﾄｳ ｱﾔｶ</t>
  </si>
  <si>
    <t>2006</t>
  </si>
  <si>
    <t>豊永　香音</t>
  </si>
  <si>
    <t>ﾄﾖﾅｶﾞ ｶﾉﾝ</t>
  </si>
  <si>
    <t>2007</t>
  </si>
  <si>
    <t>長屋　美月</t>
  </si>
  <si>
    <t>ﾅｶﾞﾔ ﾐﾂｷ</t>
  </si>
  <si>
    <t>2008</t>
  </si>
  <si>
    <t>木下　真由香</t>
  </si>
  <si>
    <t>ｷﾉｼﾀ ﾏﾕｶ</t>
  </si>
  <si>
    <t>2009</t>
  </si>
  <si>
    <t>後藤　梨奈</t>
  </si>
  <si>
    <t>ｺﾞﾄｳ ﾘﾅ</t>
  </si>
  <si>
    <t>2010</t>
  </si>
  <si>
    <t>大谷　菜々子</t>
  </si>
  <si>
    <t>ｵｵﾀﾆ ﾅﾅｺ</t>
  </si>
  <si>
    <t>2011</t>
  </si>
  <si>
    <t>矢来　舞香</t>
  </si>
  <si>
    <t>ﾔｷﾞ ﾏｲｶ</t>
  </si>
  <si>
    <t>2012</t>
  </si>
  <si>
    <t>糟谷　友里</t>
  </si>
  <si>
    <t>ｶｽﾔ ﾕﾘ</t>
  </si>
  <si>
    <t>2013</t>
  </si>
  <si>
    <t>髙田　彩佳</t>
  </si>
  <si>
    <t>ﾀｶﾀ ｱﾔｶ</t>
  </si>
  <si>
    <t>2014</t>
  </si>
  <si>
    <t>南部　珠璃</t>
  </si>
  <si>
    <t>ﾅﾝﾌﾞ ｼﾞｭﾘ</t>
  </si>
  <si>
    <t>2015</t>
  </si>
  <si>
    <t>浦田　晏那</t>
  </si>
  <si>
    <t>ｳﾗﾀ ｱﾝﾅ</t>
  </si>
  <si>
    <t>2016</t>
  </si>
  <si>
    <t>古藤　寧々</t>
  </si>
  <si>
    <t>ｺﾄｳ ﾈﾈ</t>
  </si>
  <si>
    <t>2017</t>
  </si>
  <si>
    <t>藤本　咲良</t>
  </si>
  <si>
    <t>ﾌｼﾞﾓﾄ ｻﾗ</t>
  </si>
  <si>
    <t>2018</t>
  </si>
  <si>
    <t>堀田　葉月</t>
  </si>
  <si>
    <t>ﾎﾘﾀ ﾊﾂｷ</t>
  </si>
  <si>
    <t>2019</t>
  </si>
  <si>
    <t>増田　奈緒</t>
  </si>
  <si>
    <t>ﾏｽﾀﾞ ﾅｵ</t>
  </si>
  <si>
    <t>2020</t>
  </si>
  <si>
    <t>清水　はる</t>
  </si>
  <si>
    <t>ｼﾐｽﾞ ﾊﾙ</t>
  </si>
  <si>
    <t>2021</t>
  </si>
  <si>
    <t>千野　美幸</t>
  </si>
  <si>
    <t>ﾁﾉ ﾐﾕｷ</t>
  </si>
  <si>
    <t>2022</t>
  </si>
  <si>
    <t>河合　裕野</t>
  </si>
  <si>
    <t>ｶﾜｲ ﾋﾛﾉ</t>
  </si>
  <si>
    <t>2023</t>
  </si>
  <si>
    <t>伊藤　果生</t>
  </si>
  <si>
    <t>ｲﾄｳ ｶｵ</t>
  </si>
  <si>
    <t>2024</t>
  </si>
  <si>
    <t>伊藤　瑠莉彩</t>
  </si>
  <si>
    <t>ｲﾄｳ ﾙﾘｱ</t>
  </si>
  <si>
    <t>2025</t>
  </si>
  <si>
    <t>柴﨑　五月</t>
  </si>
  <si>
    <t>ｼﾊﾞｻｷ ﾒｲ</t>
  </si>
  <si>
    <t>2026</t>
  </si>
  <si>
    <t>榊原　瑠美</t>
  </si>
  <si>
    <t>ｻｶｷﾊﾞﾗ ﾙﾐ</t>
  </si>
  <si>
    <t>2027</t>
  </si>
  <si>
    <t>鈴木　朱音</t>
  </si>
  <si>
    <t>ｽｽﾞｷ ｱｶﾈ</t>
  </si>
  <si>
    <t>2028</t>
  </si>
  <si>
    <t>端山　陽向</t>
  </si>
  <si>
    <t>ﾊﾔﾏ ﾋﾅﾀ</t>
  </si>
  <si>
    <t>2029</t>
  </si>
  <si>
    <t>三矢　ひとみ</t>
  </si>
  <si>
    <t>ﾐﾂﾔ ﾋﾄﾐ</t>
  </si>
  <si>
    <t>2030</t>
  </si>
  <si>
    <t>八木　明梨</t>
  </si>
  <si>
    <t>ﾔｷﾞ ｱｶﾘ</t>
  </si>
  <si>
    <t>2031</t>
  </si>
  <si>
    <t>立見　真央</t>
  </si>
  <si>
    <t>ﾀﾂﾐ ﾏｵ</t>
  </si>
  <si>
    <t>2032</t>
  </si>
  <si>
    <t>神谷　優希</t>
  </si>
  <si>
    <t>ｶﾐﾔ ﾕｳｷ</t>
  </si>
  <si>
    <t>2033</t>
  </si>
  <si>
    <t>鈴木　里音</t>
  </si>
  <si>
    <t>ｽｽﾞｷ ﾘｵﾝ</t>
  </si>
  <si>
    <t>2034</t>
  </si>
  <si>
    <t>近藤　沙南</t>
  </si>
  <si>
    <t>ｺﾝﾄﾞｳ ｻﾅ</t>
  </si>
  <si>
    <t>2035</t>
  </si>
  <si>
    <t>富岡　実乃梨</t>
  </si>
  <si>
    <t>ﾄﾐｵｶ ﾐﾉﾘ</t>
  </si>
  <si>
    <t>2036</t>
  </si>
  <si>
    <t>平野　栞菜</t>
  </si>
  <si>
    <t>ﾋﾗﾉ ｶﾝﾅ</t>
  </si>
  <si>
    <t>2037</t>
  </si>
  <si>
    <t>猪岡　真帆</t>
  </si>
  <si>
    <t>ｲｵｶ ﾏﾎ</t>
  </si>
  <si>
    <t>2038</t>
  </si>
  <si>
    <t>髙瀬　唯奈</t>
  </si>
  <si>
    <t>ﾀｶｾ ﾕｲﾅ</t>
  </si>
  <si>
    <t>2039</t>
  </si>
  <si>
    <t>塩内　裕与</t>
  </si>
  <si>
    <t>ｼｵｳﾁ ﾏｻﾖ</t>
  </si>
  <si>
    <t>2040</t>
  </si>
  <si>
    <t>浅岡　南帆</t>
  </si>
  <si>
    <t>ｱｻｵｶ ﾅﾎ</t>
  </si>
  <si>
    <t>2041</t>
  </si>
  <si>
    <t>生田　奈緒子</t>
  </si>
  <si>
    <t>ｲｸﾀ ﾅｵｺ</t>
  </si>
  <si>
    <t>2042</t>
  </si>
  <si>
    <t>池田　佳菜子</t>
  </si>
  <si>
    <t>ｲｹﾀﾞ ｶﾅｺ</t>
  </si>
  <si>
    <t>2043</t>
  </si>
  <si>
    <t>鐘築　静花</t>
  </si>
  <si>
    <t>ｶﾈﾂｷ ｼｽﾞｶ</t>
  </si>
  <si>
    <t>2044</t>
  </si>
  <si>
    <t>伊藤　優衣</t>
  </si>
  <si>
    <t>ｲﾄｳ ﾕｲ</t>
  </si>
  <si>
    <t>2045</t>
  </si>
  <si>
    <t>白坂　瑞稀</t>
  </si>
  <si>
    <t>ｼﾗｻｶ ﾐｽﾞｷ</t>
  </si>
  <si>
    <t>2046</t>
  </si>
  <si>
    <t>稲吉　椿</t>
  </si>
  <si>
    <t>ｲﾅﾖｼ ﾂﾊﾞｷ</t>
  </si>
  <si>
    <t>2047</t>
  </si>
  <si>
    <t>落合　早峰</t>
  </si>
  <si>
    <t>ｵﾁｱｲ ﾊﾔﾈ</t>
  </si>
  <si>
    <t>2048</t>
  </si>
  <si>
    <t>上森　佳代</t>
  </si>
  <si>
    <t>ｶﾝﾓﾘ ｶﾖ</t>
  </si>
  <si>
    <t>2049</t>
  </si>
  <si>
    <t>室伏　若菜</t>
  </si>
  <si>
    <t>ﾑﾛﾌｼ ﾜｶﾅ</t>
  </si>
  <si>
    <t>2050</t>
  </si>
  <si>
    <t>中山　実優</t>
  </si>
  <si>
    <t>ﾅｶﾔﾏ ﾐﾕ</t>
  </si>
  <si>
    <t>2051</t>
  </si>
  <si>
    <t>都築　陽奈</t>
  </si>
  <si>
    <t>ﾂﾂﾞｷ ﾋﾅ</t>
  </si>
  <si>
    <t>2052</t>
  </si>
  <si>
    <t>石垣　綾香</t>
  </si>
  <si>
    <t>ｲｼｶﾞｷ ｱﾔｶ</t>
  </si>
  <si>
    <t>2053</t>
  </si>
  <si>
    <t>黒田　佳代</t>
  </si>
  <si>
    <t>ｸﾛﾀﾞ ｶﾖ</t>
  </si>
  <si>
    <t>2054</t>
  </si>
  <si>
    <t>鈴木　さくら</t>
  </si>
  <si>
    <t>ｽｽﾞｷ ｻｸﾗ</t>
  </si>
  <si>
    <t>2055</t>
  </si>
  <si>
    <t>永井　楓花</t>
  </si>
  <si>
    <t>ﾅｶﾞｲ ﾌｳｶ</t>
  </si>
  <si>
    <t>2056</t>
  </si>
  <si>
    <t>ｱｲﾊﾞ ﾅﾅﾐ</t>
  </si>
  <si>
    <t>2057</t>
  </si>
  <si>
    <t>水谷　佳歩</t>
  </si>
  <si>
    <t>ﾐｽﾞﾀﾆ ｶﾎ</t>
  </si>
  <si>
    <t>2058</t>
  </si>
  <si>
    <t>稲垣　愛結</t>
  </si>
  <si>
    <t>ｲﾅｶﾞｷ ｱﾕ</t>
  </si>
  <si>
    <t>2059</t>
  </si>
  <si>
    <t>岡本　瑠香</t>
  </si>
  <si>
    <t>ｵｶﾓﾄ ﾙｶ</t>
  </si>
  <si>
    <t>2060</t>
  </si>
  <si>
    <t>小野　花織</t>
  </si>
  <si>
    <t>ｵﾉ ｶｵﾙ</t>
  </si>
  <si>
    <t>2061</t>
  </si>
  <si>
    <t>菊池　真奈佳</t>
  </si>
  <si>
    <t>ｷｸﾁ ﾏﾅｶ</t>
  </si>
  <si>
    <t>2062</t>
  </si>
  <si>
    <t>小林　幸音</t>
  </si>
  <si>
    <t>ｺﾊﾞﾔｼ ﾕｷﾈ</t>
  </si>
  <si>
    <t>2063</t>
  </si>
  <si>
    <t>千葉　玲央</t>
  </si>
  <si>
    <t>ﾁﾊﾞ ﾚｵ</t>
  </si>
  <si>
    <t>2064</t>
  </si>
  <si>
    <t>服部　花菜子</t>
  </si>
  <si>
    <t>ﾊｯﾄﾘ ｶﾅｺ</t>
  </si>
  <si>
    <t>2065</t>
  </si>
  <si>
    <t>村上　弓月</t>
  </si>
  <si>
    <t>ﾑﾗｶﾐ ﾕﾂﾞｷ</t>
  </si>
  <si>
    <t>2066</t>
  </si>
  <si>
    <t>岡田　花</t>
  </si>
  <si>
    <t>ｵｶﾀﾞ ﾊﾅ</t>
  </si>
  <si>
    <t>2067</t>
  </si>
  <si>
    <t>掛川　栞</t>
  </si>
  <si>
    <t>ｶｹｶﾞﾜ ｼｵﾘ</t>
  </si>
  <si>
    <t>2068</t>
  </si>
  <si>
    <t>ｶﾜｲ ﾜｶﾅ</t>
  </si>
  <si>
    <t>2069</t>
  </si>
  <si>
    <t>稲田　楓</t>
  </si>
  <si>
    <t>ｲﾅﾀﾞ ｶｴﾃﾞ</t>
  </si>
  <si>
    <t>2070</t>
  </si>
  <si>
    <t>近藤　紗月</t>
  </si>
  <si>
    <t>ｺﾝﾄﾞｳ ｻﾂｷ</t>
  </si>
  <si>
    <t>2071</t>
  </si>
  <si>
    <t>矢野　未玲</t>
  </si>
  <si>
    <t>ﾔﾉ ﾐﾚｲ</t>
  </si>
  <si>
    <t>2072</t>
  </si>
  <si>
    <t>中野　香穂</t>
  </si>
  <si>
    <t>ﾅｶﾉ ｶﾎ</t>
  </si>
  <si>
    <t>2073</t>
  </si>
  <si>
    <t>園原　晶</t>
  </si>
  <si>
    <t>ｿﾉﾊﾗ ｱｷﾗ</t>
  </si>
  <si>
    <t>2074</t>
  </si>
  <si>
    <t>藤井　彩夏</t>
  </si>
  <si>
    <t>ﾌｼﾞｲ ｻｲｶ</t>
  </si>
  <si>
    <t>2075</t>
  </si>
  <si>
    <t>髙野　愛華</t>
  </si>
  <si>
    <t>ﾀｶﾉ ｱｲｶ</t>
  </si>
  <si>
    <t>2076</t>
  </si>
  <si>
    <t>清水　雪花</t>
  </si>
  <si>
    <t>ｼﾐｽﾞ ﾕｷｶ</t>
  </si>
  <si>
    <t>2077</t>
  </si>
  <si>
    <t>神谷　優奈</t>
  </si>
  <si>
    <t>ｶﾐﾔ ﾕｳﾅ</t>
  </si>
  <si>
    <t>2078</t>
  </si>
  <si>
    <t>宇野　佑紀</t>
  </si>
  <si>
    <t>ｳﾉ ﾕｳｷ</t>
  </si>
  <si>
    <t>2079</t>
  </si>
  <si>
    <t>佐野　文香</t>
  </si>
  <si>
    <t>ｻﾉ ﾌﾐｶ</t>
  </si>
  <si>
    <t>2080</t>
  </si>
  <si>
    <t>稲葉　早恵</t>
  </si>
  <si>
    <t>ｲﾅﾊﾞ ｻｴ</t>
  </si>
  <si>
    <t>2081</t>
  </si>
  <si>
    <t>柏屋　美空</t>
  </si>
  <si>
    <t>ｶｼﾜﾔ ﾐｸ</t>
  </si>
  <si>
    <t>2082</t>
  </si>
  <si>
    <t>松井　葉奈</t>
  </si>
  <si>
    <t>ﾏﾂｲ ﾊﾅ</t>
  </si>
  <si>
    <t>2083</t>
  </si>
  <si>
    <t>吉村　月乃</t>
  </si>
  <si>
    <t>ﾖｼﾑﾗ ﾂｷﾉ</t>
  </si>
  <si>
    <t>2084</t>
  </si>
  <si>
    <t>星野　楓香</t>
  </si>
  <si>
    <t>ﾎｼﾉ ﾌｳｶ</t>
  </si>
  <si>
    <t>2085</t>
  </si>
  <si>
    <t>安藤　朱里</t>
  </si>
  <si>
    <t>ｱﾝﾄﾞｳ ｱｶﾘ</t>
  </si>
  <si>
    <t>2086</t>
  </si>
  <si>
    <t>加藤　麻由</t>
  </si>
  <si>
    <t>ｶﾄｳ ﾏﾕ</t>
  </si>
  <si>
    <t>2087</t>
  </si>
  <si>
    <t>渡辺　彩奈</t>
  </si>
  <si>
    <t>ﾜﾀﾅﾍﾞ ｱﾔﾅ</t>
  </si>
  <si>
    <t>2088</t>
  </si>
  <si>
    <t>椙山　薫</t>
  </si>
  <si>
    <t>ｽｷﾞﾔﾏ ｶｵﾙ</t>
  </si>
  <si>
    <t>2089</t>
  </si>
  <si>
    <t>小泉　満菜</t>
  </si>
  <si>
    <t>ｺｲｽﾞﾐ ﾏﾅ</t>
  </si>
  <si>
    <t>2090</t>
  </si>
  <si>
    <t>内藤　希実</t>
  </si>
  <si>
    <t>ﾅｲﾄｳ ﾉｿﾞﾐ</t>
  </si>
  <si>
    <t>2091</t>
  </si>
  <si>
    <t>清水　咲穂</t>
  </si>
  <si>
    <t>ｼﾐｽﾞ ｻｷﾎ</t>
  </si>
  <si>
    <t>2092</t>
  </si>
  <si>
    <t>大西　加那子</t>
  </si>
  <si>
    <t>ｵｵﾆｼ ｶﾅｺ</t>
  </si>
  <si>
    <t>2093</t>
  </si>
  <si>
    <t>真鍋　綾菜</t>
  </si>
  <si>
    <t>ﾏﾅﾍﾞ ｱﾔﾅ</t>
  </si>
  <si>
    <t>2094</t>
  </si>
  <si>
    <t>久保寺　桃花</t>
  </si>
  <si>
    <t>ｸﾎﾞﾃﾞﾗ ﾓﾓｶ</t>
  </si>
  <si>
    <t>2095</t>
  </si>
  <si>
    <t>山口　葉菜</t>
  </si>
  <si>
    <t>ﾔﾏｸﾞﾁ ﾊﾅ</t>
  </si>
  <si>
    <t>2096</t>
  </si>
  <si>
    <t>村田　由華</t>
  </si>
  <si>
    <t>ﾑﾗﾀ ﾕｶ</t>
  </si>
  <si>
    <t>2097</t>
  </si>
  <si>
    <t>桐山　菜奈子</t>
  </si>
  <si>
    <t>ｷﾘﾔﾏ ﾅﾅｺ</t>
  </si>
  <si>
    <t>2098</t>
  </si>
  <si>
    <t>伊藤　舞</t>
  </si>
  <si>
    <t>ｲﾄｳ ﾏｲ</t>
  </si>
  <si>
    <t>2099</t>
  </si>
  <si>
    <t>杉浦　奈央</t>
  </si>
  <si>
    <t>ｽｷﾞｳﾗ ﾅｵ</t>
  </si>
  <si>
    <t>2100</t>
  </si>
  <si>
    <t>野中　小夏</t>
  </si>
  <si>
    <t>ﾉﾅｶ ｺﾅﾂ</t>
  </si>
  <si>
    <t>2101</t>
  </si>
  <si>
    <t>中村　紗希</t>
  </si>
  <si>
    <t>ﾅｶﾑﾗ ｻｷ</t>
  </si>
  <si>
    <t>2102</t>
  </si>
  <si>
    <t>伊与田　絢音</t>
  </si>
  <si>
    <t>ｲﾖﾀﾞ ｱﾔﾈ</t>
  </si>
  <si>
    <t>2103</t>
  </si>
  <si>
    <t>安達　萌乃</t>
  </si>
  <si>
    <t>ｱﾀﾞﾁ ﾓｴﾉ</t>
  </si>
  <si>
    <t>2104</t>
  </si>
  <si>
    <t>川野　伶奈</t>
  </si>
  <si>
    <t>ｶﾜﾉ ﾚｲﾅ</t>
  </si>
  <si>
    <t>2105</t>
  </si>
  <si>
    <t>玉田　唯</t>
  </si>
  <si>
    <t>ﾀﾏﾀﾞ ﾕｲ</t>
  </si>
  <si>
    <t>2106</t>
  </si>
  <si>
    <t>冨田　瑞海</t>
  </si>
  <si>
    <t>ﾄﾐﾀ ﾀﾏﾐ</t>
  </si>
  <si>
    <t>2107</t>
  </si>
  <si>
    <t>中村　向日葵</t>
  </si>
  <si>
    <t>ﾅｶﾑﾗ ﾋﾏﾜﾘ</t>
  </si>
  <si>
    <t>2108</t>
  </si>
  <si>
    <t>平子　侑</t>
  </si>
  <si>
    <t>ﾋﾗｺ ﾕｳ</t>
  </si>
  <si>
    <t>2109</t>
  </si>
  <si>
    <t>石浦　藍里</t>
  </si>
  <si>
    <t>ｲｼｳﾗ ｱｲﾘ</t>
  </si>
  <si>
    <t>2110</t>
  </si>
  <si>
    <t>小林　聖</t>
  </si>
  <si>
    <t>ｺﾊﾞﾔｼ ｱｷﾗ</t>
  </si>
  <si>
    <t>2111</t>
  </si>
  <si>
    <t>今野　絵梨香</t>
  </si>
  <si>
    <t>ｺﾝﾉ ｴﾘｶ</t>
  </si>
  <si>
    <t>2112</t>
  </si>
  <si>
    <t>塩多　未幸</t>
  </si>
  <si>
    <t>ｼｵﾀﾞ ﾐﾕｷ</t>
  </si>
  <si>
    <t>2113</t>
  </si>
  <si>
    <t>白木　七星</t>
  </si>
  <si>
    <t>ｼﾗｷ ﾅﾅｾ</t>
  </si>
  <si>
    <t>2114</t>
  </si>
  <si>
    <t>臼井　未涼</t>
  </si>
  <si>
    <t>ｳｽｲ ﾐｽｽﾞ</t>
  </si>
  <si>
    <t>2115</t>
  </si>
  <si>
    <t>大久保　春香</t>
  </si>
  <si>
    <t>ｵｵｸﾎﾞ ﾊﾙｶ</t>
  </si>
  <si>
    <t>2116</t>
  </si>
  <si>
    <t>三輪　明日香</t>
  </si>
  <si>
    <t>ﾐﾜ ｱｽｶ</t>
  </si>
  <si>
    <t>2117</t>
  </si>
  <si>
    <t>淺野　紗希</t>
  </si>
  <si>
    <t>ｱｻﾉ ｻｷ</t>
  </si>
  <si>
    <t>2118</t>
  </si>
  <si>
    <t>曾我　美結</t>
  </si>
  <si>
    <t>ｿｶﾞ ﾐﾕ</t>
  </si>
  <si>
    <t>2119</t>
  </si>
  <si>
    <t>堺　晴香</t>
  </si>
  <si>
    <t>ｻｶｲ ﾊﾙｶ</t>
  </si>
  <si>
    <t>2120</t>
  </si>
  <si>
    <t>佐藤　夕貴</t>
  </si>
  <si>
    <t>ｻﾄｳ ﾕｳｷ</t>
  </si>
  <si>
    <t>2121</t>
  </si>
  <si>
    <t>山崎　真梨</t>
  </si>
  <si>
    <t>ﾔﾏｻﾞｷ ﾏﾘ</t>
  </si>
  <si>
    <t>2122</t>
  </si>
  <si>
    <t>木村　夏佳</t>
  </si>
  <si>
    <t>ｷﾑﾗ ﾅﾂｶ</t>
  </si>
  <si>
    <t>2123</t>
  </si>
  <si>
    <t>直井　陽奈</t>
  </si>
  <si>
    <t>ﾅｵｲ ﾊﾙﾅ</t>
  </si>
  <si>
    <t>2124</t>
  </si>
  <si>
    <t>松浦　明日菜</t>
  </si>
  <si>
    <t>ﾏﾂｳﾗ ｱｽﾅ</t>
  </si>
  <si>
    <t>2125</t>
  </si>
  <si>
    <t>不破　綾華</t>
  </si>
  <si>
    <t>ﾌﾜ ｱﾔｶ</t>
  </si>
  <si>
    <t>2126</t>
  </si>
  <si>
    <t>田添　里穂</t>
  </si>
  <si>
    <t>ﾀｿﾞｴ ﾘﾎ</t>
  </si>
  <si>
    <t>2127</t>
  </si>
  <si>
    <t>大森　万祐加</t>
  </si>
  <si>
    <t>ｵｵﾓﾘ ﾏﾕｶ</t>
  </si>
  <si>
    <t>2128</t>
  </si>
  <si>
    <t>渡部　琴子</t>
  </si>
  <si>
    <t>ﾜﾀﾅﾍﾞ ｺﾄｺ</t>
  </si>
  <si>
    <t>2129</t>
  </si>
  <si>
    <t>栢　愛莉</t>
  </si>
  <si>
    <t>ｶﾔ ｱｲﾘ</t>
  </si>
  <si>
    <t>2130</t>
  </si>
  <si>
    <t>出口　瑞歩</t>
  </si>
  <si>
    <t>ﾃﾞｸﾞﾁ ﾐｽﾞﾎ</t>
  </si>
  <si>
    <t>2131</t>
  </si>
  <si>
    <t>服部　愛美</t>
  </si>
  <si>
    <t>ﾊｯﾄﾘ ﾏﾅﾐ</t>
  </si>
  <si>
    <t>2132</t>
  </si>
  <si>
    <t>伊藤　彩夏</t>
  </si>
  <si>
    <t>ｲﾄｳ ｱﾔｶ</t>
  </si>
  <si>
    <t>2133</t>
  </si>
  <si>
    <t>前村　絢音</t>
  </si>
  <si>
    <t>ﾏｴﾑﾗ ｱﾔﾈ</t>
  </si>
  <si>
    <t>2134</t>
  </si>
  <si>
    <t>松坂　果歩</t>
  </si>
  <si>
    <t>ﾏﾂｻｶ ｶﾎ</t>
  </si>
  <si>
    <t>2135</t>
  </si>
  <si>
    <t>渡邉　明花</t>
  </si>
  <si>
    <t>ﾜﾀﾅﾍﾞ ﾊﾙｶ</t>
  </si>
  <si>
    <t>2136</t>
  </si>
  <si>
    <t>岡本　凪布</t>
  </si>
  <si>
    <t>ｵｶﾓﾄ ﾅｷﾞﾎ</t>
  </si>
  <si>
    <t>2137</t>
  </si>
  <si>
    <t>辰巳　奈那</t>
  </si>
  <si>
    <t>ﾀﾂﾐ ﾅﾅ</t>
  </si>
  <si>
    <t>2138</t>
  </si>
  <si>
    <t>中西　菜々子</t>
  </si>
  <si>
    <t>ﾅｶﾆｼ ﾅﾅｺ</t>
  </si>
  <si>
    <t>2139</t>
  </si>
  <si>
    <t>山野　綾香</t>
  </si>
  <si>
    <t>ﾔﾏﾉ ｱﾔｶ</t>
  </si>
  <si>
    <t>2140</t>
  </si>
  <si>
    <t>佐伯　穂乃香</t>
  </si>
  <si>
    <t>ｻｴｷ ﾎﾉｶ</t>
  </si>
  <si>
    <t>2141</t>
  </si>
  <si>
    <t>岩瀬　映伊美</t>
  </si>
  <si>
    <t>ｲﾜｾ ｴｲﾐ</t>
  </si>
  <si>
    <t>2142</t>
  </si>
  <si>
    <t>齋藤　あおば</t>
  </si>
  <si>
    <t>ｻｲﾄｳ ｱｵﾊﾞ</t>
  </si>
  <si>
    <t>2143</t>
  </si>
  <si>
    <t>原田　あすか</t>
  </si>
  <si>
    <t>ﾊﾗﾀﾞ ｱｽｶ</t>
  </si>
  <si>
    <t>2144</t>
  </si>
  <si>
    <t>影山　杏</t>
  </si>
  <si>
    <t>ｶｹﾞﾔﾏ ｱﾝ</t>
  </si>
  <si>
    <t>2145</t>
  </si>
  <si>
    <t>本藤　歩</t>
  </si>
  <si>
    <t>ﾎﾝﾄﾞｳ ｱﾕﾑ</t>
  </si>
  <si>
    <t>2146</t>
  </si>
  <si>
    <t>近澤　奈々</t>
  </si>
  <si>
    <t>ﾁｶｻﾞﾜ ﾅﾅ</t>
  </si>
  <si>
    <t>2147</t>
  </si>
  <si>
    <t>淺野　紗綺</t>
  </si>
  <si>
    <t>2148</t>
  </si>
  <si>
    <t>臼田　菜々美</t>
  </si>
  <si>
    <t>ｳｽﾀﾞ ﾅﾅﾐ</t>
  </si>
  <si>
    <t>2149</t>
  </si>
  <si>
    <t>小玉　りえ</t>
  </si>
  <si>
    <t>ｺﾀﾞﾏ ﾘｴ</t>
  </si>
  <si>
    <t>2150</t>
  </si>
  <si>
    <t>榊原　梨子</t>
  </si>
  <si>
    <t>ｻｶｷﾊﾞﾗ ﾘｺ</t>
  </si>
  <si>
    <t>2151</t>
  </si>
  <si>
    <t>中﨑　仁絵</t>
  </si>
  <si>
    <t>ﾅｶｻﾞｷ ﾋﾄｴ</t>
  </si>
  <si>
    <t>2152</t>
  </si>
  <si>
    <t>安田　侑紗</t>
  </si>
  <si>
    <t>ﾔｽﾀﾞ ｱﾘｻ</t>
  </si>
  <si>
    <t>2153</t>
  </si>
  <si>
    <t>太田　実花</t>
  </si>
  <si>
    <t>ｵｵﾀ ﾐｶ</t>
  </si>
  <si>
    <t>2154</t>
  </si>
  <si>
    <t>大野　百花</t>
  </si>
  <si>
    <t>ｵｵﾉ ﾓﾓｶ</t>
  </si>
  <si>
    <t>2155</t>
  </si>
  <si>
    <t>大橋　愛実</t>
  </si>
  <si>
    <t>ｵｵﾊｼ ﾏﾅﾐ</t>
  </si>
  <si>
    <t>2156</t>
  </si>
  <si>
    <t>北川　和</t>
  </si>
  <si>
    <t>ｷﾀｶﾞﾜ ﾉﾄﾞｶ</t>
  </si>
  <si>
    <t>2157</t>
  </si>
  <si>
    <t>久保田　世菜</t>
  </si>
  <si>
    <t>ｸﾎﾞﾀ ｾﾅ</t>
  </si>
  <si>
    <t>2158</t>
  </si>
  <si>
    <t>近藤　七海</t>
  </si>
  <si>
    <t>ｺﾝﾄﾞｳ ﾅﾅﾐ</t>
  </si>
  <si>
    <t>2159</t>
  </si>
  <si>
    <t>内藤　未彩</t>
  </si>
  <si>
    <t>ﾅｲﾄｳ ﾐｱ</t>
  </si>
  <si>
    <t>2160</t>
  </si>
  <si>
    <t>森田　祐美</t>
  </si>
  <si>
    <t>ﾓﾘﾀ ﾕﾐ</t>
  </si>
  <si>
    <t>2161</t>
  </si>
  <si>
    <t>横山　綾香</t>
  </si>
  <si>
    <t>ﾖｺﾔﾏ ｱﾔｶ</t>
  </si>
  <si>
    <t>2162</t>
  </si>
  <si>
    <t>石原　李華</t>
  </si>
  <si>
    <t>ｲｼﾊﾗ ﾘｶ</t>
  </si>
  <si>
    <t>2163</t>
  </si>
  <si>
    <t>笠井　柚花</t>
  </si>
  <si>
    <t>ｶｻｲ ﾕｽﾞｶ</t>
  </si>
  <si>
    <t>2164</t>
  </si>
  <si>
    <t>駒木　遥</t>
  </si>
  <si>
    <t>ｺﾏｷ ﾊﾙｶ</t>
  </si>
  <si>
    <t>2165</t>
  </si>
  <si>
    <t>坂本　彩音</t>
  </si>
  <si>
    <t>ｻｶﾓﾄ ｱﾔﾈ</t>
  </si>
  <si>
    <t>2166</t>
  </si>
  <si>
    <t>杉浦　愛梨</t>
  </si>
  <si>
    <t>ｽｷﾞｳﾗ ｱｲﾘ</t>
  </si>
  <si>
    <t>2167</t>
  </si>
  <si>
    <t>都築　美音</t>
  </si>
  <si>
    <t>ﾂﾂﾞｷ ﾐｵﾝ</t>
  </si>
  <si>
    <t>2168</t>
  </si>
  <si>
    <t>中野　藍</t>
  </si>
  <si>
    <t>ﾅｶﾉ ﾗﾝ</t>
  </si>
  <si>
    <t>2169</t>
  </si>
  <si>
    <t>松嶋　真矢</t>
  </si>
  <si>
    <t>ﾏﾂｼﾏ ﾏﾔ</t>
  </si>
  <si>
    <t>2170</t>
  </si>
  <si>
    <t>三杉　七美</t>
  </si>
  <si>
    <t>ﾐｽｷﾞ ﾅﾅﾐ</t>
  </si>
  <si>
    <t>2171</t>
  </si>
  <si>
    <t>泉　好笑</t>
  </si>
  <si>
    <t>ｲｽﾞﾐ ｺﾉﾐ</t>
  </si>
  <si>
    <t>2172</t>
  </si>
  <si>
    <t>奥林　凛</t>
  </si>
  <si>
    <t>ｵｸﾊﾞﾔｼ ﾘﾝ</t>
  </si>
  <si>
    <t>2173</t>
  </si>
  <si>
    <t>田中　千尋</t>
  </si>
  <si>
    <t>ﾀﾅｶ ﾁﾋﾛ</t>
  </si>
  <si>
    <t>2174</t>
  </si>
  <si>
    <t>橋口　義美</t>
  </si>
  <si>
    <t>ﾊｼｸﾞﾁ ﾖｼﾐ</t>
  </si>
  <si>
    <t>2175</t>
  </si>
  <si>
    <t>永井　絵理香</t>
  </si>
  <si>
    <t>ﾅｶﾞｲ ｴﾘｶ</t>
  </si>
  <si>
    <t>2176</t>
  </si>
  <si>
    <t>山口　こころ</t>
  </si>
  <si>
    <t>ﾔﾏｸﾞﾁ ｺｺﾛ</t>
  </si>
  <si>
    <t>2177</t>
  </si>
  <si>
    <t>横山　梨央</t>
  </si>
  <si>
    <t>ﾖｺﾔﾏ ﾘｵ</t>
  </si>
  <si>
    <t>2178</t>
  </si>
  <si>
    <t>安藤　愛未</t>
  </si>
  <si>
    <t>ｱﾝﾄﾞｳ ｱﾐ</t>
  </si>
  <si>
    <t>2179</t>
  </si>
  <si>
    <t>大城　珠莉</t>
  </si>
  <si>
    <t>ｵｵｼﾛ ｼﾞｭﾘ</t>
  </si>
  <si>
    <t>2180</t>
  </si>
  <si>
    <t>木村　加乃</t>
  </si>
  <si>
    <t>ｷﾑﾗ ｶﾉ</t>
  </si>
  <si>
    <t>2181</t>
  </si>
  <si>
    <t>捧　純奈</t>
  </si>
  <si>
    <t>ｻｻｹﾞ ｼﾞｭﾝﾅ</t>
  </si>
  <si>
    <t>2182</t>
  </si>
  <si>
    <t>田中　友梨</t>
  </si>
  <si>
    <t>ﾀﾅｶ ﾕﾘ</t>
  </si>
  <si>
    <t>2183</t>
  </si>
  <si>
    <t>中山　愛理</t>
  </si>
  <si>
    <t>ﾅｶﾔﾏ ｱｲﾘ</t>
  </si>
  <si>
    <t>2184</t>
  </si>
  <si>
    <t>髙間　汐美</t>
  </si>
  <si>
    <t>ﾀｶﾏ ｼｵﾐ</t>
  </si>
  <si>
    <t>2185</t>
  </si>
  <si>
    <t>青木　恵理</t>
  </si>
  <si>
    <t>ｱｵｷ ｴﾘ</t>
  </si>
  <si>
    <t>2186</t>
  </si>
  <si>
    <t>田口　史佳</t>
  </si>
  <si>
    <t>ﾀｸﾞﾁ ﾌﾐｶ</t>
  </si>
  <si>
    <t>2187</t>
  </si>
  <si>
    <t>下山田　絢香</t>
  </si>
  <si>
    <t>ｼﾓﾔﾏﾀﾞ ｱﾔｶ</t>
  </si>
  <si>
    <t>2188</t>
  </si>
  <si>
    <t>鈴木　美帆</t>
  </si>
  <si>
    <t>ｽｽﾞｷ ﾐﾎ</t>
  </si>
  <si>
    <t>2189</t>
  </si>
  <si>
    <t>瀬川　真帆</t>
  </si>
  <si>
    <t>ｾｶﾞﾜ ﾏﾎ</t>
  </si>
  <si>
    <t>2190</t>
  </si>
  <si>
    <t>神谷　さくら</t>
  </si>
  <si>
    <t>ｶﾐﾔ ｻｸﾗ</t>
  </si>
  <si>
    <t>2191</t>
  </si>
  <si>
    <t>長縄　萌</t>
  </si>
  <si>
    <t>ﾅｶﾞﾅﾜ ﾓｴ</t>
  </si>
  <si>
    <t>2192</t>
  </si>
  <si>
    <t>早川　有羽</t>
  </si>
  <si>
    <t>ﾊﾔｶﾜ ﾕｳ</t>
  </si>
  <si>
    <t>2193</t>
  </si>
  <si>
    <t>宮㟢　紗苗</t>
  </si>
  <si>
    <t>ﾐﾔｻﾞｷ ｻﾅｴ</t>
  </si>
  <si>
    <t>2194</t>
  </si>
  <si>
    <t>馬込　千帆</t>
  </si>
  <si>
    <t>ﾏｺﾞﾒ ﾁﾎ</t>
  </si>
  <si>
    <t>2195</t>
  </si>
  <si>
    <t>川口　寿里菜</t>
  </si>
  <si>
    <t>ｶﾜｸﾞﾁ ｼﾞｭﾘﾅ</t>
  </si>
  <si>
    <t>2196</t>
  </si>
  <si>
    <t>稲岡　菜月</t>
  </si>
  <si>
    <t>ｲﾅｵｶ ﾅﾂｷ</t>
  </si>
  <si>
    <t>2197</t>
  </si>
  <si>
    <t>岩田　奈々</t>
  </si>
  <si>
    <t>ｲﾜﾀ ﾅﾅ</t>
  </si>
  <si>
    <t>2198</t>
  </si>
  <si>
    <t>林　望乃佳</t>
  </si>
  <si>
    <t>ﾊﾔｼ ﾉﾉｶ</t>
  </si>
  <si>
    <t>2199</t>
  </si>
  <si>
    <t>松本　七海</t>
  </si>
  <si>
    <t>ﾏﾂﾓﾄ ﾅﾅﾐ</t>
  </si>
  <si>
    <t>2200</t>
  </si>
  <si>
    <t>渡辺　夕奈</t>
  </si>
  <si>
    <t>ﾜﾀﾅﾍﾞ ﾕｳﾅ</t>
  </si>
  <si>
    <t>2201</t>
  </si>
  <si>
    <t>髙畠　聖</t>
  </si>
  <si>
    <t>ﾀｶﾊﾞﾀｹ ﾋｼﾞﾘ</t>
  </si>
  <si>
    <t>2202</t>
  </si>
  <si>
    <t>長見　京華</t>
  </si>
  <si>
    <t>ｵｻﾐ ｷｮｳｶ</t>
  </si>
  <si>
    <t>2203</t>
  </si>
  <si>
    <t>岩室　颯希</t>
  </si>
  <si>
    <t>ｲﾜﾑﾛ ｻｷ</t>
  </si>
  <si>
    <t>2204</t>
  </si>
  <si>
    <t>仲里　彩</t>
  </si>
  <si>
    <t>ﾅｶｻﾞﾄ ｱﾔ</t>
  </si>
  <si>
    <t>2205</t>
  </si>
  <si>
    <t>三村　莉央</t>
  </si>
  <si>
    <t>ﾐﾑﾗ ﾘｵ</t>
  </si>
  <si>
    <t>2206</t>
  </si>
  <si>
    <t>加藤　愛結</t>
  </si>
  <si>
    <t>ｶﾄｳ ｱﾕﾐ</t>
  </si>
  <si>
    <t>2207</t>
  </si>
  <si>
    <t>加藤　若葉</t>
  </si>
  <si>
    <t>ｶﾄｳ ﾜｶﾊﾞ</t>
  </si>
  <si>
    <t>2208</t>
  </si>
  <si>
    <t>藤田　悠佑</t>
  </si>
  <si>
    <t>ﾌｼﾞﾀ ﾕｳ</t>
  </si>
  <si>
    <t>2209</t>
  </si>
  <si>
    <t>荒武　優衣香</t>
  </si>
  <si>
    <t>ｱﾗﾀｹ ﾕｲｶ</t>
  </si>
  <si>
    <t>2210</t>
  </si>
  <si>
    <t>大城　愛</t>
  </si>
  <si>
    <t>ｵｵｼﾛ ｱｲ</t>
  </si>
  <si>
    <t>2211</t>
  </si>
  <si>
    <t>有賀　由紀恵</t>
  </si>
  <si>
    <t>ｱﾙｶﾞ ﾕｷｴ</t>
  </si>
  <si>
    <t>2212</t>
  </si>
  <si>
    <t>稲葉　夢香</t>
  </si>
  <si>
    <t>ｲﾅﾊﾞ ﾕﾒｶ</t>
  </si>
  <si>
    <t>2213</t>
  </si>
  <si>
    <t>岡田　優花</t>
  </si>
  <si>
    <t>ｵｶﾀﾞ ﾕｳｶ</t>
  </si>
  <si>
    <t>2214</t>
  </si>
  <si>
    <t>近藤　萌江</t>
  </si>
  <si>
    <t>ｺﾝﾄﾞｳ ﾓｴ</t>
  </si>
  <si>
    <t>2215</t>
  </si>
  <si>
    <t>塚田　絢子</t>
  </si>
  <si>
    <t>ﾂｶﾀﾞ ｱﾔｺ</t>
  </si>
  <si>
    <t>2216</t>
  </si>
  <si>
    <t>中安　若菜</t>
  </si>
  <si>
    <t>ﾅｶﾔｽ ﾜｶﾅ</t>
  </si>
  <si>
    <t>2217</t>
  </si>
  <si>
    <t>山下　遥香</t>
  </si>
  <si>
    <t>ﾔﾏｼﾀ ﾊﾙｶ</t>
  </si>
  <si>
    <t>2218</t>
  </si>
  <si>
    <t>栗本　真実</t>
  </si>
  <si>
    <t>ｸﾘﾓﾄ ﾏﾐ</t>
  </si>
  <si>
    <t>2219</t>
  </si>
  <si>
    <t>則武　桃佳</t>
  </si>
  <si>
    <t>ﾉﾘﾀｹ ﾓﾓｶ</t>
  </si>
  <si>
    <t>2220</t>
  </si>
  <si>
    <t>尾関　菜柚</t>
  </si>
  <si>
    <t>ｵｾﾞｷ ﾅﾕ</t>
  </si>
  <si>
    <t>2221</t>
  </si>
  <si>
    <t>高橋　奈々</t>
  </si>
  <si>
    <t>ﾀｶﾊｼ ﾅﾅ</t>
  </si>
  <si>
    <t>2222</t>
  </si>
  <si>
    <t>足立　早希</t>
  </si>
  <si>
    <t>ｱﾀﾞﾁ ｻｷ</t>
  </si>
  <si>
    <t>2223</t>
  </si>
  <si>
    <t>伊豫田　歩</t>
  </si>
  <si>
    <t>ｲﾖﾀﾞ ｱﾕﾐ</t>
  </si>
  <si>
    <t>2224</t>
  </si>
  <si>
    <t>中村　理乃</t>
  </si>
  <si>
    <t>ﾅｶﾑﾗ ﾘﾉ</t>
  </si>
  <si>
    <t>2225</t>
  </si>
  <si>
    <t>中村　絵莉夏</t>
  </si>
  <si>
    <t>ﾅｶﾑﾗ ｴﾘｶ</t>
  </si>
  <si>
    <t>2226</t>
  </si>
  <si>
    <t>中村　有里</t>
  </si>
  <si>
    <t>ﾅｶﾑﾗ ﾕﾘ</t>
  </si>
  <si>
    <t>2227</t>
  </si>
  <si>
    <t>飯塚　寿音</t>
  </si>
  <si>
    <t>ｲｲﾂﾞｶ ﾋｻﾈ</t>
  </si>
  <si>
    <t>2228</t>
  </si>
  <si>
    <t>山田　桃子</t>
  </si>
  <si>
    <t>ﾔﾏﾀﾞ ﾓﾓｺ</t>
  </si>
  <si>
    <t>2229</t>
  </si>
  <si>
    <t>山本　彩加</t>
  </si>
  <si>
    <t>ﾔﾏﾓﾄ ｱﾔｶ</t>
  </si>
  <si>
    <t>2230</t>
  </si>
  <si>
    <t>久米　陽奏子</t>
  </si>
  <si>
    <t>ｸﾒ ﾋﾅｺ</t>
  </si>
  <si>
    <t>2231</t>
  </si>
  <si>
    <t>井内　月野</t>
  </si>
  <si>
    <t>ｲｳﾁ ﾂｷﾉ</t>
  </si>
  <si>
    <t>2232</t>
  </si>
  <si>
    <t>林　夏月</t>
  </si>
  <si>
    <t>ﾊﾔｼ ｶﾂﾞｷ</t>
  </si>
  <si>
    <t>2233</t>
  </si>
  <si>
    <t>大坂　美月</t>
  </si>
  <si>
    <t>ｵｵｻｶ ﾐﾂﾞｷ</t>
  </si>
  <si>
    <t>2234</t>
  </si>
  <si>
    <t>堀田　明里</t>
  </si>
  <si>
    <t>ﾎﾘﾀ ｱｶﾘ</t>
  </si>
  <si>
    <t>2235</t>
  </si>
  <si>
    <t>上野　萌佳</t>
  </si>
  <si>
    <t>ｳｴﾉ ﾓｴｶ</t>
  </si>
  <si>
    <t>2236</t>
  </si>
  <si>
    <t>葛西　真由</t>
  </si>
  <si>
    <t>ｶｻｲ ﾏﾕ</t>
  </si>
  <si>
    <t>2237</t>
  </si>
  <si>
    <t>茶井　優里</t>
  </si>
  <si>
    <t>ﾁｬｲ ﾕﾘ</t>
  </si>
  <si>
    <t>2238</t>
  </si>
  <si>
    <t>安江　紀乃</t>
  </si>
  <si>
    <t>ﾔｽｴ ｷﾉ</t>
  </si>
  <si>
    <t>2239</t>
  </si>
  <si>
    <t>保　あかり</t>
  </si>
  <si>
    <t>ﾎ ｱｶﾘ</t>
  </si>
  <si>
    <t>2240</t>
  </si>
  <si>
    <t>中村　美月</t>
  </si>
  <si>
    <t>ﾅｶﾑﾗ ﾐﾂｷ</t>
  </si>
  <si>
    <t>2241</t>
  </si>
  <si>
    <t>中根　千歩</t>
  </si>
  <si>
    <t>ﾅｶﾈ ﾁﾎ</t>
  </si>
  <si>
    <t>2242</t>
  </si>
  <si>
    <t>水島　恵</t>
  </si>
  <si>
    <t>ﾐｽﾞｼﾏ ﾒｸﾞﾐ</t>
  </si>
  <si>
    <t>2243</t>
  </si>
  <si>
    <t>香野　さちか</t>
  </si>
  <si>
    <t>ｺｳﾉ ｻﾁｶ</t>
  </si>
  <si>
    <t>2244</t>
  </si>
  <si>
    <t>渡瀬　花音</t>
  </si>
  <si>
    <t>ﾜﾀｾ ｶﾉﾝ</t>
  </si>
  <si>
    <t>2245</t>
  </si>
  <si>
    <t>藤谷　佳央</t>
  </si>
  <si>
    <t>ﾌｼﾞﾀﾆ ｶｵ</t>
  </si>
  <si>
    <t>2246</t>
  </si>
  <si>
    <t>水品　綾子</t>
  </si>
  <si>
    <t>ﾐｽﾞｼﾅ ｱﾔｺ</t>
  </si>
  <si>
    <t>2247</t>
  </si>
  <si>
    <t>鈴木　水悠</t>
  </si>
  <si>
    <t>ｽｽﾞｷ ﾐﾕｳ</t>
  </si>
  <si>
    <t>2248</t>
  </si>
  <si>
    <t>有本　琴里</t>
  </si>
  <si>
    <t>ｱﾘﾓﾄ ｺﾄﾘ</t>
  </si>
  <si>
    <t>2249</t>
  </si>
  <si>
    <t>清水 夏波</t>
  </si>
  <si>
    <t>ｼﾐｽﾞ ﾅﾅﾐ</t>
  </si>
  <si>
    <t>2250</t>
  </si>
  <si>
    <t>太田　成美</t>
  </si>
  <si>
    <t>ｵｵﾀ ﾅﾙﾐ</t>
  </si>
  <si>
    <t>2251</t>
  </si>
  <si>
    <t>神田　唯衣</t>
  </si>
  <si>
    <t>ｶﾝﾀﾞ ﾕｲ</t>
  </si>
  <si>
    <t>2252</t>
  </si>
  <si>
    <t>山崎　杏実</t>
  </si>
  <si>
    <t>ﾔﾏｻﾞｷ ｱﾐ</t>
  </si>
  <si>
    <t>2253</t>
  </si>
  <si>
    <t>小林　千純</t>
  </si>
  <si>
    <t>ｺﾊﾞﾔｼ ﾁｽﾐ</t>
  </si>
  <si>
    <t>2254</t>
  </si>
  <si>
    <t>小泉　加緒莉</t>
  </si>
  <si>
    <t>ｺｲｽﾞﾐ ｶｵﾘ</t>
  </si>
  <si>
    <t>2255</t>
  </si>
  <si>
    <t>三浦　紗瑛</t>
  </si>
  <si>
    <t>ﾐｳﾗ ｻｴ</t>
  </si>
  <si>
    <t>2256</t>
  </si>
  <si>
    <t>武藤　紗貴</t>
  </si>
  <si>
    <t>ﾑﾄｳ ｻｷ</t>
  </si>
  <si>
    <t>2257</t>
  </si>
  <si>
    <t>濱口　京華</t>
  </si>
  <si>
    <t>ﾊﾏｸﾞﾁ ｷｮｳｶ</t>
  </si>
  <si>
    <t>2258</t>
  </si>
  <si>
    <t>川邉　のぞみ</t>
  </si>
  <si>
    <t>ｶﾜﾍﾞ ﾉｿﾞﾐ</t>
  </si>
  <si>
    <t>2259</t>
  </si>
  <si>
    <t>小林　はづき</t>
  </si>
  <si>
    <t>ｺﾊﾞﾔｼ ﾊﾂﾞｷ</t>
  </si>
  <si>
    <t>2260</t>
  </si>
  <si>
    <t>小池　里歩</t>
  </si>
  <si>
    <t>ｺｲｹ ﾘﾎ</t>
  </si>
  <si>
    <t>2261</t>
  </si>
  <si>
    <t>中村　友香</t>
  </si>
  <si>
    <t>ﾅｶﾑﾗ ﾕｳｶ</t>
  </si>
  <si>
    <t>2262</t>
  </si>
  <si>
    <t>近藤　由梨</t>
  </si>
  <si>
    <t>ｺﾝﾄﾞｳ ﾕﾘ</t>
  </si>
  <si>
    <t>2263</t>
  </si>
  <si>
    <t>清水　優香</t>
  </si>
  <si>
    <t>ｼﾐｽﾞ ﾕｳｶ</t>
  </si>
  <si>
    <t>2264</t>
  </si>
  <si>
    <t>斉藤　栞</t>
  </si>
  <si>
    <t>ｻｲﾄｳ ｼｵﾘ</t>
  </si>
  <si>
    <t>2265</t>
  </si>
  <si>
    <t>ｼﾌﾞﾀﾆ ﾐｷ</t>
  </si>
  <si>
    <t>2266</t>
  </si>
  <si>
    <t>徳永　菜津美</t>
  </si>
  <si>
    <t>ﾄｸﾅｶﾞ ﾅﾂﾐ</t>
  </si>
  <si>
    <t>2267</t>
  </si>
  <si>
    <t>伊藤　夢乃</t>
  </si>
  <si>
    <t>ｲﾄｳ ﾕﾒﾉ</t>
  </si>
  <si>
    <t>2268</t>
  </si>
  <si>
    <t>長谷川　詩歩</t>
  </si>
  <si>
    <t>ﾊｾｶﾞﾜ ｼﾎ</t>
  </si>
  <si>
    <t>2269</t>
  </si>
  <si>
    <t>菅　さくら</t>
  </si>
  <si>
    <t>ｽｶﾞ ｻｸﾗ</t>
  </si>
  <si>
    <t>2270</t>
  </si>
  <si>
    <t>鎌田　友美</t>
  </si>
  <si>
    <t>ｶﾏﾀ ﾄﾓﾐ</t>
  </si>
  <si>
    <t>2271</t>
  </si>
  <si>
    <t>中川　晴子</t>
  </si>
  <si>
    <t>ﾅｶｶﾞﾜ ﾊﾙｺ</t>
  </si>
  <si>
    <t>2272</t>
  </si>
  <si>
    <t>吉田　有美香</t>
  </si>
  <si>
    <t>ﾖｼﾀﾞ ﾕﾐｶ</t>
  </si>
  <si>
    <t>2273</t>
  </si>
  <si>
    <t>加世田　梨花</t>
  </si>
  <si>
    <t>ｶｾﾀﾞ ﾘｶ</t>
  </si>
  <si>
    <t>2274</t>
  </si>
  <si>
    <t>加藤　綾華</t>
  </si>
  <si>
    <t>ｶﾄｳ ｱﾔｶ</t>
  </si>
  <si>
    <t>2275</t>
  </si>
  <si>
    <t>小森　星七</t>
  </si>
  <si>
    <t>ｺﾓﾘ ｾﾅ</t>
  </si>
  <si>
    <t>2276</t>
  </si>
  <si>
    <t>井上　葉南</t>
  </si>
  <si>
    <t>ｲﾉｳｴ ﾊﾅ</t>
  </si>
  <si>
    <t>2277</t>
  </si>
  <si>
    <t>鴨志田　海来</t>
  </si>
  <si>
    <t>ｶﾓｼﾀﾞ ﾐﾗｲ</t>
  </si>
  <si>
    <t>2278</t>
  </si>
  <si>
    <t>ﾀｶﾏﾂ ﾄﾓﾐﾑｾﾝﾋﾞ</t>
  </si>
  <si>
    <t>2279</t>
  </si>
  <si>
    <t>松澤　綾音</t>
  </si>
  <si>
    <t>ﾏﾂｻﾞﾜ ｱﾔﾈ</t>
  </si>
  <si>
    <t>2280</t>
  </si>
  <si>
    <t>藤ケ森　美晴</t>
  </si>
  <si>
    <t>ﾌｼﾞｶﾞﾓﾘ ﾐﾊﾙ</t>
  </si>
  <si>
    <t>2281</t>
  </si>
  <si>
    <t>水澤　唯菜</t>
  </si>
  <si>
    <t>ﾐｽﾞｻﾜ ﾕﾅ</t>
  </si>
  <si>
    <t>2282</t>
  </si>
  <si>
    <t>和田　有菜</t>
  </si>
  <si>
    <t>ﾜﾀﾞ ﾕﾅ</t>
  </si>
  <si>
    <t>2283</t>
  </si>
  <si>
    <t>相場　里咲</t>
  </si>
  <si>
    <t>ｱｲﾊﾞ ﾘｻ</t>
  </si>
  <si>
    <t>2284</t>
  </si>
  <si>
    <t>荒井　優奈</t>
  </si>
  <si>
    <t>ｱﾗｲ ﾕｳﾅ</t>
  </si>
  <si>
    <t>2285</t>
  </si>
  <si>
    <t>小林　成美</t>
  </si>
  <si>
    <t>ｺﾊﾞﾔｼ ﾅﾙﾐ</t>
  </si>
  <si>
    <t>2286</t>
  </si>
  <si>
    <t>福嶋　紗楽</t>
  </si>
  <si>
    <t>ﾌｸｼﾏ ｻﾗ</t>
  </si>
  <si>
    <t>2287</t>
  </si>
  <si>
    <t>山本　有真</t>
  </si>
  <si>
    <t>ﾔﾏﾓﾄ ﾕﾏ</t>
  </si>
  <si>
    <t>2288</t>
  </si>
  <si>
    <t>黒川　光</t>
  </si>
  <si>
    <t>ｸﾛｶﾜ ﾋｶﾘ</t>
  </si>
  <si>
    <t>2289</t>
  </si>
  <si>
    <t>野呂　くれあ</t>
  </si>
  <si>
    <t>ﾉﾛ ｸﾚｱ</t>
  </si>
  <si>
    <t>2290</t>
  </si>
  <si>
    <t>増渕　祐香</t>
  </si>
  <si>
    <t>ﾏｽﾌﾞﾁ ﾕｳｶ</t>
  </si>
  <si>
    <t>2291</t>
  </si>
  <si>
    <t>片岡　宝子</t>
  </si>
  <si>
    <t>ｶﾀｵｶ ﾄﾓｺ</t>
  </si>
  <si>
    <t>2292</t>
  </si>
  <si>
    <t>片山　和奈</t>
  </si>
  <si>
    <t>ｶﾀﾔﾏ ｶｽﾞﾅ</t>
  </si>
  <si>
    <t>2293</t>
  </si>
  <si>
    <t>大門　あい</t>
  </si>
  <si>
    <t>ｵｵｶﾄﾞ ｱｲ</t>
  </si>
  <si>
    <t>2294</t>
  </si>
  <si>
    <t>村松　歩佳</t>
  </si>
  <si>
    <t>ﾑﾗﾏﾂ ﾎﾉｶ</t>
  </si>
  <si>
    <t>2295</t>
  </si>
  <si>
    <t>澤木　はな</t>
  </si>
  <si>
    <t>ｻﾜｷ ﾊﾅ</t>
  </si>
  <si>
    <t>2296</t>
  </si>
  <si>
    <t>桜井　菜緒</t>
  </si>
  <si>
    <t>ｻｸﾗｲ ﾅｵ</t>
  </si>
  <si>
    <t>2297</t>
  </si>
  <si>
    <t>田嶋　詩</t>
  </si>
  <si>
    <t>ﾀｼﾞﾏ ｳﾀ</t>
  </si>
  <si>
    <t>2298</t>
  </si>
  <si>
    <t>高橋　愛</t>
  </si>
  <si>
    <t>ﾀｶﾊｼ ｱｲ</t>
  </si>
  <si>
    <t>2299</t>
  </si>
  <si>
    <t>玉城　萌華</t>
  </si>
  <si>
    <t>ﾀﾏｷ ﾓｴｶ</t>
  </si>
  <si>
    <t>2300</t>
  </si>
  <si>
    <t>原　まひる</t>
  </si>
  <si>
    <t>ﾊﾗ ﾏﾋﾙ</t>
  </si>
  <si>
    <t>2301</t>
  </si>
  <si>
    <t>古畑　桃子</t>
  </si>
  <si>
    <t>ﾌﾙﾊﾀ ﾓﾓｺ</t>
  </si>
  <si>
    <t>2302</t>
  </si>
  <si>
    <t>平野　颯希</t>
  </si>
  <si>
    <t>ﾋﾗﾉ ｻﾂｷ</t>
  </si>
  <si>
    <t>2303</t>
  </si>
  <si>
    <t>ムネネ　メリー</t>
  </si>
  <si>
    <t>ﾑﾈﾈ ﾒﾘｰ</t>
  </si>
  <si>
    <t>2304</t>
  </si>
  <si>
    <t>加藤　遥</t>
  </si>
  <si>
    <t>ｶﾄｳ ﾊﾙｶ</t>
  </si>
  <si>
    <t>2305</t>
  </si>
  <si>
    <t>松本　小毬</t>
  </si>
  <si>
    <t>ﾏﾂﾓﾄ ｺﾏﾘ</t>
  </si>
  <si>
    <t>2306</t>
  </si>
  <si>
    <t>浅野　とこは</t>
  </si>
  <si>
    <t>ｱｻﾉ ﾄｺﾊ</t>
  </si>
  <si>
    <t>2307</t>
  </si>
  <si>
    <t>2308</t>
  </si>
  <si>
    <t>小方　亜珠</t>
  </si>
  <si>
    <t>ｵｶﾞﾀ ｱｽﾞ</t>
  </si>
  <si>
    <t>2309</t>
  </si>
  <si>
    <t>北村　瑠美</t>
  </si>
  <si>
    <t>ｷﾀﾑﾗ ﾙﾐ</t>
  </si>
  <si>
    <t>2310</t>
  </si>
  <si>
    <t>嵯峨　吹雪</t>
  </si>
  <si>
    <t>ｻｶﾞ ﾌﾌﾞｷ</t>
  </si>
  <si>
    <t>2311</t>
  </si>
  <si>
    <t>杉山　文美</t>
  </si>
  <si>
    <t>ｽｷﾞﾔﾏ ｱﾔﾐ</t>
  </si>
  <si>
    <t>2312</t>
  </si>
  <si>
    <t>広瀬　千尋</t>
  </si>
  <si>
    <t>ﾋﾛｾ ﾁﾋﾛ</t>
  </si>
  <si>
    <t>2313</t>
  </si>
  <si>
    <t>牛丸　みのり</t>
  </si>
  <si>
    <t>ｳｼﾏﾙ ﾐﾉﾘ</t>
  </si>
  <si>
    <t>2314</t>
  </si>
  <si>
    <t>大江　彩加</t>
  </si>
  <si>
    <t>ｵｵｴ ｱﾔｶ</t>
  </si>
  <si>
    <t>2315</t>
  </si>
  <si>
    <t>河合　李胡</t>
  </si>
  <si>
    <t>ｶﾜｲ ﾘｺ</t>
  </si>
  <si>
    <t>2316</t>
  </si>
  <si>
    <t>安藤　由梨花</t>
  </si>
  <si>
    <t>ｱﾝﾄﾞｳ ﾕﾘｶ</t>
  </si>
  <si>
    <t>2317</t>
  </si>
  <si>
    <t>山城　柚芽</t>
  </si>
  <si>
    <t>ﾔﾏｼﾛ ﾕﾒ</t>
  </si>
  <si>
    <t>2318</t>
  </si>
  <si>
    <t>中溝　莉緒</t>
  </si>
  <si>
    <t>ﾅｶﾐｿﾞ ﾘｵ</t>
  </si>
  <si>
    <t>2319</t>
  </si>
  <si>
    <t>奥田　安優</t>
  </si>
  <si>
    <t>ｵｸﾀﾞ ｱﾕ</t>
  </si>
  <si>
    <t>2320</t>
  </si>
  <si>
    <t>金谷　有純</t>
  </si>
  <si>
    <t>ｶﾅﾔ ｱｽﾐ</t>
  </si>
  <si>
    <t>2321</t>
  </si>
  <si>
    <t>北川　日向子</t>
  </si>
  <si>
    <t>ｷﾀｶﾞﾜ ﾋﾅｺ</t>
  </si>
  <si>
    <t>2322</t>
  </si>
  <si>
    <t>田中　ガブリエーラ</t>
  </si>
  <si>
    <t>ﾀﾅｶ ｶﾞﾌﾞﾘｴｰﾗ</t>
  </si>
  <si>
    <t>2323</t>
  </si>
  <si>
    <t>都築　歩乃佳</t>
  </si>
  <si>
    <t>ﾂﾂﾞｷ ﾎﾉｶ</t>
  </si>
  <si>
    <t>2324</t>
  </si>
  <si>
    <t>水上　優子</t>
  </si>
  <si>
    <t>ﾐｽﾞｶﾐ ﾕｳｺ</t>
  </si>
  <si>
    <t>2325</t>
  </si>
  <si>
    <t>原　侑子</t>
  </si>
  <si>
    <t>ﾊﾗ ﾕｳｺ</t>
  </si>
  <si>
    <t>2326</t>
  </si>
  <si>
    <t>菰田　梨香子</t>
  </si>
  <si>
    <t>ｺﾓﾀﾞ ﾘｶｺ</t>
  </si>
  <si>
    <t>2327</t>
  </si>
  <si>
    <t>清水　美里</t>
  </si>
  <si>
    <t>ｼﾐｽﾞ ﾐｻﾄ</t>
  </si>
  <si>
    <t>2328</t>
  </si>
  <si>
    <t>柴田　葵</t>
  </si>
  <si>
    <t>ｼﾊﾞﾀ ｱｵｲ</t>
  </si>
  <si>
    <t>2329</t>
  </si>
  <si>
    <t>田中　美海</t>
  </si>
  <si>
    <t>ﾀﾅｶ ﾐｭｳ</t>
  </si>
  <si>
    <t>2330</t>
  </si>
  <si>
    <t>遠山　奈月</t>
  </si>
  <si>
    <t>ﾄｵﾔﾏ ﾅﾂｷ</t>
  </si>
  <si>
    <t>2331</t>
  </si>
  <si>
    <t>松岡　かなで</t>
  </si>
  <si>
    <t>ﾏﾂｵｶ ｶﾅﾃﾞ</t>
  </si>
  <si>
    <t>2332</t>
  </si>
  <si>
    <t>安藤　優月</t>
  </si>
  <si>
    <t>ｱﾝﾄﾞｳ ﾕﾂﾞｷ</t>
  </si>
  <si>
    <t>2333</t>
  </si>
  <si>
    <t>市川　紗衣</t>
  </si>
  <si>
    <t>ｲﾁｶﾜ ｻｴ</t>
  </si>
  <si>
    <t>2334</t>
  </si>
  <si>
    <t>福井　藍</t>
  </si>
  <si>
    <t>ﾌｸｲ ｱｲ</t>
  </si>
  <si>
    <t>2335</t>
  </si>
  <si>
    <t>小島　一乃</t>
  </si>
  <si>
    <t>ｺｼﾞﾏ ｶｽﾞﾉ</t>
  </si>
  <si>
    <t>2336</t>
  </si>
  <si>
    <t>仲井　瑞紀</t>
  </si>
  <si>
    <t>ﾅｶｲ ﾐｽﾞｷ</t>
  </si>
  <si>
    <t>2337</t>
  </si>
  <si>
    <t>安藤　優美子</t>
  </si>
  <si>
    <t>ｱﾝﾄﾞｳ ﾕﾐｺ</t>
  </si>
  <si>
    <t>2338</t>
  </si>
  <si>
    <t>神谷　亜依</t>
  </si>
  <si>
    <t>ｶﾐﾔ ｱｲ</t>
  </si>
  <si>
    <t>2339</t>
  </si>
  <si>
    <t>中内　彩虹</t>
  </si>
  <si>
    <t>ﾅｶｳﾁ ｱﾔｺ</t>
  </si>
  <si>
    <t>2340</t>
  </si>
  <si>
    <t>蜷川　真由</t>
  </si>
  <si>
    <t>ﾆﾅｶﾞﾜ ﾏﾕ</t>
  </si>
  <si>
    <t>2341</t>
  </si>
  <si>
    <t>松尾　有紗</t>
  </si>
  <si>
    <t>ﾏﾂｵ ｱﾘｻ</t>
  </si>
  <si>
    <t>2342</t>
  </si>
  <si>
    <t>宮下　優</t>
  </si>
  <si>
    <t>ﾐﾔｼﾀ ﾕｳｶ</t>
  </si>
  <si>
    <t>2343</t>
  </si>
  <si>
    <t>山本　樹音</t>
  </si>
  <si>
    <t>ﾔﾏﾓﾄ ｼﾞｭﾈ</t>
  </si>
  <si>
    <t>2344</t>
  </si>
  <si>
    <t>淺川　慶乃</t>
  </si>
  <si>
    <t>ｱｻｶﾜ ﾖｼﾉ</t>
  </si>
  <si>
    <t>2345</t>
  </si>
  <si>
    <t>加藤　友里</t>
  </si>
  <si>
    <t>ｶﾄｳ ﾕﾘ</t>
  </si>
  <si>
    <t>2346</t>
  </si>
  <si>
    <t>佐藤　琴美</t>
  </si>
  <si>
    <t>ｻﾄｳ ｺﾄﾐ</t>
  </si>
  <si>
    <t>2347</t>
  </si>
  <si>
    <t>竹林　美佐紀</t>
  </si>
  <si>
    <t>ﾀｹﾊﾞﾔｼ ﾐｻｷ</t>
  </si>
  <si>
    <t>2348</t>
  </si>
  <si>
    <t>棚橋　実加</t>
  </si>
  <si>
    <t>ﾀﾅﾊｼ ﾐｶ</t>
  </si>
  <si>
    <t>2349</t>
  </si>
  <si>
    <t>中根　瑠香</t>
  </si>
  <si>
    <t>ﾅｶﾈ ﾙｶ</t>
  </si>
  <si>
    <t>2350</t>
  </si>
  <si>
    <t>中村　ななみ</t>
  </si>
  <si>
    <t>ﾅｶﾑﾗ ﾅﾅﾐ</t>
  </si>
  <si>
    <t>2351</t>
  </si>
  <si>
    <t>山本　紗也華</t>
  </si>
  <si>
    <t>ﾔﾏﾓﾄ ｻﾔｶ</t>
  </si>
  <si>
    <t>2352</t>
  </si>
  <si>
    <t>奥川　真帆</t>
  </si>
  <si>
    <t>ｵｸｶﾞﾜ ﾏﾎ</t>
  </si>
  <si>
    <t>2353</t>
  </si>
  <si>
    <t>勝　成望</t>
  </si>
  <si>
    <t>ｶﾂ ﾅﾙﾐ</t>
  </si>
  <si>
    <t>2354</t>
  </si>
  <si>
    <t>菊池　舞</t>
  </si>
  <si>
    <t>ｷｸﾁ ﾏｲ</t>
  </si>
  <si>
    <t>2355</t>
  </si>
  <si>
    <t>畔柳　幸奈</t>
  </si>
  <si>
    <t>ｸﾛﾔﾅｷﾞ ﾕｷﾅ</t>
  </si>
  <si>
    <t>2356</t>
  </si>
  <si>
    <t>小林　もえか</t>
  </si>
  <si>
    <t>ｺﾊﾞﾔｼ ﾓｴｶ</t>
  </si>
  <si>
    <t>2357</t>
  </si>
  <si>
    <t>小山　菜花</t>
  </si>
  <si>
    <t>ｺﾔﾏ ﾅﾉﾊ</t>
  </si>
  <si>
    <t>2358</t>
  </si>
  <si>
    <t>永墓　ゆめ果</t>
  </si>
  <si>
    <t>ﾅｶﾞﾊｶ ﾕﾒｶ</t>
  </si>
  <si>
    <t>2359</t>
  </si>
  <si>
    <t>林　玲奈</t>
  </si>
  <si>
    <t>ﾊﾔｼ ﾚｲﾅ</t>
  </si>
  <si>
    <t>2360</t>
  </si>
  <si>
    <t>吉田　彩花</t>
  </si>
  <si>
    <t>ﾖｼﾀﾞ ｻﾔｶ</t>
  </si>
  <si>
    <t>2361</t>
  </si>
  <si>
    <t>森山　歩果</t>
  </si>
  <si>
    <t>ﾓﾘﾔﾏ ｱﾕｶ</t>
  </si>
  <si>
    <t>2362</t>
  </si>
  <si>
    <t>神谷　京奈</t>
  </si>
  <si>
    <t>ｶﾐﾔ ｷｮｳﾅ</t>
  </si>
  <si>
    <t>2363</t>
  </si>
  <si>
    <t>渡邉　由夏</t>
  </si>
  <si>
    <t>ﾜﾀﾅﾍﾞ ﾕｶ</t>
  </si>
  <si>
    <t>2364</t>
  </si>
  <si>
    <t>松下　陽菜</t>
  </si>
  <si>
    <t>ﾏﾂｼﾀ ﾋﾅﾀ</t>
  </si>
  <si>
    <t>2365</t>
  </si>
  <si>
    <t>山下　華歩</t>
  </si>
  <si>
    <t>ﾔﾏｼﾀ ｶﾎ</t>
  </si>
  <si>
    <t>2366</t>
  </si>
  <si>
    <t>宇佐見　佳音</t>
  </si>
  <si>
    <t>ｳｻﾐ ｶﾉﾝ</t>
  </si>
  <si>
    <t>2367</t>
  </si>
  <si>
    <t>猪飼　真莉子</t>
  </si>
  <si>
    <t>ｲｶｲ ﾏﾘｺ</t>
  </si>
  <si>
    <t>2368</t>
  </si>
  <si>
    <t>石井　冴佳</t>
  </si>
  <si>
    <t>ｲｼｲ ｻｴｶ</t>
  </si>
  <si>
    <t>2369</t>
  </si>
  <si>
    <t>杉山　莉聖</t>
  </si>
  <si>
    <t>ｽｷﾞﾔﾏ ﾘｾ</t>
  </si>
  <si>
    <t>2370</t>
  </si>
  <si>
    <t>中迫　志穂子</t>
  </si>
  <si>
    <t>ﾅｶｻﾞｺ ｼﾎｺ</t>
  </si>
  <si>
    <t>2371</t>
  </si>
  <si>
    <t>里見　莉世</t>
  </si>
  <si>
    <t>ｻﾄﾐ ﾘｾ</t>
  </si>
  <si>
    <t>2372</t>
  </si>
  <si>
    <t>土方　彩衣</t>
  </si>
  <si>
    <t>ﾋｼﾞｶﾀ ｱﾔｴ</t>
  </si>
  <si>
    <t>2373</t>
  </si>
  <si>
    <t>大場　瑞生</t>
  </si>
  <si>
    <t>ｵｵﾊﾞ ﾐｽﾞｷ</t>
  </si>
  <si>
    <t>2374</t>
  </si>
  <si>
    <t>黒川 紗椰</t>
  </si>
  <si>
    <t>ｸﾛｶﾜ ｻﾔ</t>
  </si>
  <si>
    <t>2375</t>
  </si>
  <si>
    <t>鈴木　唯菜</t>
  </si>
  <si>
    <t>ｽｽﾞｷ ﾕｲﾅ</t>
  </si>
  <si>
    <t>2376</t>
  </si>
  <si>
    <t>八木田　沙椰</t>
  </si>
  <si>
    <t>ﾔｷﾞﾀ ｻﾔ</t>
  </si>
  <si>
    <t>2377</t>
  </si>
  <si>
    <t>山本　菜緒</t>
  </si>
  <si>
    <t>ﾔﾏﾓﾄ ﾅｵ</t>
  </si>
  <si>
    <t>2378</t>
  </si>
  <si>
    <t>須田　遥日</t>
  </si>
  <si>
    <t>ｽﾀﾞ ﾊﾙｶ</t>
  </si>
  <si>
    <t>2379</t>
  </si>
  <si>
    <t>田村　芽生</t>
  </si>
  <si>
    <t>ﾀﾑﾗ ﾒｲ</t>
  </si>
  <si>
    <t>2380</t>
  </si>
  <si>
    <t>吉村　奈々</t>
  </si>
  <si>
    <t>ﾖｼﾑﾗ ﾅﾅ</t>
  </si>
  <si>
    <t>2381</t>
  </si>
  <si>
    <t>唐澤　花実</t>
  </si>
  <si>
    <t>ｶﾗｻﾜ ﾊﾅﾐ</t>
  </si>
  <si>
    <t>2382</t>
  </si>
  <si>
    <t>鈴木　華弥</t>
  </si>
  <si>
    <t>ｽｽﾞｷ ｶﾔ</t>
  </si>
  <si>
    <t>2383</t>
  </si>
  <si>
    <t>外園　愛梨</t>
  </si>
  <si>
    <t>ﾎｶｿﾞﾉ ｱｲﾘ</t>
  </si>
  <si>
    <t>2384</t>
  </si>
  <si>
    <t>山形　智香</t>
  </si>
  <si>
    <t>ﾔﾏｶﾞﾀ ﾄﾓｶ</t>
  </si>
  <si>
    <t>2385</t>
  </si>
  <si>
    <t>平井　友理</t>
  </si>
  <si>
    <t>ﾋﾗｲ ﾕﾘ</t>
  </si>
  <si>
    <t>2386</t>
  </si>
  <si>
    <t>山田　沙樹</t>
  </si>
  <si>
    <t>ﾔﾏﾀﾞ ｻｷ</t>
  </si>
  <si>
    <t>2387</t>
  </si>
  <si>
    <t>西村　歩</t>
  </si>
  <si>
    <t>ﾆｼﾑﾗ ｱﾕﾐ</t>
  </si>
  <si>
    <t>2388</t>
  </si>
  <si>
    <t>中島　百合菜</t>
  </si>
  <si>
    <t>ﾅｶｼﾞﾏ ﾕﾘﾅ</t>
  </si>
  <si>
    <t>2389</t>
  </si>
  <si>
    <t>永野　朱音</t>
  </si>
  <si>
    <t>ﾅｶﾞﾉ ｱｶﾈ</t>
  </si>
  <si>
    <t>2390</t>
  </si>
  <si>
    <t>木村　莉子</t>
  </si>
  <si>
    <t>ｷﾑﾗ ﾘｺ</t>
  </si>
  <si>
    <t>2391</t>
  </si>
  <si>
    <t>坂本　彩華</t>
  </si>
  <si>
    <t>ｻｶﾓﾄ ｱﾔｶ</t>
  </si>
  <si>
    <t>2392</t>
  </si>
  <si>
    <t>神山　千鶴</t>
  </si>
  <si>
    <t>ｺｳﾔﾏ ﾁﾂﾞﾙ</t>
  </si>
  <si>
    <t>2393</t>
  </si>
  <si>
    <t>梶　蒼依</t>
  </si>
  <si>
    <t>ｶｼﾞ ｱｵｲ</t>
  </si>
  <si>
    <t>2394</t>
  </si>
  <si>
    <t>ララフィ　亜美奈</t>
  </si>
  <si>
    <t>ﾗﾗﾌｨ ｱﾐﾅ</t>
  </si>
  <si>
    <t>2395</t>
  </si>
  <si>
    <t>加藤　沙耶香</t>
  </si>
  <si>
    <t>ｶﾄｳ ｻﾔｶ</t>
  </si>
  <si>
    <t>2396</t>
  </si>
  <si>
    <t>木俣　穂香</t>
  </si>
  <si>
    <t>ｷﾏﾀ ﾎﾉｶ</t>
  </si>
  <si>
    <t>2397</t>
  </si>
  <si>
    <t>中山　瑠奈</t>
  </si>
  <si>
    <t>ﾅｶﾔﾏ ﾙﾅ</t>
  </si>
  <si>
    <t>2398</t>
  </si>
  <si>
    <t>濱地　きらら</t>
  </si>
  <si>
    <t>ﾊﾏｼﾞ ｷﾗﾗ</t>
  </si>
  <si>
    <t>2399</t>
  </si>
  <si>
    <t>扇谷　結愛</t>
  </si>
  <si>
    <t>ｵｵｷﾞﾀﾞﾆ ﾕｳｱ</t>
  </si>
  <si>
    <t>2400</t>
  </si>
  <si>
    <t>後藤　綾乃</t>
  </si>
  <si>
    <t>ｺﾞﾄｳ ｱﾔﾉ</t>
  </si>
  <si>
    <t>2401</t>
  </si>
  <si>
    <t>嶋田　みのり</t>
  </si>
  <si>
    <t>ｼﾏﾀﾞ ﾐﾉﾘ</t>
  </si>
  <si>
    <t>2402</t>
  </si>
  <si>
    <t>鈴木　優菜</t>
  </si>
  <si>
    <t>ｽｽﾞｷ ﾕｳﾅ</t>
  </si>
  <si>
    <t>2403</t>
  </si>
  <si>
    <t>小池　香奈</t>
  </si>
  <si>
    <t>ｺｲｹ ｶﾅ</t>
  </si>
  <si>
    <t>2404</t>
  </si>
  <si>
    <t>天羽　桜子</t>
  </si>
  <si>
    <t>ｱﾓｳ ｻｸﾗｺ</t>
  </si>
  <si>
    <t>2405</t>
  </si>
  <si>
    <t>芝田　凪紗</t>
  </si>
  <si>
    <t>ｼﾊﾞﾀ ﾅｷﾞｻ</t>
  </si>
  <si>
    <t>2406</t>
  </si>
  <si>
    <t>萩原　那緒</t>
  </si>
  <si>
    <t>ﾊｷﾞﾜﾗ ﾅｵ</t>
  </si>
  <si>
    <t>2407</t>
  </si>
  <si>
    <t>坂本　唯</t>
  </si>
  <si>
    <t>ｻｶﾓﾄ ﾕｲ</t>
  </si>
  <si>
    <t>2408</t>
  </si>
  <si>
    <t>佐野　紗智子</t>
  </si>
  <si>
    <t>ｻﾉ ｻﾁｺ</t>
  </si>
  <si>
    <t>2409</t>
  </si>
  <si>
    <t>森野　舞花</t>
  </si>
  <si>
    <t>ﾓﾘﾉ ﾏｲｶ</t>
  </si>
  <si>
    <t>2410</t>
  </si>
  <si>
    <t>有ヶ谷　真由</t>
  </si>
  <si>
    <t>ｱﾘｶﾞﾔ ﾏﾕ</t>
  </si>
  <si>
    <t>2411</t>
  </si>
  <si>
    <t>田中　優帆</t>
  </si>
  <si>
    <t>ﾀﾅｶ ﾕｳﾎ</t>
  </si>
  <si>
    <t>2412</t>
  </si>
  <si>
    <t>松浦　すみれ</t>
  </si>
  <si>
    <t>ﾏﾂｳﾗ ｽﾐﾚ</t>
  </si>
  <si>
    <t>2413</t>
  </si>
  <si>
    <t>藤雄　まどか</t>
  </si>
  <si>
    <t>ﾌｼﾞｵ ﾏﾄﾞｶ</t>
  </si>
  <si>
    <t>2414</t>
  </si>
  <si>
    <t>仲原　凪歩</t>
  </si>
  <si>
    <t>ﾅｶﾊﾗ ﾅｷﾞﾎ</t>
  </si>
  <si>
    <t>2415</t>
  </si>
  <si>
    <t>長谷川　葉月</t>
  </si>
  <si>
    <t>ﾊｾｶﾞﾜ ﾊﾂﾞｷ</t>
  </si>
  <si>
    <t>2416</t>
  </si>
  <si>
    <t>金井　香瑠</t>
  </si>
  <si>
    <t>ｶﾅｲ ｶｵﾙ</t>
  </si>
  <si>
    <t>2417</t>
  </si>
  <si>
    <t>丹羽　優菜</t>
  </si>
  <si>
    <t>ﾆﾜ ﾕｳﾅ</t>
  </si>
  <si>
    <t>2418</t>
  </si>
  <si>
    <t>江尻　智香</t>
  </si>
  <si>
    <t>ｴｼﾞﾘ ﾄﾓｶ</t>
  </si>
  <si>
    <t>2419</t>
  </si>
  <si>
    <t>金井　智穂</t>
  </si>
  <si>
    <t>ｶﾅｲ ﾁﾎ</t>
  </si>
  <si>
    <t>2420</t>
  </si>
  <si>
    <t>岩本　有莉</t>
  </si>
  <si>
    <t>ｲﾜﾓﾄ ﾕﾘ</t>
  </si>
  <si>
    <t>2421</t>
  </si>
  <si>
    <t>藤堂　綾乃</t>
  </si>
  <si>
    <t>ﾄｳﾄﾞｳ ｱﾔﾉ</t>
  </si>
  <si>
    <t>2422</t>
  </si>
  <si>
    <t>福井　杏</t>
  </si>
  <si>
    <t>ﾌｸｲ ｱﾝｽﾞ</t>
  </si>
  <si>
    <t>2423</t>
  </si>
  <si>
    <t>青山　瑞葉</t>
  </si>
  <si>
    <t>ｱｵﾔﾏ ﾐｽﾞﾊ</t>
  </si>
  <si>
    <t>2424</t>
  </si>
  <si>
    <t>宮下　真弥</t>
  </si>
  <si>
    <t>ﾐﾔｼﾀ ﾏﾔ</t>
  </si>
  <si>
    <t>2425</t>
  </si>
  <si>
    <t>伊藤　鈴音</t>
  </si>
  <si>
    <t>ｲﾄｳ ｽｽﾞﾈ</t>
  </si>
  <si>
    <t>2426</t>
  </si>
  <si>
    <t>大原　涼歌</t>
  </si>
  <si>
    <t>ｵｵﾊﾗ ｽｽﾞｶ</t>
  </si>
  <si>
    <t>2427</t>
  </si>
  <si>
    <t>堀　美由希</t>
  </si>
  <si>
    <t>ﾎﾘ ﾐﾕｷ</t>
  </si>
  <si>
    <t>2428</t>
  </si>
  <si>
    <t>福田　紅菜</t>
  </si>
  <si>
    <t>ﾌｸﾀﾞ ｸﾚﾅ</t>
  </si>
  <si>
    <t>2429</t>
  </si>
  <si>
    <t>西川　ひより</t>
  </si>
  <si>
    <t>ﾆｼｶﾜ ﾋﾖﾘ</t>
  </si>
  <si>
    <t>沖　有友里</t>
  </si>
  <si>
    <t>ｵｷ ｱﾕﾘ</t>
  </si>
  <si>
    <t>澤田　美咲</t>
  </si>
  <si>
    <t>ｻﾜﾀﾞ ﾐｻｷ</t>
  </si>
  <si>
    <t>矢崎　晴子</t>
  </si>
  <si>
    <t>ﾔｻﾞｷ ﾊﾙｺ</t>
  </si>
  <si>
    <t>森田　桃加</t>
  </si>
  <si>
    <t>ﾓﾘﾀ ﾓﾓｶ</t>
  </si>
  <si>
    <t>山口　奈緒子</t>
  </si>
  <si>
    <t>ﾔﾏｸﾞﾁ ﾅｵｺ</t>
  </si>
  <si>
    <t>後藤　永実奈</t>
  </si>
  <si>
    <t>ｺﾞﾄｳ ｴﾐﾅ</t>
  </si>
  <si>
    <t>大場　菜乃子</t>
  </si>
  <si>
    <t>ｵｵﾊﾞ ﾅﾉｺ</t>
  </si>
  <si>
    <t>KITAMURA</t>
  </si>
  <si>
    <t>Ai</t>
  </si>
  <si>
    <t>KAWAMURA</t>
  </si>
  <si>
    <t>Mizuki</t>
  </si>
  <si>
    <t>SUGIYAMA</t>
  </si>
  <si>
    <t>Sora</t>
  </si>
  <si>
    <t>AKEBOSHI</t>
  </si>
  <si>
    <t>SAITOU</t>
  </si>
  <si>
    <t>Ayaka</t>
  </si>
  <si>
    <t>TOYONAGA</t>
  </si>
  <si>
    <t>Kanon</t>
  </si>
  <si>
    <t>NAGAYA</t>
  </si>
  <si>
    <t>Mitsuki</t>
  </si>
  <si>
    <t>KINOSHITA</t>
  </si>
  <si>
    <t>Mayuka</t>
  </si>
  <si>
    <t>GOTO</t>
  </si>
  <si>
    <t>Rina</t>
  </si>
  <si>
    <t>OTANI</t>
  </si>
  <si>
    <t>Nanako</t>
  </si>
  <si>
    <t>YAGI</t>
  </si>
  <si>
    <t>Maika</t>
  </si>
  <si>
    <t>KASUYA</t>
  </si>
  <si>
    <t>TAKATA</t>
  </si>
  <si>
    <t>NAMBU</t>
  </si>
  <si>
    <t>Juri</t>
  </si>
  <si>
    <t>URATA</t>
  </si>
  <si>
    <t>Anna</t>
  </si>
  <si>
    <t>KOTO</t>
  </si>
  <si>
    <t>Nene</t>
  </si>
  <si>
    <t>Sara</t>
  </si>
  <si>
    <t>HORITA</t>
  </si>
  <si>
    <t>Hatsuki</t>
  </si>
  <si>
    <t>MASUDA</t>
  </si>
  <si>
    <t>Nao</t>
  </si>
  <si>
    <t>CHINO</t>
  </si>
  <si>
    <t>Miyuki</t>
  </si>
  <si>
    <t>KAWAI</t>
  </si>
  <si>
    <t>Hirono</t>
  </si>
  <si>
    <t>Kao</t>
  </si>
  <si>
    <t>Ruria</t>
  </si>
  <si>
    <t>SHIBASAKI</t>
  </si>
  <si>
    <t>Mei</t>
  </si>
  <si>
    <t>SAKAKIBARA</t>
  </si>
  <si>
    <t>Rumi</t>
  </si>
  <si>
    <t>Akane</t>
  </si>
  <si>
    <t>HAYAMA</t>
  </si>
  <si>
    <t>Hinata</t>
  </si>
  <si>
    <t>MITSUYA</t>
  </si>
  <si>
    <t>Hitomi</t>
  </si>
  <si>
    <t>Akari</t>
  </si>
  <si>
    <t>Mao</t>
  </si>
  <si>
    <t>Rion</t>
  </si>
  <si>
    <t>Sana</t>
  </si>
  <si>
    <t>TOMIOKA</t>
  </si>
  <si>
    <t>Minori</t>
  </si>
  <si>
    <t>HIRANO</t>
  </si>
  <si>
    <t>Kanna</t>
  </si>
  <si>
    <t>IOKA</t>
  </si>
  <si>
    <t>Maho</t>
  </si>
  <si>
    <t>TAKASE</t>
  </si>
  <si>
    <t>Yuina</t>
  </si>
  <si>
    <t>SHIOUCHI</t>
  </si>
  <si>
    <t>Masayo</t>
  </si>
  <si>
    <t>ASAOKA</t>
  </si>
  <si>
    <t>Naho</t>
  </si>
  <si>
    <t>IKUTA</t>
  </si>
  <si>
    <t>Naoko</t>
  </si>
  <si>
    <t>IKEDA</t>
  </si>
  <si>
    <t>Kanako</t>
  </si>
  <si>
    <t>KANETSUKI</t>
  </si>
  <si>
    <t>Shizuka</t>
  </si>
  <si>
    <t>Yui</t>
  </si>
  <si>
    <t>SHIRASAKA</t>
  </si>
  <si>
    <t>INAYOSHI</t>
  </si>
  <si>
    <t>Tubaki</t>
  </si>
  <si>
    <t>Hayane</t>
  </si>
  <si>
    <t>KAMMORI</t>
  </si>
  <si>
    <t>Kayo</t>
  </si>
  <si>
    <t>MUROFUSHI</t>
  </si>
  <si>
    <t>Wakana</t>
  </si>
  <si>
    <t>NAKAYAMA</t>
  </si>
  <si>
    <t>Miyu</t>
  </si>
  <si>
    <t>TSUZUKI</t>
  </si>
  <si>
    <t>Hina</t>
  </si>
  <si>
    <t>ISHIGAKI</t>
  </si>
  <si>
    <t>KURODA</t>
  </si>
  <si>
    <t>Sakura</t>
  </si>
  <si>
    <t>NAGAI</t>
  </si>
  <si>
    <t>Fuka</t>
  </si>
  <si>
    <t>AIBA</t>
  </si>
  <si>
    <t>Nanami</t>
  </si>
  <si>
    <t>MIZUTANI</t>
  </si>
  <si>
    <t>Kaho</t>
  </si>
  <si>
    <t>INAGAKI</t>
  </si>
  <si>
    <t>Ayu</t>
  </si>
  <si>
    <t>OKAMOTO</t>
  </si>
  <si>
    <t>Ruka</t>
  </si>
  <si>
    <t>Kaoru</t>
  </si>
  <si>
    <t>KIKUCHI</t>
  </si>
  <si>
    <t>Manaka</t>
  </si>
  <si>
    <t>Yukine</t>
  </si>
  <si>
    <t>CHIBA</t>
  </si>
  <si>
    <t>HATTORI</t>
  </si>
  <si>
    <t>Yuzuki</t>
  </si>
  <si>
    <t>Hana</t>
  </si>
  <si>
    <t>KAKEGAWA</t>
  </si>
  <si>
    <t>Shiori</t>
  </si>
  <si>
    <t>INADA</t>
  </si>
  <si>
    <t>Kaede</t>
  </si>
  <si>
    <t>Satsuki</t>
  </si>
  <si>
    <t>YANO</t>
  </si>
  <si>
    <t>Mirei</t>
  </si>
  <si>
    <t>NAKANO</t>
  </si>
  <si>
    <t>SONOHARA</t>
  </si>
  <si>
    <t>FUJII</t>
  </si>
  <si>
    <t>Saika</t>
  </si>
  <si>
    <t>TAKANO</t>
  </si>
  <si>
    <t>Aika</t>
  </si>
  <si>
    <t>Yukika</t>
  </si>
  <si>
    <t>Yuna</t>
  </si>
  <si>
    <t>UNO</t>
  </si>
  <si>
    <t>SANO</t>
  </si>
  <si>
    <t>Fumika</t>
  </si>
  <si>
    <t>INABA</t>
  </si>
  <si>
    <t>Sae</t>
  </si>
  <si>
    <t>KASHIWAYA</t>
  </si>
  <si>
    <t>Miku</t>
  </si>
  <si>
    <t>YOSHIMURA</t>
  </si>
  <si>
    <t>Tsukino</t>
  </si>
  <si>
    <t>HOSHINO</t>
  </si>
  <si>
    <t>Mayu</t>
  </si>
  <si>
    <t>WATANABE</t>
  </si>
  <si>
    <t>Ayana</t>
  </si>
  <si>
    <t>KOIZUMI</t>
  </si>
  <si>
    <t>Mana</t>
  </si>
  <si>
    <t>Nozomi</t>
  </si>
  <si>
    <t>Sakiho</t>
  </si>
  <si>
    <t>ONISHI</t>
  </si>
  <si>
    <t>MANABE</t>
  </si>
  <si>
    <t>KUBODERA</t>
  </si>
  <si>
    <t>Momoka</t>
  </si>
  <si>
    <t>YAMAGUCHI</t>
  </si>
  <si>
    <t>MURATA</t>
  </si>
  <si>
    <t>Yuka</t>
  </si>
  <si>
    <t>KIRIYAMA</t>
  </si>
  <si>
    <t xml:space="preserve">ITO </t>
  </si>
  <si>
    <t>Mai</t>
  </si>
  <si>
    <t xml:space="preserve">NONAKA </t>
  </si>
  <si>
    <t>Konatsu</t>
  </si>
  <si>
    <t>NAKAMURA</t>
  </si>
  <si>
    <t>Saki</t>
  </si>
  <si>
    <t>IYODA</t>
  </si>
  <si>
    <t>Ayane</t>
  </si>
  <si>
    <t>ADACHI</t>
  </si>
  <si>
    <t>Moeno</t>
  </si>
  <si>
    <t>KAWANO</t>
  </si>
  <si>
    <t>Reina</t>
  </si>
  <si>
    <t>TAMADA</t>
  </si>
  <si>
    <t>Tamami</t>
  </si>
  <si>
    <t>Himawari</t>
  </si>
  <si>
    <t>HIRAKO</t>
  </si>
  <si>
    <t>ISHIURA</t>
  </si>
  <si>
    <t>Airi</t>
  </si>
  <si>
    <t xml:space="preserve">KONNO </t>
  </si>
  <si>
    <t>Erika</t>
  </si>
  <si>
    <t>SHIODA</t>
  </si>
  <si>
    <t>SHIRAKI</t>
  </si>
  <si>
    <t>Nanase</t>
  </si>
  <si>
    <t>USUI</t>
  </si>
  <si>
    <t>Misuzu</t>
  </si>
  <si>
    <t>Haruka</t>
  </si>
  <si>
    <t>MIWA</t>
  </si>
  <si>
    <t>Asuka</t>
  </si>
  <si>
    <t>SOGA</t>
  </si>
  <si>
    <t>SAKAI</t>
  </si>
  <si>
    <t>Mari</t>
  </si>
  <si>
    <t>KIMURA</t>
  </si>
  <si>
    <t>Natsuka</t>
  </si>
  <si>
    <t>NAOI</t>
  </si>
  <si>
    <t>Haruna</t>
  </si>
  <si>
    <t>MATSUURA</t>
  </si>
  <si>
    <t>Asuna</t>
  </si>
  <si>
    <t>FUWA</t>
  </si>
  <si>
    <t>TAZOE</t>
  </si>
  <si>
    <t>Riho</t>
  </si>
  <si>
    <t>OMORI</t>
  </si>
  <si>
    <t>Kotoko</t>
  </si>
  <si>
    <t>KAYA</t>
  </si>
  <si>
    <t>DEGUCHI</t>
  </si>
  <si>
    <t>Mizuho</t>
  </si>
  <si>
    <t>Manami</t>
  </si>
  <si>
    <t>MAEMURA</t>
  </si>
  <si>
    <t xml:space="preserve">Ayane </t>
  </si>
  <si>
    <t>MATSUSAKA</t>
  </si>
  <si>
    <t>Nagiho</t>
  </si>
  <si>
    <t>Nana</t>
  </si>
  <si>
    <t>NAKANISHI</t>
  </si>
  <si>
    <t>YAMANO</t>
  </si>
  <si>
    <t>SAEKI</t>
  </si>
  <si>
    <t>Honoka</t>
  </si>
  <si>
    <t>IWASE</t>
  </si>
  <si>
    <t>Eimi</t>
  </si>
  <si>
    <t>Aoba</t>
  </si>
  <si>
    <t>HARADA</t>
  </si>
  <si>
    <t>KAGEYAMA</t>
  </si>
  <si>
    <t>An</t>
  </si>
  <si>
    <t>HONDO</t>
  </si>
  <si>
    <t>Ayumu</t>
  </si>
  <si>
    <t>CHIKAZAWA</t>
  </si>
  <si>
    <t>USUDA</t>
  </si>
  <si>
    <t>KODAMA</t>
  </si>
  <si>
    <t>Rie</t>
  </si>
  <si>
    <t>Riko</t>
  </si>
  <si>
    <t>NAKAZAKI</t>
  </si>
  <si>
    <t>Hitoe</t>
  </si>
  <si>
    <t>Arisa</t>
  </si>
  <si>
    <t>OTA</t>
  </si>
  <si>
    <t>Mika</t>
  </si>
  <si>
    <t>OHASHI</t>
  </si>
  <si>
    <t>KITAGAWA</t>
  </si>
  <si>
    <t>Nodoka</t>
  </si>
  <si>
    <t>KUBOTA</t>
  </si>
  <si>
    <t>Sena</t>
  </si>
  <si>
    <t>Mia</t>
  </si>
  <si>
    <t>MORITA</t>
  </si>
  <si>
    <t>Yumi</t>
  </si>
  <si>
    <t>ISHIHARA</t>
  </si>
  <si>
    <t>Rika</t>
  </si>
  <si>
    <t>KASAI</t>
  </si>
  <si>
    <t>Yuzuka</t>
  </si>
  <si>
    <t>KOMAKI</t>
  </si>
  <si>
    <t>Mion</t>
  </si>
  <si>
    <t>Ran</t>
  </si>
  <si>
    <t>MATSUSHIMA</t>
  </si>
  <si>
    <t>Maya</t>
  </si>
  <si>
    <t>MISUGI</t>
  </si>
  <si>
    <t>IZUMI</t>
  </si>
  <si>
    <t>Konomi</t>
  </si>
  <si>
    <t>OKUBAYASHI</t>
  </si>
  <si>
    <t>Rin</t>
  </si>
  <si>
    <t>Chihiro</t>
  </si>
  <si>
    <t>HASHIGUCHI</t>
  </si>
  <si>
    <t>Yoshimi</t>
  </si>
  <si>
    <t>Kokoro</t>
  </si>
  <si>
    <t>Rio</t>
  </si>
  <si>
    <t>Ami</t>
  </si>
  <si>
    <t>OSHIRO</t>
  </si>
  <si>
    <t>Kano</t>
  </si>
  <si>
    <t>SASAGE</t>
  </si>
  <si>
    <t>Junna</t>
  </si>
  <si>
    <t>TAKAMA</t>
  </si>
  <si>
    <t>Shiomi</t>
  </si>
  <si>
    <t>AOKI</t>
  </si>
  <si>
    <t>Eri</t>
  </si>
  <si>
    <t>SHIMOYAMADA</t>
  </si>
  <si>
    <t>Miho</t>
  </si>
  <si>
    <t>SEGAWA</t>
  </si>
  <si>
    <t>NAGANAWA</t>
  </si>
  <si>
    <t>Moe</t>
  </si>
  <si>
    <t>HAYAKAWA</t>
  </si>
  <si>
    <t>MIYAZAKI</t>
  </si>
  <si>
    <t>Sanae</t>
  </si>
  <si>
    <t>MAGOME</t>
  </si>
  <si>
    <t>Chiho</t>
  </si>
  <si>
    <t>Jurina</t>
  </si>
  <si>
    <t>Natsuki</t>
  </si>
  <si>
    <t>Nonoka</t>
  </si>
  <si>
    <t>MATSUMOTO</t>
  </si>
  <si>
    <t>Yuuna</t>
  </si>
  <si>
    <t>TAKABATAKE</t>
  </si>
  <si>
    <t>Hijiri</t>
  </si>
  <si>
    <t>OSAMI</t>
  </si>
  <si>
    <t>Kyouka</t>
  </si>
  <si>
    <t>IWAMURO</t>
  </si>
  <si>
    <t>NAKAZATO</t>
  </si>
  <si>
    <t>Aya</t>
  </si>
  <si>
    <t>MIMURA</t>
  </si>
  <si>
    <t>KATOU</t>
  </si>
  <si>
    <t>Ayumi</t>
  </si>
  <si>
    <t>Wakaba</t>
  </si>
  <si>
    <t>FUJITA</t>
  </si>
  <si>
    <t>Yuu</t>
  </si>
  <si>
    <t>ARATAKE</t>
  </si>
  <si>
    <t>Yuika</t>
  </si>
  <si>
    <t>OOSHIRO</t>
  </si>
  <si>
    <t>ARUGA</t>
  </si>
  <si>
    <t>Yukie</t>
  </si>
  <si>
    <t>Yumeka</t>
  </si>
  <si>
    <t>Yuuka</t>
  </si>
  <si>
    <t>KONDOU</t>
  </si>
  <si>
    <t>TSUKADA</t>
  </si>
  <si>
    <t>Ayako</t>
  </si>
  <si>
    <t>NAKAYASU</t>
  </si>
  <si>
    <t>YAMASHITA</t>
  </si>
  <si>
    <t>KURIMOTO</t>
  </si>
  <si>
    <t>Mami</t>
  </si>
  <si>
    <t>NORITAKE</t>
  </si>
  <si>
    <t>OZEKI</t>
  </si>
  <si>
    <t>Nayu</t>
  </si>
  <si>
    <t>TAKAHASHI</t>
  </si>
  <si>
    <t>Rino</t>
  </si>
  <si>
    <t>IZUKA</t>
  </si>
  <si>
    <t>Hisane</t>
  </si>
  <si>
    <t>Momoko</t>
  </si>
  <si>
    <t>KUME</t>
  </si>
  <si>
    <t>Hinako</t>
  </si>
  <si>
    <t>IUCHI</t>
  </si>
  <si>
    <t>OSAKA</t>
  </si>
  <si>
    <t>UENO</t>
  </si>
  <si>
    <t>Moeka</t>
  </si>
  <si>
    <t>CHAI</t>
  </si>
  <si>
    <t>YASUE</t>
  </si>
  <si>
    <t>Kino</t>
  </si>
  <si>
    <t>HO</t>
  </si>
  <si>
    <t>NAKANE</t>
  </si>
  <si>
    <t>MIZUSHIMA</t>
  </si>
  <si>
    <t>Megumi</t>
  </si>
  <si>
    <t>KONO</t>
  </si>
  <si>
    <t>Sachika</t>
  </si>
  <si>
    <t>WATASE</t>
  </si>
  <si>
    <t>FUJITANI</t>
  </si>
  <si>
    <t>MIZUSHINA</t>
  </si>
  <si>
    <t>Miyuu</t>
  </si>
  <si>
    <t>ARIMOTO</t>
  </si>
  <si>
    <t>Kotori</t>
  </si>
  <si>
    <t>Narumi</t>
  </si>
  <si>
    <t>KANDA</t>
  </si>
  <si>
    <t>Chisumi</t>
  </si>
  <si>
    <t>Kaori</t>
  </si>
  <si>
    <t>MIURA</t>
  </si>
  <si>
    <t>MUTO</t>
  </si>
  <si>
    <t>HAMAGUCHI</t>
  </si>
  <si>
    <t>Kyoka</t>
  </si>
  <si>
    <t>Hazuki</t>
  </si>
  <si>
    <t>SHIBUTANI</t>
  </si>
  <si>
    <t>Miki</t>
  </si>
  <si>
    <t>TOKUNAGA</t>
  </si>
  <si>
    <t>Natsumi</t>
  </si>
  <si>
    <t>Yumeno</t>
  </si>
  <si>
    <t>HASEGAWA</t>
  </si>
  <si>
    <t>Shiho</t>
  </si>
  <si>
    <t>SUGA</t>
  </si>
  <si>
    <t>KAMATA</t>
  </si>
  <si>
    <t>Tomomi</t>
  </si>
  <si>
    <t>NAKAGAWA</t>
  </si>
  <si>
    <t>Haruko</t>
  </si>
  <si>
    <t>YOSHIDA</t>
  </si>
  <si>
    <t>Yumika</t>
  </si>
  <si>
    <t xml:space="preserve">KASEDA </t>
  </si>
  <si>
    <t>KOMORI</t>
  </si>
  <si>
    <t>INOUE</t>
  </si>
  <si>
    <t>KAMOSHIDA</t>
  </si>
  <si>
    <t>Mirai</t>
  </si>
  <si>
    <t>TAKAMATSU</t>
  </si>
  <si>
    <t>Tomomimusembi</t>
  </si>
  <si>
    <t>MATSUZAWA</t>
  </si>
  <si>
    <t>FUJIGAMORI</t>
  </si>
  <si>
    <t>Miharu</t>
  </si>
  <si>
    <t>MIZUSAWA</t>
  </si>
  <si>
    <t>WADA</t>
  </si>
  <si>
    <t>Risa</t>
  </si>
  <si>
    <t xml:space="preserve">ARAI </t>
  </si>
  <si>
    <t>FUKUSHIMA</t>
  </si>
  <si>
    <t>Hikari</t>
  </si>
  <si>
    <t>NORO</t>
  </si>
  <si>
    <t>Kurea</t>
  </si>
  <si>
    <t>MASUBUCHI</t>
  </si>
  <si>
    <t>KATAOKA</t>
  </si>
  <si>
    <t>Tomoko</t>
  </si>
  <si>
    <t>KATAYAMA</t>
  </si>
  <si>
    <t>Kazuna</t>
  </si>
  <si>
    <t>OKADO</t>
  </si>
  <si>
    <t>SAWAKI</t>
  </si>
  <si>
    <t>SAKURAI</t>
  </si>
  <si>
    <t>TAJIMA</t>
  </si>
  <si>
    <t>Uta</t>
  </si>
  <si>
    <t>TAMAKI</t>
  </si>
  <si>
    <t>Mahiru</t>
  </si>
  <si>
    <t>FURUHATA</t>
  </si>
  <si>
    <t>MUNENE</t>
  </si>
  <si>
    <t>Mary</t>
  </si>
  <si>
    <t>Komari</t>
  </si>
  <si>
    <t>Tokoha</t>
  </si>
  <si>
    <t>OGATA</t>
  </si>
  <si>
    <t>Azu</t>
  </si>
  <si>
    <t>SAGA</t>
  </si>
  <si>
    <t>Fubuki</t>
  </si>
  <si>
    <t>Ayami</t>
  </si>
  <si>
    <t>HIROSE</t>
  </si>
  <si>
    <t>USHIMARU</t>
  </si>
  <si>
    <t>OE</t>
  </si>
  <si>
    <t>Yurika</t>
  </si>
  <si>
    <t>YAMASHIRO</t>
  </si>
  <si>
    <t>Yume</t>
  </si>
  <si>
    <t>NAKAMIZO</t>
  </si>
  <si>
    <t>OKUDA</t>
  </si>
  <si>
    <t>KANAYA</t>
  </si>
  <si>
    <t>Asumi</t>
  </si>
  <si>
    <t>Gabriela</t>
  </si>
  <si>
    <t>MIZUKAMI</t>
  </si>
  <si>
    <t>Yuko</t>
  </si>
  <si>
    <t>KOMODA</t>
  </si>
  <si>
    <t>Rikako</t>
  </si>
  <si>
    <t>Misato</t>
  </si>
  <si>
    <t>SHIBATA</t>
  </si>
  <si>
    <t>Aoi</t>
  </si>
  <si>
    <t>Mew</t>
  </si>
  <si>
    <t>Kanade</t>
  </si>
  <si>
    <t>FUKUI</t>
  </si>
  <si>
    <t>Kazuno</t>
  </si>
  <si>
    <t>NAKAI</t>
  </si>
  <si>
    <t>Yumiko</t>
  </si>
  <si>
    <t>NAKAUCHI</t>
  </si>
  <si>
    <t>NINAGAWA</t>
  </si>
  <si>
    <t>MATSUO</t>
  </si>
  <si>
    <t>MIYASHITA</t>
  </si>
  <si>
    <t>June</t>
  </si>
  <si>
    <t>ASAKAWA</t>
  </si>
  <si>
    <t>Yoshino</t>
  </si>
  <si>
    <t>Kotomi</t>
  </si>
  <si>
    <t>TAKEBAYASHI</t>
  </si>
  <si>
    <t>TANAHASHI</t>
  </si>
  <si>
    <t>Sayaka</t>
  </si>
  <si>
    <t>OKUGAWA</t>
  </si>
  <si>
    <t>KATSU</t>
  </si>
  <si>
    <t>KUROYANAGI</t>
  </si>
  <si>
    <t>Yukina</t>
  </si>
  <si>
    <t>KOYAMA</t>
  </si>
  <si>
    <t>Nanoha</t>
  </si>
  <si>
    <t>NAGAHAKA</t>
  </si>
  <si>
    <t>MORIYAMA</t>
  </si>
  <si>
    <t>Ayuka</t>
  </si>
  <si>
    <t>Kyona</t>
  </si>
  <si>
    <t xml:space="preserve">WATANABE </t>
  </si>
  <si>
    <t>MATSUSHITA</t>
  </si>
  <si>
    <t xml:space="preserve">YAMASHITA </t>
  </si>
  <si>
    <t>USAMI</t>
  </si>
  <si>
    <t>IKAI</t>
  </si>
  <si>
    <t>Mariko</t>
  </si>
  <si>
    <t>ISHII</t>
  </si>
  <si>
    <t>Saeka</t>
  </si>
  <si>
    <t>Rise</t>
  </si>
  <si>
    <t>NAKAZAKO</t>
  </si>
  <si>
    <t>Shihoko</t>
  </si>
  <si>
    <t>SATOMI</t>
  </si>
  <si>
    <t>HIJIKATA</t>
  </si>
  <si>
    <t>Ayae</t>
  </si>
  <si>
    <t>OBA</t>
  </si>
  <si>
    <t>Saya</t>
  </si>
  <si>
    <t>YAGITA</t>
  </si>
  <si>
    <t>SUDA</t>
  </si>
  <si>
    <t>TAMURA</t>
  </si>
  <si>
    <t>KARASAWA</t>
  </si>
  <si>
    <t>Hanami</t>
  </si>
  <si>
    <t>Kaya</t>
  </si>
  <si>
    <t>HOKAZONO</t>
  </si>
  <si>
    <t>YAMAGATA</t>
  </si>
  <si>
    <t>Tomoka</t>
  </si>
  <si>
    <t>HIRAI</t>
  </si>
  <si>
    <t>NAKAJIMA</t>
  </si>
  <si>
    <t>Yurina</t>
  </si>
  <si>
    <t>NAGANO</t>
  </si>
  <si>
    <t>Chizuru</t>
  </si>
  <si>
    <t xml:space="preserve">KAJI </t>
  </si>
  <si>
    <t>RARAFUI</t>
  </si>
  <si>
    <t>Amina</t>
  </si>
  <si>
    <t xml:space="preserve">KATO </t>
  </si>
  <si>
    <t>KIMATA</t>
  </si>
  <si>
    <t>Runa</t>
  </si>
  <si>
    <t>HAMAJI</t>
  </si>
  <si>
    <t>Kirara</t>
  </si>
  <si>
    <t>OGIDANI</t>
  </si>
  <si>
    <t>Yua</t>
  </si>
  <si>
    <t>Ayano</t>
  </si>
  <si>
    <t>SHMADA</t>
  </si>
  <si>
    <t>Kana</t>
  </si>
  <si>
    <t>AMOU</t>
  </si>
  <si>
    <t>Sakurako</t>
  </si>
  <si>
    <t>Nagisa</t>
  </si>
  <si>
    <t>HAGIWARA</t>
  </si>
  <si>
    <t>Sachiko</t>
  </si>
  <si>
    <t>MORINO</t>
  </si>
  <si>
    <t>ARIGAYA</t>
  </si>
  <si>
    <t>Yuho</t>
  </si>
  <si>
    <t>Sumire</t>
  </si>
  <si>
    <t>FUJIO</t>
  </si>
  <si>
    <t>Madoka</t>
  </si>
  <si>
    <t>NAKAHARA</t>
  </si>
  <si>
    <t>KANAI</t>
  </si>
  <si>
    <t>NIWA</t>
  </si>
  <si>
    <t>EJIRI</t>
  </si>
  <si>
    <t>IWAMOTO</t>
  </si>
  <si>
    <t>TODO</t>
  </si>
  <si>
    <t>Anzu</t>
  </si>
  <si>
    <t>AOYAMA</t>
  </si>
  <si>
    <t>Mizuha</t>
  </si>
  <si>
    <t>Suzune</t>
  </si>
  <si>
    <t>OHARA</t>
  </si>
  <si>
    <t>Suzuka</t>
  </si>
  <si>
    <t>HORI</t>
  </si>
  <si>
    <t>FUKUDA</t>
  </si>
  <si>
    <t>Kurena</t>
  </si>
  <si>
    <t>NISHIKAWA</t>
  </si>
  <si>
    <t>Hiyori</t>
  </si>
  <si>
    <t>OKI</t>
  </si>
  <si>
    <t>Ayuri</t>
  </si>
  <si>
    <t>SAWADA</t>
  </si>
  <si>
    <t>YAZAKI</t>
  </si>
  <si>
    <t>Emina</t>
  </si>
  <si>
    <t>OHBA</t>
  </si>
  <si>
    <t>Nanoko</t>
  </si>
  <si>
    <t>990109</t>
  </si>
  <si>
    <t>001223</t>
  </si>
  <si>
    <t>980706</t>
  </si>
  <si>
    <t>990201</t>
  </si>
  <si>
    <t>980805</t>
  </si>
  <si>
    <t>981207</t>
  </si>
  <si>
    <t>980411</t>
  </si>
  <si>
    <t>980609</t>
  </si>
  <si>
    <t>990215</t>
  </si>
  <si>
    <t>980925</t>
  </si>
  <si>
    <t>980415</t>
  </si>
  <si>
    <t>990123</t>
  </si>
  <si>
    <t>990831</t>
  </si>
  <si>
    <t>990828</t>
  </si>
  <si>
    <t>990516</t>
  </si>
  <si>
    <t>990811</t>
  </si>
  <si>
    <t>000112</t>
  </si>
  <si>
    <t>990804</t>
  </si>
  <si>
    <t>991018</t>
  </si>
  <si>
    <t>001212</t>
  </si>
  <si>
    <t>010216</t>
  </si>
  <si>
    <t>000515</t>
  </si>
  <si>
    <t>010220</t>
  </si>
  <si>
    <t>000903</t>
  </si>
  <si>
    <t>001128</t>
  </si>
  <si>
    <t>001222</t>
  </si>
  <si>
    <t>010117</t>
  </si>
  <si>
    <t>010604</t>
  </si>
  <si>
    <t>011001</t>
  </si>
  <si>
    <t>010822</t>
  </si>
  <si>
    <t>020107</t>
  </si>
  <si>
    <t>991227</t>
  </si>
  <si>
    <t>000206</t>
  </si>
  <si>
    <t>980903</t>
  </si>
  <si>
    <t>981003</t>
  </si>
  <si>
    <t>990110</t>
  </si>
  <si>
    <t>990417</t>
  </si>
  <si>
    <t>990518</t>
  </si>
  <si>
    <t>990903</t>
  </si>
  <si>
    <t>990928</t>
  </si>
  <si>
    <t>991124</t>
  </si>
  <si>
    <t>000716</t>
  </si>
  <si>
    <t>001010</t>
  </si>
  <si>
    <t>010306</t>
  </si>
  <si>
    <t>011203</t>
  </si>
  <si>
    <t>010111</t>
  </si>
  <si>
    <t>990519</t>
  </si>
  <si>
    <t>990301</t>
  </si>
  <si>
    <t>001014</t>
  </si>
  <si>
    <t>980803</t>
  </si>
  <si>
    <t>980821</t>
  </si>
  <si>
    <t>980402</t>
  </si>
  <si>
    <t>980823</t>
  </si>
  <si>
    <t>990209</t>
  </si>
  <si>
    <t>001207</t>
  </si>
  <si>
    <t>000522</t>
  </si>
  <si>
    <t>001105</t>
  </si>
  <si>
    <t>010205</t>
  </si>
  <si>
    <t>950727</t>
  </si>
  <si>
    <t>990515</t>
  </si>
  <si>
    <t>000204</t>
  </si>
  <si>
    <t>000527</t>
  </si>
  <si>
    <t>010226</t>
  </si>
  <si>
    <t>990226</t>
  </si>
  <si>
    <t>000802</t>
  </si>
  <si>
    <t>991230</t>
  </si>
  <si>
    <t>990911</t>
  </si>
  <si>
    <t>000425</t>
  </si>
  <si>
    <t>980517</t>
  </si>
  <si>
    <t>980704</t>
  </si>
  <si>
    <t>980502</t>
  </si>
  <si>
    <t>981122</t>
  </si>
  <si>
    <t>980820</t>
  </si>
  <si>
    <t>990522</t>
  </si>
  <si>
    <t>000426</t>
  </si>
  <si>
    <t>010202</t>
  </si>
  <si>
    <t>011113</t>
  </si>
  <si>
    <t>010615</t>
  </si>
  <si>
    <t>011115</t>
  </si>
  <si>
    <t>981127</t>
  </si>
  <si>
    <t>000322</t>
  </si>
  <si>
    <t>991106</t>
  </si>
  <si>
    <t>000405</t>
  </si>
  <si>
    <t>000423</t>
  </si>
  <si>
    <t>960613</t>
  </si>
  <si>
    <t>000713</t>
  </si>
  <si>
    <t>010104</t>
  </si>
  <si>
    <t>001012</t>
  </si>
  <si>
    <t>001112</t>
  </si>
  <si>
    <t>000820</t>
  </si>
  <si>
    <t>010221</t>
  </si>
  <si>
    <t>010910</t>
  </si>
  <si>
    <t>020219</t>
  </si>
  <si>
    <t>000809</t>
  </si>
  <si>
    <t>020120</t>
  </si>
  <si>
    <t>001228</t>
  </si>
  <si>
    <t>000303</t>
  </si>
  <si>
    <t>990606</t>
  </si>
  <si>
    <t>980816</t>
  </si>
  <si>
    <t>971014</t>
  </si>
  <si>
    <t>000116</t>
  </si>
  <si>
    <t>000401</t>
  </si>
  <si>
    <t>000722</t>
  </si>
  <si>
    <t>011020</t>
  </si>
  <si>
    <t>020327</t>
  </si>
  <si>
    <t>960830</t>
  </si>
  <si>
    <t>960723</t>
  </si>
  <si>
    <t>000302</t>
  </si>
  <si>
    <t>010321</t>
  </si>
  <si>
    <t>970710</t>
  </si>
  <si>
    <t>980810</t>
  </si>
  <si>
    <t>990418</t>
  </si>
  <si>
    <t>000920</t>
  </si>
  <si>
    <t>980331</t>
  </si>
  <si>
    <t>010309</t>
  </si>
  <si>
    <t>980901</t>
  </si>
  <si>
    <t>000520</t>
  </si>
  <si>
    <t>000605</t>
  </si>
  <si>
    <t>990618</t>
  </si>
  <si>
    <t>980614</t>
  </si>
  <si>
    <t>990317</t>
  </si>
  <si>
    <t>980924</t>
  </si>
  <si>
    <t>991003</t>
  </si>
  <si>
    <t>980625</t>
  </si>
  <si>
    <t>980318</t>
  </si>
  <si>
    <t>961107</t>
  </si>
  <si>
    <t>990302</t>
  </si>
  <si>
    <t>990107</t>
  </si>
  <si>
    <t>000223</t>
  </si>
  <si>
    <t>000324</t>
  </si>
  <si>
    <t>000417</t>
  </si>
  <si>
    <t>011009</t>
  </si>
  <si>
    <t>010823</t>
  </si>
  <si>
    <t>000113</t>
  </si>
  <si>
    <t>990412</t>
  </si>
  <si>
    <t>000331</t>
  </si>
  <si>
    <t>000726</t>
  </si>
  <si>
    <t>000618</t>
  </si>
  <si>
    <t>000905</t>
  </si>
  <si>
    <t>011226</t>
  </si>
  <si>
    <t>020102</t>
  </si>
  <si>
    <t>981201</t>
  </si>
  <si>
    <t>001216</t>
  </si>
  <si>
    <t>981011</t>
  </si>
  <si>
    <t>990930</t>
  </si>
  <si>
    <t>991225</t>
  </si>
  <si>
    <t>010201</t>
  </si>
  <si>
    <t>010705</t>
  </si>
  <si>
    <t>020116</t>
  </si>
  <si>
    <t>980420</t>
  </si>
  <si>
    <t>980519</t>
  </si>
  <si>
    <t>980621</t>
  </si>
  <si>
    <t>990214</t>
  </si>
  <si>
    <t>990724</t>
  </si>
  <si>
    <t>981118</t>
  </si>
  <si>
    <t>010305</t>
  </si>
  <si>
    <t>001020</t>
  </si>
  <si>
    <t>000801</t>
  </si>
  <si>
    <t>001126</t>
  </si>
  <si>
    <t>010911</t>
  </si>
  <si>
    <t>020221</t>
  </si>
  <si>
    <t>020328</t>
  </si>
  <si>
    <t>000130</t>
  </si>
  <si>
    <t>990314</t>
  </si>
  <si>
    <t>980616</t>
  </si>
  <si>
    <t>010527</t>
  </si>
  <si>
    <t>011219</t>
  </si>
  <si>
    <t>010223</t>
  </si>
  <si>
    <t>961021</t>
  </si>
  <si>
    <t>010313</t>
  </si>
  <si>
    <t>990319</t>
  </si>
  <si>
    <t>980818</t>
  </si>
  <si>
    <t>990413</t>
  </si>
  <si>
    <t>991201</t>
  </si>
  <si>
    <t>000829</t>
  </si>
  <si>
    <t>020209</t>
  </si>
  <si>
    <t>020119</t>
  </si>
  <si>
    <t>020302</t>
  </si>
  <si>
    <t>010801</t>
  </si>
  <si>
    <t>020121</t>
  </si>
  <si>
    <t>011031</t>
  </si>
  <si>
    <t>980212</t>
  </si>
  <si>
    <t>１</t>
  </si>
  <si>
    <t>KEN</t>
  </si>
  <si>
    <t>BRA</t>
  </si>
  <si>
    <t>金城学院大学</t>
  </si>
  <si>
    <t>椙山女学園大学</t>
  </si>
  <si>
    <t>中京学院大学</t>
  </si>
  <si>
    <t>名古屋女子大学</t>
  </si>
  <si>
    <t>鈴鹿大学</t>
  </si>
  <si>
    <t>修文大学</t>
  </si>
  <si>
    <t>492173</t>
  </si>
  <si>
    <t>492166</t>
  </si>
  <si>
    <t>492167</t>
  </si>
  <si>
    <t>490044</t>
  </si>
  <si>
    <t>492168</t>
  </si>
  <si>
    <t>492301</t>
  </si>
  <si>
    <t>492165</t>
  </si>
  <si>
    <t>492161</t>
  </si>
  <si>
    <t>496023</t>
  </si>
  <si>
    <t>492164</t>
  </si>
  <si>
    <t>490041</t>
  </si>
  <si>
    <t>498006</t>
  </si>
  <si>
    <t>492170</t>
  </si>
  <si>
    <t>492185</t>
    <phoneticPr fontId="3"/>
  </si>
  <si>
    <t>496025</t>
  </si>
  <si>
    <t>490046</t>
  </si>
  <si>
    <t>492048</t>
  </si>
  <si>
    <t>492174</t>
  </si>
  <si>
    <t>492171</t>
  </si>
  <si>
    <t>491037</t>
  </si>
  <si>
    <t>492389</t>
  </si>
  <si>
    <t>492428</t>
  </si>
  <si>
    <t>492175</t>
  </si>
  <si>
    <t>492182</t>
  </si>
  <si>
    <t>490079</t>
  </si>
  <si>
    <t>491013</t>
  </si>
  <si>
    <t>492180</t>
  </si>
  <si>
    <t>492179</t>
  </si>
  <si>
    <t>490043</t>
  </si>
  <si>
    <t>492184</t>
  </si>
  <si>
    <t>496026</t>
  </si>
  <si>
    <t>492491</t>
  </si>
  <si>
    <t>492398</t>
  </si>
  <si>
    <t>492181</t>
    <phoneticPr fontId="3"/>
  </si>
  <si>
    <t>492177</t>
  </si>
  <si>
    <t>490045</t>
  </si>
  <si>
    <t>492399</t>
  </si>
  <si>
    <t>491008</t>
  </si>
  <si>
    <t>492412</t>
  </si>
  <si>
    <t>499501</t>
  </si>
  <si>
    <t>492320</t>
  </si>
  <si>
    <t>492999</t>
    <phoneticPr fontId="3"/>
  </si>
  <si>
    <t>490042</t>
  </si>
  <si>
    <t>496024</t>
  </si>
  <si>
    <t>中京大</t>
  </si>
  <si>
    <t>愛知医科大</t>
  </si>
  <si>
    <t>愛知学院大</t>
  </si>
  <si>
    <t>愛知教育大</t>
  </si>
  <si>
    <t>愛知工業大</t>
  </si>
  <si>
    <t>愛知淑徳大</t>
  </si>
  <si>
    <t>愛知大</t>
  </si>
  <si>
    <t>岐阜協立大</t>
    <rPh sb="0" eb="2">
      <t>ギフ</t>
    </rPh>
    <rPh sb="2" eb="4">
      <t>キョウリツ</t>
    </rPh>
    <rPh sb="4" eb="5">
      <t>ダイ</t>
    </rPh>
    <phoneticPr fontId="1"/>
  </si>
  <si>
    <t>岐阜工業高専</t>
  </si>
  <si>
    <t>岐阜聖徳学園大</t>
  </si>
  <si>
    <t>岐阜大</t>
  </si>
  <si>
    <t>近畿大工業高専</t>
  </si>
  <si>
    <t>金城学院大</t>
  </si>
  <si>
    <t>皇學館大</t>
  </si>
  <si>
    <t>豊田工業高専</t>
  </si>
  <si>
    <t>三重大</t>
  </si>
  <si>
    <t>至学館大</t>
  </si>
  <si>
    <t>椙山女学園大</t>
  </si>
  <si>
    <t>静岡県立大</t>
  </si>
  <si>
    <t>中京学院大</t>
  </si>
  <si>
    <t>中部学院大</t>
  </si>
  <si>
    <t>中部大</t>
  </si>
  <si>
    <t>南山大</t>
  </si>
  <si>
    <t>日本福祉大</t>
  </si>
  <si>
    <t>浜松医科大</t>
  </si>
  <si>
    <t>名古屋市立大</t>
  </si>
  <si>
    <t>名古屋女子大</t>
  </si>
  <si>
    <t>名古屋商科大</t>
  </si>
  <si>
    <t>名古屋大</t>
  </si>
  <si>
    <t>名城大</t>
  </si>
  <si>
    <t>鈴鹿工業高専</t>
  </si>
  <si>
    <t>愛知東邦大</t>
  </si>
  <si>
    <t>静岡産業大</t>
  </si>
  <si>
    <t>名古屋学院大</t>
  </si>
  <si>
    <t>名古屋工業大</t>
  </si>
  <si>
    <t>鈴鹿大</t>
  </si>
  <si>
    <t>岐阜薬科大</t>
  </si>
  <si>
    <t>東海学園大</t>
  </si>
  <si>
    <t>東海大東海</t>
  </si>
  <si>
    <t>常葉大</t>
  </si>
  <si>
    <t>修文大</t>
  </si>
  <si>
    <t>静岡大</t>
  </si>
  <si>
    <t>沼津工業高専</t>
  </si>
  <si>
    <t>整理番号</t>
    <rPh sb="0" eb="2">
      <t>セイリ</t>
    </rPh>
    <rPh sb="2" eb="4">
      <t>バンゴウ</t>
    </rPh>
    <phoneticPr fontId="3"/>
  </si>
  <si>
    <t>氏名</t>
  </si>
  <si>
    <t>記録</t>
  </si>
  <si>
    <t>参考記録</t>
  </si>
  <si>
    <t>リレー（選択）</t>
    <rPh sb="4" eb="6">
      <t>センタク</t>
    </rPh>
    <phoneticPr fontId="3"/>
  </si>
  <si>
    <t>学年/登録陸協/国籍</t>
    <rPh sb="0" eb="2">
      <t>ガクネン</t>
    </rPh>
    <rPh sb="3" eb="5">
      <t>トウロク</t>
    </rPh>
    <rPh sb="5" eb="6">
      <t>リク</t>
    </rPh>
    <rPh sb="6" eb="7">
      <t>キョウ</t>
    </rPh>
    <rPh sb="8" eb="10">
      <t>コクセキ</t>
    </rPh>
    <phoneticPr fontId="3"/>
  </si>
  <si>
    <t>種目④</t>
    <rPh sb="0" eb="2">
      <t>シュモク</t>
    </rPh>
    <phoneticPr fontId="3"/>
  </si>
  <si>
    <t>③</t>
    <phoneticPr fontId="3"/>
  </si>
  <si>
    <t>④</t>
    <phoneticPr fontId="3"/>
  </si>
  <si>
    <t>英字名(生年)</t>
    <rPh sb="0" eb="2">
      <t>エイジ</t>
    </rPh>
    <rPh sb="2" eb="3">
      <t>メイ</t>
    </rPh>
    <rPh sb="4" eb="6">
      <t>セイネン</t>
    </rPh>
    <phoneticPr fontId="3"/>
  </si>
  <si>
    <t>左から登録番号→出場種目→記録欄→リレーの順に入力・選択し、入力を終えたら下の欄へ</t>
    <phoneticPr fontId="3"/>
  </si>
  <si>
    <t>※備考欄</t>
    <rPh sb="1" eb="3">
      <t>ビコウ</t>
    </rPh>
    <rPh sb="3" eb="4">
      <t>ラン</t>
    </rPh>
    <phoneticPr fontId="3"/>
  </si>
  <si>
    <t>団体所在地</t>
    <rPh sb="0" eb="2">
      <t>ダンタイ</t>
    </rPh>
    <rPh sb="2" eb="4">
      <t>ショザイ</t>
    </rPh>
    <rPh sb="4" eb="5">
      <t>チ</t>
    </rPh>
    <phoneticPr fontId="3"/>
  </si>
  <si>
    <t>団体内部コード</t>
    <rPh sb="0" eb="2">
      <t>ダンタイ</t>
    </rPh>
    <rPh sb="2" eb="4">
      <t>ナイブ</t>
    </rPh>
    <phoneticPr fontId="3"/>
  </si>
  <si>
    <t>a</t>
  </si>
  <si>
    <t>所属団体</t>
    <rPh sb="0" eb="2">
      <t>ショゾク</t>
    </rPh>
    <rPh sb="2" eb="4">
      <t>ダンタイ</t>
    </rPh>
    <phoneticPr fontId="3"/>
  </si>
  <si>
    <t>男子</t>
    <rPh sb="0" eb="2">
      <t>ダンシ</t>
    </rPh>
    <phoneticPr fontId="3"/>
  </si>
  <si>
    <t>〈男子〉</t>
    <rPh sb="1" eb="3">
      <t>ダンシ</t>
    </rPh>
    <phoneticPr fontId="3"/>
  </si>
  <si>
    <t>種目</t>
  </si>
  <si>
    <t>種目</t>
    <rPh sb="0" eb="2">
      <t>シュモク</t>
    </rPh>
    <phoneticPr fontId="3"/>
  </si>
  <si>
    <t>No</t>
    <phoneticPr fontId="3"/>
  </si>
  <si>
    <t>氏名</t>
    <rPh sb="0" eb="2">
      <t>シメイ</t>
    </rPh>
    <phoneticPr fontId="3"/>
  </si>
  <si>
    <t>ﾌﾘｶﾞﾅ</t>
    <phoneticPr fontId="3"/>
  </si>
  <si>
    <t>学年</t>
  </si>
  <si>
    <t>学年</t>
    <rPh sb="0" eb="2">
      <t>ガクネン</t>
    </rPh>
    <phoneticPr fontId="3"/>
  </si>
  <si>
    <t>登録陸協</t>
  </si>
  <si>
    <t>登録陸協</t>
    <rPh sb="0" eb="2">
      <t>トウロク</t>
    </rPh>
    <rPh sb="2" eb="3">
      <t>リク</t>
    </rPh>
    <rPh sb="3" eb="4">
      <t>キョウ</t>
    </rPh>
    <phoneticPr fontId="3"/>
  </si>
  <si>
    <t>4×100mR</t>
    <phoneticPr fontId="3"/>
  </si>
  <si>
    <t>4×400mR</t>
    <phoneticPr fontId="3"/>
  </si>
  <si>
    <t>〈女子〉</t>
    <rPh sb="1" eb="3">
      <t>ジョシ</t>
    </rPh>
    <phoneticPr fontId="3"/>
  </si>
  <si>
    <t>〈男子十種競技〉</t>
    <rPh sb="1" eb="3">
      <t>ダンシ</t>
    </rPh>
    <rPh sb="3" eb="5">
      <t>ジュッシュ</t>
    </rPh>
    <rPh sb="5" eb="7">
      <t>キョウギ</t>
    </rPh>
    <phoneticPr fontId="3"/>
  </si>
  <si>
    <t>種目</t>
    <rPh sb="0" eb="2">
      <t>シュモク</t>
    </rPh>
    <phoneticPr fontId="3"/>
  </si>
  <si>
    <t>得点</t>
  </si>
  <si>
    <t>得点</t>
    <rPh sb="0" eb="2">
      <t>トクテン</t>
    </rPh>
    <phoneticPr fontId="3"/>
  </si>
  <si>
    <t>個人種目</t>
    <rPh sb="0" eb="2">
      <t>コジン</t>
    </rPh>
    <rPh sb="2" eb="4">
      <t>シュモク</t>
    </rPh>
    <phoneticPr fontId="3"/>
  </si>
  <si>
    <t>エントリー人数</t>
    <rPh sb="5" eb="7">
      <t>ニンズウ</t>
    </rPh>
    <phoneticPr fontId="3"/>
  </si>
  <si>
    <t>エントリー総数</t>
    <rPh sb="5" eb="7">
      <t>ソウスウ</t>
    </rPh>
    <phoneticPr fontId="3"/>
  </si>
  <si>
    <t>INFO</t>
  </si>
  <si>
    <t>COUNT</t>
  </si>
  <si>
    <t>入力検知</t>
    <rPh sb="0" eb="2">
      <t>ニュウリョク</t>
    </rPh>
    <rPh sb="2" eb="4">
      <t>ケンチ</t>
    </rPh>
    <phoneticPr fontId="3"/>
  </si>
  <si>
    <t>記録入力</t>
    <rPh sb="0" eb="2">
      <t>キロク</t>
    </rPh>
    <rPh sb="2" eb="4">
      <t>ニュウリョク</t>
    </rPh>
    <phoneticPr fontId="3"/>
  </si>
  <si>
    <t>記録無効</t>
  </si>
  <si>
    <t>記録無効</t>
    <rPh sb="0" eb="2">
      <t>キロク</t>
    </rPh>
    <rPh sb="2" eb="4">
      <t>ムコウ</t>
    </rPh>
    <phoneticPr fontId="3"/>
  </si>
  <si>
    <t>60秒表記</t>
    <rPh sb="2" eb="3">
      <t>ビョウ</t>
    </rPh>
    <rPh sb="3" eb="5">
      <t>ヒョウキ</t>
    </rPh>
    <phoneticPr fontId="3"/>
  </si>
  <si>
    <t>Athle32</t>
  </si>
  <si>
    <t>Athle32</t>
    <phoneticPr fontId="3"/>
  </si>
  <si>
    <t>NANS21v</t>
  </si>
  <si>
    <t>NANS21v</t>
    <phoneticPr fontId="3"/>
  </si>
  <si>
    <t>DAY</t>
    <phoneticPr fontId="3"/>
  </si>
  <si>
    <t>SOFT</t>
    <phoneticPr fontId="3"/>
  </si>
  <si>
    <t>CODE</t>
    <phoneticPr fontId="3"/>
  </si>
  <si>
    <t>RELAY</t>
    <phoneticPr fontId="3"/>
  </si>
  <si>
    <t>MEN</t>
    <phoneticPr fontId="3"/>
  </si>
  <si>
    <t>WOMEN</t>
    <phoneticPr fontId="3"/>
  </si>
  <si>
    <t>記録は半角数字のみで入力してください。</t>
  </si>
  <si>
    <t>記録は半角数字のみで入力してください。</t>
    <rPh sb="0" eb="2">
      <t>キロク</t>
    </rPh>
    <rPh sb="3" eb="5">
      <t>ハンカク</t>
    </rPh>
    <rPh sb="5" eb="7">
      <t>スウジ</t>
    </rPh>
    <rPh sb="10" eb="12">
      <t>ニュウリョク</t>
    </rPh>
    <phoneticPr fontId="3"/>
  </si>
  <si>
    <t>60秒表記はできません。</t>
    <rPh sb="2" eb="3">
      <t>ビョウ</t>
    </rPh>
    <rPh sb="3" eb="5">
      <t>ヒョウキ</t>
    </rPh>
    <phoneticPr fontId="3"/>
  </si>
  <si>
    <t>七種競技</t>
    <rPh sb="0" eb="2">
      <t>ナナシュ</t>
    </rPh>
    <rPh sb="2" eb="4">
      <t>キョウギ</t>
    </rPh>
    <phoneticPr fontId="3"/>
  </si>
  <si>
    <t>b</t>
  </si>
  <si>
    <t>c</t>
  </si>
  <si>
    <t>換算</t>
    <rPh sb="0" eb="2">
      <t>カンサン</t>
    </rPh>
    <phoneticPr fontId="3"/>
  </si>
  <si>
    <t>出力検知</t>
    <rPh sb="0" eb="2">
      <t>シュツリョク</t>
    </rPh>
    <rPh sb="2" eb="4">
      <t>ケンチ</t>
    </rPh>
    <phoneticPr fontId="3"/>
  </si>
  <si>
    <t>不出場記録</t>
    <rPh sb="0" eb="1">
      <t>フ</t>
    </rPh>
    <rPh sb="1" eb="3">
      <t>シュツジョウ</t>
    </rPh>
    <rPh sb="3" eb="5">
      <t>キロク</t>
    </rPh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</si>
  <si>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</si>
  <si>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</si>
  <si>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エントリーシートで選手を登録してください。</t>
    <rPh sb="9" eb="11">
      <t>センシュ</t>
    </rPh>
    <rPh sb="12" eb="14">
      <t>トウロク</t>
    </rPh>
    <phoneticPr fontId="3"/>
  </si>
  <si>
    <t>女子</t>
    <rPh sb="0" eb="2">
      <t>ジョシ</t>
    </rPh>
    <phoneticPr fontId="3"/>
  </si>
  <si>
    <t>入力検知</t>
    <rPh sb="0" eb="2">
      <t>ニュウリョク</t>
    </rPh>
    <rPh sb="2" eb="4">
      <t>ケンチ</t>
    </rPh>
    <phoneticPr fontId="3"/>
  </si>
  <si>
    <t>出力検知</t>
    <rPh sb="0" eb="2">
      <t>シュツリョク</t>
    </rPh>
    <rPh sb="2" eb="4">
      <t>ケンチ</t>
    </rPh>
    <phoneticPr fontId="3"/>
  </si>
  <si>
    <t>記録入力</t>
    <rPh sb="0" eb="2">
      <t>キロク</t>
    </rPh>
    <rPh sb="2" eb="4">
      <t>ニュウリョク</t>
    </rPh>
    <phoneticPr fontId="3"/>
  </si>
  <si>
    <t>記録無効</t>
    <rPh sb="0" eb="2">
      <t>キロク</t>
    </rPh>
    <rPh sb="2" eb="4">
      <t>ムコウ</t>
    </rPh>
    <phoneticPr fontId="3"/>
  </si>
  <si>
    <t>60秒表記</t>
    <rPh sb="2" eb="3">
      <t>ビョウ</t>
    </rPh>
    <rPh sb="3" eb="5">
      <t>ヒョウキ</t>
    </rPh>
    <phoneticPr fontId="3"/>
  </si>
  <si>
    <t>記録日付</t>
    <rPh sb="0" eb="2">
      <t>キロク</t>
    </rPh>
    <rPh sb="2" eb="4">
      <t>ヒヅケ</t>
    </rPh>
    <phoneticPr fontId="3"/>
  </si>
  <si>
    <t>競技会情報</t>
    <rPh sb="0" eb="3">
      <t>キョウギカイ</t>
    </rPh>
    <rPh sb="3" eb="5">
      <t>ジョウホウ</t>
    </rPh>
    <phoneticPr fontId="3"/>
  </si>
  <si>
    <t>不出場記録</t>
    <rPh sb="0" eb="1">
      <t>フ</t>
    </rPh>
    <rPh sb="1" eb="3">
      <t>シュツジョウ</t>
    </rPh>
    <rPh sb="3" eb="5">
      <t>キロク</t>
    </rPh>
    <phoneticPr fontId="3"/>
  </si>
  <si>
    <t>チーム未成立</t>
    <rPh sb="3" eb="6">
      <t>ミセイリツ</t>
    </rPh>
    <phoneticPr fontId="3"/>
  </si>
  <si>
    <t>エラーチェック</t>
    <phoneticPr fontId="3"/>
  </si>
  <si>
    <t>エントリーシートで選手を登録してください。</t>
    <rPh sb="9" eb="11">
      <t>センシュ</t>
    </rPh>
    <rPh sb="12" eb="14">
      <t>トウロク</t>
    </rPh>
    <phoneticPr fontId="3"/>
  </si>
  <si>
    <t>エントリー人数が不正です。</t>
    <rPh sb="5" eb="7">
      <t>ニンズウ</t>
    </rPh>
    <rPh sb="8" eb="10">
      <t>フセイ</t>
    </rPh>
    <phoneticPr fontId="3"/>
  </si>
  <si>
    <t>記録は半角数字のみで入力してください。</t>
    <rPh sb="0" eb="2">
      <t>キロク</t>
    </rPh>
    <rPh sb="3" eb="5">
      <t>ハンカク</t>
    </rPh>
    <rPh sb="5" eb="7">
      <t>スウジ</t>
    </rPh>
    <rPh sb="10" eb="12">
      <t>ニュウリョク</t>
    </rPh>
    <phoneticPr fontId="3"/>
  </si>
  <si>
    <t>都道府県</t>
    <rPh sb="0" eb="4">
      <t>トドウフケン</t>
    </rPh>
    <phoneticPr fontId="3"/>
  </si>
  <si>
    <t>県ｺｰﾄﾞ</t>
    <rPh sb="0" eb="1">
      <t>ケン</t>
    </rPh>
    <phoneticPr fontId="3"/>
  </si>
  <si>
    <t>所属地ｺｰﾄﾞ</t>
    <rPh sb="0" eb="2">
      <t>ショゾク</t>
    </rPh>
    <rPh sb="2" eb="3">
      <t>チ</t>
    </rPh>
    <phoneticPr fontId="3"/>
  </si>
  <si>
    <t>山梨県</t>
    <phoneticPr fontId="3"/>
  </si>
  <si>
    <t>新潟県</t>
    <rPh sb="0" eb="3">
      <t>ニイガタケン</t>
    </rPh>
    <phoneticPr fontId="3"/>
  </si>
  <si>
    <t>富山県</t>
    <rPh sb="0" eb="3">
      <t>トヤマケン</t>
    </rPh>
    <phoneticPr fontId="3"/>
  </si>
  <si>
    <t>石川県</t>
    <rPh sb="0" eb="3">
      <t>イシカワケン</t>
    </rPh>
    <phoneticPr fontId="3"/>
  </si>
  <si>
    <t>福井県</t>
    <rPh sb="0" eb="3">
      <t>フクイケン</t>
    </rPh>
    <phoneticPr fontId="3"/>
  </si>
  <si>
    <t>長野県</t>
    <rPh sb="0" eb="3">
      <t>ナガノケン</t>
    </rPh>
    <phoneticPr fontId="3"/>
  </si>
  <si>
    <t>静岡県</t>
    <phoneticPr fontId="3"/>
  </si>
  <si>
    <t>愛知県</t>
    <phoneticPr fontId="3"/>
  </si>
  <si>
    <t>岐阜県</t>
    <rPh sb="0" eb="3">
      <t>ギフケン</t>
    </rPh>
    <phoneticPr fontId="3"/>
  </si>
  <si>
    <t>三重県</t>
    <rPh sb="0" eb="3">
      <t>ミエケン</t>
    </rPh>
    <phoneticPr fontId="3"/>
  </si>
  <si>
    <t>学連</t>
    <rPh sb="0" eb="2">
      <t>ガクレン</t>
    </rPh>
    <phoneticPr fontId="13"/>
  </si>
  <si>
    <t>TM</t>
  </si>
  <si>
    <t>S5</t>
  </si>
  <si>
    <t>S6</t>
  </si>
  <si>
    <t>S7</t>
  </si>
  <si>
    <t>S8</t>
  </si>
  <si>
    <t>S9</t>
  </si>
  <si>
    <t>PT</t>
  </si>
  <si>
    <t>S10</t>
  </si>
  <si>
    <t>岐阜県</t>
    <phoneticPr fontId="3"/>
  </si>
  <si>
    <t>N2</t>
    <phoneticPr fontId="2"/>
  </si>
  <si>
    <t>ｱｲﾁﾀﾞｲ</t>
    <phoneticPr fontId="3"/>
  </si>
  <si>
    <t>ｱｲﾁｲｶﾀﾞｲ</t>
    <phoneticPr fontId="3"/>
  </si>
  <si>
    <t>ｱｲﾁｶﾞｸｲﾝﾀﾞｲ</t>
    <phoneticPr fontId="3"/>
  </si>
  <si>
    <t>ｱｲﾁｺｳｷﾞｮｳﾀﾞｲ</t>
    <phoneticPr fontId="3"/>
  </si>
  <si>
    <t>ｱｲﾁｷｮｳｲｸﾀﾞｲ</t>
    <phoneticPr fontId="3"/>
  </si>
  <si>
    <t>ｱｲﾁｼｭｸﾄｸﾀﾞｲ</t>
    <phoneticPr fontId="3"/>
  </si>
  <si>
    <t>ｱｲﾁﾄｳﾎｳﾀﾞｲ</t>
    <phoneticPr fontId="3"/>
  </si>
  <si>
    <t>ｷﾞﾌﾀﾞｲ</t>
    <phoneticPr fontId="3"/>
  </si>
  <si>
    <t>ｷﾞﾌｷｮｳﾘﾂﾀﾞｲ</t>
    <phoneticPr fontId="3"/>
  </si>
  <si>
    <t>ｷﾞﾌｺｳｷﾞｮｳｺｳｾﾝ</t>
    <phoneticPr fontId="3"/>
  </si>
  <si>
    <t>ｷﾞﾌｼｮｳﾄｸｶﾞｸｴﾝﾀﾞｲ</t>
    <phoneticPr fontId="3"/>
  </si>
  <si>
    <t>ｷﾞﾌﾔｯｶﾀﾞｲ</t>
    <phoneticPr fontId="3"/>
  </si>
  <si>
    <t>ｷﾝｷﾀﾞｲｺｳｷﾞｮｳｺｳｾﾝ</t>
    <phoneticPr fontId="3"/>
  </si>
  <si>
    <t>ｷﾝｼﾞｮｳｶﾞｸｲﾝﾀﾞｲ</t>
    <phoneticPr fontId="3"/>
  </si>
  <si>
    <t>ｺｳｶﾞｯｶﾝﾀﾞｲ</t>
    <phoneticPr fontId="3"/>
  </si>
  <si>
    <t>ｼｶﾞｯｶﾝﾀﾞｲ</t>
    <phoneticPr fontId="3"/>
  </si>
  <si>
    <t>ｼｽﾞｵｶﾀﾞｲ</t>
    <phoneticPr fontId="3"/>
  </si>
  <si>
    <t>ｼｽﾞｵｶｹﾝﾘﾂﾀﾞｲ</t>
    <phoneticPr fontId="3"/>
  </si>
  <si>
    <t>ｼｽﾞｵｶｻﾝｷﾞｮｳﾀﾞｲ</t>
    <phoneticPr fontId="3"/>
  </si>
  <si>
    <t>ｽｷﾞﾔﾏｼﾞｮｶﾞｸｴﾝﾀﾞｲ</t>
    <phoneticPr fontId="3"/>
  </si>
  <si>
    <t>ｽｽﾞｶﾀﾞｲ</t>
    <phoneticPr fontId="3"/>
  </si>
  <si>
    <t>ｽｽﾞｶｺｳｷﾞｮｳｺｳｾﾝ</t>
    <phoneticPr fontId="3"/>
  </si>
  <si>
    <t>ﾁｭｳｷｮｳﾀﾞｲ</t>
    <phoneticPr fontId="3"/>
  </si>
  <si>
    <t>ﾁｭｳｷｮｳｶﾞｸｲﾝﾀﾞｲ</t>
    <phoneticPr fontId="3"/>
  </si>
  <si>
    <t>ﾁｭｳﾌﾞﾀﾞｲ</t>
    <phoneticPr fontId="3"/>
  </si>
  <si>
    <t>ﾁｭｳﾌﾞｶﾞｸｲﾝﾀﾞｲ</t>
    <phoneticPr fontId="3"/>
  </si>
  <si>
    <t>ﾄｳｶｲｶﾞｸｴﾝﾀﾞｲ</t>
    <phoneticPr fontId="3"/>
  </si>
  <si>
    <t>ﾄｳｶｲﾀﾞｲﾄｳｶｲ</t>
    <phoneticPr fontId="3"/>
  </si>
  <si>
    <t>ﾄｺﾊﾀﾞｲ</t>
    <phoneticPr fontId="3"/>
  </si>
  <si>
    <t>ﾄﾖﾀｺｳｷﾞｮｳｺｳｾﾝ</t>
    <phoneticPr fontId="3"/>
  </si>
  <si>
    <t>ﾅｺﾞﾔﾀﾞｲ</t>
    <phoneticPr fontId="3"/>
  </si>
  <si>
    <t>ﾅｺﾞﾔｶﾞｸｲﾝﾀﾞｲ</t>
    <phoneticPr fontId="3"/>
  </si>
  <si>
    <t>ﾅｺﾞﾔｺｳｷﾞｮｳﾀﾞｲ</t>
    <phoneticPr fontId="3"/>
  </si>
  <si>
    <t>ﾅｺﾞﾔｼｮｳｶﾀﾞｲ</t>
    <phoneticPr fontId="3"/>
  </si>
  <si>
    <t>ﾅｺﾞﾔｼﾞｮｼﾀﾞｲ</t>
    <phoneticPr fontId="3"/>
  </si>
  <si>
    <t>ﾅｺﾞﾔｼﾘﾂﾀﾞｲ</t>
    <phoneticPr fontId="3"/>
  </si>
  <si>
    <t>ﾅﾝｻﾞﾝﾀﾞｲ</t>
    <phoneticPr fontId="3"/>
  </si>
  <si>
    <t>ﾆﾎﾝﾌｸｼﾀﾞｲ</t>
    <phoneticPr fontId="3"/>
  </si>
  <si>
    <t>ﾇﾏﾂﾞｺｳｷﾞｮｳｺｳｾﾝ</t>
    <phoneticPr fontId="3"/>
  </si>
  <si>
    <t>ﾊﾏﾏﾂｲｶﾀﾞｲ</t>
    <phoneticPr fontId="3"/>
  </si>
  <si>
    <t>ﾌｼﾞﾀｲｶﾀﾞｲ</t>
    <phoneticPr fontId="3"/>
  </si>
  <si>
    <t>藤田医科大</t>
    <phoneticPr fontId="3"/>
  </si>
  <si>
    <t>ﾐｴﾀﾞｲ</t>
    <phoneticPr fontId="3"/>
  </si>
  <si>
    <t>ﾐｴﾀﾝｷﾀﾞｲ</t>
    <phoneticPr fontId="3"/>
  </si>
  <si>
    <t>三重短期大</t>
    <phoneticPr fontId="3"/>
  </si>
  <si>
    <t>ﾒｲｼﾞｮｳﾀﾞｲ</t>
    <phoneticPr fontId="3"/>
  </si>
  <si>
    <t>ｼｭｳﾌﾞﾝﾀﾞｲ</t>
    <phoneticPr fontId="3"/>
  </si>
  <si>
    <t>カナ名称</t>
    <rPh sb="2" eb="4">
      <t>メイショウ</t>
    </rPh>
    <phoneticPr fontId="3"/>
  </si>
  <si>
    <t>大学名称</t>
    <rPh sb="0" eb="2">
      <t>ダイガク</t>
    </rPh>
    <rPh sb="2" eb="4">
      <t>メイショウ</t>
    </rPh>
    <phoneticPr fontId="3"/>
  </si>
  <si>
    <t>十種競技</t>
    <rPh sb="0" eb="2">
      <t>ジュッシュ</t>
    </rPh>
    <rPh sb="2" eb="4">
      <t>キョウギ</t>
    </rPh>
    <phoneticPr fontId="3"/>
  </si>
  <si>
    <t>整理番号</t>
    <rPh sb="0" eb="2">
      <t>セイリ</t>
    </rPh>
    <rPh sb="2" eb="4">
      <t>バンゴウ</t>
    </rPh>
    <phoneticPr fontId="2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</si>
  <si>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</si>
  <si>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</si>
  <si>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</si>
  <si>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</si>
  <si>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</si>
  <si>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</si>
  <si>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</si>
  <si>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</si>
  <si>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</si>
  <si>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</si>
  <si>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</si>
  <si>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</si>
  <si>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</si>
  <si>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</si>
  <si>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</si>
  <si>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</si>
  <si>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</si>
  <si>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</si>
  <si>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</si>
  <si>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</si>
  <si>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</si>
  <si>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</si>
  <si>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</si>
  <si>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</si>
  <si>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</si>
  <si>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</si>
  <si>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</si>
  <si>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</si>
  <si>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</si>
  <si>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</si>
  <si>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</si>
  <si>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</si>
  <si>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</si>
  <si>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</si>
  <si>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</si>
  <si>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</si>
  <si>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</si>
  <si>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</si>
  <si>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</si>
  <si>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</si>
  <si>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</si>
  <si>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</si>
  <si>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</si>
  <si>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男子100m</t>
  </si>
  <si>
    <t>男子200m</t>
  </si>
  <si>
    <t>男子400m</t>
  </si>
  <si>
    <t>男子800m</t>
  </si>
  <si>
    <t>男子1500m</t>
  </si>
  <si>
    <t>男子5000m</t>
  </si>
  <si>
    <t>男子10000m</t>
  </si>
  <si>
    <t>男子400mH(0.914m)</t>
  </si>
  <si>
    <t>男子3000mSC(0.914ｍ)</t>
  </si>
  <si>
    <t>男子10000mW</t>
  </si>
  <si>
    <t>男子4X400mR</t>
  </si>
  <si>
    <t>男子棒高跳</t>
  </si>
  <si>
    <t>男子砲丸投(7.260kg)</t>
  </si>
  <si>
    <t>男子円盤投(2.000kg)</t>
  </si>
  <si>
    <t>男子ハンマー投(7.260kg)</t>
  </si>
  <si>
    <t>男子やり投(800g)</t>
  </si>
  <si>
    <t>男子十種競技</t>
  </si>
  <si>
    <t>女子200m</t>
  </si>
  <si>
    <t>女子400m</t>
  </si>
  <si>
    <t>女子800m</t>
  </si>
  <si>
    <t>女子1500m</t>
  </si>
  <si>
    <t>女子5000m</t>
  </si>
  <si>
    <t>女子10000m</t>
  </si>
  <si>
    <t>女子100mH(0.838m/8.50m)</t>
  </si>
  <si>
    <t>女子400mH(0.762m)</t>
  </si>
  <si>
    <t>女子3000mSC(0.762ｍ)</t>
  </si>
  <si>
    <t>女子10000mW</t>
  </si>
  <si>
    <t>女子4X100mR</t>
  </si>
  <si>
    <t>女子4X400mR</t>
  </si>
  <si>
    <t>女子棒高跳</t>
  </si>
  <si>
    <t>女子三段跳</t>
  </si>
  <si>
    <t>女子砲丸投(4.000kg)</t>
  </si>
  <si>
    <t>女子円盤投(1.000kg)</t>
  </si>
  <si>
    <t>女子ハンマー投(4.000kg)</t>
  </si>
  <si>
    <t>女子やり投(600g)</t>
  </si>
  <si>
    <t>女子七種競技</t>
  </si>
  <si>
    <t>男子110mH(1.067m/9.14m)</t>
    <phoneticPr fontId="3"/>
  </si>
  <si>
    <t>男子4X100mR</t>
    <phoneticPr fontId="3"/>
  </si>
  <si>
    <t>4X400mR</t>
    <phoneticPr fontId="3"/>
  </si>
  <si>
    <t>4X100mR</t>
    <phoneticPr fontId="3"/>
  </si>
  <si>
    <t>男子
4X400mR</t>
    <rPh sb="0" eb="2">
      <t>ダンシ</t>
    </rPh>
    <phoneticPr fontId="3"/>
  </si>
  <si>
    <t>女子
4X400mR</t>
    <rPh sb="0" eb="2">
      <t>ジョシ</t>
    </rPh>
    <phoneticPr fontId="3"/>
  </si>
  <si>
    <t>競技者NO</t>
    <rPh sb="0" eb="3">
      <t>キョウギシャ</t>
    </rPh>
    <phoneticPr fontId="3"/>
  </si>
  <si>
    <t>競技者名</t>
    <rPh sb="0" eb="3">
      <t>キョウギシャ</t>
    </rPh>
    <rPh sb="3" eb="4">
      <t>メイ</t>
    </rPh>
    <phoneticPr fontId="3"/>
  </si>
  <si>
    <t>ナンバー</t>
    <phoneticPr fontId="3"/>
  </si>
  <si>
    <t>混成種目</t>
    <rPh sb="0" eb="2">
      <t>コンセイ</t>
    </rPh>
    <rPh sb="2" eb="4">
      <t>シュモク</t>
    </rPh>
    <phoneticPr fontId="3"/>
  </si>
  <si>
    <t>個人</t>
    <rPh sb="0" eb="2">
      <t>コジン</t>
    </rPh>
    <phoneticPr fontId="3"/>
  </si>
  <si>
    <t>混成</t>
    <rPh sb="0" eb="2">
      <t>コンセイ</t>
    </rPh>
    <phoneticPr fontId="3"/>
  </si>
  <si>
    <t>:</t>
    <phoneticPr fontId="3"/>
  </si>
  <si>
    <t>リレー種目</t>
    <rPh sb="3" eb="5">
      <t>シュモク</t>
    </rPh>
    <phoneticPr fontId="3"/>
  </si>
  <si>
    <t>國枝　秀世</t>
    <rPh sb="0" eb="2">
      <t>クニエダ</t>
    </rPh>
    <rPh sb="3" eb="5">
      <t>ヒデヨ</t>
    </rPh>
    <phoneticPr fontId="5"/>
  </si>
  <si>
    <r>
      <t>(6) トレーナー誓約書</t>
    </r>
    <r>
      <rPr>
        <b/>
        <sz val="8"/>
        <color theme="1"/>
        <rFont val="メイリオ"/>
        <family val="3"/>
        <charset val="128"/>
      </rPr>
      <t>(必要な場合)</t>
    </r>
    <rPh sb="9" eb="12">
      <t>セイヤクショ</t>
    </rPh>
    <rPh sb="13" eb="15">
      <t>ヒツヨウ</t>
    </rPh>
    <rPh sb="16" eb="18">
      <t>バアイ</t>
    </rPh>
    <phoneticPr fontId="3"/>
  </si>
  <si>
    <r>
      <t xml:space="preserve"> → </t>
    </r>
    <r>
      <rPr>
        <u/>
        <sz val="11"/>
        <color rgb="FF0070C0"/>
        <rFont val="游ゴシック"/>
        <family val="3"/>
        <charset val="128"/>
        <scheme val="minor"/>
      </rPr>
      <t>tgrrkiroku@yahoo.co.jp</t>
    </r>
    <phoneticPr fontId="3"/>
  </si>
  <si>
    <t>記録日付</t>
  </si>
  <si>
    <t>競技会情報</t>
  </si>
  <si>
    <t>　→ 2020/09/20(日) 18:00</t>
    <rPh sb="14" eb="15">
      <t>ニチ</t>
    </rPh>
    <phoneticPr fontId="3"/>
  </si>
  <si>
    <t>　→ 2020/10/25(日) 中</t>
    <rPh sb="14" eb="15">
      <t>ニチ</t>
    </rPh>
    <rPh sb="17" eb="18">
      <t>ジュウ</t>
    </rPh>
    <phoneticPr fontId="3"/>
  </si>
  <si>
    <t>(2) 振込および明細データ(写真可)送付期日</t>
    <rPh sb="4" eb="6">
      <t>フリコミ</t>
    </rPh>
    <rPh sb="9" eb="11">
      <t>メイサイ</t>
    </rPh>
    <rPh sb="14" eb="16">
      <t>シャシン</t>
    </rPh>
    <rPh sb="16" eb="17">
      <t>カ</t>
    </rPh>
    <rPh sb="18" eb="20">
      <t>ソウフ</t>
    </rPh>
    <rPh sb="21" eb="23">
      <t>キジツ</t>
    </rPh>
    <phoneticPr fontId="3"/>
  </si>
  <si>
    <t>(1)エントリーファイル送付期日</t>
    <rPh sb="11" eb="13">
      <t>ソウフ</t>
    </rPh>
    <rPh sb="14" eb="16">
      <t>キジツ</t>
    </rPh>
    <phoneticPr fontId="3"/>
  </si>
  <si>
    <t>国籍</t>
  </si>
  <si>
    <t>国籍</t>
    <rPh sb="0" eb="2">
      <t>コクセキ</t>
    </rPh>
    <phoneticPr fontId="3"/>
  </si>
  <si>
    <t>競技者英字</t>
  </si>
  <si>
    <t>競技者英字</t>
    <rPh sb="0" eb="3">
      <t>キョウギシャ</t>
    </rPh>
    <rPh sb="3" eb="5">
      <t>エイジ</t>
    </rPh>
    <phoneticPr fontId="3"/>
  </si>
  <si>
    <t>(5) 混成競技エントリー</t>
    <rPh sb="4" eb="6">
      <t>コンセイ</t>
    </rPh>
    <rPh sb="6" eb="8">
      <t>キョウギ</t>
    </rPh>
    <phoneticPr fontId="3"/>
  </si>
  <si>
    <t>(2) 各種シートに入力する</t>
    <rPh sb="4" eb="6">
      <t>カクシュ</t>
    </rPh>
    <rPh sb="10" eb="12">
      <t>ニュウリョク</t>
    </rPh>
    <phoneticPr fontId="3"/>
  </si>
  <si>
    <t>女子の登録番号が入力されています。</t>
  </si>
  <si>
    <t>所属団体が異なります。</t>
  </si>
  <si>
    <t>種目を選択してください。</t>
  </si>
  <si>
    <t>同一の競技実施日に出場できる個人種目は1種目のみです。</t>
  </si>
  <si>
    <t>60秒表記はできません。</t>
  </si>
  <si>
    <t>4×100mR</t>
  </si>
  <si>
    <t>個人種目</t>
  </si>
  <si>
    <t>十種検知</t>
  </si>
  <si>
    <t>ソフトウェア</t>
  </si>
  <si>
    <t>同一実施日検知</t>
  </si>
  <si>
    <t>MEMBER</t>
  </si>
  <si>
    <t>RECORD</t>
  </si>
  <si>
    <t>競技実施日</t>
  </si>
  <si>
    <t>COMB</t>
  </si>
  <si>
    <t>未登録選手</t>
  </si>
  <si>
    <t>種目選択用</t>
  </si>
  <si>
    <t>入力検知</t>
  </si>
  <si>
    <t>登録番号</t>
  </si>
  <si>
    <t>女子登録</t>
  </si>
  <si>
    <t>所属団体</t>
  </si>
  <si>
    <t>登録情報</t>
  </si>
  <si>
    <t>種目選択</t>
  </si>
  <si>
    <t>400mR重複</t>
  </si>
  <si>
    <t>1600mR重複</t>
  </si>
  <si>
    <t>個人重複</t>
  </si>
  <si>
    <t>同一実施日重複</t>
  </si>
  <si>
    <t>記録入力</t>
  </si>
  <si>
    <t>60秒表記</t>
  </si>
  <si>
    <t>400mRCHECK</t>
  </si>
  <si>
    <t>1600mRCHECK</t>
  </si>
  <si>
    <t>4X100mRのエントリーが重複しています。</t>
    <rPh sb="14" eb="16">
      <t>チョウフク</t>
    </rPh>
    <phoneticPr fontId="3"/>
  </si>
  <si>
    <t>4X400mRのエントリーが重複しています。</t>
    <rPh sb="14" eb="16">
      <t>チョウフク</t>
    </rPh>
    <phoneticPr fontId="3"/>
  </si>
  <si>
    <t>4×100mRのエントリーが不正です。過不足なくメンバーを選択してください。</t>
    <rPh sb="19" eb="22">
      <t>カブソク</t>
    </rPh>
    <rPh sb="29" eb="31">
      <t>センタク</t>
    </rPh>
    <phoneticPr fontId="3"/>
  </si>
  <si>
    <t>4×400mRのエントリーが不正です。過不足なくメンバーを選択してください。</t>
    <rPh sb="19" eb="22">
      <t>カブソク</t>
    </rPh>
    <rPh sb="29" eb="31">
      <t>センタク</t>
    </rPh>
    <phoneticPr fontId="3"/>
  </si>
  <si>
    <t>5-</t>
  </si>
  <si>
    <t>※備考欄</t>
  </si>
  <si>
    <t>七種検知</t>
  </si>
  <si>
    <t>男子の登録番号が入力されています。</t>
    <rPh sb="0" eb="2">
      <t>ダンシ</t>
    </rPh>
    <phoneticPr fontId="3"/>
  </si>
  <si>
    <t>男子登録</t>
    <rPh sb="0" eb="2">
      <t>ダンシ</t>
    </rPh>
    <phoneticPr fontId="3"/>
  </si>
  <si>
    <t>シート「リレーエントリー」のエラーを解消してください。</t>
    <rPh sb="18" eb="20">
      <t>カイショウ</t>
    </rPh>
    <phoneticPr fontId="3"/>
  </si>
  <si>
    <t>シート「混成競技エントリー」のエラーを解消してください。</t>
    <rPh sb="4" eb="6">
      <t>コンセイ</t>
    </rPh>
    <rPh sb="6" eb="8">
      <t>キョウギ</t>
    </rPh>
    <rPh sb="19" eb="21">
      <t>カイショウ</t>
    </rPh>
    <phoneticPr fontId="3"/>
  </si>
  <si>
    <t>(4) 名前を付けて保存する</t>
    <rPh sb="4" eb="6">
      <t>ナマエ</t>
    </rPh>
    <rPh sb="7" eb="8">
      <t>ツ</t>
    </rPh>
    <rPh sb="10" eb="12">
      <t>ホゾン</t>
    </rPh>
    <phoneticPr fontId="3"/>
  </si>
  <si>
    <t>(3) エラーを確認する</t>
    <rPh sb="8" eb="10">
      <t>カクニン</t>
    </rPh>
    <phoneticPr fontId="3"/>
  </si>
  <si>
    <t>種目①</t>
  </si>
  <si>
    <t>①</t>
  </si>
  <si>
    <t>種目②</t>
  </si>
  <si>
    <t>②</t>
  </si>
  <si>
    <t>種目③</t>
  </si>
  <si>
    <t>③</t>
  </si>
  <si>
    <t>種目④</t>
  </si>
  <si>
    <t>④</t>
  </si>
  <si>
    <t>競技会名</t>
  </si>
  <si>
    <t>〈女子七種競技〉</t>
  </si>
  <si>
    <t>個人種目のエントリーが重複しています。</t>
  </si>
  <si>
    <t>個人種目のエントリーが重複しています。</t>
    <rPh sb="0" eb="2">
      <t>コジン</t>
    </rPh>
    <rPh sb="2" eb="4">
      <t>シュモク</t>
    </rPh>
    <rPh sb="11" eb="13">
      <t>チョウフク</t>
    </rPh>
    <phoneticPr fontId="3"/>
  </si>
  <si>
    <t>登録情報が検出できません。未登録者の場合はパスワードを入力後、選手情報を入力してください。</t>
  </si>
  <si>
    <t>登録情報が検出できません。未登録者の場合はパスワードを入力後、選手情報を入力してください。</t>
    <rPh sb="13" eb="17">
      <t>ミトウロクシャ</t>
    </rPh>
    <rPh sb="18" eb="20">
      <t>バアイ</t>
    </rPh>
    <phoneticPr fontId="3"/>
  </si>
  <si>
    <t>登録番号を入力してください。未登録者の場合はパスワードを入力後、選手情報を入力してください。</t>
  </si>
  <si>
    <t>登録番号を入力してください。未登録者の場合はパスワードを入力後、選手情報を入力してください。</t>
    <rPh sb="19" eb="21">
      <t>バアイ</t>
    </rPh>
    <rPh sb="28" eb="30">
      <t>ニュウリョク</t>
    </rPh>
    <rPh sb="30" eb="31">
      <t>ゴ</t>
    </rPh>
    <rPh sb="32" eb="34">
      <t>センシュ</t>
    </rPh>
    <phoneticPr fontId="3"/>
  </si>
  <si>
    <t>4X100mRのエントリーが重複しています。</t>
  </si>
  <si>
    <t>4X400mRのエントリーが重複しています。</t>
  </si>
  <si>
    <t>4×100mRのエントリーが不正です。過不足なくメンバーを選択してください。</t>
  </si>
  <si>
    <t>4×400mRのエントリーが不正です。過不足なくメンバーを選択してください。</t>
  </si>
  <si>
    <t>シート「リレーエントリー」のエラーを解消してください。</t>
  </si>
  <si>
    <t>シート「混成競技エントリー」のエラーを解消してください。</t>
  </si>
  <si>
    <t>記録を入力してください。記録を用いない場合は「０」を入力すること。</t>
    <rPh sb="0" eb="2">
      <t>キロク</t>
    </rPh>
    <rPh sb="3" eb="5">
      <t>ニュウリョク</t>
    </rPh>
    <rPh sb="12" eb="14">
      <t>キロク</t>
    </rPh>
    <rPh sb="15" eb="16">
      <t>モチ</t>
    </rPh>
    <rPh sb="19" eb="21">
      <t>バアイ</t>
    </rPh>
    <rPh sb="26" eb="28">
      <t>ニュウリョク</t>
    </rPh>
    <phoneticPr fontId="3"/>
  </si>
  <si>
    <t>活動トレーナー人数</t>
    <rPh sb="0" eb="2">
      <t>カツドウ</t>
    </rPh>
    <rPh sb="7" eb="9">
      <t>ニンズウ</t>
    </rPh>
    <phoneticPr fontId="5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</si>
  <si>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</si>
  <si>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</si>
  <si>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</si>
  <si>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記録下限</t>
    <rPh sb="0" eb="2">
      <t>キロク</t>
    </rPh>
    <rPh sb="2" eb="4">
      <t>カゲン</t>
    </rPh>
    <phoneticPr fontId="3"/>
  </si>
  <si>
    <t>記録上限</t>
    <rPh sb="0" eb="2">
      <t>キロク</t>
    </rPh>
    <rPh sb="2" eb="4">
      <t>ジョウゲン</t>
    </rPh>
    <phoneticPr fontId="3"/>
  </si>
  <si>
    <t>日付</t>
  </si>
  <si>
    <t>日付</t>
    <rPh sb="0" eb="2">
      <t>ヒヅケ</t>
    </rPh>
    <phoneticPr fontId="3"/>
  </si>
  <si>
    <t>日付範囲</t>
  </si>
  <si>
    <t>日付範囲</t>
    <rPh sb="0" eb="2">
      <t>ヒヅケ</t>
    </rPh>
    <rPh sb="2" eb="4">
      <t>ハンイ</t>
    </rPh>
    <phoneticPr fontId="3"/>
  </si>
  <si>
    <t>最高記録を入力してください。記録を用いない場合は「0」を入力すること。</t>
  </si>
  <si>
    <t>最高記録を入力してください。記録を用いない場合は「0」を入力すること。</t>
    <rPh sb="0" eb="2">
      <t>サイコウ</t>
    </rPh>
    <rPh sb="2" eb="4">
      <t>キロク</t>
    </rPh>
    <rPh sb="14" eb="16">
      <t>キロク</t>
    </rPh>
    <rPh sb="17" eb="18">
      <t>モチ</t>
    </rPh>
    <rPh sb="21" eb="23">
      <t>バアイ</t>
    </rPh>
    <rPh sb="28" eb="30">
      <t>ニュウリョク</t>
    </rPh>
    <phoneticPr fontId="3"/>
  </si>
  <si>
    <t>日付を入力してください。</t>
  </si>
  <si>
    <t>日付を入力してください。</t>
    <phoneticPr fontId="3"/>
  </si>
  <si>
    <t>競技会名を入力してください。</t>
    <phoneticPr fontId="3"/>
  </si>
  <si>
    <t>有効期間外の記録です。</t>
  </si>
  <si>
    <t>有効期間外の記録です。</t>
    <rPh sb="0" eb="2">
      <t>ユウコウ</t>
    </rPh>
    <rPh sb="2" eb="4">
      <t>キカン</t>
    </rPh>
    <rPh sb="4" eb="5">
      <t>ガイ</t>
    </rPh>
    <rPh sb="6" eb="8">
      <t>キロク</t>
    </rPh>
    <phoneticPr fontId="3"/>
  </si>
  <si>
    <t>最高記録を入力してください。記録を用いない場合は「０」を入力すること。</t>
    <rPh sb="0" eb="2">
      <t>サイコウ</t>
    </rPh>
    <rPh sb="2" eb="4">
      <t>キロク</t>
    </rPh>
    <rPh sb="5" eb="7">
      <t>ニュウリョク</t>
    </rPh>
    <rPh sb="14" eb="16">
      <t>キロク</t>
    </rPh>
    <rPh sb="28" eb="30">
      <t>ニュウリョク</t>
    </rPh>
    <phoneticPr fontId="3"/>
  </si>
  <si>
    <t>日付を入力してください。</t>
    <rPh sb="0" eb="2">
      <t>ヒヅケ</t>
    </rPh>
    <rPh sb="3" eb="5">
      <t>ニュウリョク</t>
    </rPh>
    <phoneticPr fontId="3"/>
  </si>
  <si>
    <t>競技会名を入力してください。</t>
    <rPh sb="0" eb="4">
      <t>キョウギカイメイ</t>
    </rPh>
    <rPh sb="5" eb="7">
      <t>ニュウリョク</t>
    </rPh>
    <phoneticPr fontId="3"/>
  </si>
  <si>
    <t>年</t>
    <phoneticPr fontId="3"/>
  </si>
  <si>
    <t>5000mW</t>
    <phoneticPr fontId="3"/>
  </si>
  <si>
    <t>男子5000mW</t>
    <rPh sb="0" eb="2">
      <t>ダンシ</t>
    </rPh>
    <phoneticPr fontId="3"/>
  </si>
  <si>
    <t>女子5000mW</t>
    <rPh sb="0" eb="2">
      <t>ジョシ</t>
    </rPh>
    <phoneticPr fontId="3"/>
  </si>
  <si>
    <t>競技者NO</t>
    <phoneticPr fontId="3"/>
  </si>
  <si>
    <t>USA</t>
  </si>
  <si>
    <t>登録番号</t>
    <rPh sb="0" eb="4">
      <t>トウロクバンゴウ</t>
    </rPh>
    <phoneticPr fontId="3"/>
  </si>
  <si>
    <t>　解除する場合は、[表示]→[ウィンドウ]</t>
    <rPh sb="1" eb="3">
      <t>カイジョ</t>
    </rPh>
    <rPh sb="5" eb="7">
      <t>バアイ</t>
    </rPh>
    <rPh sb="10" eb="12">
      <t>ヒョウジ</t>
    </rPh>
    <phoneticPr fontId="3"/>
  </si>
  <si>
    <t>　→[ウィンドウ枠の固定解除]から解除できます。</t>
    <rPh sb="12" eb="14">
      <t>カイジョ</t>
    </rPh>
    <phoneticPr fontId="3"/>
  </si>
  <si>
    <t>　←エラーチェックが固定されています。</t>
    <rPh sb="10" eb="12">
      <t>コテイ</t>
    </rPh>
    <phoneticPr fontId="3"/>
  </si>
  <si>
    <t>国名</t>
  </si>
  <si>
    <t>ｺｰﾄﾞ</t>
  </si>
  <si>
    <t>アイスランド</t>
  </si>
  <si>
    <t>アイルランド</t>
  </si>
  <si>
    <t>IRL</t>
  </si>
  <si>
    <t>アゼルバイジャン</t>
  </si>
  <si>
    <t>AZE</t>
  </si>
  <si>
    <t>アフガニスタン</t>
  </si>
  <si>
    <t>AFG</t>
  </si>
  <si>
    <t>アラブ首長国連邦</t>
  </si>
  <si>
    <t>ARE</t>
  </si>
  <si>
    <t>アルジェリア</t>
  </si>
  <si>
    <t>DZA</t>
  </si>
  <si>
    <t>アルゼンチン</t>
  </si>
  <si>
    <t>ARG</t>
  </si>
  <si>
    <t>アルバ</t>
  </si>
  <si>
    <t>ABW</t>
  </si>
  <si>
    <t>アルバニア</t>
  </si>
  <si>
    <t>ALB</t>
  </si>
  <si>
    <t>アルメニア</t>
  </si>
  <si>
    <t>ARM</t>
  </si>
  <si>
    <t>アンギラ</t>
  </si>
  <si>
    <t>AIA</t>
  </si>
  <si>
    <t>アンゴラ</t>
  </si>
  <si>
    <t>AGO</t>
  </si>
  <si>
    <t>アンティグア・バーブーダ</t>
  </si>
  <si>
    <t>ATG</t>
  </si>
  <si>
    <t>アンドラ</t>
  </si>
  <si>
    <t>AND</t>
  </si>
  <si>
    <t>イエメン</t>
  </si>
  <si>
    <t>YEM</t>
  </si>
  <si>
    <t>イスラエル</t>
  </si>
  <si>
    <t>ISR</t>
  </si>
  <si>
    <t>イタリア</t>
  </si>
  <si>
    <t>ITA</t>
  </si>
  <si>
    <t>イラク</t>
  </si>
  <si>
    <t>IRQ</t>
  </si>
  <si>
    <t>イラン</t>
  </si>
  <si>
    <t>IRN</t>
  </si>
  <si>
    <t>インド</t>
  </si>
  <si>
    <t>IND</t>
  </si>
  <si>
    <t>インドネシア</t>
  </si>
  <si>
    <t>IDN</t>
  </si>
  <si>
    <t>ウェーク島</t>
  </si>
  <si>
    <t>WAK</t>
  </si>
  <si>
    <t>ウガンダ</t>
  </si>
  <si>
    <t>UGA</t>
  </si>
  <si>
    <t>ウクライナ</t>
  </si>
  <si>
    <t>UKR</t>
  </si>
  <si>
    <t>ウズベキスタン</t>
  </si>
  <si>
    <t>UZB</t>
  </si>
  <si>
    <t>ウルグアイ</t>
  </si>
  <si>
    <t>URY</t>
  </si>
  <si>
    <t>英国</t>
  </si>
  <si>
    <t>GBR</t>
  </si>
  <si>
    <t>英領インド洋地域</t>
  </si>
  <si>
    <t>IOT</t>
  </si>
  <si>
    <t>英領バージン諸島</t>
  </si>
  <si>
    <t>VGB</t>
  </si>
  <si>
    <t>エクアドル</t>
  </si>
  <si>
    <t>ECU</t>
  </si>
  <si>
    <t>エジプト</t>
  </si>
  <si>
    <t>EGY</t>
  </si>
  <si>
    <t>エストニア</t>
  </si>
  <si>
    <t>EST</t>
  </si>
  <si>
    <t>エスワティニ</t>
  </si>
  <si>
    <t>SWZ</t>
  </si>
  <si>
    <t>エチオピア</t>
  </si>
  <si>
    <t>ETH</t>
  </si>
  <si>
    <t>エリトリア</t>
  </si>
  <si>
    <t>ERI</t>
  </si>
  <si>
    <t>エルサルバドル</t>
  </si>
  <si>
    <t>SLV</t>
  </si>
  <si>
    <t>オーストラリア</t>
  </si>
  <si>
    <t>AUS</t>
  </si>
  <si>
    <t>オーストリア</t>
  </si>
  <si>
    <t>AUT</t>
  </si>
  <si>
    <t>オマーン</t>
  </si>
  <si>
    <t>OMN</t>
  </si>
  <si>
    <t>オランダ</t>
  </si>
  <si>
    <t>NLD</t>
  </si>
  <si>
    <t>オランダ領アンティル</t>
  </si>
  <si>
    <t>ANT</t>
  </si>
  <si>
    <t>カーボヴェルデ</t>
  </si>
  <si>
    <t>CPV</t>
  </si>
  <si>
    <t>カザフスタン</t>
  </si>
  <si>
    <t>KAZ</t>
  </si>
  <si>
    <t>カシミール</t>
  </si>
  <si>
    <t>KAS</t>
  </si>
  <si>
    <t>カタール</t>
  </si>
  <si>
    <t>QAT</t>
  </si>
  <si>
    <t>カナダ</t>
  </si>
  <si>
    <t>CAN</t>
  </si>
  <si>
    <t>カメルーン</t>
  </si>
  <si>
    <t>CMR</t>
  </si>
  <si>
    <t>カンボジア</t>
  </si>
  <si>
    <t>KHM</t>
  </si>
  <si>
    <t>ガーナ</t>
  </si>
  <si>
    <t>GHA</t>
  </si>
  <si>
    <t>ガイアナ</t>
  </si>
  <si>
    <t>GUY</t>
  </si>
  <si>
    <t>ガボン</t>
  </si>
  <si>
    <t>GAB</t>
  </si>
  <si>
    <t>ガンビア</t>
  </si>
  <si>
    <t>GMB</t>
  </si>
  <si>
    <t>北朝鮮</t>
  </si>
  <si>
    <t>PRK</t>
  </si>
  <si>
    <t>北マケドニア</t>
  </si>
  <si>
    <t>MKD</t>
  </si>
  <si>
    <t>北マリアナ諸島</t>
  </si>
  <si>
    <t>MNP</t>
  </si>
  <si>
    <t>キプロス</t>
  </si>
  <si>
    <t>CYP</t>
  </si>
  <si>
    <t>キューバ</t>
  </si>
  <si>
    <t>CUB</t>
  </si>
  <si>
    <t>キリバス</t>
  </si>
  <si>
    <t>KIR</t>
  </si>
  <si>
    <t>キルギス</t>
  </si>
  <si>
    <t>KGZ</t>
  </si>
  <si>
    <t>ギニア</t>
  </si>
  <si>
    <t>GIN</t>
  </si>
  <si>
    <t>ギニアビサウ</t>
  </si>
  <si>
    <t>GNB</t>
  </si>
  <si>
    <t>ギリシャ</t>
  </si>
  <si>
    <t>GRC</t>
  </si>
  <si>
    <t>クウェート</t>
  </si>
  <si>
    <t>KWT</t>
  </si>
  <si>
    <t>クック諸島</t>
  </si>
  <si>
    <t>COK</t>
  </si>
  <si>
    <t>クリスマス島</t>
  </si>
  <si>
    <t>CXR</t>
  </si>
  <si>
    <t>クロアチア</t>
  </si>
  <si>
    <t>HRV</t>
  </si>
  <si>
    <t>グアテマラ</t>
  </si>
  <si>
    <t>GTM</t>
  </si>
  <si>
    <t>グアドループ島</t>
  </si>
  <si>
    <t>GLP</t>
  </si>
  <si>
    <t>グアム</t>
  </si>
  <si>
    <t>GUM</t>
  </si>
  <si>
    <t>グリーンランド</t>
  </si>
  <si>
    <t>GRL</t>
  </si>
  <si>
    <t>グレナダ</t>
  </si>
  <si>
    <t>GRD</t>
  </si>
  <si>
    <t>ケイマン諸島</t>
  </si>
  <si>
    <t>CYM</t>
  </si>
  <si>
    <t>ケニア</t>
  </si>
  <si>
    <t>コートジボワール</t>
  </si>
  <si>
    <t>CIV</t>
  </si>
  <si>
    <t>ココス諸島</t>
  </si>
  <si>
    <t>CCK</t>
  </si>
  <si>
    <t>コスタリカ</t>
  </si>
  <si>
    <t>CRI</t>
  </si>
  <si>
    <t>コモロ連合</t>
  </si>
  <si>
    <t>COM</t>
  </si>
  <si>
    <t>コロンビア</t>
  </si>
  <si>
    <t>COL</t>
  </si>
  <si>
    <t>コンゴ共和国</t>
  </si>
  <si>
    <t>COG</t>
  </si>
  <si>
    <t>コンゴ民主共和国</t>
  </si>
  <si>
    <t>COD</t>
  </si>
  <si>
    <t>サウジアラビア</t>
  </si>
  <si>
    <t>SAU</t>
  </si>
  <si>
    <t>サモア</t>
  </si>
  <si>
    <t>WSM</t>
  </si>
  <si>
    <t>サントメ・プリンシペ</t>
  </si>
  <si>
    <t>STP</t>
  </si>
  <si>
    <t>サンピエール島・ミクロン島</t>
  </si>
  <si>
    <t>SPM</t>
  </si>
  <si>
    <t>サンマリノ</t>
  </si>
  <si>
    <t>SMR</t>
  </si>
  <si>
    <t>ザンビア</t>
  </si>
  <si>
    <t>ZMB</t>
  </si>
  <si>
    <t>シエラレオネ</t>
  </si>
  <si>
    <t>SLE</t>
  </si>
  <si>
    <t>シリア</t>
  </si>
  <si>
    <t>SYR</t>
  </si>
  <si>
    <t>シンガポール</t>
  </si>
  <si>
    <t>SGP</t>
  </si>
  <si>
    <t>ジブチ</t>
  </si>
  <si>
    <t>DJI</t>
  </si>
  <si>
    <t>スバールバル諸島・ヤンマイエン諸島</t>
  </si>
  <si>
    <t>SJM</t>
  </si>
  <si>
    <t>ジャマイカ</t>
  </si>
  <si>
    <t>JAM</t>
  </si>
  <si>
    <t>ジョージア</t>
  </si>
  <si>
    <t>GEO</t>
  </si>
  <si>
    <t>ジョンストン島</t>
  </si>
  <si>
    <t>JON</t>
  </si>
  <si>
    <t>ジンバブエ</t>
  </si>
  <si>
    <t>ZWE</t>
  </si>
  <si>
    <t>スーダン</t>
  </si>
  <si>
    <t>SDN</t>
  </si>
  <si>
    <t>スイス</t>
  </si>
  <si>
    <t>CHE</t>
  </si>
  <si>
    <t>スウェーデン</t>
  </si>
  <si>
    <t>SWE</t>
  </si>
  <si>
    <t>チャネル諸島</t>
  </si>
  <si>
    <t>CHI</t>
  </si>
  <si>
    <t>スペイン</t>
  </si>
  <si>
    <t>ESP</t>
  </si>
  <si>
    <t>スリナム</t>
  </si>
  <si>
    <t>SUR</t>
  </si>
  <si>
    <t>スリランカ</t>
  </si>
  <si>
    <t>LKA</t>
  </si>
  <si>
    <t>スロバキア</t>
  </si>
  <si>
    <t>SVK</t>
  </si>
  <si>
    <t>スロベニア</t>
  </si>
  <si>
    <t>SVN</t>
  </si>
  <si>
    <t>セイシェル</t>
  </si>
  <si>
    <t>SYC</t>
  </si>
  <si>
    <t>赤道ギニア</t>
  </si>
  <si>
    <t>GNQ</t>
  </si>
  <si>
    <t>セネガル</t>
  </si>
  <si>
    <t>SEN</t>
  </si>
  <si>
    <t>セルビア</t>
  </si>
  <si>
    <t>SRB</t>
  </si>
  <si>
    <t>セントクリストファー・ネイビス</t>
  </si>
  <si>
    <t>KNA</t>
  </si>
  <si>
    <t>セントビンセント及びグレナディーン諸島</t>
  </si>
  <si>
    <t>VCT</t>
  </si>
  <si>
    <t>セントヘレナ島</t>
  </si>
  <si>
    <t>SHN</t>
  </si>
  <si>
    <t>セントルシア</t>
  </si>
  <si>
    <t>LCA</t>
  </si>
  <si>
    <t>ソマリア</t>
  </si>
  <si>
    <t>SOM</t>
  </si>
  <si>
    <t>ソロモン諸島</t>
  </si>
  <si>
    <t>SLB</t>
  </si>
  <si>
    <t>タークス諸島・カイコス諸島</t>
  </si>
  <si>
    <t>TCA</t>
  </si>
  <si>
    <t>タイ</t>
  </si>
  <si>
    <t>THA</t>
  </si>
  <si>
    <t>台湾</t>
  </si>
  <si>
    <t>TWN</t>
  </si>
  <si>
    <t>タジキスタン</t>
  </si>
  <si>
    <t>TJK</t>
  </si>
  <si>
    <t>タンザニア</t>
  </si>
  <si>
    <t>TZA</t>
  </si>
  <si>
    <t>大韓民国</t>
  </si>
  <si>
    <t>KOR</t>
  </si>
  <si>
    <t>チェコ</t>
  </si>
  <si>
    <t>CZE</t>
  </si>
  <si>
    <t>チャド</t>
  </si>
  <si>
    <t>TCD</t>
  </si>
  <si>
    <t>フェロー諸島</t>
  </si>
  <si>
    <t>FRO</t>
  </si>
  <si>
    <t>中央アフリカ</t>
  </si>
  <si>
    <t>CAF</t>
  </si>
  <si>
    <t>中国</t>
  </si>
  <si>
    <t>CHN</t>
  </si>
  <si>
    <t>チュニジア</t>
  </si>
  <si>
    <t>TUN</t>
  </si>
  <si>
    <t>チリ</t>
  </si>
  <si>
    <t>CHL</t>
  </si>
  <si>
    <t>ツバル</t>
  </si>
  <si>
    <t>TUV</t>
  </si>
  <si>
    <t>デンマーク</t>
  </si>
  <si>
    <t>DNK</t>
  </si>
  <si>
    <t>トーゴ</t>
  </si>
  <si>
    <t>TGO</t>
  </si>
  <si>
    <t>トケラウ諸島</t>
  </si>
  <si>
    <t>TKL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</si>
  <si>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</si>
  <si>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</si>
  <si>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</si>
  <si>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</si>
  <si>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</si>
  <si>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</si>
  <si>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</si>
  <si>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TON</t>
  </si>
  <si>
    <t>ドイツ</t>
  </si>
  <si>
    <t>DEU</t>
  </si>
  <si>
    <t>ドミニカ共和国</t>
  </si>
  <si>
    <t>DOM</t>
  </si>
  <si>
    <t>ドミニカ国</t>
  </si>
  <si>
    <t>DMA</t>
  </si>
  <si>
    <t>ナイジェリア</t>
  </si>
  <si>
    <t>NGA</t>
  </si>
  <si>
    <t>ナウル</t>
  </si>
  <si>
    <t>NRU</t>
  </si>
  <si>
    <t>ナミビア</t>
  </si>
  <si>
    <t>NAM</t>
  </si>
  <si>
    <t>南極大陸</t>
  </si>
  <si>
    <t>ATA</t>
  </si>
  <si>
    <t>ニウエ</t>
  </si>
  <si>
    <t>NIU</t>
  </si>
  <si>
    <t>ニカラグア</t>
  </si>
  <si>
    <t>NIC</t>
  </si>
  <si>
    <t>西サハラ</t>
  </si>
  <si>
    <t>ESH</t>
  </si>
  <si>
    <t>ニジェール</t>
  </si>
  <si>
    <t>NER</t>
  </si>
  <si>
    <t>日本国</t>
  </si>
  <si>
    <t>ニューカレドニア</t>
  </si>
  <si>
    <t>NCL</t>
  </si>
  <si>
    <t>ニュージーランド</t>
  </si>
  <si>
    <t>NZL</t>
  </si>
  <si>
    <t>ネパール</t>
  </si>
  <si>
    <t>NPL</t>
  </si>
  <si>
    <t>ノーフォーク島</t>
  </si>
  <si>
    <t>NFK</t>
  </si>
  <si>
    <t>ノルウェー</t>
  </si>
  <si>
    <t>NOR</t>
  </si>
  <si>
    <t>ハイチ</t>
  </si>
  <si>
    <t>HTI</t>
  </si>
  <si>
    <t>ハンガリー</t>
  </si>
  <si>
    <t>HUN</t>
  </si>
  <si>
    <t>バーレーン</t>
  </si>
  <si>
    <t>BHR</t>
  </si>
  <si>
    <t>バチカン市国</t>
  </si>
  <si>
    <t>VAT</t>
  </si>
  <si>
    <t>バヌアツ</t>
  </si>
  <si>
    <t>VUT</t>
  </si>
  <si>
    <t>バハマ</t>
  </si>
  <si>
    <t>BHS</t>
  </si>
  <si>
    <t>バミューダ諸島</t>
  </si>
  <si>
    <t>BMU</t>
  </si>
  <si>
    <t>バルバドス</t>
  </si>
  <si>
    <t>BRB</t>
  </si>
  <si>
    <t>バングラディシュ</t>
  </si>
  <si>
    <t>BGD</t>
  </si>
  <si>
    <t>パキスタン</t>
  </si>
  <si>
    <t>PAK</t>
  </si>
  <si>
    <t>パナマ</t>
  </si>
  <si>
    <t>PAN</t>
  </si>
  <si>
    <t>パプアニューギニア</t>
  </si>
  <si>
    <t>PNG</t>
  </si>
  <si>
    <t>パラオ</t>
  </si>
  <si>
    <t>PLW</t>
  </si>
  <si>
    <t>パラグアイ</t>
  </si>
  <si>
    <t>PRY</t>
  </si>
  <si>
    <t>パレスチナ</t>
  </si>
  <si>
    <t>PSE</t>
  </si>
  <si>
    <t>東ティモール</t>
  </si>
  <si>
    <t>TLS</t>
  </si>
  <si>
    <t>ピトケアン島</t>
  </si>
  <si>
    <t>PCN</t>
  </si>
  <si>
    <t>フィジー諸島</t>
  </si>
  <si>
    <t>FJI</t>
  </si>
  <si>
    <t>フィリピン</t>
  </si>
  <si>
    <t>PHL</t>
  </si>
  <si>
    <t>フィンランド</t>
  </si>
  <si>
    <t>FIN</t>
  </si>
  <si>
    <t>マン島</t>
  </si>
  <si>
    <t>IMN</t>
  </si>
  <si>
    <t>フォークランド（マルビナス）諸島</t>
  </si>
  <si>
    <t>FLK</t>
  </si>
  <si>
    <t>フランス</t>
  </si>
  <si>
    <t>FRA</t>
  </si>
  <si>
    <t>フランス領ギアナ</t>
  </si>
  <si>
    <t>GUF</t>
  </si>
  <si>
    <t>フランス領ポリネシア</t>
  </si>
  <si>
    <t>PYF</t>
  </si>
  <si>
    <t>ブータン</t>
  </si>
  <si>
    <t>BTN</t>
  </si>
  <si>
    <t>ブラジル</t>
  </si>
  <si>
    <t>ブルガリア</t>
  </si>
  <si>
    <t>BGR</t>
  </si>
  <si>
    <t>ブルキナファソ</t>
  </si>
  <si>
    <t>BFA</t>
  </si>
  <si>
    <t>ブルネイ</t>
  </si>
  <si>
    <t>BRN</t>
  </si>
  <si>
    <t>ブルンジ</t>
  </si>
  <si>
    <t>BDI</t>
  </si>
  <si>
    <t>プエルトリコ</t>
  </si>
  <si>
    <t>PRI</t>
  </si>
  <si>
    <t>米国</t>
  </si>
  <si>
    <t>米領サモア</t>
  </si>
  <si>
    <t>ASM</t>
  </si>
  <si>
    <t>米領バージン諸島</t>
  </si>
  <si>
    <t>VIR</t>
  </si>
  <si>
    <t>ベトナム</t>
  </si>
  <si>
    <t>VNM</t>
  </si>
  <si>
    <t>ベナン</t>
  </si>
  <si>
    <t>BEN</t>
  </si>
  <si>
    <t>ベネズエラ</t>
  </si>
  <si>
    <t>VEN</t>
  </si>
  <si>
    <t>ベラルーシ</t>
  </si>
  <si>
    <t>BLR</t>
  </si>
  <si>
    <t>ベリーズ</t>
  </si>
  <si>
    <t>BLZ</t>
  </si>
  <si>
    <t>ベルギー</t>
  </si>
  <si>
    <t>BEL</t>
  </si>
  <si>
    <t>ペルー</t>
  </si>
  <si>
    <t>PER</t>
  </si>
  <si>
    <t>香港</t>
  </si>
  <si>
    <t>HKG</t>
  </si>
  <si>
    <t>ホンジュラス</t>
  </si>
  <si>
    <t>HND</t>
  </si>
  <si>
    <t>ボスニア・ヘルツェゴビナ</t>
  </si>
  <si>
    <t>BIH</t>
  </si>
  <si>
    <t>ボツワナ</t>
  </si>
  <si>
    <t>BWA</t>
  </si>
  <si>
    <t>ボリビア</t>
  </si>
  <si>
    <t>BOL</t>
  </si>
  <si>
    <t>ポーランド</t>
  </si>
  <si>
    <t>POL</t>
  </si>
  <si>
    <t>ポルトガル</t>
  </si>
  <si>
    <t>PRT</t>
  </si>
  <si>
    <t>マーシャル諸島</t>
  </si>
  <si>
    <t>MHL</t>
  </si>
  <si>
    <t>マイヨット島</t>
  </si>
  <si>
    <t>MYT</t>
  </si>
  <si>
    <t>マカオ</t>
  </si>
  <si>
    <t>MAC</t>
  </si>
  <si>
    <t>マダガスカル</t>
  </si>
  <si>
    <t>MDG</t>
  </si>
  <si>
    <t>マラウイ</t>
  </si>
  <si>
    <t>MWI</t>
  </si>
  <si>
    <t>マリ</t>
  </si>
  <si>
    <t>MLI</t>
  </si>
  <si>
    <t>マルタ</t>
  </si>
  <si>
    <t>MLT</t>
  </si>
  <si>
    <t>マルチニーク島</t>
  </si>
  <si>
    <t>MTQ</t>
  </si>
  <si>
    <t>マレーシア</t>
  </si>
  <si>
    <t>MYS</t>
  </si>
  <si>
    <t>ミクロネシア連邦</t>
  </si>
  <si>
    <t>FSM</t>
  </si>
  <si>
    <t>ミッドウェー諸島</t>
  </si>
  <si>
    <t>MID</t>
  </si>
  <si>
    <t>南アフリカ</t>
  </si>
  <si>
    <t>ZAF</t>
  </si>
  <si>
    <t>ミャンマー</t>
  </si>
  <si>
    <t>MMR</t>
  </si>
  <si>
    <t>メキシコ</t>
  </si>
  <si>
    <t>MEX</t>
  </si>
  <si>
    <t>モーリシャス</t>
  </si>
  <si>
    <t>MUS</t>
  </si>
  <si>
    <t>モーリタニア</t>
  </si>
  <si>
    <t>MRT</t>
  </si>
  <si>
    <t>モザンビーク</t>
  </si>
  <si>
    <t>MOZ</t>
  </si>
  <si>
    <t>モナコ</t>
  </si>
  <si>
    <t>MCO</t>
  </si>
  <si>
    <t>モルディブ</t>
  </si>
  <si>
    <t>MDV</t>
  </si>
  <si>
    <t>モルドバ</t>
  </si>
  <si>
    <t>MDA</t>
  </si>
  <si>
    <t>モロッコ</t>
  </si>
  <si>
    <t>MAR</t>
  </si>
  <si>
    <t>モンゴル</t>
  </si>
  <si>
    <t>MNG</t>
  </si>
  <si>
    <t>モンセラット</t>
  </si>
  <si>
    <t>MSR</t>
  </si>
  <si>
    <t>モンテネグロ</t>
  </si>
  <si>
    <t>MNE</t>
  </si>
  <si>
    <t>ヨルダン</t>
  </si>
  <si>
    <t>JOR</t>
  </si>
  <si>
    <t>ラオス</t>
  </si>
  <si>
    <t>LAO</t>
  </si>
  <si>
    <t>ラトビア</t>
  </si>
  <si>
    <t>LVA</t>
  </si>
  <si>
    <t>リトアニア</t>
  </si>
  <si>
    <t>LTU</t>
  </si>
  <si>
    <t>リヒテンシュタイン</t>
  </si>
  <si>
    <t>LIE</t>
  </si>
  <si>
    <t>リビア</t>
  </si>
  <si>
    <t>LBY</t>
  </si>
  <si>
    <t>リベリア</t>
  </si>
  <si>
    <t>LBR</t>
  </si>
  <si>
    <t>ルーマニア</t>
  </si>
  <si>
    <t>ROU</t>
  </si>
  <si>
    <t>ジブラルタル</t>
  </si>
  <si>
    <t>GIB</t>
  </si>
  <si>
    <t>ルクセンブルク</t>
  </si>
  <si>
    <t>LUX</t>
  </si>
  <si>
    <t>ルワンダ</t>
  </si>
  <si>
    <t>RWA</t>
  </si>
  <si>
    <t>レソト</t>
  </si>
  <si>
    <t>LSO</t>
  </si>
  <si>
    <t>レバノン</t>
  </si>
  <si>
    <t>LBN</t>
  </si>
  <si>
    <t>レユニオン</t>
  </si>
  <si>
    <t>REU</t>
  </si>
  <si>
    <t>ロシア</t>
  </si>
  <si>
    <t>RUS</t>
  </si>
  <si>
    <t>ワリス・フテュナ諸島</t>
  </si>
  <si>
    <t>WLF</t>
  </si>
  <si>
    <t>その他の国・地域</t>
  </si>
  <si>
    <t>ZZZ</t>
  </si>
  <si>
    <t>ISL</t>
    <phoneticPr fontId="3"/>
  </si>
  <si>
    <t>(資料) IOCコード一覧</t>
    <rPh sb="0" eb="2">
      <t>シリョウ</t>
    </rPh>
    <rPh sb="11" eb="13">
      <t>イチラン</t>
    </rPh>
    <phoneticPr fontId="3"/>
  </si>
  <si>
    <t>競技者かぶり</t>
    <rPh sb="0" eb="3">
      <t>キョウギシャ</t>
    </rPh>
    <phoneticPr fontId="3"/>
  </si>
  <si>
    <t>同一の選手情報が複数行にわたって入力されています。</t>
    <rPh sb="0" eb="2">
      <t>ドウイツ</t>
    </rPh>
    <rPh sb="3" eb="5">
      <t>センシュ</t>
    </rPh>
    <rPh sb="5" eb="7">
      <t>ジョウホウ</t>
    </rPh>
    <rPh sb="8" eb="10">
      <t>フクスウ</t>
    </rPh>
    <rPh sb="10" eb="11">
      <t>ギョウ</t>
    </rPh>
    <rPh sb="16" eb="18">
      <t>ニュウリョク</t>
    </rPh>
    <phoneticPr fontId="3"/>
  </si>
  <si>
    <t>「団体コード・大学略称・東海学生秋季」とすること
団体コードおよび大学略称は本シート入力欄のものを使用する</t>
    <rPh sb="1" eb="3">
      <t>ダンタイ</t>
    </rPh>
    <rPh sb="7" eb="9">
      <t>ダイガク</t>
    </rPh>
    <rPh sb="9" eb="11">
      <t>リャクショウ</t>
    </rPh>
    <rPh sb="25" eb="27">
      <t>ダンタイ</t>
    </rPh>
    <rPh sb="33" eb="35">
      <t>ダイガク</t>
    </rPh>
    <rPh sb="35" eb="37">
      <t>リャクショウ</t>
    </rPh>
    <rPh sb="38" eb="39">
      <t>ホン</t>
    </rPh>
    <rPh sb="42" eb="44">
      <t>ニュウリョク</t>
    </rPh>
    <rPh sb="44" eb="45">
      <t>ラン</t>
    </rPh>
    <rPh sb="49" eb="51">
      <t>シヨウ</t>
    </rPh>
    <phoneticPr fontId="3"/>
  </si>
  <si>
    <t>須﨑　雅也</t>
    <rPh sb="1" eb="2">
      <t>ザキ</t>
    </rPh>
    <phoneticPr fontId="3"/>
  </si>
  <si>
    <t>内田　昂太朗</t>
    <rPh sb="5" eb="6">
      <t>ロウ</t>
    </rPh>
    <phoneticPr fontId="3"/>
  </si>
  <si>
    <t>早川　佳佑</t>
    <rPh sb="3" eb="4">
      <t>ケイ</t>
    </rPh>
    <phoneticPr fontId="3"/>
  </si>
  <si>
    <t>中島　慎哉</t>
    <rPh sb="4" eb="5">
      <t>ヤ</t>
    </rPh>
    <phoneticPr fontId="3"/>
  </si>
  <si>
    <t>齊藤　希龍</t>
    <rPh sb="0" eb="1">
      <t>サイ</t>
    </rPh>
    <phoneticPr fontId="3"/>
  </si>
  <si>
    <t>ｱﾏｶﾜ ﾂﾖｼ</t>
  </si>
  <si>
    <t>髙辻　雅也</t>
    <rPh sb="0" eb="1">
      <t>タカ</t>
    </rPh>
    <phoneticPr fontId="3"/>
  </si>
  <si>
    <t>加藤　皓大</t>
    <rPh sb="4" eb="5">
      <t>オオ</t>
    </rPh>
    <phoneticPr fontId="3"/>
  </si>
  <si>
    <t>ｾｲｹ ｶｽﾞﾏ</t>
  </si>
  <si>
    <t>ｲｼｶﾞｷ ﾖｼﾄ</t>
  </si>
  <si>
    <t>ﾆｼﾓﾘ ｹﾞﾝｷ</t>
  </si>
  <si>
    <t>ﾏﾂｵｶ ﾂﾊﾞｻ</t>
  </si>
  <si>
    <t>ﾏｴﾀﾞ ﾕｳﾀ</t>
  </si>
  <si>
    <t>山﨑　開人</t>
    <rPh sb="1" eb="2">
      <t>ザキ</t>
    </rPh>
    <phoneticPr fontId="3"/>
  </si>
  <si>
    <t>ｶﾝﾀﾞ ｵｳｷ</t>
  </si>
  <si>
    <t>ｲｲ ﾋﾛｱｷ</t>
  </si>
  <si>
    <t>ﾎｿｷﾞ ｼｭﾝｽｹ</t>
  </si>
  <si>
    <t>ﾊｺﾔﾏ ﾊﾔﾃ</t>
  </si>
  <si>
    <t>ｻｶｲ ｼｮｳﾀ</t>
  </si>
  <si>
    <t>ﾖｼｶﾜ ﾅｵﾉﾘ</t>
  </si>
  <si>
    <t>1047</t>
  </si>
  <si>
    <t>1048</t>
  </si>
  <si>
    <t>1049</t>
  </si>
  <si>
    <t>1050</t>
  </si>
  <si>
    <t>1051</t>
  </si>
  <si>
    <t>天野　誠吾</t>
  </si>
  <si>
    <t>ｱﾏﾉ ｾｲｺﾞ</t>
  </si>
  <si>
    <t>山﨑　淳平</t>
  </si>
  <si>
    <t>ﾔﾏｻﾞｷ ｼﾞｭﾝﾍﾟｲ</t>
  </si>
  <si>
    <t>木下　睦貴</t>
  </si>
  <si>
    <t>ｷﾉｼﾀ ﾑﾂｷ</t>
  </si>
  <si>
    <t>宮川　智也</t>
  </si>
  <si>
    <t>ﾐﾔｶﾞﾜ ﾄﾓﾔ</t>
  </si>
  <si>
    <t>西村　竜輝</t>
  </si>
  <si>
    <t>ﾆｼﾑﾗ ﾘｭｳｷ</t>
  </si>
  <si>
    <t>松花　巧祐</t>
  </si>
  <si>
    <t>ﾏﾂﾊﾅ ｺｳｽｹ</t>
  </si>
  <si>
    <t>山本　悠太</t>
  </si>
  <si>
    <t>ﾔﾏﾓﾄ ﾕｳﾀ</t>
  </si>
  <si>
    <t>杉田　龍輝</t>
  </si>
  <si>
    <t>ｽｷﾞﾀ ﾘｷ</t>
  </si>
  <si>
    <t>土田　泰聖</t>
  </si>
  <si>
    <t>ﾂﾁﾀﾞ ﾀｲｾｲ</t>
  </si>
  <si>
    <t>森田　泰生</t>
  </si>
  <si>
    <t>ﾓﾘﾀ ﾀｲｾｲ</t>
  </si>
  <si>
    <t>中西　航太郎</t>
  </si>
  <si>
    <t>ﾅｶﾆｼ ｺｳﾀﾛｳ</t>
  </si>
  <si>
    <t>春田　航作</t>
  </si>
  <si>
    <t>ﾊﾙﾀ ｺｳｻｸ</t>
  </si>
  <si>
    <t>伊藤　颯汰</t>
  </si>
  <si>
    <t>平松　渉夢</t>
  </si>
  <si>
    <t>ﾋﾗﾏﾂ ｱﾕﾑ</t>
  </si>
  <si>
    <t>三輪　フェリッペ　セツオ</t>
  </si>
  <si>
    <t>ﾐﾜ ﾌｪﾘｯﾍﾟ ｾﾂｵ</t>
  </si>
  <si>
    <t>庄司　一眞</t>
  </si>
  <si>
    <t>ｼｮｳｼﾞ ｶｽﾞﾏ</t>
  </si>
  <si>
    <t>OKAJIMA</t>
    <phoneticPr fontId="5"/>
  </si>
  <si>
    <t>FURUHASHI</t>
    <phoneticPr fontId="5"/>
  </si>
  <si>
    <t>KUROKAWA</t>
    <phoneticPr fontId="5"/>
  </si>
  <si>
    <t>DETO</t>
    <phoneticPr fontId="5"/>
  </si>
  <si>
    <t>Manabu</t>
    <phoneticPr fontId="5"/>
  </si>
  <si>
    <t>KAWAHARA</t>
    <phoneticPr fontId="5"/>
  </si>
  <si>
    <t>Fuchika</t>
    <phoneticPr fontId="5"/>
  </si>
  <si>
    <t xml:space="preserve">KOYAMA </t>
    <phoneticPr fontId="5"/>
  </si>
  <si>
    <t>INOYA</t>
    <phoneticPr fontId="5"/>
  </si>
  <si>
    <t>KURIKAWA</t>
    <phoneticPr fontId="5"/>
  </si>
  <si>
    <t>Yoshiaki</t>
    <phoneticPr fontId="5"/>
  </si>
  <si>
    <t>SOGAWA</t>
    <phoneticPr fontId="5"/>
  </si>
  <si>
    <t>NISHINO</t>
    <phoneticPr fontId="5"/>
  </si>
  <si>
    <t>IDA</t>
    <phoneticPr fontId="5"/>
  </si>
  <si>
    <t>UNNO</t>
    <phoneticPr fontId="5"/>
  </si>
  <si>
    <t>NAKAHATA</t>
    <phoneticPr fontId="5"/>
  </si>
  <si>
    <t>IZAKURA</t>
    <phoneticPr fontId="5"/>
  </si>
  <si>
    <t>Issei</t>
    <phoneticPr fontId="5"/>
  </si>
  <si>
    <t>Yamato</t>
    <phoneticPr fontId="5"/>
  </si>
  <si>
    <t>Hyuga</t>
    <phoneticPr fontId="5"/>
  </si>
  <si>
    <t>NOZUE</t>
    <phoneticPr fontId="5"/>
  </si>
  <si>
    <t>Koushi</t>
    <phoneticPr fontId="5"/>
  </si>
  <si>
    <t>TOTSU</t>
    <phoneticPr fontId="5"/>
  </si>
  <si>
    <t>TERAO</t>
    <phoneticPr fontId="5"/>
  </si>
  <si>
    <t>KOUZEN</t>
    <phoneticPr fontId="5"/>
  </si>
  <si>
    <t>KAWABE</t>
    <phoneticPr fontId="5"/>
  </si>
  <si>
    <t>OISHI</t>
    <phoneticPr fontId="5"/>
  </si>
  <si>
    <t>KITSUKI</t>
    <phoneticPr fontId="5"/>
  </si>
  <si>
    <t>KAKIMOTO</t>
    <phoneticPr fontId="5"/>
  </si>
  <si>
    <t>Kazushi</t>
    <phoneticPr fontId="5"/>
  </si>
  <si>
    <t>DOI</t>
    <phoneticPr fontId="5"/>
  </si>
  <si>
    <t>Syunto</t>
    <phoneticPr fontId="5"/>
  </si>
  <si>
    <t>YATO</t>
    <phoneticPr fontId="5"/>
  </si>
  <si>
    <t>AKIYOSHI</t>
    <phoneticPr fontId="5"/>
  </si>
  <si>
    <t>TSUKIJI</t>
    <phoneticPr fontId="5"/>
  </si>
  <si>
    <t>YOSHIMOTO</t>
    <phoneticPr fontId="5"/>
  </si>
  <si>
    <t>DEGAWA</t>
    <phoneticPr fontId="5"/>
  </si>
  <si>
    <t>Tomonari</t>
    <phoneticPr fontId="5"/>
  </si>
  <si>
    <t>Fumito</t>
    <phoneticPr fontId="5"/>
  </si>
  <si>
    <t>KOBUCHI</t>
    <phoneticPr fontId="5"/>
  </si>
  <si>
    <t>ICHINOSE</t>
    <phoneticPr fontId="5"/>
  </si>
  <si>
    <t>Issa</t>
    <phoneticPr fontId="5"/>
  </si>
  <si>
    <t>Takeharu</t>
    <phoneticPr fontId="5"/>
  </si>
  <si>
    <t>Fuma</t>
    <phoneticPr fontId="5"/>
  </si>
  <si>
    <t>SHIBUE</t>
    <phoneticPr fontId="5"/>
  </si>
  <si>
    <t>Yoshikazu</t>
    <phoneticPr fontId="5"/>
  </si>
  <si>
    <t>HASHIKAWA</t>
    <phoneticPr fontId="5"/>
  </si>
  <si>
    <t>Kazunao</t>
    <phoneticPr fontId="5"/>
  </si>
  <si>
    <t>Chiaki</t>
    <phoneticPr fontId="5"/>
  </si>
  <si>
    <t>MATSUNO</t>
    <phoneticPr fontId="5"/>
  </si>
  <si>
    <t>YADA</t>
    <phoneticPr fontId="5"/>
  </si>
  <si>
    <t>SAWAMURA</t>
    <phoneticPr fontId="5"/>
  </si>
  <si>
    <t>MINAMI</t>
    <phoneticPr fontId="5"/>
  </si>
  <si>
    <t>DEJIMA</t>
    <phoneticPr fontId="5"/>
  </si>
  <si>
    <t>Tento</t>
    <phoneticPr fontId="5"/>
  </si>
  <si>
    <t>URANISHI</t>
    <phoneticPr fontId="5"/>
  </si>
  <si>
    <t>UDA</t>
    <phoneticPr fontId="5"/>
  </si>
  <si>
    <t>KAMIYA</t>
    <phoneticPr fontId="5"/>
  </si>
  <si>
    <t>YAMAGIWA</t>
    <phoneticPr fontId="5"/>
  </si>
  <si>
    <t>Keiju</t>
    <phoneticPr fontId="5"/>
  </si>
  <si>
    <t>YAMAHA</t>
    <phoneticPr fontId="5"/>
  </si>
  <si>
    <t>ISHIMATSU</t>
    <phoneticPr fontId="5"/>
  </si>
  <si>
    <t>Rinpei</t>
    <phoneticPr fontId="5"/>
  </si>
  <si>
    <t>Kazuhiro</t>
    <phoneticPr fontId="5"/>
  </si>
  <si>
    <t>SUGI</t>
    <phoneticPr fontId="5"/>
  </si>
  <si>
    <t>TERASHIMA</t>
    <phoneticPr fontId="5"/>
  </si>
  <si>
    <t>Haru</t>
    <phoneticPr fontId="5"/>
  </si>
  <si>
    <t>Gaku</t>
    <phoneticPr fontId="5"/>
  </si>
  <si>
    <t>ICHIKAWA</t>
    <phoneticPr fontId="5"/>
  </si>
  <si>
    <t>Tadaki</t>
    <phoneticPr fontId="5"/>
  </si>
  <si>
    <t>KOJI</t>
    <phoneticPr fontId="5"/>
  </si>
  <si>
    <t>IEZAKI</t>
    <phoneticPr fontId="5"/>
  </si>
  <si>
    <t>You</t>
    <phoneticPr fontId="5"/>
  </si>
  <si>
    <t>FURUO</t>
    <phoneticPr fontId="5"/>
  </si>
  <si>
    <t>OHIRA</t>
    <phoneticPr fontId="5"/>
  </si>
  <si>
    <t>Kaishi</t>
    <phoneticPr fontId="5"/>
  </si>
  <si>
    <t>AMANO</t>
  </si>
  <si>
    <t>Seigo</t>
  </si>
  <si>
    <t>Junpei</t>
  </si>
  <si>
    <t>Mutsuki</t>
  </si>
  <si>
    <t>MIYAGAWA</t>
  </si>
  <si>
    <t>MATSUHANA</t>
  </si>
  <si>
    <t>Kousuke</t>
  </si>
  <si>
    <t>SUGITA</t>
  </si>
  <si>
    <t>Riki</t>
  </si>
  <si>
    <t>TSUCHIDA</t>
  </si>
  <si>
    <t>Kotaro</t>
  </si>
  <si>
    <t>HARUTA</t>
  </si>
  <si>
    <t xml:space="preserve">Kosaku </t>
  </si>
  <si>
    <t>Sota</t>
  </si>
  <si>
    <t>HIRAMATSU</t>
  </si>
  <si>
    <t>MAWA FELIPPE</t>
  </si>
  <si>
    <t>Setsuo</t>
  </si>
  <si>
    <t>SHOJI</t>
  </si>
  <si>
    <t>Kazuma</t>
  </si>
  <si>
    <t>010406</t>
  </si>
  <si>
    <t>010409</t>
  </si>
  <si>
    <t>010622</t>
  </si>
  <si>
    <t>000928</t>
  </si>
  <si>
    <t>011006</t>
  </si>
  <si>
    <t>980107</t>
  </si>
  <si>
    <t>KOR2</t>
  </si>
  <si>
    <t>ｱﾙﾌｧﾍﾞｯﾄ氏名</t>
  </si>
  <si>
    <t>団体略称</t>
  </si>
  <si>
    <t>団体ｺｰﾄﾞ</t>
  </si>
  <si>
    <t>饗庭　奈々美</t>
    <rPh sb="5" eb="6">
      <t>ミ</t>
    </rPh>
    <phoneticPr fontId="3"/>
  </si>
  <si>
    <t>川合　若奈</t>
    <rPh sb="4" eb="5">
      <t>ナ</t>
    </rPh>
    <phoneticPr fontId="3"/>
  </si>
  <si>
    <t>澁谷　美紀</t>
    <rPh sb="0" eb="1">
      <t>シブ</t>
    </rPh>
    <phoneticPr fontId="3"/>
  </si>
  <si>
    <t>髙松　智美ムセンビ</t>
    <rPh sb="0" eb="1">
      <t>タカ</t>
    </rPh>
    <phoneticPr fontId="3"/>
  </si>
  <si>
    <t>中島　暖乃</t>
  </si>
  <si>
    <t>ﾅｶｼﾏ ﾉﾝﾉ</t>
  </si>
  <si>
    <t>伊藤　萌梨</t>
  </si>
  <si>
    <t>ｲﾄｳ ﾓｴﾘ</t>
  </si>
  <si>
    <t>祖父江　真子</t>
  </si>
  <si>
    <t>ｿﾌｴ ﾏｺ</t>
  </si>
  <si>
    <t>佐藤　杏香</t>
  </si>
  <si>
    <t>ｻﾄｳ ｷｮｳｶ</t>
  </si>
  <si>
    <t>森　なつ実</t>
  </si>
  <si>
    <t>ﾓﾘ ﾅﾂﾐ</t>
  </si>
  <si>
    <t>山中　瞳</t>
  </si>
  <si>
    <t>ﾔﾏﾅｶ ﾋﾄﾐ</t>
  </si>
  <si>
    <t>守屋　由依</t>
  </si>
  <si>
    <t>ﾓﾘﾔ ﾕｲ</t>
  </si>
  <si>
    <t>NAKASHIMA</t>
  </si>
  <si>
    <t>Nonno</t>
  </si>
  <si>
    <t>Moeri</t>
  </si>
  <si>
    <t>SOFUE</t>
  </si>
  <si>
    <t>Mako</t>
  </si>
  <si>
    <t>MORI</t>
  </si>
  <si>
    <t>Natumi</t>
  </si>
  <si>
    <t>YAMANAKA</t>
  </si>
  <si>
    <t>MORIYA</t>
  </si>
  <si>
    <t>010225</t>
  </si>
  <si>
    <t>011210</t>
  </si>
  <si>
    <t>011231</t>
  </si>
  <si>
    <r>
      <t>＜入力に関する注意事項＞
・選手のデータを入力してください。データの貼り付けをする場合は、</t>
    </r>
    <r>
      <rPr>
        <b/>
        <sz val="12"/>
        <color rgb="FFFF0000"/>
        <rFont val="メイリオ"/>
        <family val="3"/>
        <charset val="128"/>
      </rPr>
      <t>値の貼付</t>
    </r>
    <r>
      <rPr>
        <b/>
        <sz val="10"/>
        <color theme="1"/>
        <rFont val="メイリオ"/>
        <family val="3"/>
        <charset val="128"/>
      </rPr>
      <t>をしてください。
・ビブス記載の学連コード(「5-」)、</t>
    </r>
    <r>
      <rPr>
        <b/>
        <sz val="12"/>
        <color rgb="FFFF0000"/>
        <rFont val="メイリオ"/>
        <family val="3"/>
        <charset val="128"/>
      </rPr>
      <t>未登録の選手のビブスの番号</t>
    </r>
    <r>
      <rPr>
        <b/>
        <sz val="10"/>
        <color theme="1"/>
        <rFont val="メイリオ"/>
        <family val="3"/>
        <charset val="128"/>
      </rPr>
      <t>、</t>
    </r>
    <r>
      <rPr>
        <b/>
        <sz val="12"/>
        <color rgb="FFFF0000"/>
        <rFont val="メイリオ"/>
        <family val="3"/>
        <charset val="128"/>
      </rPr>
      <t>種目に出場しない選手の登録番号</t>
    </r>
    <r>
      <rPr>
        <b/>
        <sz val="10"/>
        <color theme="1"/>
        <rFont val="メイリオ"/>
        <family val="3"/>
        <charset val="128"/>
      </rPr>
      <t>は</t>
    </r>
    <r>
      <rPr>
        <b/>
        <sz val="12"/>
        <color rgb="FFFF0000"/>
        <rFont val="メイリオ"/>
        <family val="3"/>
        <charset val="128"/>
      </rPr>
      <t>入力しない</t>
    </r>
    <r>
      <rPr>
        <b/>
        <sz val="10"/>
        <color theme="1"/>
        <rFont val="メイリオ"/>
        <family val="3"/>
        <charset val="128"/>
      </rPr>
      <t>でください。
・</t>
    </r>
    <r>
      <rPr>
        <b/>
        <sz val="12"/>
        <color rgb="FFFF0000"/>
        <rFont val="メイリオ"/>
        <family val="3"/>
        <charset val="128"/>
      </rPr>
      <t>選手情報は自動で出力されます</t>
    </r>
    <r>
      <rPr>
        <b/>
        <sz val="10"/>
        <color theme="1"/>
        <rFont val="メイリオ"/>
        <family val="3"/>
        <charset val="128"/>
      </rPr>
      <t>が、選手情報に誤りがある場合、</t>
    </r>
    <r>
      <rPr>
        <b/>
        <sz val="12"/>
        <color rgb="FFFF0000"/>
        <rFont val="メイリオ"/>
        <family val="3"/>
        <charset val="128"/>
      </rPr>
      <t>直接入力欄への訂正はせず</t>
    </r>
    <r>
      <rPr>
        <b/>
        <sz val="10"/>
        <color theme="1"/>
        <rFont val="メイリオ"/>
        <family val="3"/>
        <charset val="128"/>
      </rPr>
      <t>、</t>
    </r>
    <r>
      <rPr>
        <b/>
        <sz val="12"/>
        <color rgb="FFFF0000"/>
        <rFont val="メイリオ"/>
        <family val="3"/>
        <charset val="128"/>
      </rPr>
      <t>「備考欄」に正誤情報を記入</t>
    </r>
    <r>
      <rPr>
        <b/>
        <sz val="10"/>
        <color theme="1"/>
        <rFont val="メイリオ"/>
        <family val="3"/>
        <charset val="128"/>
      </rPr>
      <t>してください。
・</t>
    </r>
    <r>
      <rPr>
        <b/>
        <sz val="12"/>
        <color rgb="FFFF0000"/>
        <rFont val="メイリオ"/>
        <family val="3"/>
        <charset val="128"/>
      </rPr>
      <t>第9回登録を予定している選手</t>
    </r>
    <r>
      <rPr>
        <b/>
        <sz val="10"/>
        <color theme="1"/>
        <rFont val="メイリオ"/>
        <family val="3"/>
        <charset val="128"/>
      </rPr>
      <t>は、・選手名（姓名の間に全角ｽﾍﾟｰｽ）・ﾌﾘｶﾞﾅ（姓名の間に半角ｽﾍﾟｰｽ）・英字名（姓名の間に半角ｶﾝﾏと半角ｽﾍﾟｰｽ）・生年（西暦下二桁を丸括弧でくくる）・学年・登録陸協（県まで）・国籍（IOCが定める3レター）を入力してください。その際、「47autumn」で入力欄のロックを解除できます。
・IOCコードについては、</t>
    </r>
    <r>
      <rPr>
        <b/>
        <sz val="12"/>
        <color rgb="FFFF0000"/>
        <rFont val="メイリオ"/>
        <family val="3"/>
        <charset val="128"/>
      </rPr>
      <t>「(資料) IOCコード一覧」を参照</t>
    </r>
    <r>
      <rPr>
        <b/>
        <sz val="10"/>
        <color theme="1"/>
        <rFont val="メイリオ"/>
        <family val="3"/>
        <charset val="128"/>
      </rPr>
      <t>してください。
・参考記録について、</t>
    </r>
    <r>
      <rPr>
        <b/>
        <sz val="12"/>
        <color rgb="FFFF0000"/>
        <rFont val="メイリオ"/>
        <family val="3"/>
        <charset val="128"/>
      </rPr>
      <t>トラック競技は1/100秒単位</t>
    </r>
    <r>
      <rPr>
        <b/>
        <sz val="10"/>
        <color theme="1"/>
        <rFont val="メイリオ"/>
        <family val="3"/>
        <charset val="128"/>
      </rPr>
      <t>で、</t>
    </r>
    <r>
      <rPr>
        <b/>
        <sz val="12"/>
        <color rgb="FFFF0000"/>
        <rFont val="メイリオ"/>
        <family val="3"/>
        <charset val="128"/>
      </rPr>
      <t>フィールド競技はcm単位</t>
    </r>
    <r>
      <rPr>
        <b/>
        <sz val="10"/>
        <color theme="1"/>
        <rFont val="メイリオ"/>
        <family val="3"/>
        <charset val="128"/>
      </rPr>
      <t>で、</t>
    </r>
    <r>
      <rPr>
        <b/>
        <sz val="12"/>
        <color rgb="FFFF0000"/>
        <rFont val="メイリオ"/>
        <family val="3"/>
        <charset val="128"/>
      </rPr>
      <t>混成競技は点単位</t>
    </r>
    <r>
      <rPr>
        <b/>
        <sz val="10"/>
        <color theme="1"/>
        <rFont val="メイリオ"/>
        <family val="3"/>
        <charset val="128"/>
      </rPr>
      <t>で</t>
    </r>
    <r>
      <rPr>
        <b/>
        <sz val="12"/>
        <color rgb="FFFF0000"/>
        <rFont val="メイリオ"/>
        <family val="3"/>
        <charset val="128"/>
      </rPr>
      <t>半角数字のみで入力</t>
    </r>
    <r>
      <rPr>
        <b/>
        <sz val="10"/>
        <color theme="1"/>
        <rFont val="メイリオ"/>
        <family val="3"/>
        <charset val="128"/>
      </rPr>
      <t>してください。</t>
    </r>
    <r>
      <rPr>
        <b/>
        <sz val="12"/>
        <color rgb="FFFF0000"/>
        <rFont val="メイリオ"/>
        <family val="3"/>
        <charset val="128"/>
      </rPr>
      <t>ピリオドなどの区切り記号、mや点などの単位は不要</t>
    </r>
    <r>
      <rPr>
        <b/>
        <sz val="10"/>
        <color theme="1"/>
        <rFont val="メイリオ"/>
        <family val="3"/>
        <charset val="128"/>
      </rPr>
      <t>です。</t>
    </r>
    <r>
      <rPr>
        <b/>
        <sz val="12"/>
        <color rgb="FFFF0000"/>
        <rFont val="メイリオ"/>
        <family val="3"/>
        <charset val="128"/>
      </rPr>
      <t>トラック競技で手動計時の場合は、1/100秒の位に「０」</t>
    </r>
    <r>
      <rPr>
        <b/>
        <sz val="10"/>
        <color theme="1"/>
        <rFont val="メイリオ"/>
        <family val="3"/>
        <charset val="128"/>
      </rPr>
      <t>を、</t>
    </r>
    <r>
      <rPr>
        <b/>
        <sz val="12"/>
        <color rgb="FFFF0000"/>
        <rFont val="メイリオ"/>
        <family val="3"/>
        <charset val="128"/>
      </rPr>
      <t>道路競走の場合は1/10秒、1/100秒の位に「０」を続けて入力</t>
    </r>
    <r>
      <rPr>
        <b/>
        <sz val="10"/>
        <color theme="1"/>
        <rFont val="メイリオ"/>
        <family val="3"/>
        <charset val="128"/>
      </rPr>
      <t>してください。</t>
    </r>
    <r>
      <rPr>
        <b/>
        <sz val="12"/>
        <color rgb="FFFF0000"/>
        <rFont val="メイリオ"/>
        <family val="3"/>
        <charset val="128"/>
      </rPr>
      <t>記録なしの場合は「０」を入力</t>
    </r>
    <r>
      <rPr>
        <b/>
        <sz val="10"/>
        <color theme="1"/>
        <rFont val="メイリオ"/>
        <family val="3"/>
        <charset val="128"/>
      </rPr>
      <t>してください。
・必ず、</t>
    </r>
    <r>
      <rPr>
        <b/>
        <sz val="12"/>
        <color rgb="FFFF0000"/>
        <rFont val="メイリオ"/>
        <family val="3"/>
        <charset val="128"/>
      </rPr>
      <t>エラーチェックを解消した状態</t>
    </r>
    <r>
      <rPr>
        <b/>
        <sz val="10"/>
        <color theme="1"/>
        <rFont val="メイリオ"/>
        <family val="3"/>
        <charset val="128"/>
      </rPr>
      <t>でエントリーを完了するようにして下さい。不備のある選手・種目のエントリーは認めません。</t>
    </r>
    <r>
      <rPr>
        <b/>
        <sz val="12"/>
        <color rgb="FFFF0000"/>
        <rFont val="メイリオ"/>
        <family val="3"/>
        <charset val="128"/>
      </rPr>
      <t>種目数と個人種目料金の合計が正しいこと</t>
    </r>
    <r>
      <rPr>
        <b/>
        <sz val="10"/>
        <color theme="1"/>
        <rFont val="メイリオ"/>
        <family val="3"/>
        <charset val="128"/>
      </rPr>
      <t>も確認してください。
・リレーおよび混成競技に出場する選手はこのシートに加えてそれぞれ、</t>
    </r>
    <r>
      <rPr>
        <b/>
        <sz val="12"/>
        <color rgb="FFFF0000"/>
        <rFont val="メイリオ"/>
        <family val="3"/>
        <charset val="128"/>
      </rPr>
      <t>「リレーエントリー」「混成競技エントリー」シートに必要事項を入力</t>
    </r>
    <r>
      <rPr>
        <b/>
        <sz val="10"/>
        <color theme="1"/>
        <rFont val="メイリオ"/>
        <family val="3"/>
        <charset val="128"/>
      </rPr>
      <t>してください。</t>
    </r>
    <rPh sb="62" eb="64">
      <t>キサイ</t>
    </rPh>
    <rPh sb="65" eb="67">
      <t>ガクレン</t>
    </rPh>
    <rPh sb="77" eb="80">
      <t>ミトウロク</t>
    </rPh>
    <rPh sb="81" eb="83">
      <t>センシュ</t>
    </rPh>
    <rPh sb="88" eb="90">
      <t>バンゴウ</t>
    </rPh>
    <rPh sb="91" eb="93">
      <t>シュモク</t>
    </rPh>
    <rPh sb="94" eb="96">
      <t>シュツジョウ</t>
    </rPh>
    <rPh sb="99" eb="101">
      <t>センシュ</t>
    </rPh>
    <rPh sb="102" eb="104">
      <t>トウロク</t>
    </rPh>
    <rPh sb="104" eb="106">
      <t>バンゴウ</t>
    </rPh>
    <rPh sb="107" eb="109">
      <t>ニュウリョク</t>
    </rPh>
    <rPh sb="120" eb="122">
      <t>センシュ</t>
    </rPh>
    <rPh sb="122" eb="124">
      <t>ジョウホウ</t>
    </rPh>
    <rPh sb="125" eb="127">
      <t>ジドウ</t>
    </rPh>
    <rPh sb="128" eb="130">
      <t>シュツリョク</t>
    </rPh>
    <rPh sb="136" eb="138">
      <t>センシュ</t>
    </rPh>
    <rPh sb="138" eb="140">
      <t>ジョウホウ</t>
    </rPh>
    <rPh sb="141" eb="142">
      <t>アヤマ</t>
    </rPh>
    <rPh sb="146" eb="148">
      <t>バアイ</t>
    </rPh>
    <rPh sb="149" eb="151">
      <t>チョクセツ</t>
    </rPh>
    <rPh sb="151" eb="153">
      <t>ニュウリョク</t>
    </rPh>
    <rPh sb="153" eb="154">
      <t>ラン</t>
    </rPh>
    <rPh sb="156" eb="158">
      <t>テイセイ</t>
    </rPh>
    <rPh sb="163" eb="165">
      <t>ビコウ</t>
    </rPh>
    <rPh sb="165" eb="166">
      <t>ラン</t>
    </rPh>
    <rPh sb="168" eb="170">
      <t>セイゴ</t>
    </rPh>
    <rPh sb="170" eb="172">
      <t>ジョウホウ</t>
    </rPh>
    <rPh sb="173" eb="175">
      <t>キニュウ</t>
    </rPh>
    <rPh sb="205" eb="207">
      <t>セイメイ</t>
    </rPh>
    <rPh sb="208" eb="209">
      <t>アイダ</t>
    </rPh>
    <rPh sb="225" eb="227">
      <t>セイメイ</t>
    </rPh>
    <rPh sb="228" eb="229">
      <t>アイダ</t>
    </rPh>
    <rPh sb="239" eb="241">
      <t>エイジ</t>
    </rPh>
    <rPh sb="241" eb="242">
      <t>メイ</t>
    </rPh>
    <rPh sb="243" eb="245">
      <t>セイメイ</t>
    </rPh>
    <rPh sb="246" eb="247">
      <t>アイダ</t>
    </rPh>
    <rPh sb="248" eb="250">
      <t>ハンカク</t>
    </rPh>
    <rPh sb="254" eb="256">
      <t>ハンカク</t>
    </rPh>
    <rPh sb="263" eb="265">
      <t>セイネン</t>
    </rPh>
    <rPh sb="266" eb="268">
      <t>セイレキ</t>
    </rPh>
    <rPh sb="268" eb="269">
      <t>シモ</t>
    </rPh>
    <rPh sb="269" eb="271">
      <t>フタケタ</t>
    </rPh>
    <rPh sb="272" eb="273">
      <t>マル</t>
    </rPh>
    <rPh sb="273" eb="275">
      <t>カッコ</t>
    </rPh>
    <rPh sb="294" eb="296">
      <t>コクセキ</t>
    </rPh>
    <rPh sb="301" eb="302">
      <t>サダ</t>
    </rPh>
    <rPh sb="321" eb="322">
      <t>サイ</t>
    </rPh>
    <rPh sb="334" eb="336">
      <t>ニュウリョク</t>
    </rPh>
    <rPh sb="336" eb="337">
      <t>ラン</t>
    </rPh>
    <rPh sb="342" eb="344">
      <t>カイジョ</t>
    </rPh>
    <rPh sb="365" eb="367">
      <t>シリョウ</t>
    </rPh>
    <rPh sb="375" eb="377">
      <t>イチラン</t>
    </rPh>
    <rPh sb="379" eb="381">
      <t>サンショウ</t>
    </rPh>
    <rPh sb="390" eb="392">
      <t>サンコウ</t>
    </rPh>
    <rPh sb="392" eb="394">
      <t>キロク</t>
    </rPh>
    <rPh sb="403" eb="405">
      <t>キョウギ</t>
    </rPh>
    <rPh sb="411" eb="412">
      <t>ビョウ</t>
    </rPh>
    <rPh sb="412" eb="414">
      <t>タンイ</t>
    </rPh>
    <rPh sb="421" eb="423">
      <t>キョウギ</t>
    </rPh>
    <rPh sb="426" eb="428">
      <t>タンイ</t>
    </rPh>
    <rPh sb="430" eb="432">
      <t>コンセイ</t>
    </rPh>
    <rPh sb="432" eb="434">
      <t>キョウギ</t>
    </rPh>
    <rPh sb="435" eb="436">
      <t>テン</t>
    </rPh>
    <rPh sb="436" eb="438">
      <t>タンイ</t>
    </rPh>
    <rPh sb="439" eb="441">
      <t>ハンカク</t>
    </rPh>
    <rPh sb="441" eb="443">
      <t>スウジ</t>
    </rPh>
    <rPh sb="446" eb="448">
      <t>ニュウリョク</t>
    </rPh>
    <rPh sb="462" eb="464">
      <t>クギ</t>
    </rPh>
    <rPh sb="465" eb="467">
      <t>キゴウ</t>
    </rPh>
    <rPh sb="470" eb="471">
      <t>テン</t>
    </rPh>
    <rPh sb="474" eb="476">
      <t>タンイ</t>
    </rPh>
    <rPh sb="477" eb="479">
      <t>フヨウ</t>
    </rPh>
    <rPh sb="486" eb="488">
      <t>キョウギ</t>
    </rPh>
    <rPh sb="489" eb="491">
      <t>シュドウ</t>
    </rPh>
    <rPh sb="491" eb="493">
      <t>ケイジ</t>
    </rPh>
    <rPh sb="494" eb="496">
      <t>バアイ</t>
    </rPh>
    <rPh sb="503" eb="504">
      <t>ビョウ</t>
    </rPh>
    <rPh sb="505" eb="506">
      <t>クライ</t>
    </rPh>
    <rPh sb="512" eb="514">
      <t>ドウロ</t>
    </rPh>
    <rPh sb="514" eb="516">
      <t>キョウソウ</t>
    </rPh>
    <rPh sb="517" eb="519">
      <t>バアイ</t>
    </rPh>
    <rPh sb="524" eb="525">
      <t>ビョウ</t>
    </rPh>
    <rPh sb="531" eb="532">
      <t>ビョウ</t>
    </rPh>
    <rPh sb="533" eb="534">
      <t>クライ</t>
    </rPh>
    <rPh sb="539" eb="540">
      <t>ツヅ</t>
    </rPh>
    <rPh sb="542" eb="544">
      <t>ニュウリョク</t>
    </rPh>
    <rPh sb="551" eb="553">
      <t>キロク</t>
    </rPh>
    <rPh sb="556" eb="558">
      <t>バアイ</t>
    </rPh>
    <rPh sb="563" eb="565">
      <t>ニュウリョク</t>
    </rPh>
    <rPh sb="671" eb="673">
      <t>コンセイ</t>
    </rPh>
    <rPh sb="673" eb="675">
      <t>キョウギ</t>
    </rPh>
    <rPh sb="708" eb="712">
      <t>コンセイキョウギ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</si>
</sst>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General&quot;点&quot;"/>
    <numFmt numFmtId="177" formatCode="General&quot;名&quot;"/>
    <numFmt numFmtId="178" formatCode="General&quot;チーム&quot;"/>
    <numFmt numFmtId="179" formatCode="General&quot;種目&quot;"/>
  </numFmts>
  <fonts count="46"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3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2"/>
      <color rgb="FFFF000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sz val="1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9"/>
      <color indexed="81"/>
      <name val="MS P 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rgb="FF0070C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i/>
      <sz val="16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6"/>
      <color theme="0"/>
      <name val="メイリオ"/>
      <family val="3"/>
      <charset val="128"/>
    </font>
    <font>
      <sz val="16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8"/>
      <color theme="1"/>
      <name val="メイリオ"/>
      <family val="3"/>
      <charset val="128"/>
    </font>
    <font>
      <b/>
      <sz val="16"/>
      <name val="メイリオ"/>
      <family val="3"/>
      <charset val="128"/>
    </font>
    <font>
      <sz val="8"/>
      <color rgb="FFFF0000"/>
      <name val="メイリオ"/>
      <family val="3"/>
      <charset val="128"/>
    </font>
    <font>
      <sz val="11"/>
      <color rgb="FFFF0000"/>
      <name val="ＭＳ Ｐゴシック"/>
      <family val="3"/>
      <charset val="128"/>
    </font>
    <font>
      <b/>
      <sz val="8"/>
      <color theme="1"/>
      <name val="メイリオ"/>
      <family val="3"/>
      <charset val="128"/>
    </font>
    <font>
      <sz val="20"/>
      <color theme="1"/>
      <name val="ＭＳ Ｐゴシック"/>
      <family val="3"/>
      <charset val="128"/>
    </font>
    <font>
      <u/>
      <sz val="11"/>
      <color rgb="FF0070C0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16"/>
      <color theme="1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8"/>
      <color theme="1"/>
      <name val="ＭＳ Ｐ明朝"/>
      <family val="1"/>
      <charset val="128"/>
    </font>
    <font>
      <sz val="11"/>
      <color rgb="FFFF0000"/>
      <name val="メイリオ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7FF"/>
        <bgColor indexed="64"/>
      </patternFill>
    </fill>
  </fills>
  <borders count="1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double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ck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tted">
        <color indexed="64"/>
      </right>
      <top style="double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2" fillId="0" borderId="0"/>
  </cellStyleXfs>
  <cellXfs count="539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2" borderId="0" xfId="0" applyFont="1" applyFill="1">
      <alignment vertical="center"/>
    </xf>
    <xf numFmtId="0" fontId="2" fillId="3" borderId="0" xfId="0" applyFont="1" applyFill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distributed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7" borderId="0" xfId="0" applyFont="1" applyFill="1">
      <alignment vertical="center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31" xfId="0" applyFont="1" applyBorder="1" applyAlignment="1" applyProtection="1">
      <alignment horizontal="center" vertical="center"/>
      <protection hidden="1"/>
    </xf>
    <xf numFmtId="49" fontId="21" fillId="0" borderId="0" xfId="2" applyNumberFormat="1" applyFont="1"/>
    <xf numFmtId="0" fontId="2" fillId="0" borderId="39" xfId="0" applyFont="1" applyBorder="1" applyAlignment="1">
      <alignment horizontal="left" vertical="center"/>
    </xf>
    <xf numFmtId="49" fontId="2" fillId="0" borderId="39" xfId="0" applyNumberFormat="1" applyFont="1" applyBorder="1" applyAlignment="1">
      <alignment horizontal="left" vertical="center"/>
    </xf>
    <xf numFmtId="0" fontId="22" fillId="0" borderId="39" xfId="0" applyFont="1" applyBorder="1" applyAlignment="1">
      <alignment horizontal="left" vertical="center"/>
    </xf>
    <xf numFmtId="0" fontId="21" fillId="0" borderId="0" xfId="2" applyNumberFormat="1" applyFont="1"/>
    <xf numFmtId="0" fontId="17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8" fillId="0" borderId="0" xfId="0" applyFont="1" applyAlignment="1" applyProtection="1">
      <alignment horizontal="left" vertical="center"/>
      <protection hidden="1"/>
    </xf>
    <xf numFmtId="0" fontId="28" fillId="0" borderId="0" xfId="0" quotePrefix="1" applyFont="1" applyAlignment="1" applyProtection="1">
      <alignment vertical="center"/>
      <protection hidden="1"/>
    </xf>
    <xf numFmtId="0" fontId="28" fillId="0" borderId="0" xfId="0" quotePrefix="1" applyFont="1" applyAlignment="1" applyProtection="1">
      <alignment vertical="center" wrapText="1"/>
      <protection hidden="1"/>
    </xf>
    <xf numFmtId="0" fontId="28" fillId="0" borderId="0" xfId="0" quotePrefix="1" applyFont="1" applyAlignment="1" applyProtection="1">
      <alignment horizontal="left" vertical="center"/>
      <protection hidden="1"/>
    </xf>
    <xf numFmtId="0" fontId="18" fillId="6" borderId="13" xfId="0" applyFont="1" applyFill="1" applyBorder="1" applyAlignment="1" applyProtection="1">
      <alignment horizontal="center" vertical="center"/>
      <protection hidden="1"/>
    </xf>
    <xf numFmtId="0" fontId="18" fillId="5" borderId="14" xfId="0" quotePrefix="1" applyFont="1" applyFill="1" applyBorder="1" applyAlignment="1" applyProtection="1">
      <alignment horizontal="center" vertical="center"/>
      <protection hidden="1"/>
    </xf>
    <xf numFmtId="0" fontId="18" fillId="0" borderId="15" xfId="0" applyFont="1" applyBorder="1" applyAlignment="1" applyProtection="1">
      <alignment horizontal="center" vertical="center"/>
      <protection hidden="1"/>
    </xf>
    <xf numFmtId="0" fontId="18" fillId="6" borderId="4" xfId="0" applyFont="1" applyFill="1" applyBorder="1" applyAlignment="1" applyProtection="1">
      <alignment horizontal="center" vertical="center"/>
      <protection hidden="1"/>
    </xf>
    <xf numFmtId="0" fontId="18" fillId="5" borderId="5" xfId="0" quotePrefix="1" applyFont="1" applyFill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7" xfId="0" applyFont="1" applyBorder="1" applyAlignment="1" applyProtection="1">
      <alignment horizontal="center" vertical="center"/>
      <protection hidden="1"/>
    </xf>
    <xf numFmtId="0" fontId="18" fillId="0" borderId="8" xfId="0" quotePrefix="1" applyFont="1" applyBorder="1" applyAlignment="1" applyProtection="1">
      <alignment horizontal="center" vertical="center"/>
      <protection hidden="1"/>
    </xf>
    <xf numFmtId="0" fontId="18" fillId="0" borderId="9" xfId="0" applyFont="1" applyBorder="1" applyAlignment="1" applyProtection="1">
      <alignment horizontal="center" vertical="center"/>
      <protection hidden="1"/>
    </xf>
    <xf numFmtId="0" fontId="2" fillId="0" borderId="0" xfId="0" applyFont="1" applyBorder="1">
      <alignment vertical="center"/>
    </xf>
    <xf numFmtId="0" fontId="26" fillId="0" borderId="0" xfId="0" applyFont="1" applyFill="1" applyAlignment="1" applyProtection="1">
      <alignment horizontal="center" vertical="center"/>
      <protection hidden="1"/>
    </xf>
    <xf numFmtId="0" fontId="24" fillId="0" borderId="0" xfId="0" applyFont="1" applyFill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29" fillId="0" borderId="50" xfId="0" applyFont="1" applyBorder="1" applyAlignment="1" applyProtection="1">
      <alignment horizontal="center" vertical="center"/>
      <protection hidden="1"/>
    </xf>
    <xf numFmtId="0" fontId="29" fillId="0" borderId="75" xfId="0" applyFont="1" applyBorder="1" applyAlignment="1" applyProtection="1">
      <alignment horizontal="center" vertical="center"/>
      <protection hidden="1"/>
    </xf>
    <xf numFmtId="0" fontId="16" fillId="6" borderId="4" xfId="0" applyFont="1" applyFill="1" applyBorder="1" applyAlignment="1" applyProtection="1">
      <alignment horizontal="center" vertical="center"/>
      <protection hidden="1"/>
    </xf>
    <xf numFmtId="0" fontId="16" fillId="6" borderId="5" xfId="0" applyFont="1" applyFill="1" applyBorder="1" applyAlignment="1" applyProtection="1">
      <alignment horizontal="center" vertical="center"/>
      <protection hidden="1"/>
    </xf>
    <xf numFmtId="176" fontId="16" fillId="13" borderId="5" xfId="0" applyNumberFormat="1" applyFont="1" applyFill="1" applyBorder="1" applyAlignment="1" applyProtection="1">
      <alignment horizontal="center" vertical="center"/>
      <protection hidden="1"/>
    </xf>
    <xf numFmtId="176" fontId="16" fillId="13" borderId="6" xfId="0" applyNumberFormat="1" applyFont="1" applyFill="1" applyBorder="1" applyAlignment="1" applyProtection="1">
      <alignment horizontal="center" vertical="center"/>
      <protection hidden="1"/>
    </xf>
    <xf numFmtId="0" fontId="16" fillId="6" borderId="7" xfId="0" applyFont="1" applyFill="1" applyBorder="1" applyAlignment="1" applyProtection="1">
      <alignment horizontal="center" vertical="center"/>
      <protection hidden="1"/>
    </xf>
    <xf numFmtId="176" fontId="16" fillId="13" borderId="8" xfId="0" applyNumberFormat="1" applyFont="1" applyFill="1" applyBorder="1" applyAlignment="1" applyProtection="1">
      <alignment horizontal="center" vertical="center"/>
      <protection hidden="1"/>
    </xf>
    <xf numFmtId="0" fontId="16" fillId="6" borderId="8" xfId="0" applyFont="1" applyFill="1" applyBorder="1" applyAlignment="1" applyProtection="1">
      <alignment horizontal="center" vertical="center"/>
      <protection hidden="1"/>
    </xf>
    <xf numFmtId="176" fontId="16" fillId="13" borderId="9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Fill="1" applyAlignment="1" applyProtection="1">
      <alignment vertical="center"/>
      <protection hidden="1"/>
    </xf>
    <xf numFmtId="0" fontId="16" fillId="0" borderId="0" xfId="0" applyFont="1" applyBorder="1" applyAlignment="1" applyProtection="1">
      <alignment vertical="center"/>
      <protection hidden="1"/>
    </xf>
    <xf numFmtId="0" fontId="16" fillId="5" borderId="4" xfId="0" applyFont="1" applyFill="1" applyBorder="1" applyAlignment="1" applyProtection="1">
      <alignment horizontal="center" vertical="center"/>
      <protection hidden="1"/>
    </xf>
    <xf numFmtId="0" fontId="16" fillId="5" borderId="5" xfId="0" applyFont="1" applyFill="1" applyBorder="1" applyAlignment="1" applyProtection="1">
      <alignment horizontal="center" vertical="center"/>
      <protection hidden="1"/>
    </xf>
    <xf numFmtId="176" fontId="16" fillId="14" borderId="5" xfId="0" applyNumberFormat="1" applyFont="1" applyFill="1" applyBorder="1" applyAlignment="1" applyProtection="1">
      <alignment horizontal="center" vertical="center"/>
      <protection hidden="1"/>
    </xf>
    <xf numFmtId="176" fontId="16" fillId="14" borderId="6" xfId="0" applyNumberFormat="1" applyFont="1" applyFill="1" applyBorder="1" applyAlignment="1" applyProtection="1">
      <alignment horizontal="center" vertical="center"/>
      <protection hidden="1"/>
    </xf>
    <xf numFmtId="0" fontId="16" fillId="5" borderId="7" xfId="0" applyFont="1" applyFill="1" applyBorder="1" applyAlignment="1" applyProtection="1">
      <alignment horizontal="center" vertical="center"/>
      <protection hidden="1"/>
    </xf>
    <xf numFmtId="0" fontId="16" fillId="5" borderId="8" xfId="0" applyFont="1" applyFill="1" applyBorder="1" applyAlignment="1" applyProtection="1">
      <alignment horizontal="center" vertical="center"/>
      <protection hidden="1"/>
    </xf>
    <xf numFmtId="0" fontId="29" fillId="0" borderId="21" xfId="0" applyFont="1" applyBorder="1" applyAlignment="1" applyProtection="1">
      <alignment horizontal="center" vertical="center"/>
      <protection hidden="1"/>
    </xf>
    <xf numFmtId="0" fontId="29" fillId="0" borderId="22" xfId="0" applyFont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16" fillId="6" borderId="10" xfId="0" applyFont="1" applyFill="1" applyBorder="1" applyAlignment="1" applyProtection="1">
      <alignment horizontal="center" vertical="center"/>
      <protection hidden="1"/>
    </xf>
    <xf numFmtId="0" fontId="16" fillId="6" borderId="11" xfId="0" applyFont="1" applyFill="1" applyBorder="1" applyAlignment="1" applyProtection="1">
      <alignment horizontal="center" vertical="center"/>
      <protection hidden="1"/>
    </xf>
    <xf numFmtId="0" fontId="16" fillId="6" borderId="12" xfId="0" applyFont="1" applyFill="1" applyBorder="1" applyAlignment="1" applyProtection="1">
      <alignment horizontal="center" vertical="center"/>
      <protection hidden="1"/>
    </xf>
    <xf numFmtId="0" fontId="16" fillId="6" borderId="13" xfId="0" applyFont="1" applyFill="1" applyBorder="1" applyAlignment="1" applyProtection="1">
      <alignment horizontal="center" vertical="center"/>
      <protection hidden="1"/>
    </xf>
    <xf numFmtId="176" fontId="16" fillId="13" borderId="14" xfId="0" applyNumberFormat="1" applyFont="1" applyFill="1" applyBorder="1" applyAlignment="1" applyProtection="1">
      <alignment horizontal="center" vertical="center"/>
      <protection hidden="1"/>
    </xf>
    <xf numFmtId="0" fontId="16" fillId="6" borderId="14" xfId="0" applyFont="1" applyFill="1" applyBorder="1" applyAlignment="1" applyProtection="1">
      <alignment horizontal="center" vertical="center"/>
      <protection hidden="1"/>
    </xf>
    <xf numFmtId="176" fontId="16" fillId="13" borderId="15" xfId="0" applyNumberFormat="1" applyFont="1" applyFill="1" applyBorder="1" applyAlignment="1" applyProtection="1">
      <alignment horizontal="center" vertical="center"/>
      <protection hidden="1"/>
    </xf>
    <xf numFmtId="0" fontId="16" fillId="5" borderId="10" xfId="0" applyFont="1" applyFill="1" applyBorder="1" applyAlignment="1" applyProtection="1">
      <alignment horizontal="center" vertical="center"/>
      <protection hidden="1"/>
    </xf>
    <xf numFmtId="0" fontId="16" fillId="5" borderId="11" xfId="0" applyFont="1" applyFill="1" applyBorder="1" applyAlignment="1" applyProtection="1">
      <alignment horizontal="center" vertical="center"/>
      <protection hidden="1"/>
    </xf>
    <xf numFmtId="0" fontId="16" fillId="5" borderId="12" xfId="0" applyFont="1" applyFill="1" applyBorder="1" applyAlignment="1" applyProtection="1">
      <alignment horizontal="center" vertical="center"/>
      <protection hidden="1"/>
    </xf>
    <xf numFmtId="0" fontId="16" fillId="5" borderId="13" xfId="0" applyFont="1" applyFill="1" applyBorder="1" applyAlignment="1" applyProtection="1">
      <alignment horizontal="center" vertical="center"/>
      <protection hidden="1"/>
    </xf>
    <xf numFmtId="176" fontId="16" fillId="14" borderId="14" xfId="0" applyNumberFormat="1" applyFont="1" applyFill="1" applyBorder="1" applyAlignment="1" applyProtection="1">
      <alignment horizontal="center" vertical="center"/>
      <protection hidden="1"/>
    </xf>
    <xf numFmtId="0" fontId="16" fillId="6" borderId="63" xfId="0" applyFont="1" applyFill="1" applyBorder="1" applyAlignment="1" applyProtection="1">
      <alignment horizontal="center" vertical="center"/>
      <protection hidden="1"/>
    </xf>
    <xf numFmtId="0" fontId="16" fillId="13" borderId="65" xfId="0" applyFont="1" applyFill="1" applyBorder="1" applyAlignment="1" applyProtection="1">
      <alignment horizontal="center" vertical="center"/>
      <protection hidden="1"/>
    </xf>
    <xf numFmtId="0" fontId="16" fillId="6" borderId="66" xfId="0" applyFont="1" applyFill="1" applyBorder="1" applyAlignment="1" applyProtection="1">
      <alignment horizontal="center" vertical="center"/>
      <protection hidden="1"/>
    </xf>
    <xf numFmtId="0" fontId="16" fillId="13" borderId="68" xfId="0" applyFont="1" applyFill="1" applyBorder="1" applyAlignment="1" applyProtection="1">
      <alignment horizontal="center" vertical="center"/>
      <protection hidden="1"/>
    </xf>
    <xf numFmtId="0" fontId="16" fillId="6" borderId="69" xfId="0" applyFont="1" applyFill="1" applyBorder="1" applyAlignment="1" applyProtection="1">
      <alignment horizontal="center" vertical="center"/>
      <protection hidden="1"/>
    </xf>
    <xf numFmtId="176" fontId="16" fillId="13" borderId="71" xfId="0" applyNumberFormat="1" applyFont="1" applyFill="1" applyBorder="1" applyAlignment="1" applyProtection="1">
      <alignment horizontal="center" vertical="center"/>
      <protection hidden="1"/>
    </xf>
    <xf numFmtId="0" fontId="16" fillId="5" borderId="63" xfId="0" applyFont="1" applyFill="1" applyBorder="1" applyAlignment="1" applyProtection="1">
      <alignment horizontal="center" vertical="center"/>
      <protection hidden="1"/>
    </xf>
    <xf numFmtId="0" fontId="16" fillId="14" borderId="65" xfId="0" applyFont="1" applyFill="1" applyBorder="1" applyAlignment="1" applyProtection="1">
      <alignment horizontal="center" vertical="center"/>
      <protection hidden="1"/>
    </xf>
    <xf numFmtId="0" fontId="16" fillId="5" borderId="66" xfId="0" applyFont="1" applyFill="1" applyBorder="1" applyAlignment="1" applyProtection="1">
      <alignment horizontal="center" vertical="center"/>
      <protection hidden="1"/>
    </xf>
    <xf numFmtId="0" fontId="16" fillId="14" borderId="68" xfId="0" applyFont="1" applyFill="1" applyBorder="1" applyAlignment="1" applyProtection="1">
      <alignment horizontal="center" vertical="center"/>
      <protection hidden="1"/>
    </xf>
    <xf numFmtId="0" fontId="16" fillId="5" borderId="69" xfId="0" applyFont="1" applyFill="1" applyBorder="1" applyAlignment="1" applyProtection="1">
      <alignment horizontal="center" vertical="center"/>
      <protection hidden="1"/>
    </xf>
    <xf numFmtId="0" fontId="29" fillId="6" borderId="18" xfId="0" applyFont="1" applyFill="1" applyBorder="1" applyAlignment="1" applyProtection="1">
      <alignment horizontal="center" vertical="center"/>
      <protection hidden="1"/>
    </xf>
    <xf numFmtId="0" fontId="29" fillId="5" borderId="18" xfId="0" applyFont="1" applyFill="1" applyBorder="1" applyAlignment="1" applyProtection="1">
      <alignment horizontal="center" vertical="center"/>
      <protection hidden="1"/>
    </xf>
    <xf numFmtId="177" fontId="16" fillId="0" borderId="18" xfId="0" applyNumberFormat="1" applyFont="1" applyBorder="1" applyAlignment="1" applyProtection="1">
      <alignment horizontal="center" vertical="center"/>
      <protection hidden="1"/>
    </xf>
    <xf numFmtId="0" fontId="2" fillId="0" borderId="0" xfId="0" quotePrefix="1" applyFont="1">
      <alignment vertical="center"/>
    </xf>
    <xf numFmtId="0" fontId="23" fillId="7" borderId="39" xfId="0" applyFont="1" applyFill="1" applyBorder="1" applyAlignment="1">
      <alignment horizontal="left" vertical="center"/>
    </xf>
    <xf numFmtId="0" fontId="2" fillId="7" borderId="39" xfId="0" applyFont="1" applyFill="1" applyBorder="1" applyAlignment="1">
      <alignment horizontal="left" vertical="center"/>
    </xf>
    <xf numFmtId="0" fontId="2" fillId="7" borderId="0" xfId="0" applyFont="1" applyFill="1" applyAlignment="1">
      <alignment horizontal="left" vertical="center"/>
    </xf>
    <xf numFmtId="0" fontId="23" fillId="0" borderId="39" xfId="0" applyFont="1" applyBorder="1" applyAlignment="1">
      <alignment horizontal="left" vertical="center"/>
    </xf>
    <xf numFmtId="49" fontId="21" fillId="0" borderId="39" xfId="0" applyNumberFormat="1" applyFont="1" applyBorder="1" applyAlignment="1">
      <alignment horizontal="left" vertical="center"/>
    </xf>
    <xf numFmtId="49" fontId="21" fillId="0" borderId="39" xfId="2" applyNumberFormat="1" applyFont="1" applyBorder="1" applyAlignment="1">
      <alignment horizontal="left" vertical="center"/>
    </xf>
    <xf numFmtId="0" fontId="21" fillId="0" borderId="39" xfId="2" applyFont="1" applyBorder="1" applyAlignment="1">
      <alignment horizontal="left" vertical="center"/>
    </xf>
    <xf numFmtId="0" fontId="22" fillId="3" borderId="39" xfId="0" applyFont="1" applyFill="1" applyBorder="1" applyAlignment="1">
      <alignment horizontal="left" vertical="center"/>
    </xf>
    <xf numFmtId="0" fontId="2" fillId="3" borderId="39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2" fillId="4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32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78" xfId="0" applyFont="1" applyBorder="1">
      <alignment vertical="center"/>
    </xf>
    <xf numFmtId="0" fontId="2" fillId="0" borderId="34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24" xfId="0" applyFont="1" applyBorder="1">
      <alignment vertical="center"/>
    </xf>
    <xf numFmtId="0" fontId="2" fillId="9" borderId="0" xfId="0" applyFont="1" applyFill="1">
      <alignment vertical="center"/>
    </xf>
    <xf numFmtId="0" fontId="2" fillId="9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2" fillId="0" borderId="78" xfId="0" applyFont="1" applyFill="1" applyBorder="1">
      <alignment vertical="center"/>
    </xf>
    <xf numFmtId="0" fontId="2" fillId="9" borderId="78" xfId="0" applyFont="1" applyFill="1" applyBorder="1">
      <alignment vertical="center"/>
    </xf>
    <xf numFmtId="0" fontId="2" fillId="10" borderId="32" xfId="0" applyFont="1" applyFill="1" applyBorder="1">
      <alignment vertical="center"/>
    </xf>
    <xf numFmtId="0" fontId="2" fillId="10" borderId="35" xfId="0" applyFont="1" applyFill="1" applyBorder="1">
      <alignment vertical="center"/>
    </xf>
    <xf numFmtId="0" fontId="2" fillId="10" borderId="36" xfId="0" applyFont="1" applyFill="1" applyBorder="1">
      <alignment vertical="center"/>
    </xf>
    <xf numFmtId="0" fontId="2" fillId="9" borderId="35" xfId="0" applyFont="1" applyFill="1" applyBorder="1">
      <alignment vertical="center"/>
    </xf>
    <xf numFmtId="0" fontId="2" fillId="9" borderId="36" xfId="0" applyFont="1" applyFill="1" applyBorder="1">
      <alignment vertical="center"/>
    </xf>
    <xf numFmtId="0" fontId="2" fillId="9" borderId="32" xfId="0" applyFont="1" applyFill="1" applyBorder="1">
      <alignment vertical="center"/>
    </xf>
    <xf numFmtId="0" fontId="27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15" fillId="0" borderId="0" xfId="0" applyNumberFormat="1" applyFont="1" applyFill="1" applyBorder="1" applyAlignment="1" applyProtection="1">
      <alignment horizontal="center" vertical="top"/>
      <protection hidden="1"/>
    </xf>
    <xf numFmtId="0" fontId="25" fillId="0" borderId="52" xfId="0" applyFont="1" applyBorder="1" applyAlignment="1" applyProtection="1">
      <alignment horizontal="center" vertical="center"/>
      <protection hidden="1"/>
    </xf>
    <xf numFmtId="49" fontId="25" fillId="4" borderId="46" xfId="0" applyNumberFormat="1" applyFont="1" applyFill="1" applyBorder="1" applyAlignment="1" applyProtection="1">
      <alignment horizontal="center" vertical="center"/>
      <protection hidden="1"/>
    </xf>
    <xf numFmtId="0" fontId="25" fillId="4" borderId="46" xfId="0" applyFont="1" applyFill="1" applyBorder="1" applyAlignment="1" applyProtection="1">
      <alignment horizontal="center" vertical="center"/>
      <protection hidden="1"/>
    </xf>
    <xf numFmtId="0" fontId="17" fillId="2" borderId="0" xfId="0" applyNumberFormat="1" applyFont="1" applyFill="1" applyAlignment="1" applyProtection="1">
      <alignment horizontal="left" vertical="center"/>
      <protection hidden="1"/>
    </xf>
    <xf numFmtId="0" fontId="17" fillId="2" borderId="0" xfId="0" applyNumberFormat="1" applyFont="1" applyFill="1" applyAlignment="1" applyProtection="1">
      <alignment horizontal="center" vertical="center"/>
      <protection hidden="1"/>
    </xf>
    <xf numFmtId="177" fontId="17" fillId="4" borderId="54" xfId="0" quotePrefix="1" applyNumberFormat="1" applyFont="1" applyFill="1" applyBorder="1" applyAlignment="1" applyProtection="1">
      <alignment horizontal="center" vertical="center"/>
      <protection hidden="1"/>
    </xf>
    <xf numFmtId="179" fontId="17" fillId="4" borderId="54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NumberFormat="1" applyFont="1" applyAlignment="1" applyProtection="1">
      <alignment horizontal="left" vertical="center"/>
      <protection hidden="1"/>
    </xf>
    <xf numFmtId="0" fontId="25" fillId="10" borderId="48" xfId="0" applyNumberFormat="1" applyFont="1" applyFill="1" applyBorder="1" applyAlignment="1" applyProtection="1">
      <alignment horizontal="center" vertical="center"/>
      <protection hidden="1"/>
    </xf>
    <xf numFmtId="0" fontId="17" fillId="0" borderId="80" xfId="0" applyNumberFormat="1" applyFont="1" applyBorder="1" applyAlignment="1" applyProtection="1">
      <alignment vertical="center"/>
      <protection hidden="1"/>
    </xf>
    <xf numFmtId="0" fontId="17" fillId="0" borderId="0" xfId="0" applyNumberFormat="1" applyFont="1" applyBorder="1" applyAlignment="1" applyProtection="1">
      <alignment vertical="center"/>
      <protection hidden="1"/>
    </xf>
    <xf numFmtId="0" fontId="17" fillId="12" borderId="14" xfId="0" applyNumberFormat="1" applyFont="1" applyFill="1" applyBorder="1" applyAlignment="1" applyProtection="1">
      <alignment horizontal="center" vertical="center"/>
      <protection hidden="1"/>
    </xf>
    <xf numFmtId="0" fontId="17" fillId="12" borderId="5" xfId="0" applyNumberFormat="1" applyFont="1" applyFill="1" applyBorder="1" applyAlignment="1" applyProtection="1">
      <alignment horizontal="center" vertical="center"/>
      <protection hidden="1"/>
    </xf>
    <xf numFmtId="0" fontId="17" fillId="12" borderId="31" xfId="0" applyNumberFormat="1" applyFont="1" applyFill="1" applyBorder="1" applyAlignment="1" applyProtection="1">
      <alignment horizontal="center" vertical="center"/>
      <protection hidden="1"/>
    </xf>
    <xf numFmtId="0" fontId="17" fillId="12" borderId="26" xfId="0" applyNumberFormat="1" applyFont="1" applyFill="1" applyBorder="1" applyAlignment="1" applyProtection="1">
      <alignment horizontal="center" vertical="center"/>
      <protection hidden="1"/>
    </xf>
    <xf numFmtId="0" fontId="17" fillId="12" borderId="74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NumberFormat="1" applyFont="1" applyBorder="1" applyAlignment="1" applyProtection="1">
      <alignment vertical="center"/>
      <protection hidden="1"/>
    </xf>
    <xf numFmtId="0" fontId="25" fillId="0" borderId="0" xfId="0" applyNumberFormat="1" applyFont="1" applyFill="1" applyBorder="1" applyAlignment="1" applyProtection="1">
      <alignment vertical="center"/>
      <protection hidden="1"/>
    </xf>
    <xf numFmtId="0" fontId="17" fillId="0" borderId="0" xfId="0" applyNumberFormat="1" applyFont="1" applyFill="1" applyBorder="1" applyAlignment="1" applyProtection="1">
      <alignment vertical="center"/>
      <protection hidden="1"/>
    </xf>
    <xf numFmtId="0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NumberFormat="1" applyFont="1" applyFill="1" applyBorder="1" applyAlignment="1" applyProtection="1">
      <alignment vertical="center"/>
      <protection hidden="1"/>
    </xf>
    <xf numFmtId="0" fontId="17" fillId="0" borderId="14" xfId="0" applyNumberFormat="1" applyFont="1" applyBorder="1" applyAlignment="1" applyProtection="1">
      <alignment horizontal="center" vertical="center"/>
      <protection locked="0" hidden="1"/>
    </xf>
    <xf numFmtId="0" fontId="17" fillId="0" borderId="5" xfId="0" applyNumberFormat="1" applyFont="1" applyBorder="1" applyAlignment="1" applyProtection="1">
      <alignment horizontal="center" vertical="center"/>
      <protection locked="0" hidden="1"/>
    </xf>
    <xf numFmtId="0" fontId="17" fillId="0" borderId="31" xfId="0" applyNumberFormat="1" applyFont="1" applyBorder="1" applyAlignment="1" applyProtection="1">
      <alignment horizontal="center" vertical="center"/>
      <protection locked="0" hidden="1"/>
    </xf>
    <xf numFmtId="0" fontId="17" fillId="12" borderId="14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5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31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27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44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14" xfId="0" applyFont="1" applyBorder="1" applyAlignment="1" applyProtection="1">
      <alignment horizontal="center" vertical="center"/>
      <protection hidden="1"/>
    </xf>
    <xf numFmtId="0" fontId="17" fillId="0" borderId="27" xfId="0" applyFont="1" applyBorder="1" applyAlignment="1" applyProtection="1">
      <alignment horizontal="center" vertical="center"/>
      <protection hidden="1"/>
    </xf>
    <xf numFmtId="0" fontId="17" fillId="12" borderId="14" xfId="0" applyFont="1" applyFill="1" applyBorder="1" applyAlignment="1" applyProtection="1">
      <alignment horizontal="center" vertical="center"/>
      <protection hidden="1"/>
    </xf>
    <xf numFmtId="0" fontId="17" fillId="12" borderId="5" xfId="0" applyFont="1" applyFill="1" applyBorder="1" applyAlignment="1" applyProtection="1">
      <alignment horizontal="center" vertical="center"/>
      <protection hidden="1"/>
    </xf>
    <xf numFmtId="0" fontId="17" fillId="12" borderId="31" xfId="0" applyFont="1" applyFill="1" applyBorder="1" applyAlignment="1" applyProtection="1">
      <alignment horizontal="center" vertical="center"/>
      <protection hidden="1"/>
    </xf>
    <xf numFmtId="0" fontId="17" fillId="12" borderId="27" xfId="0" applyFont="1" applyFill="1" applyBorder="1" applyAlignment="1" applyProtection="1">
      <alignment horizontal="center" vertical="center"/>
      <protection hidden="1"/>
    </xf>
    <xf numFmtId="0" fontId="17" fillId="12" borderId="26" xfId="0" applyFont="1" applyFill="1" applyBorder="1" applyAlignment="1" applyProtection="1">
      <alignment horizontal="center" vertical="center"/>
      <protection hidden="1"/>
    </xf>
    <xf numFmtId="0" fontId="17" fillId="12" borderId="44" xfId="0" applyFont="1" applyFill="1" applyBorder="1" applyAlignment="1" applyProtection="1">
      <alignment horizontal="center" vertical="center"/>
      <protection hidden="1"/>
    </xf>
    <xf numFmtId="0" fontId="17" fillId="12" borderId="74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Fill="1" applyBorder="1" applyAlignment="1" applyProtection="1">
      <alignment vertical="center"/>
      <protection hidden="1"/>
    </xf>
    <xf numFmtId="49" fontId="17" fillId="0" borderId="0" xfId="0" applyNumberFormat="1" applyFont="1" applyAlignment="1" applyProtection="1">
      <alignment horizontal="center" vertical="center"/>
      <protection hidden="1"/>
    </xf>
    <xf numFmtId="0" fontId="17" fillId="0" borderId="14" xfId="0" applyFont="1" applyBorder="1" applyAlignment="1" applyProtection="1">
      <alignment horizontal="center" vertical="center"/>
      <protection locked="0" hidden="1"/>
    </xf>
    <xf numFmtId="0" fontId="17" fillId="0" borderId="5" xfId="0" applyFont="1" applyBorder="1" applyAlignment="1" applyProtection="1">
      <alignment horizontal="center" vertical="center"/>
      <protection locked="0" hidden="1"/>
    </xf>
    <xf numFmtId="0" fontId="17" fillId="0" borderId="31" xfId="0" applyFont="1" applyBorder="1" applyAlignment="1" applyProtection="1">
      <alignment horizontal="center" vertical="center"/>
      <protection locked="0" hidden="1"/>
    </xf>
    <xf numFmtId="0" fontId="17" fillId="0" borderId="27" xfId="0" applyFont="1" applyBorder="1" applyAlignment="1" applyProtection="1">
      <alignment horizontal="center" vertical="center"/>
      <protection locked="0" hidden="1"/>
    </xf>
    <xf numFmtId="0" fontId="17" fillId="12" borderId="14" xfId="0" applyFont="1" applyFill="1" applyBorder="1" applyAlignment="1" applyProtection="1">
      <alignment horizontal="center" vertical="center"/>
      <protection locked="0" hidden="1"/>
    </xf>
    <xf numFmtId="0" fontId="17" fillId="12" borderId="5" xfId="0" applyFont="1" applyFill="1" applyBorder="1" applyAlignment="1" applyProtection="1">
      <alignment horizontal="center" vertical="center"/>
      <protection locked="0" hidden="1"/>
    </xf>
    <xf numFmtId="0" fontId="17" fillId="12" borderId="31" xfId="0" applyFont="1" applyFill="1" applyBorder="1" applyAlignment="1" applyProtection="1">
      <alignment horizontal="center" vertical="center"/>
      <protection locked="0" hidden="1"/>
    </xf>
    <xf numFmtId="0" fontId="17" fillId="12" borderId="27" xfId="0" applyFont="1" applyFill="1" applyBorder="1" applyAlignment="1" applyProtection="1">
      <alignment horizontal="center" vertical="center"/>
      <protection locked="0" hidden="1"/>
    </xf>
    <xf numFmtId="0" fontId="17" fillId="12" borderId="44" xfId="0" applyFont="1" applyFill="1" applyBorder="1" applyAlignment="1" applyProtection="1">
      <alignment horizontal="center" vertical="center"/>
      <protection locked="0" hidden="1"/>
    </xf>
    <xf numFmtId="0" fontId="26" fillId="2" borderId="0" xfId="0" applyFont="1" applyFill="1" applyAlignment="1" applyProtection="1">
      <alignment vertical="center"/>
      <protection hidden="1"/>
    </xf>
    <xf numFmtId="0" fontId="26" fillId="0" borderId="0" xfId="0" applyFont="1" applyFill="1" applyAlignment="1" applyProtection="1">
      <alignment vertical="center"/>
      <protection hidden="1"/>
    </xf>
    <xf numFmtId="14" fontId="24" fillId="0" borderId="0" xfId="0" applyNumberFormat="1" applyFont="1" applyFill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178" fontId="17" fillId="0" borderId="18" xfId="0" applyNumberFormat="1" applyFont="1" applyBorder="1" applyAlignment="1" applyProtection="1">
      <alignment horizontal="center" vertical="center"/>
      <protection hidden="1"/>
    </xf>
    <xf numFmtId="0" fontId="25" fillId="6" borderId="10" xfId="0" applyFont="1" applyFill="1" applyBorder="1" applyAlignment="1" applyProtection="1">
      <alignment horizontal="center" vertical="center"/>
      <protection hidden="1"/>
    </xf>
    <xf numFmtId="0" fontId="25" fillId="6" borderId="11" xfId="0" applyFont="1" applyFill="1" applyBorder="1" applyAlignment="1" applyProtection="1">
      <alignment horizontal="center" vertical="center"/>
      <protection hidden="1"/>
    </xf>
    <xf numFmtId="0" fontId="25" fillId="6" borderId="12" xfId="0" applyFont="1" applyFill="1" applyBorder="1" applyAlignment="1" applyProtection="1">
      <alignment horizontal="center" vertical="center"/>
      <protection hidden="1"/>
    </xf>
    <xf numFmtId="0" fontId="25" fillId="13" borderId="14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25" fillId="13" borderId="5" xfId="0" applyFont="1" applyFill="1" applyBorder="1" applyAlignment="1" applyProtection="1">
      <alignment horizontal="center" vertical="center"/>
      <protection hidden="1"/>
    </xf>
    <xf numFmtId="0" fontId="25" fillId="13" borderId="27" xfId="0" applyFont="1" applyFill="1" applyBorder="1" applyAlignment="1" applyProtection="1">
      <alignment horizontal="center" vertical="center"/>
      <protection hidden="1"/>
    </xf>
    <xf numFmtId="0" fontId="25" fillId="13" borderId="8" xfId="0" applyFont="1" applyFill="1" applyBorder="1" applyAlignment="1" applyProtection="1">
      <alignment horizontal="center" vertical="center"/>
      <protection hidden="1"/>
    </xf>
    <xf numFmtId="0" fontId="25" fillId="5" borderId="10" xfId="0" applyFont="1" applyFill="1" applyBorder="1" applyAlignment="1" applyProtection="1">
      <alignment horizontal="center" vertical="center"/>
      <protection hidden="1"/>
    </xf>
    <xf numFmtId="0" fontId="25" fillId="5" borderId="11" xfId="0" applyFont="1" applyFill="1" applyBorder="1" applyAlignment="1" applyProtection="1">
      <alignment horizontal="center" vertical="center"/>
      <protection hidden="1"/>
    </xf>
    <xf numFmtId="0" fontId="25" fillId="5" borderId="12" xfId="0" applyFont="1" applyFill="1" applyBorder="1" applyAlignment="1" applyProtection="1">
      <alignment horizontal="center" vertical="center"/>
      <protection hidden="1"/>
    </xf>
    <xf numFmtId="0" fontId="25" fillId="14" borderId="14" xfId="0" applyFont="1" applyFill="1" applyBorder="1" applyAlignment="1" applyProtection="1">
      <alignment horizontal="center" vertical="center"/>
      <protection hidden="1"/>
    </xf>
    <xf numFmtId="0" fontId="25" fillId="14" borderId="5" xfId="0" applyFont="1" applyFill="1" applyBorder="1" applyAlignment="1" applyProtection="1">
      <alignment horizontal="center" vertical="center"/>
      <protection hidden="1"/>
    </xf>
    <xf numFmtId="0" fontId="25" fillId="14" borderId="27" xfId="0" applyFont="1" applyFill="1" applyBorder="1" applyAlignment="1" applyProtection="1">
      <alignment horizontal="center" vertical="center"/>
      <protection hidden="1"/>
    </xf>
    <xf numFmtId="0" fontId="25" fillId="14" borderId="8" xfId="0" applyFont="1" applyFill="1" applyBorder="1" applyAlignment="1" applyProtection="1">
      <alignment horizontal="center" vertical="center"/>
      <protection hidden="1"/>
    </xf>
    <xf numFmtId="0" fontId="6" fillId="0" borderId="0" xfId="1" applyNumberFormat="1" applyFont="1" applyProtection="1">
      <alignment vertical="center"/>
      <protection hidden="1"/>
    </xf>
    <xf numFmtId="0" fontId="6" fillId="0" borderId="0" xfId="0" applyNumberFormat="1" applyFont="1" applyProtection="1">
      <alignment vertical="center"/>
      <protection hidden="1"/>
    </xf>
    <xf numFmtId="0" fontId="9" fillId="0" borderId="0" xfId="1" applyNumberFormat="1" applyFont="1" applyProtection="1">
      <alignment vertical="center"/>
      <protection hidden="1"/>
    </xf>
    <xf numFmtId="0" fontId="9" fillId="0" borderId="0" xfId="0" applyNumberFormat="1" applyFont="1" applyProtection="1">
      <alignment vertical="center"/>
      <protection hidden="1"/>
    </xf>
    <xf numFmtId="0" fontId="6" fillId="0" borderId="0" xfId="1" applyNumberFormat="1" applyFont="1" applyAlignment="1" applyProtection="1">
      <alignment horizontal="right" vertical="center"/>
      <protection hidden="1"/>
    </xf>
    <xf numFmtId="0" fontId="8" fillId="0" borderId="0" xfId="1" applyNumberFormat="1" applyFont="1" applyProtection="1">
      <alignment vertical="center"/>
      <protection hidden="1"/>
    </xf>
    <xf numFmtId="0" fontId="7" fillId="0" borderId="0" xfId="1" applyNumberFormat="1" applyFont="1" applyProtection="1">
      <alignment vertical="center"/>
      <protection hidden="1"/>
    </xf>
    <xf numFmtId="0" fontId="35" fillId="0" borderId="0" xfId="0" applyNumberFormat="1" applyFont="1" applyProtection="1">
      <alignment vertical="center"/>
      <protection hidden="1"/>
    </xf>
    <xf numFmtId="0" fontId="10" fillId="0" borderId="0" xfId="1" applyNumberFormat="1" applyFont="1" applyProtection="1">
      <alignment vertical="center"/>
      <protection hidden="1"/>
    </xf>
    <xf numFmtId="0" fontId="11" fillId="0" borderId="0" xfId="1" applyNumberFormat="1" applyFont="1" applyProtection="1">
      <alignment vertical="center"/>
      <protection hidden="1"/>
    </xf>
    <xf numFmtId="0" fontId="17" fillId="0" borderId="0" xfId="0" applyNumberFormat="1" applyFont="1" applyAlignment="1" applyProtection="1">
      <alignment horizontal="center" vertical="center"/>
      <protection hidden="1"/>
    </xf>
    <xf numFmtId="0" fontId="17" fillId="0" borderId="31" xfId="0" applyFont="1" applyBorder="1" applyAlignment="1" applyProtection="1">
      <alignment horizontal="center" vertical="center"/>
      <protection hidden="1"/>
    </xf>
    <xf numFmtId="0" fontId="17" fillId="0" borderId="0" xfId="0" applyNumberFormat="1" applyFont="1" applyAlignment="1" applyProtection="1">
      <alignment horizontal="center" vertical="center"/>
      <protection hidden="1"/>
    </xf>
    <xf numFmtId="0" fontId="17" fillId="12" borderId="27" xfId="0" applyNumberFormat="1" applyFont="1" applyFill="1" applyBorder="1" applyAlignment="1" applyProtection="1">
      <alignment horizontal="center" vertical="center"/>
      <protection hidden="1"/>
    </xf>
    <xf numFmtId="0" fontId="17" fillId="0" borderId="27" xfId="0" applyNumberFormat="1" applyFont="1" applyBorder="1" applyAlignment="1" applyProtection="1">
      <alignment horizontal="center" vertical="center"/>
      <protection hidden="1"/>
    </xf>
    <xf numFmtId="0" fontId="17" fillId="12" borderId="44" xfId="0" applyNumberFormat="1" applyFont="1" applyFill="1" applyBorder="1" applyAlignment="1" applyProtection="1">
      <alignment horizontal="center" vertical="center"/>
      <protection hidden="1"/>
    </xf>
    <xf numFmtId="0" fontId="17" fillId="0" borderId="14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17" fillId="0" borderId="0" xfId="0" applyNumberFormat="1" applyFont="1" applyAlignment="1" applyProtection="1">
      <alignment horizontal="center" vertical="center"/>
      <protection hidden="1"/>
    </xf>
    <xf numFmtId="0" fontId="17" fillId="0" borderId="27" xfId="0" applyNumberFormat="1" applyFont="1" applyBorder="1" applyAlignment="1" applyProtection="1">
      <alignment horizontal="center" vertical="center"/>
      <protection locked="0" hidden="1"/>
    </xf>
    <xf numFmtId="0" fontId="17" fillId="0" borderId="14" xfId="0" applyNumberFormat="1" applyFont="1" applyBorder="1" applyAlignment="1" applyProtection="1">
      <alignment horizontal="center" vertical="center"/>
      <protection hidden="1"/>
    </xf>
    <xf numFmtId="0" fontId="17" fillId="0" borderId="5" xfId="0" applyNumberFormat="1" applyFont="1" applyBorder="1" applyAlignment="1" applyProtection="1">
      <alignment horizontal="center" vertical="center"/>
      <protection hidden="1"/>
    </xf>
    <xf numFmtId="0" fontId="17" fillId="0" borderId="31" xfId="0" applyNumberFormat="1" applyFont="1" applyBorder="1" applyAlignment="1" applyProtection="1">
      <alignment horizontal="center" vertical="center"/>
      <protection hidden="1"/>
    </xf>
    <xf numFmtId="0" fontId="25" fillId="10" borderId="41" xfId="0" applyNumberFormat="1" applyFont="1" applyFill="1" applyBorder="1" applyAlignment="1" applyProtection="1">
      <alignment horizontal="center" vertical="center"/>
      <protection hidden="1"/>
    </xf>
    <xf numFmtId="0" fontId="25" fillId="10" borderId="27" xfId="0" applyNumberFormat="1" applyFont="1" applyFill="1" applyBorder="1" applyAlignment="1" applyProtection="1">
      <alignment horizontal="center" vertical="center"/>
      <protection hidden="1"/>
    </xf>
    <xf numFmtId="0" fontId="25" fillId="0" borderId="52" xfId="0" applyFont="1" applyBorder="1" applyAlignment="1" applyProtection="1">
      <alignment horizontal="center" vertical="center"/>
      <protection hidden="1"/>
    </xf>
    <xf numFmtId="0" fontId="25" fillId="10" borderId="4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 applyNumberFormat="1" applyFont="1" applyAlignment="1" applyProtection="1">
      <alignment horizontal="center" vertical="center"/>
      <protection hidden="1"/>
    </xf>
    <xf numFmtId="0" fontId="9" fillId="0" borderId="16" xfId="1" applyNumberFormat="1" applyFont="1" applyBorder="1" applyAlignment="1" applyProtection="1">
      <alignment horizontal="center" vertical="center"/>
      <protection hidden="1"/>
    </xf>
    <xf numFmtId="0" fontId="9" fillId="0" borderId="16" xfId="1" applyNumberFormat="1" applyFont="1" applyBorder="1" applyAlignment="1" applyProtection="1">
      <alignment vertical="center"/>
      <protection hidden="1"/>
    </xf>
    <xf numFmtId="0" fontId="8" fillId="0" borderId="0" xfId="1" applyNumberFormat="1" applyFont="1" applyAlignment="1" applyProtection="1">
      <alignment horizontal="center" vertical="center"/>
      <protection hidden="1"/>
    </xf>
    <xf numFmtId="0" fontId="17" fillId="0" borderId="0" xfId="0" applyNumberFormat="1" applyFont="1" applyAlignment="1" applyProtection="1">
      <alignment horizontal="center" vertical="center"/>
      <protection hidden="1"/>
    </xf>
    <xf numFmtId="0" fontId="9" fillId="0" borderId="0" xfId="1" applyNumberFormat="1" applyFont="1" applyBorder="1" applyAlignment="1" applyProtection="1">
      <alignment vertical="center"/>
      <protection hidden="1"/>
    </xf>
    <xf numFmtId="0" fontId="9" fillId="0" borderId="0" xfId="1" applyNumberFormat="1" applyFont="1" applyBorder="1" applyAlignment="1" applyProtection="1">
      <alignment horizontal="left" vertical="center"/>
      <protection hidden="1"/>
    </xf>
    <xf numFmtId="0" fontId="6" fillId="0" borderId="0" xfId="0" applyNumberFormat="1" applyFont="1" applyAlignment="1" applyProtection="1">
      <alignment horizontal="left" vertical="center"/>
      <protection hidden="1"/>
    </xf>
    <xf numFmtId="0" fontId="10" fillId="0" borderId="0" xfId="1" applyNumberFormat="1" applyFont="1" applyAlignment="1" applyProtection="1">
      <alignment horizontal="left" vertical="center"/>
      <protection hidden="1"/>
    </xf>
    <xf numFmtId="0" fontId="6" fillId="0" borderId="0" xfId="1" applyNumberFormat="1" applyFont="1" applyAlignment="1" applyProtection="1">
      <alignment horizontal="left" vertical="center"/>
      <protection hidden="1"/>
    </xf>
    <xf numFmtId="0" fontId="9" fillId="0" borderId="0" xfId="0" applyNumberFormat="1" applyFont="1" applyAlignment="1" applyProtection="1">
      <alignment horizontal="left" vertical="center"/>
      <protection hidden="1"/>
    </xf>
    <xf numFmtId="0" fontId="9" fillId="0" borderId="0" xfId="1" applyNumberFormat="1" applyFont="1" applyAlignment="1" applyProtection="1">
      <alignment horizontal="left" vertical="center"/>
      <protection hidden="1"/>
    </xf>
    <xf numFmtId="14" fontId="2" fillId="0" borderId="0" xfId="0" applyNumberFormat="1" applyFont="1" applyAlignment="1">
      <alignment horizontal="center" vertical="center"/>
    </xf>
    <xf numFmtId="14" fontId="17" fillId="0" borderId="0" xfId="0" applyNumberFormat="1" applyFont="1" applyAlignment="1" applyProtection="1">
      <alignment horizontal="center" vertical="center"/>
      <protection hidden="1"/>
    </xf>
    <xf numFmtId="14" fontId="24" fillId="2" borderId="0" xfId="0" applyNumberFormat="1" applyFont="1" applyFill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25" fillId="6" borderId="83" xfId="0" applyFont="1" applyFill="1" applyBorder="1" applyAlignment="1" applyProtection="1">
      <alignment horizontal="center" vertical="center"/>
      <protection hidden="1"/>
    </xf>
    <xf numFmtId="0" fontId="25" fillId="6" borderId="84" xfId="0" applyFont="1" applyFill="1" applyBorder="1" applyAlignment="1" applyProtection="1">
      <alignment horizontal="center" vertical="center"/>
      <protection hidden="1"/>
    </xf>
    <xf numFmtId="0" fontId="25" fillId="6" borderId="85" xfId="0" applyFont="1" applyFill="1" applyBorder="1" applyAlignment="1" applyProtection="1">
      <alignment horizontal="center" vertical="center"/>
      <protection hidden="1"/>
    </xf>
    <xf numFmtId="0" fontId="25" fillId="5" borderId="83" xfId="0" applyFont="1" applyFill="1" applyBorder="1" applyAlignment="1" applyProtection="1">
      <alignment horizontal="center" vertical="center"/>
      <protection hidden="1"/>
    </xf>
    <xf numFmtId="0" fontId="25" fillId="5" borderId="84" xfId="0" applyFont="1" applyFill="1" applyBorder="1" applyAlignment="1" applyProtection="1">
      <alignment horizontal="center" vertical="center"/>
      <protection hidden="1"/>
    </xf>
    <xf numFmtId="0" fontId="25" fillId="5" borderId="85" xfId="0" applyFont="1" applyFill="1" applyBorder="1" applyAlignment="1" applyProtection="1">
      <alignment horizontal="center" vertical="center"/>
      <protection hidden="1"/>
    </xf>
    <xf numFmtId="0" fontId="25" fillId="10" borderId="94" xfId="0" applyNumberFormat="1" applyFont="1" applyFill="1" applyBorder="1" applyAlignment="1" applyProtection="1">
      <alignment horizontal="center" vertical="center"/>
      <protection hidden="1"/>
    </xf>
    <xf numFmtId="0" fontId="25" fillId="10" borderId="95" xfId="0" applyNumberFormat="1" applyFont="1" applyFill="1" applyBorder="1" applyAlignment="1" applyProtection="1">
      <alignment horizontal="center" vertical="center"/>
      <protection hidden="1"/>
    </xf>
    <xf numFmtId="0" fontId="25" fillId="10" borderId="96" xfId="0" applyNumberFormat="1" applyFont="1" applyFill="1" applyBorder="1" applyAlignment="1" applyProtection="1">
      <alignment horizontal="center" vertical="center"/>
      <protection hidden="1"/>
    </xf>
    <xf numFmtId="0" fontId="17" fillId="0" borderId="97" xfId="0" applyNumberFormat="1" applyFont="1" applyBorder="1" applyAlignment="1" applyProtection="1">
      <alignment horizontal="center" vertical="center"/>
      <protection locked="0" hidden="1"/>
    </xf>
    <xf numFmtId="0" fontId="17" fillId="0" borderId="98" xfId="0" applyNumberFormat="1" applyFont="1" applyBorder="1" applyAlignment="1" applyProtection="1">
      <alignment horizontal="center" vertical="center"/>
      <protection locked="0" hidden="1"/>
    </xf>
    <xf numFmtId="0" fontId="17" fillId="0" borderId="99" xfId="0" applyNumberFormat="1" applyFont="1" applyBorder="1" applyAlignment="1" applyProtection="1">
      <alignment horizontal="center" vertical="center"/>
      <protection locked="0" hidden="1"/>
    </xf>
    <xf numFmtId="0" fontId="17" fillId="0" borderId="100" xfId="0" applyNumberFormat="1" applyFont="1" applyBorder="1" applyAlignment="1" applyProtection="1">
      <alignment horizontal="center" vertical="center"/>
      <protection locked="0" hidden="1"/>
    </xf>
    <xf numFmtId="0" fontId="17" fillId="0" borderId="101" xfId="0" applyNumberFormat="1" applyFont="1" applyBorder="1" applyAlignment="1" applyProtection="1">
      <alignment horizontal="center" vertical="center"/>
      <protection locked="0" hidden="1"/>
    </xf>
    <xf numFmtId="0" fontId="17" fillId="0" borderId="102" xfId="0" applyNumberFormat="1" applyFont="1" applyBorder="1" applyAlignment="1" applyProtection="1">
      <alignment horizontal="center" vertical="center"/>
      <protection locked="0" hidden="1"/>
    </xf>
    <xf numFmtId="0" fontId="17" fillId="0" borderId="94" xfId="0" applyNumberFormat="1" applyFont="1" applyBorder="1" applyAlignment="1" applyProtection="1">
      <alignment horizontal="center" vertical="center"/>
      <protection locked="0" hidden="1"/>
    </xf>
    <xf numFmtId="0" fontId="17" fillId="0" borderId="95" xfId="0" applyNumberFormat="1" applyFont="1" applyBorder="1" applyAlignment="1" applyProtection="1">
      <alignment horizontal="center" vertical="center"/>
      <protection locked="0" hidden="1"/>
    </xf>
    <xf numFmtId="0" fontId="17" fillId="0" borderId="96" xfId="0" applyNumberFormat="1" applyFont="1" applyBorder="1" applyAlignment="1" applyProtection="1">
      <alignment horizontal="center" vertical="center"/>
      <protection locked="0" hidden="1"/>
    </xf>
    <xf numFmtId="0" fontId="17" fillId="12" borderId="97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98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99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100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101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102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94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95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96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103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104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105" xfId="0" applyNumberFormat="1" applyFont="1" applyFill="1" applyBorder="1" applyAlignment="1" applyProtection="1">
      <alignment horizontal="center" vertical="center"/>
      <protection locked="0" hidden="1"/>
    </xf>
    <xf numFmtId="0" fontId="28" fillId="0" borderId="0" xfId="0" applyFont="1" applyAlignment="1" applyProtection="1">
      <alignment horizontal="left" vertical="center"/>
      <protection hidden="1"/>
    </xf>
    <xf numFmtId="0" fontId="17" fillId="0" borderId="0" xfId="0" applyNumberFormat="1" applyFont="1" applyAlignment="1" applyProtection="1">
      <alignment horizontal="center" vertical="center"/>
      <protection hidden="1"/>
    </xf>
    <xf numFmtId="0" fontId="29" fillId="0" borderId="49" xfId="0" applyFont="1" applyBorder="1" applyAlignment="1" applyProtection="1">
      <alignment horizontal="center" vertical="center"/>
      <protection hidden="1"/>
    </xf>
    <xf numFmtId="0" fontId="29" fillId="0" borderId="17" xfId="0" applyFont="1" applyBorder="1" applyAlignment="1" applyProtection="1">
      <alignment horizontal="center" vertical="center"/>
      <protection hidden="1"/>
    </xf>
    <xf numFmtId="176" fontId="16" fillId="14" borderId="9" xfId="0" applyNumberFormat="1" applyFont="1" applyFill="1" applyBorder="1" applyAlignment="1" applyProtection="1">
      <alignment horizontal="center" vertical="center"/>
      <protection hidden="1"/>
    </xf>
    <xf numFmtId="0" fontId="29" fillId="0" borderId="14" xfId="0" applyFont="1" applyBorder="1" applyAlignment="1" applyProtection="1">
      <alignment horizontal="center" vertical="center"/>
      <protection locked="0" hidden="1"/>
    </xf>
    <xf numFmtId="0" fontId="29" fillId="0" borderId="5" xfId="0" applyFont="1" applyBorder="1" applyAlignment="1" applyProtection="1">
      <alignment horizontal="center" vertical="center"/>
      <protection locked="0" hidden="1"/>
    </xf>
    <xf numFmtId="0" fontId="29" fillId="0" borderId="8" xfId="0" applyFont="1" applyBorder="1" applyAlignment="1" applyProtection="1">
      <alignment horizontal="center" vertical="center"/>
      <protection locked="0" hidden="1"/>
    </xf>
    <xf numFmtId="0" fontId="29" fillId="0" borderId="14" xfId="0" applyNumberFormat="1" applyFont="1" applyBorder="1" applyAlignment="1" applyProtection="1">
      <alignment horizontal="center" vertical="center"/>
      <protection locked="0" hidden="1"/>
    </xf>
    <xf numFmtId="0" fontId="42" fillId="0" borderId="0" xfId="1" applyNumberFormat="1" applyFont="1" applyProtection="1">
      <alignment vertical="center"/>
      <protection hidden="1"/>
    </xf>
    <xf numFmtId="0" fontId="42" fillId="0" borderId="0" xfId="1" applyNumberFormat="1" applyFont="1" applyProtection="1">
      <alignment vertical="center"/>
      <protection locked="0" hidden="1"/>
    </xf>
    <xf numFmtId="0" fontId="43" fillId="0" borderId="0" xfId="1" applyNumberFormat="1" applyFont="1" applyAlignment="1" applyProtection="1">
      <alignment horizontal="left" vertical="center"/>
      <protection hidden="1"/>
    </xf>
    <xf numFmtId="0" fontId="43" fillId="0" borderId="0" xfId="1" applyNumberFormat="1" applyFont="1" applyAlignment="1" applyProtection="1">
      <alignment horizontal="right" vertical="center"/>
      <protection hidden="1"/>
    </xf>
    <xf numFmtId="0" fontId="43" fillId="0" borderId="0" xfId="1" applyNumberFormat="1" applyFont="1" applyProtection="1">
      <alignment vertical="center"/>
      <protection hidden="1"/>
    </xf>
    <xf numFmtId="0" fontId="41" fillId="0" borderId="16" xfId="0" applyNumberFormat="1" applyFont="1" applyBorder="1" applyProtection="1">
      <alignment vertical="center"/>
      <protection hidden="1"/>
    </xf>
    <xf numFmtId="0" fontId="33" fillId="0" borderId="111" xfId="0" applyFont="1" applyBorder="1" applyAlignment="1" applyProtection="1">
      <alignment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29" fillId="0" borderId="0" xfId="0" applyNumberFormat="1" applyFont="1" applyAlignment="1" applyProtection="1">
      <alignment horizontal="left" vertical="center"/>
      <protection hidden="1"/>
    </xf>
    <xf numFmtId="0" fontId="7" fillId="0" borderId="0" xfId="0" applyFo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center"/>
    </xf>
    <xf numFmtId="0" fontId="7" fillId="12" borderId="9" xfId="0" applyFont="1" applyFill="1" applyBorder="1" applyAlignment="1">
      <alignment horizontal="center" vertical="center"/>
    </xf>
    <xf numFmtId="0" fontId="25" fillId="10" borderId="41" xfId="0" applyNumberFormat="1" applyFont="1" applyFill="1" applyBorder="1" applyAlignment="1" applyProtection="1">
      <alignment horizontal="center" vertical="center" wrapText="1"/>
      <protection hidden="1"/>
    </xf>
    <xf numFmtId="0" fontId="25" fillId="10" borderId="27" xfId="0" applyNumberFormat="1" applyFont="1" applyFill="1" applyBorder="1" applyAlignment="1" applyProtection="1">
      <alignment horizontal="center" vertical="center"/>
      <protection hidden="1"/>
    </xf>
    <xf numFmtId="0" fontId="25" fillId="10" borderId="41" xfId="0" applyNumberFormat="1" applyFont="1" applyFill="1" applyBorder="1" applyAlignment="1" applyProtection="1">
      <alignment horizontal="center" vertical="center"/>
      <protection hidden="1"/>
    </xf>
    <xf numFmtId="0" fontId="33" fillId="0" borderId="120" xfId="0" applyFont="1" applyBorder="1" applyAlignment="1" applyProtection="1">
      <alignment vertical="center"/>
      <protection hidden="1"/>
    </xf>
    <xf numFmtId="176" fontId="16" fillId="14" borderId="71" xfId="0" applyNumberFormat="1" applyFont="1" applyFill="1" applyBorder="1" applyAlignment="1" applyProtection="1">
      <alignment horizontal="center" vertical="center"/>
      <protection hidden="1"/>
    </xf>
    <xf numFmtId="0" fontId="17" fillId="0" borderId="27" xfId="0" applyFont="1" applyBorder="1" applyAlignment="1" applyProtection="1">
      <alignment horizontal="center" vertical="center"/>
      <protection locked="0" hidden="1"/>
    </xf>
    <xf numFmtId="0" fontId="29" fillId="0" borderId="14" xfId="0" applyFont="1" applyBorder="1" applyAlignment="1" applyProtection="1">
      <alignment horizontal="center" vertical="center"/>
      <protection locked="0"/>
    </xf>
    <xf numFmtId="0" fontId="29" fillId="0" borderId="5" xfId="0" applyFont="1" applyBorder="1" applyAlignment="1" applyProtection="1">
      <alignment horizontal="center" vertical="center"/>
      <protection locked="0"/>
    </xf>
    <xf numFmtId="0" fontId="29" fillId="0" borderId="8" xfId="0" applyFont="1" applyBorder="1" applyAlignment="1" applyProtection="1">
      <alignment horizontal="center" vertical="center"/>
      <protection locked="0"/>
    </xf>
    <xf numFmtId="0" fontId="17" fillId="0" borderId="0" xfId="0" applyNumberFormat="1" applyFont="1" applyAlignment="1" applyProtection="1">
      <alignment horizontal="center" vertical="center"/>
      <protection hidden="1"/>
    </xf>
    <xf numFmtId="49" fontId="21" fillId="0" borderId="39" xfId="0" applyNumberFormat="1" applyFont="1" applyBorder="1" applyAlignment="1">
      <alignment horizontal="left"/>
    </xf>
    <xf numFmtId="49" fontId="21" fillId="0" borderId="39" xfId="2" applyNumberFormat="1" applyFont="1" applyBorder="1" applyAlignment="1">
      <alignment horizontal="left"/>
    </xf>
    <xf numFmtId="0" fontId="28" fillId="0" borderId="0" xfId="0" quotePrefix="1" applyFont="1" applyAlignment="1" applyProtection="1">
      <alignment horizontal="left" vertical="top" wrapText="1" indent="1"/>
      <protection hidden="1"/>
    </xf>
    <xf numFmtId="0" fontId="28" fillId="0" borderId="0" xfId="0" quotePrefix="1" applyFont="1" applyBorder="1" applyAlignment="1" applyProtection="1">
      <alignment horizontal="left" vertical="top" wrapText="1" indent="1"/>
      <protection hidden="1"/>
    </xf>
    <xf numFmtId="0" fontId="28" fillId="8" borderId="116" xfId="0" quotePrefix="1" applyFont="1" applyFill="1" applyBorder="1" applyAlignment="1" applyProtection="1">
      <alignment horizontal="left" vertical="center"/>
      <protection hidden="1"/>
    </xf>
    <xf numFmtId="0" fontId="28" fillId="8" borderId="117" xfId="0" quotePrefix="1" applyFont="1" applyFill="1" applyBorder="1" applyAlignment="1" applyProtection="1">
      <alignment horizontal="left" vertical="center"/>
      <protection hidden="1"/>
    </xf>
    <xf numFmtId="0" fontId="28" fillId="3" borderId="116" xfId="0" quotePrefix="1" applyFont="1" applyFill="1" applyBorder="1" applyAlignment="1" applyProtection="1">
      <alignment horizontal="left" vertical="center"/>
      <protection hidden="1"/>
    </xf>
    <xf numFmtId="0" fontId="28" fillId="3" borderId="117" xfId="0" quotePrefix="1" applyFont="1" applyFill="1" applyBorder="1" applyAlignment="1" applyProtection="1">
      <alignment horizontal="left" vertical="center"/>
      <protection hidden="1"/>
    </xf>
    <xf numFmtId="0" fontId="28" fillId="7" borderId="116" xfId="0" quotePrefix="1" applyFont="1" applyFill="1" applyBorder="1" applyAlignment="1" applyProtection="1">
      <alignment horizontal="left" vertical="center"/>
      <protection hidden="1"/>
    </xf>
    <xf numFmtId="0" fontId="28" fillId="7" borderId="117" xfId="0" quotePrefix="1" applyFont="1" applyFill="1" applyBorder="1" applyAlignment="1" applyProtection="1">
      <alignment horizontal="left" vertical="center"/>
      <protection hidden="1"/>
    </xf>
    <xf numFmtId="0" fontId="28" fillId="9" borderId="116" xfId="0" quotePrefix="1" applyFont="1" applyFill="1" applyBorder="1" applyAlignment="1" applyProtection="1">
      <alignment horizontal="left" vertical="center"/>
      <protection hidden="1"/>
    </xf>
    <xf numFmtId="0" fontId="28" fillId="9" borderId="117" xfId="0" quotePrefix="1" applyFont="1" applyFill="1" applyBorder="1" applyAlignment="1" applyProtection="1">
      <alignment horizontal="left" vertical="center"/>
      <protection hidden="1"/>
    </xf>
    <xf numFmtId="0" fontId="0" fillId="0" borderId="0" xfId="0" quotePrefix="1">
      <alignment vertical="center"/>
    </xf>
    <xf numFmtId="0" fontId="28" fillId="0" borderId="0" xfId="0" quotePrefix="1" applyFont="1" applyFill="1" applyAlignment="1" applyProtection="1">
      <alignment horizontal="left" vertical="center" wrapText="1" indent="1"/>
      <protection hidden="1"/>
    </xf>
    <xf numFmtId="0" fontId="28" fillId="12" borderId="118" xfId="0" quotePrefix="1" applyFont="1" applyFill="1" applyBorder="1" applyAlignment="1" applyProtection="1">
      <alignment horizontal="left" vertical="center"/>
      <protection hidden="1"/>
    </xf>
    <xf numFmtId="0" fontId="28" fillId="12" borderId="119" xfId="0" quotePrefix="1" applyFont="1" applyFill="1" applyBorder="1" applyAlignment="1" applyProtection="1">
      <alignment horizontal="left" vertical="center"/>
      <protection hidden="1"/>
    </xf>
    <xf numFmtId="0" fontId="28" fillId="0" borderId="0" xfId="0" applyFont="1" applyAlignment="1" applyProtection="1">
      <alignment horizontal="left" vertical="center"/>
      <protection hidden="1"/>
    </xf>
    <xf numFmtId="0" fontId="25" fillId="0" borderId="69" xfId="0" applyFont="1" applyFill="1" applyBorder="1" applyAlignment="1" applyProtection="1">
      <alignment horizontal="center" vertical="center"/>
      <protection hidden="1"/>
    </xf>
    <xf numFmtId="0" fontId="25" fillId="0" borderId="70" xfId="0" applyFont="1" applyFill="1" applyBorder="1" applyAlignment="1" applyProtection="1">
      <alignment horizontal="center" vertical="center"/>
      <protection hidden="1"/>
    </xf>
    <xf numFmtId="0" fontId="25" fillId="0" borderId="66" xfId="0" applyFont="1" applyBorder="1" applyAlignment="1" applyProtection="1">
      <alignment horizontal="center" vertical="center"/>
      <protection hidden="1"/>
    </xf>
    <xf numFmtId="0" fontId="25" fillId="0" borderId="67" xfId="0" applyFont="1" applyBorder="1" applyAlignment="1" applyProtection="1">
      <alignment horizontal="center" vertical="center"/>
      <protection hidden="1"/>
    </xf>
    <xf numFmtId="0" fontId="25" fillId="2" borderId="66" xfId="0" applyFont="1" applyFill="1" applyBorder="1" applyAlignment="1" applyProtection="1">
      <alignment horizontal="center" vertical="center"/>
      <protection hidden="1"/>
    </xf>
    <xf numFmtId="0" fontId="25" fillId="2" borderId="67" xfId="0" applyFont="1" applyFill="1" applyBorder="1" applyAlignment="1" applyProtection="1">
      <alignment horizontal="center" vertical="center"/>
      <protection hidden="1"/>
    </xf>
    <xf numFmtId="0" fontId="25" fillId="0" borderId="66" xfId="0" applyFont="1" applyFill="1" applyBorder="1" applyAlignment="1" applyProtection="1">
      <alignment horizontal="center" vertical="center"/>
      <protection hidden="1"/>
    </xf>
    <xf numFmtId="0" fontId="25" fillId="0" borderId="67" xfId="0" applyFont="1" applyFill="1" applyBorder="1" applyAlignment="1" applyProtection="1">
      <alignment horizontal="center" vertical="center"/>
      <protection hidden="1"/>
    </xf>
    <xf numFmtId="177" fontId="18" fillId="0" borderId="8" xfId="0" applyNumberFormat="1" applyFont="1" applyBorder="1" applyAlignment="1" applyProtection="1">
      <alignment horizontal="center" vertical="center"/>
      <protection hidden="1"/>
    </xf>
    <xf numFmtId="0" fontId="18" fillId="0" borderId="5" xfId="0" applyFont="1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8" fillId="4" borderId="114" xfId="0" quotePrefix="1" applyFont="1" applyFill="1" applyBorder="1" applyAlignment="1" applyProtection="1">
      <alignment horizontal="left" vertical="center"/>
      <protection hidden="1"/>
    </xf>
    <xf numFmtId="0" fontId="28" fillId="4" borderId="115" xfId="0" quotePrefix="1" applyFont="1" applyFill="1" applyBorder="1" applyAlignment="1" applyProtection="1">
      <alignment horizontal="left" vertical="center"/>
      <protection hidden="1"/>
    </xf>
    <xf numFmtId="0" fontId="17" fillId="4" borderId="67" xfId="0" applyFont="1" applyFill="1" applyBorder="1" applyAlignment="1" applyProtection="1">
      <alignment horizontal="center" vertical="center"/>
      <protection locked="0"/>
    </xf>
    <xf numFmtId="0" fontId="17" fillId="4" borderId="68" xfId="0" applyFont="1" applyFill="1" applyBorder="1" applyAlignment="1" applyProtection="1">
      <alignment horizontal="center" vertical="center"/>
      <protection locked="0"/>
    </xf>
    <xf numFmtId="0" fontId="18" fillId="0" borderId="14" xfId="0" applyFont="1" applyBorder="1" applyAlignment="1" applyProtection="1">
      <alignment horizontal="center" vertical="center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7" fillId="0" borderId="31" xfId="0" applyFont="1" applyBorder="1" applyAlignment="1" applyProtection="1">
      <alignment horizontal="center" vertical="center"/>
      <protection hidden="1"/>
    </xf>
    <xf numFmtId="0" fontId="17" fillId="0" borderId="55" xfId="0" applyFont="1" applyBorder="1" applyAlignment="1" applyProtection="1">
      <alignment horizontal="center" vertical="center"/>
      <protection hidden="1"/>
    </xf>
    <xf numFmtId="0" fontId="29" fillId="4" borderId="64" xfId="0" applyFont="1" applyFill="1" applyBorder="1" applyAlignment="1" applyProtection="1">
      <alignment horizontal="center" vertical="center"/>
      <protection locked="0"/>
    </xf>
    <xf numFmtId="0" fontId="29" fillId="4" borderId="65" xfId="0" applyFont="1" applyFill="1" applyBorder="1" applyAlignment="1" applyProtection="1">
      <alignment horizontal="center" vertical="center"/>
      <protection locked="0"/>
    </xf>
    <xf numFmtId="0" fontId="17" fillId="4" borderId="67" xfId="0" applyFont="1" applyFill="1" applyBorder="1" applyAlignment="1" applyProtection="1">
      <alignment horizontal="center" vertical="center"/>
      <protection hidden="1"/>
    </xf>
    <xf numFmtId="0" fontId="17" fillId="4" borderId="68" xfId="0" applyFont="1" applyFill="1" applyBorder="1" applyAlignment="1" applyProtection="1">
      <alignment horizontal="center" vertical="center"/>
      <protection hidden="1"/>
    </xf>
    <xf numFmtId="0" fontId="25" fillId="2" borderId="1" xfId="0" applyFont="1" applyFill="1" applyBorder="1" applyAlignment="1" applyProtection="1">
      <alignment horizontal="center" vertical="center"/>
      <protection hidden="1"/>
    </xf>
    <xf numFmtId="0" fontId="25" fillId="2" borderId="2" xfId="0" applyFont="1" applyFill="1" applyBorder="1" applyAlignment="1" applyProtection="1">
      <alignment horizontal="center" vertical="center"/>
      <protection hidden="1"/>
    </xf>
    <xf numFmtId="0" fontId="25" fillId="2" borderId="62" xfId="0" applyFont="1" applyFill="1" applyBorder="1" applyAlignment="1" applyProtection="1">
      <alignment horizontal="center" vertical="center"/>
      <protection hidden="1"/>
    </xf>
    <xf numFmtId="0" fontId="25" fillId="2" borderId="31" xfId="0" applyFont="1" applyFill="1" applyBorder="1" applyAlignment="1" applyProtection="1">
      <alignment horizontal="center" vertical="center"/>
      <protection hidden="1"/>
    </xf>
    <xf numFmtId="0" fontId="25" fillId="0" borderId="63" xfId="0" applyFont="1" applyBorder="1" applyAlignment="1" applyProtection="1">
      <alignment horizontal="center" vertical="center"/>
      <protection hidden="1"/>
    </xf>
    <xf numFmtId="0" fontId="25" fillId="0" borderId="64" xfId="0" applyFont="1" applyBorder="1" applyAlignment="1" applyProtection="1">
      <alignment horizontal="center" vertical="center"/>
      <protection hidden="1"/>
    </xf>
    <xf numFmtId="0" fontId="17" fillId="0" borderId="67" xfId="0" applyFont="1" applyBorder="1" applyAlignment="1" applyProtection="1">
      <alignment horizontal="center" vertical="center"/>
      <protection hidden="1"/>
    </xf>
    <xf numFmtId="0" fontId="17" fillId="0" borderId="68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center" vertical="center"/>
      <protection hidden="1"/>
    </xf>
    <xf numFmtId="0" fontId="18" fillId="0" borderId="10" xfId="0" applyFont="1" applyBorder="1" applyAlignment="1" applyProtection="1">
      <alignment horizontal="center" vertical="center"/>
      <protection hidden="1"/>
    </xf>
    <xf numFmtId="0" fontId="18" fillId="0" borderId="11" xfId="0" applyFont="1" applyBorder="1" applyAlignment="1" applyProtection="1">
      <alignment horizontal="center" vertical="center"/>
      <protection hidden="1"/>
    </xf>
    <xf numFmtId="0" fontId="18" fillId="0" borderId="12" xfId="0" applyFont="1" applyBorder="1" applyAlignment="1" applyProtection="1">
      <alignment horizontal="center" vertical="center"/>
      <protection hidden="1"/>
    </xf>
    <xf numFmtId="0" fontId="18" fillId="0" borderId="81" xfId="0" applyFont="1" applyBorder="1" applyAlignment="1" applyProtection="1">
      <alignment horizontal="center" vertical="center"/>
      <protection hidden="1"/>
    </xf>
    <xf numFmtId="49" fontId="17" fillId="4" borderId="67" xfId="0" applyNumberFormat="1" applyFont="1" applyFill="1" applyBorder="1" applyAlignment="1" applyProtection="1">
      <alignment horizontal="center" vertical="center"/>
      <protection locked="0"/>
    </xf>
    <xf numFmtId="49" fontId="17" fillId="4" borderId="68" xfId="0" applyNumberFormat="1" applyFont="1" applyFill="1" applyBorder="1" applyAlignment="1" applyProtection="1">
      <alignment horizontal="center" vertical="center"/>
      <protection locked="0"/>
    </xf>
    <xf numFmtId="0" fontId="17" fillId="4" borderId="70" xfId="0" applyFont="1" applyFill="1" applyBorder="1" applyAlignment="1" applyProtection="1">
      <alignment horizontal="center" vertical="center"/>
      <protection locked="0"/>
    </xf>
    <xf numFmtId="0" fontId="17" fillId="4" borderId="71" xfId="0" applyFont="1" applyFill="1" applyBorder="1" applyAlignment="1" applyProtection="1">
      <alignment horizontal="center" vertical="center"/>
      <protection locked="0"/>
    </xf>
    <xf numFmtId="0" fontId="17" fillId="0" borderId="0" xfId="0" applyNumberFormat="1" applyFont="1" applyAlignment="1" applyProtection="1">
      <alignment horizontal="center" vertical="center"/>
      <protection hidden="1"/>
    </xf>
    <xf numFmtId="0" fontId="17" fillId="0" borderId="27" xfId="0" applyNumberFormat="1" applyFont="1" applyBorder="1" applyAlignment="1" applyProtection="1">
      <alignment horizontal="center" vertical="center"/>
      <protection locked="0" hidden="1"/>
    </xf>
    <xf numFmtId="0" fontId="25" fillId="12" borderId="14" xfId="0" applyFont="1" applyFill="1" applyBorder="1" applyAlignment="1" applyProtection="1">
      <alignment horizontal="center" vertical="center"/>
      <protection hidden="1"/>
    </xf>
    <xf numFmtId="0" fontId="25" fillId="12" borderId="5" xfId="0" applyFont="1" applyFill="1" applyBorder="1" applyAlignment="1" applyProtection="1">
      <alignment horizontal="center" vertical="center"/>
      <protection hidden="1"/>
    </xf>
    <xf numFmtId="0" fontId="25" fillId="12" borderId="14" xfId="0" applyFont="1" applyFill="1" applyBorder="1" applyAlignment="1" applyProtection="1">
      <alignment horizontal="center" vertical="center"/>
      <protection locked="0" hidden="1"/>
    </xf>
    <xf numFmtId="0" fontId="25" fillId="12" borderId="5" xfId="0" applyFont="1" applyFill="1" applyBorder="1" applyAlignment="1" applyProtection="1">
      <alignment horizontal="center" vertical="center"/>
      <protection locked="0" hidden="1"/>
    </xf>
    <xf numFmtId="0" fontId="17" fillId="12" borderId="29" xfId="0" applyNumberFormat="1" applyFont="1" applyFill="1" applyBorder="1" applyAlignment="1" applyProtection="1">
      <alignment horizontal="center" vertical="center"/>
      <protection hidden="1"/>
    </xf>
    <xf numFmtId="0" fontId="17" fillId="12" borderId="23" xfId="0" applyNumberFormat="1" applyFont="1" applyFill="1" applyBorder="1" applyAlignment="1" applyProtection="1">
      <alignment horizontal="center" vertical="center"/>
      <protection hidden="1"/>
    </xf>
    <xf numFmtId="0" fontId="17" fillId="12" borderId="19" xfId="0" applyNumberFormat="1" applyFont="1" applyFill="1" applyBorder="1" applyAlignment="1" applyProtection="1">
      <alignment horizontal="center" vertical="center"/>
      <protection hidden="1"/>
    </xf>
    <xf numFmtId="0" fontId="17" fillId="12" borderId="20" xfId="0" applyNumberFormat="1" applyFont="1" applyFill="1" applyBorder="1" applyAlignment="1" applyProtection="1">
      <alignment horizontal="center" vertical="center"/>
      <protection hidden="1"/>
    </xf>
    <xf numFmtId="0" fontId="32" fillId="12" borderId="14" xfId="0" applyNumberFormat="1" applyFont="1" applyFill="1" applyBorder="1" applyAlignment="1" applyProtection="1">
      <alignment horizontal="center" vertical="center"/>
      <protection locked="0" hidden="1"/>
    </xf>
    <xf numFmtId="0" fontId="32" fillId="12" borderId="5" xfId="0" applyNumberFormat="1" applyFont="1" applyFill="1" applyBorder="1" applyAlignment="1" applyProtection="1">
      <alignment horizontal="center" vertical="center"/>
      <protection locked="0" hidden="1"/>
    </xf>
    <xf numFmtId="0" fontId="32" fillId="12" borderId="27" xfId="0" applyNumberFormat="1" applyFont="1" applyFill="1" applyBorder="1" applyAlignment="1" applyProtection="1">
      <alignment horizontal="center" vertical="center"/>
      <protection locked="0" hidden="1"/>
    </xf>
    <xf numFmtId="0" fontId="32" fillId="12" borderId="59" xfId="0" applyNumberFormat="1" applyFont="1" applyFill="1" applyBorder="1" applyAlignment="1" applyProtection="1">
      <alignment horizontal="center" vertical="center"/>
      <protection locked="0" hidden="1"/>
    </xf>
    <xf numFmtId="0" fontId="32" fillId="12" borderId="61" xfId="0" applyNumberFormat="1" applyFont="1" applyFill="1" applyBorder="1" applyAlignment="1" applyProtection="1">
      <alignment horizontal="center" vertical="center"/>
      <protection locked="0" hidden="1"/>
    </xf>
    <xf numFmtId="0" fontId="32" fillId="12" borderId="48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27" xfId="0" applyFont="1" applyFill="1" applyBorder="1" applyAlignment="1" applyProtection="1">
      <alignment horizontal="center" vertical="center"/>
      <protection hidden="1"/>
    </xf>
    <xf numFmtId="0" fontId="17" fillId="12" borderId="25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28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26" xfId="0" applyNumberFormat="1" applyFont="1" applyFill="1" applyBorder="1" applyAlignment="1" applyProtection="1">
      <alignment horizontal="center" vertical="center"/>
      <protection locked="0" hidden="1"/>
    </xf>
    <xf numFmtId="0" fontId="32" fillId="0" borderId="59" xfId="0" applyNumberFormat="1" applyFont="1" applyBorder="1" applyAlignment="1" applyProtection="1">
      <alignment horizontal="center" vertical="center"/>
      <protection locked="0" hidden="1"/>
    </xf>
    <xf numFmtId="0" fontId="32" fillId="0" borderId="61" xfId="0" applyNumberFormat="1" applyFont="1" applyBorder="1" applyAlignment="1" applyProtection="1">
      <alignment horizontal="center" vertical="center"/>
      <protection locked="0" hidden="1"/>
    </xf>
    <xf numFmtId="0" fontId="32" fillId="0" borderId="48" xfId="0" applyNumberFormat="1" applyFont="1" applyBorder="1" applyAlignment="1" applyProtection="1">
      <alignment horizontal="center" vertical="center"/>
      <protection locked="0" hidden="1"/>
    </xf>
    <xf numFmtId="0" fontId="17" fillId="0" borderId="31" xfId="0" applyNumberFormat="1" applyFont="1" applyBorder="1" applyAlignment="1" applyProtection="1">
      <alignment horizontal="center" vertical="center"/>
      <protection hidden="1"/>
    </xf>
    <xf numFmtId="0" fontId="17" fillId="0" borderId="27" xfId="0" applyFont="1" applyBorder="1" applyAlignment="1" applyProtection="1">
      <alignment horizontal="center" vertical="center"/>
      <protection hidden="1"/>
    </xf>
    <xf numFmtId="0" fontId="17" fillId="0" borderId="14" xfId="0" applyNumberFormat="1" applyFont="1" applyBorder="1" applyAlignment="1" applyProtection="1">
      <alignment horizontal="center" vertical="center"/>
      <protection hidden="1"/>
    </xf>
    <xf numFmtId="0" fontId="17" fillId="0" borderId="5" xfId="0" applyNumberFormat="1" applyFont="1" applyBorder="1" applyAlignment="1" applyProtection="1">
      <alignment horizontal="center" vertical="center"/>
      <protection hidden="1"/>
    </xf>
    <xf numFmtId="0" fontId="32" fillId="0" borderId="14" xfId="0" applyNumberFormat="1" applyFont="1" applyBorder="1" applyAlignment="1" applyProtection="1">
      <alignment horizontal="center" vertical="center"/>
      <protection locked="0" hidden="1"/>
    </xf>
    <xf numFmtId="0" fontId="32" fillId="0" borderId="5" xfId="0" applyNumberFormat="1" applyFont="1" applyBorder="1" applyAlignment="1" applyProtection="1">
      <alignment horizontal="center" vertical="center"/>
      <protection locked="0" hidden="1"/>
    </xf>
    <xf numFmtId="0" fontId="32" fillId="0" borderId="27" xfId="0" applyNumberFormat="1" applyFont="1" applyBorder="1" applyAlignment="1" applyProtection="1">
      <alignment horizontal="center" vertical="center"/>
      <protection locked="0" hidden="1"/>
    </xf>
    <xf numFmtId="0" fontId="25" fillId="0" borderId="14" xfId="0" applyFont="1" applyBorder="1" applyAlignment="1" applyProtection="1">
      <alignment horizontal="center" vertical="center"/>
      <protection hidden="1"/>
    </xf>
    <xf numFmtId="0" fontId="25" fillId="0" borderId="5" xfId="0" applyFont="1" applyBorder="1" applyAlignment="1" applyProtection="1">
      <alignment horizontal="center" vertical="center"/>
      <protection hidden="1"/>
    </xf>
    <xf numFmtId="0" fontId="25" fillId="0" borderId="14" xfId="0" applyFont="1" applyBorder="1" applyAlignment="1" applyProtection="1">
      <alignment horizontal="center" vertical="center"/>
      <protection locked="0" hidden="1"/>
    </xf>
    <xf numFmtId="0" fontId="25" fillId="0" borderId="5" xfId="0" applyFont="1" applyBorder="1" applyAlignment="1" applyProtection="1">
      <alignment horizontal="center" vertical="center"/>
      <protection locked="0" hidden="1"/>
    </xf>
    <xf numFmtId="0" fontId="32" fillId="12" borderId="14" xfId="0" applyFont="1" applyFill="1" applyBorder="1" applyAlignment="1" applyProtection="1">
      <alignment horizontal="center" vertical="center"/>
      <protection locked="0" hidden="1"/>
    </xf>
    <xf numFmtId="0" fontId="32" fillId="12" borderId="5" xfId="0" applyFont="1" applyFill="1" applyBorder="1" applyAlignment="1" applyProtection="1">
      <alignment horizontal="center" vertical="center"/>
      <protection locked="0" hidden="1"/>
    </xf>
    <xf numFmtId="0" fontId="32" fillId="12" borderId="27" xfId="0" applyFont="1" applyFill="1" applyBorder="1" applyAlignment="1" applyProtection="1">
      <alignment horizontal="center" vertical="center"/>
      <protection locked="0" hidden="1"/>
    </xf>
    <xf numFmtId="0" fontId="32" fillId="12" borderId="59" xfId="0" applyFont="1" applyFill="1" applyBorder="1" applyAlignment="1" applyProtection="1">
      <alignment horizontal="center" vertical="center"/>
      <protection locked="0" hidden="1"/>
    </xf>
    <xf numFmtId="0" fontId="32" fillId="12" borderId="61" xfId="0" applyFont="1" applyFill="1" applyBorder="1" applyAlignment="1" applyProtection="1">
      <alignment horizontal="center" vertical="center"/>
      <protection locked="0" hidden="1"/>
    </xf>
    <xf numFmtId="0" fontId="32" fillId="12" borderId="48" xfId="0" applyFont="1" applyFill="1" applyBorder="1" applyAlignment="1" applyProtection="1">
      <alignment horizontal="center" vertical="center"/>
      <protection locked="0" hidden="1"/>
    </xf>
    <xf numFmtId="0" fontId="32" fillId="0" borderId="14" xfId="0" applyFont="1" applyBorder="1" applyAlignment="1" applyProtection="1">
      <alignment horizontal="center" vertical="center"/>
      <protection locked="0" hidden="1"/>
    </xf>
    <xf numFmtId="0" fontId="32" fillId="0" borderId="5" xfId="0" applyFont="1" applyBorder="1" applyAlignment="1" applyProtection="1">
      <alignment horizontal="center" vertical="center"/>
      <protection locked="0" hidden="1"/>
    </xf>
    <xf numFmtId="0" fontId="32" fillId="0" borderId="27" xfId="0" applyFont="1" applyBorder="1" applyAlignment="1" applyProtection="1">
      <alignment horizontal="center" vertical="center"/>
      <protection locked="0" hidden="1"/>
    </xf>
    <xf numFmtId="0" fontId="32" fillId="0" borderId="59" xfId="0" applyFont="1" applyBorder="1" applyAlignment="1" applyProtection="1">
      <alignment horizontal="center" vertical="center"/>
      <protection locked="0" hidden="1"/>
    </xf>
    <xf numFmtId="0" fontId="32" fillId="0" borderId="61" xfId="0" applyFont="1" applyBorder="1" applyAlignment="1" applyProtection="1">
      <alignment horizontal="center" vertical="center"/>
      <protection locked="0" hidden="1"/>
    </xf>
    <xf numFmtId="0" fontId="32" fillId="0" borderId="48" xfId="0" applyFont="1" applyBorder="1" applyAlignment="1" applyProtection="1">
      <alignment horizontal="center" vertical="center"/>
      <protection locked="0" hidden="1"/>
    </xf>
    <xf numFmtId="0" fontId="25" fillId="0" borderId="58" xfId="0" applyNumberFormat="1" applyFont="1" applyBorder="1" applyAlignment="1" applyProtection="1">
      <alignment horizontal="center" vertical="center"/>
      <protection hidden="1"/>
    </xf>
    <xf numFmtId="0" fontId="25" fillId="0" borderId="60" xfId="0" applyNumberFormat="1" applyFont="1" applyBorder="1" applyAlignment="1" applyProtection="1">
      <alignment horizontal="center" vertical="center"/>
      <protection hidden="1"/>
    </xf>
    <xf numFmtId="0" fontId="25" fillId="0" borderId="47" xfId="0" applyNumberFormat="1" applyFont="1" applyBorder="1" applyAlignment="1" applyProtection="1">
      <alignment horizontal="center" vertical="center"/>
      <protection hidden="1"/>
    </xf>
    <xf numFmtId="0" fontId="25" fillId="12" borderId="58" xfId="0" applyNumberFormat="1" applyFont="1" applyFill="1" applyBorder="1" applyAlignment="1" applyProtection="1">
      <alignment horizontal="center" vertical="center"/>
      <protection hidden="1"/>
    </xf>
    <xf numFmtId="0" fontId="25" fillId="12" borderId="60" xfId="0" applyNumberFormat="1" applyFont="1" applyFill="1" applyBorder="1" applyAlignment="1" applyProtection="1">
      <alignment horizontal="center" vertical="center"/>
      <protection hidden="1"/>
    </xf>
    <xf numFmtId="0" fontId="25" fillId="12" borderId="47" xfId="0" applyNumberFormat="1" applyFont="1" applyFill="1" applyBorder="1" applyAlignment="1" applyProtection="1">
      <alignment horizontal="center" vertical="center"/>
      <protection hidden="1"/>
    </xf>
    <xf numFmtId="0" fontId="25" fillId="10" borderId="41" xfId="0" applyNumberFormat="1" applyFont="1" applyFill="1" applyBorder="1" applyAlignment="1" applyProtection="1">
      <alignment horizontal="center" vertical="center"/>
      <protection hidden="1"/>
    </xf>
    <xf numFmtId="0" fontId="25" fillId="10" borderId="42" xfId="0" applyNumberFormat="1" applyFont="1" applyFill="1" applyBorder="1" applyAlignment="1" applyProtection="1">
      <alignment horizontal="center" vertical="center"/>
      <protection hidden="1"/>
    </xf>
    <xf numFmtId="0" fontId="25" fillId="10" borderId="27" xfId="0" applyNumberFormat="1" applyFont="1" applyFill="1" applyBorder="1" applyAlignment="1" applyProtection="1">
      <alignment horizontal="center" vertical="center"/>
      <protection hidden="1"/>
    </xf>
    <xf numFmtId="0" fontId="15" fillId="11" borderId="110" xfId="0" applyNumberFormat="1" applyFont="1" applyFill="1" applyBorder="1" applyAlignment="1" applyProtection="1">
      <alignment horizontal="left" vertical="center" wrapText="1"/>
      <protection hidden="1"/>
    </xf>
    <xf numFmtId="0" fontId="26" fillId="3" borderId="0" xfId="0" applyNumberFormat="1" applyFont="1" applyFill="1" applyAlignment="1" applyProtection="1">
      <alignment horizontal="center" vertical="center"/>
      <protection hidden="1"/>
    </xf>
    <xf numFmtId="0" fontId="25" fillId="10" borderId="40" xfId="0" applyNumberFormat="1" applyFont="1" applyFill="1" applyBorder="1" applyAlignment="1" applyProtection="1">
      <alignment horizontal="center" vertical="center"/>
      <protection hidden="1"/>
    </xf>
    <xf numFmtId="0" fontId="25" fillId="10" borderId="47" xfId="0" applyNumberFormat="1" applyFont="1" applyFill="1" applyBorder="1" applyAlignment="1" applyProtection="1">
      <alignment horizontal="center" vertical="center"/>
      <protection hidden="1"/>
    </xf>
    <xf numFmtId="0" fontId="30" fillId="0" borderId="52" xfId="0" applyFont="1" applyBorder="1" applyAlignment="1" applyProtection="1">
      <alignment horizontal="center" vertical="center"/>
      <protection hidden="1"/>
    </xf>
    <xf numFmtId="0" fontId="30" fillId="0" borderId="82" xfId="0" applyFont="1" applyBorder="1" applyAlignment="1" applyProtection="1">
      <alignment horizontal="center" vertical="center"/>
      <protection hidden="1"/>
    </xf>
    <xf numFmtId="0" fontId="30" fillId="0" borderId="53" xfId="0" applyFont="1" applyBorder="1" applyAlignment="1" applyProtection="1">
      <alignment horizontal="center" vertical="center"/>
      <protection hidden="1"/>
    </xf>
    <xf numFmtId="0" fontId="31" fillId="0" borderId="52" xfId="0" applyFont="1" applyBorder="1" applyAlignment="1" applyProtection="1">
      <alignment horizontal="center" vertical="center"/>
      <protection hidden="1"/>
    </xf>
    <xf numFmtId="0" fontId="31" fillId="0" borderId="82" xfId="0" applyFont="1" applyBorder="1" applyAlignment="1" applyProtection="1">
      <alignment horizontal="center" vertical="center"/>
      <protection hidden="1"/>
    </xf>
    <xf numFmtId="0" fontId="31" fillId="0" borderId="53" xfId="0" applyFont="1" applyBorder="1" applyAlignment="1" applyProtection="1">
      <alignment horizontal="center" vertical="center"/>
      <protection hidden="1"/>
    </xf>
    <xf numFmtId="0" fontId="32" fillId="12" borderId="44" xfId="0" applyNumberFormat="1" applyFont="1" applyFill="1" applyBorder="1" applyAlignment="1" applyProtection="1">
      <alignment horizontal="center" vertical="center"/>
      <protection locked="0" hidden="1"/>
    </xf>
    <xf numFmtId="0" fontId="32" fillId="12" borderId="45" xfId="0" applyNumberFormat="1" applyFont="1" applyFill="1" applyBorder="1" applyAlignment="1" applyProtection="1">
      <alignment horizontal="center" vertical="center"/>
      <protection locked="0" hidden="1"/>
    </xf>
    <xf numFmtId="0" fontId="25" fillId="12" borderId="43" xfId="0" applyNumberFormat="1" applyFont="1" applyFill="1" applyBorder="1" applyAlignment="1" applyProtection="1">
      <alignment horizontal="center" vertical="center"/>
      <protection hidden="1"/>
    </xf>
    <xf numFmtId="0" fontId="17" fillId="12" borderId="44" xfId="0" applyFont="1" applyFill="1" applyBorder="1" applyAlignment="1" applyProtection="1">
      <alignment horizontal="center" vertical="center"/>
      <protection hidden="1"/>
    </xf>
    <xf numFmtId="0" fontId="17" fillId="12" borderId="72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73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74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80" xfId="0" applyNumberFormat="1" applyFont="1" applyBorder="1" applyAlignment="1" applyProtection="1">
      <alignment horizontal="center" vertical="center"/>
      <protection hidden="1"/>
    </xf>
    <xf numFmtId="0" fontId="17" fillId="0" borderId="0" xfId="0" applyNumberFormat="1" applyFont="1" applyBorder="1" applyAlignment="1" applyProtection="1">
      <alignment horizontal="center" vertical="center"/>
      <protection hidden="1"/>
    </xf>
    <xf numFmtId="0" fontId="25" fillId="0" borderId="51" xfId="0" applyFont="1" applyBorder="1" applyAlignment="1" applyProtection="1">
      <alignment horizontal="center" vertical="center"/>
      <protection hidden="1"/>
    </xf>
    <xf numFmtId="0" fontId="25" fillId="0" borderId="52" xfId="0" applyFont="1" applyBorder="1" applyAlignment="1" applyProtection="1">
      <alignment horizontal="center" vertical="center"/>
      <protection hidden="1"/>
    </xf>
    <xf numFmtId="0" fontId="25" fillId="10" borderId="41" xfId="0" applyNumberFormat="1" applyFont="1" applyFill="1" applyBorder="1" applyAlignment="1" applyProtection="1">
      <alignment horizontal="center" vertical="center" wrapText="1"/>
      <protection hidden="1"/>
    </xf>
    <xf numFmtId="49" fontId="32" fillId="12" borderId="14" xfId="0" applyNumberFormat="1" applyFont="1" applyFill="1" applyBorder="1" applyAlignment="1" applyProtection="1">
      <alignment horizontal="center" vertical="center"/>
      <protection locked="0" hidden="1"/>
    </xf>
    <xf numFmtId="49" fontId="32" fillId="12" borderId="5" xfId="0" applyNumberFormat="1" applyFont="1" applyFill="1" applyBorder="1" applyAlignment="1" applyProtection="1">
      <alignment horizontal="center" vertical="center"/>
      <protection locked="0" hidden="1"/>
    </xf>
    <xf numFmtId="49" fontId="32" fillId="12" borderId="44" xfId="0" applyNumberFormat="1" applyFont="1" applyFill="1" applyBorder="1" applyAlignment="1" applyProtection="1">
      <alignment horizontal="center" vertical="center"/>
      <protection locked="0" hidden="1"/>
    </xf>
    <xf numFmtId="0" fontId="32" fillId="12" borderId="45" xfId="0" applyFont="1" applyFill="1" applyBorder="1" applyAlignment="1" applyProtection="1">
      <alignment horizontal="center" vertical="center"/>
      <protection locked="0" hidden="1"/>
    </xf>
    <xf numFmtId="0" fontId="17" fillId="12" borderId="19" xfId="0" applyFont="1" applyFill="1" applyBorder="1" applyAlignment="1" applyProtection="1">
      <alignment horizontal="center" vertical="center"/>
      <protection hidden="1"/>
    </xf>
    <xf numFmtId="0" fontId="17" fillId="12" borderId="20" xfId="0" applyFont="1" applyFill="1" applyBorder="1" applyAlignment="1" applyProtection="1">
      <alignment horizontal="center" vertical="center"/>
      <protection hidden="1"/>
    </xf>
    <xf numFmtId="0" fontId="17" fillId="12" borderId="72" xfId="0" applyFont="1" applyFill="1" applyBorder="1" applyAlignment="1" applyProtection="1">
      <alignment horizontal="center" vertical="center"/>
      <protection locked="0" hidden="1"/>
    </xf>
    <xf numFmtId="0" fontId="17" fillId="12" borderId="73" xfId="0" applyFont="1" applyFill="1" applyBorder="1" applyAlignment="1" applyProtection="1">
      <alignment horizontal="center" vertical="center"/>
      <protection locked="0" hidden="1"/>
    </xf>
    <xf numFmtId="0" fontId="17" fillId="12" borderId="74" xfId="0" applyFont="1" applyFill="1" applyBorder="1" applyAlignment="1" applyProtection="1">
      <alignment horizontal="center" vertical="center"/>
      <protection locked="0" hidden="1"/>
    </xf>
    <xf numFmtId="49" fontId="32" fillId="0" borderId="14" xfId="0" applyNumberFormat="1" applyFont="1" applyBorder="1" applyAlignment="1" applyProtection="1">
      <alignment horizontal="center" vertical="center"/>
      <protection locked="0" hidden="1"/>
    </xf>
    <xf numFmtId="49" fontId="32" fillId="0" borderId="5" xfId="0" applyNumberFormat="1" applyFont="1" applyBorder="1" applyAlignment="1" applyProtection="1">
      <alignment horizontal="center" vertical="center"/>
      <protection locked="0" hidden="1"/>
    </xf>
    <xf numFmtId="49" fontId="32" fillId="0" borderId="27" xfId="0" applyNumberFormat="1" applyFont="1" applyBorder="1" applyAlignment="1" applyProtection="1">
      <alignment horizontal="center" vertical="center"/>
      <protection locked="0" hidden="1"/>
    </xf>
    <xf numFmtId="0" fontId="17" fillId="0" borderId="27" xfId="0" applyFont="1" applyBorder="1" applyAlignment="1" applyProtection="1">
      <alignment horizontal="center" vertical="center"/>
      <protection locked="0" hidden="1"/>
    </xf>
    <xf numFmtId="0" fontId="25" fillId="12" borderId="58" xfId="0" applyFont="1" applyFill="1" applyBorder="1" applyAlignment="1" applyProtection="1">
      <alignment horizontal="center" vertical="center"/>
      <protection hidden="1"/>
    </xf>
    <xf numFmtId="0" fontId="25" fillId="12" borderId="60" xfId="0" applyFont="1" applyFill="1" applyBorder="1" applyAlignment="1" applyProtection="1">
      <alignment horizontal="center" vertical="center"/>
      <protection hidden="1"/>
    </xf>
    <xf numFmtId="0" fontId="25" fillId="12" borderId="43" xfId="0" applyFont="1" applyFill="1" applyBorder="1" applyAlignment="1" applyProtection="1">
      <alignment horizontal="center" vertical="center"/>
      <protection hidden="1"/>
    </xf>
    <xf numFmtId="0" fontId="17" fillId="12" borderId="29" xfId="0" applyFont="1" applyFill="1" applyBorder="1" applyAlignment="1" applyProtection="1">
      <alignment horizontal="center" vertical="center"/>
      <protection hidden="1"/>
    </xf>
    <xf numFmtId="0" fontId="17" fillId="12" borderId="23" xfId="0" applyFont="1" applyFill="1" applyBorder="1" applyAlignment="1" applyProtection="1">
      <alignment horizontal="center" vertical="center"/>
      <protection hidden="1"/>
    </xf>
    <xf numFmtId="49" fontId="32" fillId="12" borderId="27" xfId="0" applyNumberFormat="1" applyFont="1" applyFill="1" applyBorder="1" applyAlignment="1" applyProtection="1">
      <alignment horizontal="center" vertical="center"/>
      <protection locked="0" hidden="1"/>
    </xf>
    <xf numFmtId="0" fontId="17" fillId="12" borderId="25" xfId="0" applyFont="1" applyFill="1" applyBorder="1" applyAlignment="1" applyProtection="1">
      <alignment horizontal="center" vertical="center"/>
      <protection locked="0" hidden="1"/>
    </xf>
    <xf numFmtId="0" fontId="17" fillId="12" borderId="28" xfId="0" applyFont="1" applyFill="1" applyBorder="1" applyAlignment="1" applyProtection="1">
      <alignment horizontal="center" vertical="center"/>
      <protection locked="0" hidden="1"/>
    </xf>
    <xf numFmtId="0" fontId="17" fillId="12" borderId="26" xfId="0" applyFont="1" applyFill="1" applyBorder="1" applyAlignment="1" applyProtection="1">
      <alignment horizontal="center" vertical="center"/>
      <protection locked="0" hidden="1"/>
    </xf>
    <xf numFmtId="0" fontId="25" fillId="0" borderId="58" xfId="0" applyFont="1" applyBorder="1" applyAlignment="1" applyProtection="1">
      <alignment horizontal="center" vertical="center"/>
      <protection hidden="1"/>
    </xf>
    <xf numFmtId="0" fontId="25" fillId="0" borderId="60" xfId="0" applyFont="1" applyBorder="1" applyAlignment="1" applyProtection="1">
      <alignment horizontal="center" vertical="center"/>
      <protection hidden="1"/>
    </xf>
    <xf numFmtId="0" fontId="25" fillId="0" borderId="47" xfId="0" applyFont="1" applyBorder="1" applyAlignment="1" applyProtection="1">
      <alignment horizontal="center" vertical="center"/>
      <protection hidden="1"/>
    </xf>
    <xf numFmtId="0" fontId="17" fillId="0" borderId="14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25" fillId="12" borderId="47" xfId="0" applyFont="1" applyFill="1" applyBorder="1" applyAlignment="1" applyProtection="1">
      <alignment horizontal="center" vertical="center"/>
      <protection hidden="1"/>
    </xf>
    <xf numFmtId="0" fontId="26" fillId="7" borderId="0" xfId="0" applyFont="1" applyFill="1" applyAlignment="1" applyProtection="1">
      <alignment horizontal="center" vertical="center"/>
      <protection hidden="1"/>
    </xf>
    <xf numFmtId="0" fontId="17" fillId="0" borderId="19" xfId="0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center" vertical="center"/>
      <protection hidden="1"/>
    </xf>
    <xf numFmtId="0" fontId="17" fillId="0" borderId="29" xfId="0" applyFont="1" applyBorder="1" applyAlignment="1" applyProtection="1">
      <alignment horizontal="center" vertical="center"/>
      <protection hidden="1"/>
    </xf>
    <xf numFmtId="0" fontId="17" fillId="0" borderId="23" xfId="0" applyFont="1" applyBorder="1" applyAlignment="1" applyProtection="1">
      <alignment horizontal="center" vertical="center"/>
      <protection hidden="1"/>
    </xf>
    <xf numFmtId="0" fontId="25" fillId="5" borderId="57" xfId="0" applyFont="1" applyFill="1" applyBorder="1" applyAlignment="1" applyProtection="1">
      <alignment horizontal="center" vertical="center"/>
      <protection hidden="1"/>
    </xf>
    <xf numFmtId="0" fontId="17" fillId="0" borderId="76" xfId="0" applyFont="1" applyBorder="1" applyAlignment="1" applyProtection="1">
      <alignment horizontal="center" vertical="center"/>
      <protection locked="0" hidden="1"/>
    </xf>
    <xf numFmtId="0" fontId="17" fillId="0" borderId="106" xfId="0" applyNumberFormat="1" applyFont="1" applyBorder="1" applyAlignment="1" applyProtection="1">
      <alignment horizontal="center" vertical="center"/>
      <protection locked="0" hidden="1"/>
    </xf>
    <xf numFmtId="0" fontId="17" fillId="0" borderId="107" xfId="0" applyNumberFormat="1" applyFont="1" applyBorder="1" applyAlignment="1" applyProtection="1">
      <alignment horizontal="center" vertical="center"/>
      <protection locked="0" hidden="1"/>
    </xf>
    <xf numFmtId="0" fontId="17" fillId="0" borderId="108" xfId="0" applyNumberFormat="1" applyFont="1" applyBorder="1" applyAlignment="1" applyProtection="1">
      <alignment horizontal="center" vertical="center"/>
      <protection locked="0" hidden="1"/>
    </xf>
    <xf numFmtId="0" fontId="17" fillId="0" borderId="56" xfId="0" applyFont="1" applyBorder="1" applyAlignment="1" applyProtection="1">
      <alignment horizontal="center" vertical="center"/>
      <protection locked="0" hidden="1"/>
    </xf>
    <xf numFmtId="0" fontId="25" fillId="5" borderId="79" xfId="0" applyFont="1" applyFill="1" applyBorder="1" applyAlignment="1" applyProtection="1">
      <alignment horizontal="center" vertical="center"/>
      <protection hidden="1"/>
    </xf>
    <xf numFmtId="0" fontId="17" fillId="0" borderId="30" xfId="0" applyFont="1" applyBorder="1" applyAlignment="1" applyProtection="1">
      <alignment horizontal="center" vertical="center"/>
      <protection locked="0" hidden="1"/>
    </xf>
    <xf numFmtId="0" fontId="17" fillId="0" borderId="109" xfId="0" applyNumberFormat="1" applyFont="1" applyBorder="1" applyAlignment="1" applyProtection="1">
      <alignment horizontal="center" vertical="center"/>
      <protection locked="0" hidden="1"/>
    </xf>
    <xf numFmtId="0" fontId="17" fillId="0" borderId="77" xfId="0" applyFont="1" applyBorder="1" applyAlignment="1" applyProtection="1">
      <alignment horizontal="center" vertical="center"/>
      <protection locked="0" hidden="1"/>
    </xf>
    <xf numFmtId="0" fontId="17" fillId="0" borderId="87" xfId="0" applyNumberFormat="1" applyFont="1" applyBorder="1" applyAlignment="1" applyProtection="1">
      <alignment horizontal="center" vertical="center"/>
      <protection locked="0" hidden="1"/>
    </xf>
    <xf numFmtId="0" fontId="17" fillId="0" borderId="89" xfId="0" applyNumberFormat="1" applyFont="1" applyBorder="1" applyAlignment="1" applyProtection="1">
      <alignment horizontal="center" vertical="center"/>
      <protection locked="0" hidden="1"/>
    </xf>
    <xf numFmtId="0" fontId="17" fillId="0" borderId="93" xfId="0" applyNumberFormat="1" applyFont="1" applyBorder="1" applyAlignment="1" applyProtection="1">
      <alignment horizontal="center" vertical="center"/>
      <protection locked="0" hidden="1"/>
    </xf>
    <xf numFmtId="0" fontId="17" fillId="0" borderId="86" xfId="0" applyNumberFormat="1" applyFont="1" applyBorder="1" applyAlignment="1" applyProtection="1">
      <alignment horizontal="center" vertical="center"/>
      <protection locked="0" hidden="1"/>
    </xf>
    <xf numFmtId="0" fontId="17" fillId="0" borderId="88" xfId="0" applyNumberFormat="1" applyFont="1" applyBorder="1" applyAlignment="1" applyProtection="1">
      <alignment horizontal="center" vertical="center"/>
      <protection locked="0" hidden="1"/>
    </xf>
    <xf numFmtId="0" fontId="17" fillId="0" borderId="92" xfId="0" applyNumberFormat="1" applyFont="1" applyBorder="1" applyAlignment="1" applyProtection="1">
      <alignment horizontal="center" vertical="center"/>
      <protection locked="0" hidden="1"/>
    </xf>
    <xf numFmtId="0" fontId="17" fillId="0" borderId="90" xfId="0" applyNumberFormat="1" applyFont="1" applyBorder="1" applyAlignment="1" applyProtection="1">
      <alignment horizontal="center" vertical="center"/>
      <protection locked="0" hidden="1"/>
    </xf>
    <xf numFmtId="0" fontId="17" fillId="0" borderId="91" xfId="0" applyNumberFormat="1" applyFont="1" applyBorder="1" applyAlignment="1" applyProtection="1">
      <alignment horizontal="center" vertical="center"/>
      <protection locked="0" hidden="1"/>
    </xf>
    <xf numFmtId="0" fontId="26" fillId="9" borderId="0" xfId="0" applyFont="1" applyFill="1" applyAlignment="1" applyProtection="1">
      <alignment horizontal="center" vertical="center"/>
      <protection hidden="1"/>
    </xf>
    <xf numFmtId="0" fontId="25" fillId="6" borderId="57" xfId="0" applyFont="1" applyFill="1" applyBorder="1" applyAlignment="1" applyProtection="1">
      <alignment horizontal="center" vertical="center"/>
      <protection hidden="1"/>
    </xf>
    <xf numFmtId="0" fontId="25" fillId="6" borderId="79" xfId="0" applyFont="1" applyFill="1" applyBorder="1" applyAlignment="1" applyProtection="1">
      <alignment horizontal="center" vertical="center"/>
      <protection hidden="1"/>
    </xf>
    <xf numFmtId="0" fontId="17" fillId="0" borderId="29" xfId="0" applyFont="1" applyBorder="1" applyAlignment="1" applyProtection="1">
      <alignment horizontal="center" vertical="center"/>
      <protection locked="0" hidden="1"/>
    </xf>
    <xf numFmtId="0" fontId="17" fillId="0" borderId="121" xfId="0" applyFont="1" applyBorder="1" applyAlignment="1" applyProtection="1">
      <alignment horizontal="center" vertical="center"/>
      <protection locked="0" hidden="1"/>
    </xf>
    <xf numFmtId="0" fontId="17" fillId="0" borderId="123" xfId="0" applyFont="1" applyBorder="1" applyAlignment="1" applyProtection="1">
      <alignment horizontal="center" vertical="center"/>
      <protection locked="0" hidden="1"/>
    </xf>
    <xf numFmtId="0" fontId="17" fillId="0" borderId="56" xfId="0" applyFont="1" applyBorder="1" applyAlignment="1" applyProtection="1">
      <alignment horizontal="center" vertical="center" wrapText="1"/>
      <protection locked="0" hidden="1"/>
    </xf>
    <xf numFmtId="0" fontId="17" fillId="0" borderId="122" xfId="0" applyFont="1" applyBorder="1" applyAlignment="1" applyProtection="1">
      <alignment horizontal="center" vertical="center"/>
      <protection locked="0" hidden="1"/>
    </xf>
    <xf numFmtId="0" fontId="18" fillId="0" borderId="18" xfId="0" applyFont="1" applyBorder="1" applyAlignment="1" applyProtection="1">
      <alignment horizontal="center" vertical="center"/>
      <protection hidden="1"/>
    </xf>
    <xf numFmtId="0" fontId="25" fillId="0" borderId="18" xfId="0" applyFont="1" applyBorder="1" applyAlignment="1" applyProtection="1">
      <alignment horizontal="center" vertical="center" wrapText="1"/>
      <protection hidden="1"/>
    </xf>
    <xf numFmtId="0" fontId="29" fillId="0" borderId="49" xfId="0" applyFont="1" applyBorder="1" applyAlignment="1" applyProtection="1">
      <alignment horizontal="center" vertical="center"/>
      <protection hidden="1"/>
    </xf>
    <xf numFmtId="0" fontId="29" fillId="0" borderId="37" xfId="0" applyFont="1" applyBorder="1" applyAlignment="1" applyProtection="1">
      <alignment horizontal="center" vertical="center"/>
      <protection hidden="1"/>
    </xf>
    <xf numFmtId="0" fontId="29" fillId="0" borderId="38" xfId="0" applyFont="1" applyBorder="1" applyAlignment="1" applyProtection="1">
      <alignment horizontal="center" vertical="center"/>
      <protection hidden="1"/>
    </xf>
    <xf numFmtId="0" fontId="33" fillId="0" borderId="112" xfId="0" applyFont="1" applyBorder="1" applyAlignment="1" applyProtection="1">
      <alignment horizontal="center" vertical="center"/>
      <protection hidden="1"/>
    </xf>
    <xf numFmtId="0" fontId="33" fillId="0" borderId="113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left" vertical="center"/>
      <protection hidden="1"/>
    </xf>
    <xf numFmtId="0" fontId="11" fillId="0" borderId="0" xfId="1" applyNumberFormat="1" applyFont="1" applyAlignment="1" applyProtection="1">
      <alignment horizontal="center" vertical="center"/>
      <protection hidden="1"/>
    </xf>
    <xf numFmtId="0" fontId="8" fillId="0" borderId="0" xfId="1" applyNumberFormat="1" applyFont="1" applyAlignment="1" applyProtection="1">
      <alignment horizontal="center" vertical="center"/>
      <protection hidden="1"/>
    </xf>
    <xf numFmtId="0" fontId="7" fillId="0" borderId="0" xfId="1" applyNumberFormat="1" applyFont="1" applyAlignment="1" applyProtection="1">
      <alignment horizontal="right" vertical="center"/>
      <protection hidden="1"/>
    </xf>
    <xf numFmtId="0" fontId="7" fillId="0" borderId="0" xfId="1" applyNumberFormat="1" applyFont="1" applyAlignment="1" applyProtection="1">
      <alignment horizontal="center" vertical="center"/>
      <protection hidden="1"/>
    </xf>
    <xf numFmtId="0" fontId="42" fillId="0" borderId="16" xfId="1" applyNumberFormat="1" applyFont="1" applyBorder="1" applyAlignment="1" applyProtection="1">
      <alignment horizontal="distributed" vertical="center"/>
      <protection hidden="1"/>
    </xf>
    <xf numFmtId="0" fontId="42" fillId="0" borderId="16" xfId="1" applyNumberFormat="1" applyFont="1" applyBorder="1" applyAlignment="1" applyProtection="1">
      <alignment horizontal="center" vertical="center"/>
      <protection hidden="1"/>
    </xf>
    <xf numFmtId="0" fontId="40" fillId="0" borderId="5" xfId="1" applyNumberFormat="1" applyFont="1" applyBorder="1" applyAlignment="1" applyProtection="1">
      <alignment horizontal="center" vertical="top"/>
      <protection hidden="1"/>
    </xf>
    <xf numFmtId="56" fontId="9" fillId="0" borderId="5" xfId="1" applyNumberFormat="1" applyFont="1" applyBorder="1" applyAlignment="1" applyProtection="1">
      <alignment horizontal="center" vertical="center"/>
      <protection hidden="1"/>
    </xf>
    <xf numFmtId="0" fontId="9" fillId="0" borderId="5" xfId="1" applyNumberFormat="1" applyFont="1" applyBorder="1" applyAlignment="1" applyProtection="1">
      <alignment horizontal="center" vertical="center"/>
      <protection hidden="1"/>
    </xf>
    <xf numFmtId="177" fontId="44" fillId="0" borderId="5" xfId="1" applyNumberFormat="1" applyFont="1" applyBorder="1" applyAlignment="1" applyProtection="1">
      <alignment horizontal="center" vertical="center"/>
      <protection locked="0" hidden="1"/>
    </xf>
    <xf numFmtId="0" fontId="43" fillId="0" borderId="0" xfId="1" applyNumberFormat="1" applyFont="1" applyAlignment="1" applyProtection="1">
      <alignment horizontal="left" vertical="center"/>
      <protection hidden="1"/>
    </xf>
    <xf numFmtId="0" fontId="43" fillId="0" borderId="0" xfId="1" applyNumberFormat="1" applyFont="1" applyAlignment="1" applyProtection="1">
      <alignment horizontal="distributed" vertical="center"/>
      <protection hidden="1"/>
    </xf>
    <xf numFmtId="0" fontId="41" fillId="0" borderId="0" xfId="1" applyNumberFormat="1" applyFont="1" applyAlignment="1" applyProtection="1">
      <alignment horizontal="center" vertical="center"/>
      <protection hidden="1"/>
    </xf>
    <xf numFmtId="0" fontId="44" fillId="0" borderId="16" xfId="1" applyNumberFormat="1" applyFont="1" applyBorder="1" applyAlignment="1" applyProtection="1">
      <alignment horizontal="center" vertical="center"/>
      <protection hidden="1"/>
    </xf>
    <xf numFmtId="0" fontId="37" fillId="0" borderId="0" xfId="1" applyNumberFormat="1" applyFont="1" applyAlignment="1" applyProtection="1">
      <alignment horizontal="center" vertical="center"/>
      <protection hidden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/>
    </xf>
    <xf numFmtId="0" fontId="2" fillId="9" borderId="33" xfId="0" applyFont="1" applyFill="1" applyBorder="1" applyAlignment="1">
      <alignment horizontal="center" vertical="center"/>
    </xf>
    <xf numFmtId="0" fontId="2" fillId="9" borderId="3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3">
    <cellStyle name="標準" xfId="0" builtinId="0"/>
    <cellStyle name="標準 2" xfId="1" xr:uid="{09E88609-73FB-48B3-8111-EA1AE8033D3C}"/>
    <cellStyle name="標準 3" xfId="2" xr:uid="{598E4806-EAF6-47A8-8B38-2DBE2F654E56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numFmt numFmtId="180" formatCode="&quot;¥&quot;#,##0"/>
    </dxf>
  </dxfs>
  <tableStyles count="0" defaultTableStyle="TableStyleMedium2" defaultPivotStyle="PivotStyleLight16"/>
  <colors>
    <mruColors>
      <color rgb="FFFFCCFF"/>
      <color rgb="FF99CCFF"/>
      <color rgb="FFCCECFF"/>
      <color rgb="FFFF66FF"/>
      <color rgb="FFFFE7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27488-17FE-4D7B-AF83-D8F834B68567}">
  <sheetPr codeName="Sheet1">
    <tabColor rgb="FFFFFF00"/>
  </sheetPr>
  <dimension ref="B1:T33"/>
  <sheetViews>
    <sheetView showGridLines="0" tabSelected="1" view="pageBreakPreview" zoomScaleNormal="100" zoomScaleSheetLayoutView="100" workbookViewId="0">
      <selection activeCell="E5" sqref="E5:M5"/>
    </sheetView>
  </sheetViews>
  <sheetFormatPr defaultColWidth="8.796875" defaultRowHeight="17.399999999999999"/>
  <cols>
    <col min="1" max="1" width="5.8984375" style="19" customWidth="1"/>
    <col min="2" max="2" width="7.796875" style="19" customWidth="1"/>
    <col min="3" max="3" width="12.3984375" style="19" customWidth="1"/>
    <col min="4" max="4" width="1.3984375" style="19" customWidth="1"/>
    <col min="5" max="5" width="10.796875" style="19" customWidth="1"/>
    <col min="6" max="6" width="12.3984375" style="19" customWidth="1"/>
    <col min="7" max="7" width="0.59765625" style="19" customWidth="1"/>
    <col min="8" max="8" width="11.796875" style="19" customWidth="1"/>
    <col min="9" max="9" width="9.3984375" style="19" customWidth="1"/>
    <col min="10" max="10" width="1.19921875" style="19" customWidth="1"/>
    <col min="11" max="11" width="1.796875" style="19" customWidth="1"/>
    <col min="12" max="12" width="12.3984375" style="19" customWidth="1"/>
    <col min="13" max="13" width="7.796875" style="19" customWidth="1"/>
    <col min="14" max="14" width="6" style="19" customWidth="1"/>
    <col min="15" max="19" width="8.796875" style="12" hidden="1" customWidth="1"/>
    <col min="20" max="20" width="8.796875" style="12"/>
    <col min="21" max="16384" width="8.796875" style="19"/>
  </cols>
  <sheetData>
    <row r="1" spans="2:20" ht="38.4" customHeight="1"/>
    <row r="2" spans="2:20" s="20" customFormat="1" ht="27" thickBot="1">
      <c r="B2" s="345" t="str">
        <f>競技会設定!C1&amp;"　基本情報入力シート"</f>
        <v>第47回東海学生陸上競技秋季選手権大会　基本情報入力シート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O2" s="12"/>
      <c r="P2" s="12" t="s">
        <v>6816</v>
      </c>
      <c r="Q2" s="12"/>
      <c r="R2" s="12"/>
      <c r="S2" s="12" t="s">
        <v>6817</v>
      </c>
      <c r="T2" s="122"/>
    </row>
    <row r="3" spans="2:20" s="12" customFormat="1" ht="26.4" hidden="1" customHeight="1">
      <c r="B3" s="354" t="s">
        <v>6904</v>
      </c>
      <c r="C3" s="355"/>
      <c r="D3" s="355"/>
      <c r="E3" s="346" t="str">
        <f>IFERROR(INDEX(競技会設定!$J$3:$O$47,MATCH(基本情報!$E$5,競技会設定!$N$3:$N$47,0),3),"")</f>
        <v/>
      </c>
      <c r="F3" s="346"/>
      <c r="G3" s="346"/>
      <c r="H3" s="346"/>
      <c r="I3" s="346"/>
      <c r="J3" s="346"/>
      <c r="K3" s="346"/>
      <c r="L3" s="346"/>
      <c r="M3" s="347"/>
      <c r="O3" s="12" t="s">
        <v>3765</v>
      </c>
      <c r="P3" s="12">
        <f>COUNTIF(男子エントリー!$J$7:$J$406,O3)</f>
        <v>0</v>
      </c>
      <c r="R3" s="12" t="s">
        <v>3765</v>
      </c>
      <c r="S3" s="12">
        <f>COUNTIF(女子エントリー!$J$7:$J$406,R3)</f>
        <v>0</v>
      </c>
    </row>
    <row r="4" spans="2:20" s="12" customFormat="1" ht="26.4" hidden="1" customHeight="1" thickBot="1">
      <c r="B4" s="356" t="s">
        <v>6905</v>
      </c>
      <c r="C4" s="357"/>
      <c r="D4" s="357"/>
      <c r="E4" s="348" t="str">
        <f>IFERROR(INDEX(競技会設定!$J$3:$O$47,MATCH(基本情報!$E$5,競技会設定!$N$3:$N$47,0),4),"")</f>
        <v/>
      </c>
      <c r="F4" s="348"/>
      <c r="G4" s="348"/>
      <c r="H4" s="348"/>
      <c r="I4" s="348"/>
      <c r="J4" s="348"/>
      <c r="K4" s="348"/>
      <c r="L4" s="348"/>
      <c r="M4" s="349"/>
      <c r="O4" s="12" t="s">
        <v>3767</v>
      </c>
      <c r="P4" s="12">
        <f>COUNTIF(男子エントリー!$J$7:$J$406,O4)</f>
        <v>0</v>
      </c>
      <c r="R4" s="12" t="s">
        <v>3767</v>
      </c>
      <c r="S4" s="12">
        <f>COUNTIF(女子エントリー!$J$7:$J$406,R4)</f>
        <v>0</v>
      </c>
    </row>
    <row r="5" spans="2:20" s="12" customFormat="1" ht="25.8" customHeight="1">
      <c r="B5" s="358" t="s">
        <v>23</v>
      </c>
      <c r="C5" s="359"/>
      <c r="D5" s="359"/>
      <c r="E5" s="350"/>
      <c r="F5" s="350"/>
      <c r="G5" s="350"/>
      <c r="H5" s="350"/>
      <c r="I5" s="350"/>
      <c r="J5" s="350"/>
      <c r="K5" s="350"/>
      <c r="L5" s="350"/>
      <c r="M5" s="351"/>
      <c r="O5" s="12" t="s">
        <v>3769</v>
      </c>
      <c r="P5" s="12">
        <f>COUNTIF(男子エントリー!$J$7:$J$406,O5)</f>
        <v>0</v>
      </c>
      <c r="R5" s="12" t="s">
        <v>3769</v>
      </c>
      <c r="S5" s="12">
        <f>COUNTIF(女子エントリー!$J$7:$J$406,R5)</f>
        <v>0</v>
      </c>
    </row>
    <row r="6" spans="2:20" s="12" customFormat="1" ht="25.8" customHeight="1">
      <c r="B6" s="331" t="s">
        <v>22</v>
      </c>
      <c r="C6" s="332"/>
      <c r="D6" s="332"/>
      <c r="E6" s="360" t="str">
        <f>IFERROR(INDEX(競技会設定!$J$3:$O$47,MATCH(基本情報!$E$5,競技会設定!$N$3:$N$47,0),1),"")</f>
        <v/>
      </c>
      <c r="F6" s="360"/>
      <c r="G6" s="360"/>
      <c r="H6" s="360"/>
      <c r="I6" s="360"/>
      <c r="J6" s="360"/>
      <c r="K6" s="360"/>
      <c r="L6" s="360"/>
      <c r="M6" s="361"/>
      <c r="O6" s="12" t="s">
        <v>3771</v>
      </c>
      <c r="P6" s="12">
        <f>COUNTIF(男子エントリー!$J$7:$J$406,O6)</f>
        <v>0</v>
      </c>
      <c r="R6" s="12" t="s">
        <v>3771</v>
      </c>
      <c r="S6" s="12">
        <f>COUNTIF(女子エントリー!$J$7:$J$406,R6)</f>
        <v>0</v>
      </c>
    </row>
    <row r="7" spans="2:20" s="12" customFormat="1" ht="26.4" hidden="1" customHeight="1">
      <c r="B7" s="333" t="s">
        <v>6766</v>
      </c>
      <c r="C7" s="334"/>
      <c r="D7" s="334"/>
      <c r="E7" s="352" t="str">
        <f>IFERROR(INDEX(競技会設定!$J$3:$O$47,MATCH(基本情報!$E$5,競技会設定!$N$3:$N$47,0),2),"")</f>
        <v/>
      </c>
      <c r="F7" s="352"/>
      <c r="G7" s="352"/>
      <c r="H7" s="352"/>
      <c r="I7" s="352"/>
      <c r="J7" s="352"/>
      <c r="K7" s="352"/>
      <c r="L7" s="352"/>
      <c r="M7" s="353"/>
      <c r="O7" s="12" t="s">
        <v>3773</v>
      </c>
      <c r="P7" s="12">
        <f>COUNTIF(男子エントリー!$J$7:$J$406,O7)</f>
        <v>0</v>
      </c>
      <c r="R7" s="12" t="s">
        <v>3773</v>
      </c>
      <c r="S7" s="12">
        <f>COUNTIF(女子エントリー!$J$7:$J$406,R7)</f>
        <v>0</v>
      </c>
    </row>
    <row r="8" spans="2:20" s="12" customFormat="1" ht="26.4" hidden="1" customHeight="1">
      <c r="B8" s="333" t="s">
        <v>6765</v>
      </c>
      <c r="C8" s="334"/>
      <c r="D8" s="334"/>
      <c r="E8" s="352" t="str">
        <f>IFERROR(INDEX(競技会設定!$J$3:$O$47,MATCH(基本情報!$E$5,競技会設定!$N$3:$N$47,0),6),"")</f>
        <v/>
      </c>
      <c r="F8" s="352"/>
      <c r="G8" s="352"/>
      <c r="H8" s="352"/>
      <c r="I8" s="352"/>
      <c r="J8" s="352"/>
      <c r="K8" s="352"/>
      <c r="L8" s="352"/>
      <c r="M8" s="353"/>
      <c r="O8" s="12" t="s">
        <v>3775</v>
      </c>
      <c r="P8" s="12">
        <f>COUNTIF(男子エントリー!$J$7:$J$406,O8)</f>
        <v>0</v>
      </c>
      <c r="R8" s="12" t="s">
        <v>3775</v>
      </c>
      <c r="S8" s="12">
        <f>COUNTIF(女子エントリー!$J$7:$J$406,R8)</f>
        <v>0</v>
      </c>
    </row>
    <row r="9" spans="2:20" s="12" customFormat="1" ht="26.4" hidden="1" customHeight="1">
      <c r="B9" s="333" t="s">
        <v>24</v>
      </c>
      <c r="C9" s="334"/>
      <c r="D9" s="334"/>
      <c r="E9" s="352" t="str">
        <f>ASC(PHONETIC((E10)))</f>
        <v/>
      </c>
      <c r="F9" s="352"/>
      <c r="G9" s="352"/>
      <c r="H9" s="352"/>
      <c r="I9" s="352"/>
      <c r="J9" s="352"/>
      <c r="K9" s="352"/>
      <c r="L9" s="352"/>
      <c r="M9" s="353"/>
      <c r="O9" s="12" t="s">
        <v>3777</v>
      </c>
      <c r="P9" s="12">
        <f>COUNTIF(男子エントリー!$J$7:$J$406,O9)</f>
        <v>0</v>
      </c>
      <c r="R9" s="12" t="s">
        <v>3777</v>
      </c>
      <c r="S9" s="12">
        <f>COUNTIF(女子エントリー!$J$7:$J$406,R9)</f>
        <v>0</v>
      </c>
    </row>
    <row r="10" spans="2:20" s="12" customFormat="1" ht="25.8" customHeight="1">
      <c r="B10" s="335" t="s">
        <v>25</v>
      </c>
      <c r="C10" s="336"/>
      <c r="D10" s="336"/>
      <c r="E10" s="342"/>
      <c r="F10" s="342"/>
      <c r="G10" s="342"/>
      <c r="H10" s="342"/>
      <c r="I10" s="342"/>
      <c r="J10" s="342"/>
      <c r="K10" s="342"/>
      <c r="L10" s="342"/>
      <c r="M10" s="343"/>
      <c r="O10" s="12" t="s">
        <v>3779</v>
      </c>
      <c r="P10" s="12">
        <f>COUNTIF(男子エントリー!$J$7:$J$406,O10)</f>
        <v>0</v>
      </c>
      <c r="R10" s="12" t="s">
        <v>3810</v>
      </c>
      <c r="S10" s="12">
        <f>COUNTIF(女子エントリー!$J$7:$J$406,R10)</f>
        <v>0</v>
      </c>
    </row>
    <row r="11" spans="2:20" s="12" customFormat="1" ht="25.8" hidden="1" customHeight="1">
      <c r="B11" s="333" t="s">
        <v>26</v>
      </c>
      <c r="C11" s="334"/>
      <c r="D11" s="334"/>
      <c r="E11" s="342"/>
      <c r="F11" s="342"/>
      <c r="G11" s="342"/>
      <c r="H11" s="342"/>
      <c r="I11" s="342"/>
      <c r="J11" s="342"/>
      <c r="K11" s="342"/>
      <c r="L11" s="342"/>
      <c r="M11" s="343"/>
      <c r="O11" s="12" t="s">
        <v>3781</v>
      </c>
      <c r="P11" s="12">
        <f>COUNTIF(男子エントリー!$J$7:$J$406,O11)</f>
        <v>0</v>
      </c>
      <c r="R11" s="12" t="s">
        <v>3781</v>
      </c>
      <c r="S11" s="12">
        <f>COUNTIF(女子エントリー!$J$7:$J$406,R11)</f>
        <v>0</v>
      </c>
    </row>
    <row r="12" spans="2:20" s="12" customFormat="1" ht="25.8" hidden="1" customHeight="1">
      <c r="B12" s="333" t="s">
        <v>27</v>
      </c>
      <c r="C12" s="334"/>
      <c r="D12" s="334"/>
      <c r="E12" s="342"/>
      <c r="F12" s="342"/>
      <c r="G12" s="342"/>
      <c r="H12" s="342"/>
      <c r="I12" s="342"/>
      <c r="J12" s="342"/>
      <c r="K12" s="342"/>
      <c r="L12" s="342"/>
      <c r="M12" s="343"/>
      <c r="O12" s="12" t="s">
        <v>3783</v>
      </c>
      <c r="P12" s="12">
        <f>COUNTIF(男子エントリー!$J$7:$J$406,O12)</f>
        <v>0</v>
      </c>
      <c r="R12" s="12" t="s">
        <v>3783</v>
      </c>
      <c r="S12" s="12">
        <f>COUNTIF(女子エントリー!$J$7:$J$406,R12)</f>
        <v>0</v>
      </c>
    </row>
    <row r="13" spans="2:20" s="12" customFormat="1" ht="25.8" customHeight="1">
      <c r="B13" s="331" t="s">
        <v>28</v>
      </c>
      <c r="C13" s="332"/>
      <c r="D13" s="332"/>
      <c r="E13" s="342"/>
      <c r="F13" s="342"/>
      <c r="G13" s="342"/>
      <c r="H13" s="342"/>
      <c r="I13" s="342"/>
      <c r="J13" s="342"/>
      <c r="K13" s="342"/>
      <c r="L13" s="342"/>
      <c r="M13" s="343"/>
      <c r="O13" s="12" t="s">
        <v>7103</v>
      </c>
      <c r="P13" s="12">
        <f>COUNTIF(男子エントリー!$J$7:$J$406,O13)</f>
        <v>0</v>
      </c>
      <c r="R13" s="12" t="s">
        <v>7103</v>
      </c>
      <c r="S13" s="12">
        <f>COUNTIF(女子エントリー!$J$7:$J$406,R13)</f>
        <v>0</v>
      </c>
    </row>
    <row r="14" spans="2:20" s="12" customFormat="1" ht="25.8" hidden="1" customHeight="1">
      <c r="B14" s="333" t="s">
        <v>29</v>
      </c>
      <c r="C14" s="334"/>
      <c r="D14" s="334"/>
      <c r="E14" s="342"/>
      <c r="F14" s="342"/>
      <c r="G14" s="342"/>
      <c r="H14" s="342"/>
      <c r="I14" s="342"/>
      <c r="J14" s="342"/>
      <c r="K14" s="342"/>
      <c r="L14" s="342"/>
      <c r="M14" s="343"/>
      <c r="O14" s="12" t="s">
        <v>3785</v>
      </c>
      <c r="P14" s="12">
        <f>COUNTIF(男子エントリー!$J$7:$J$406,O14)</f>
        <v>0</v>
      </c>
      <c r="R14" s="12" t="s">
        <v>3785</v>
      </c>
      <c r="S14" s="12">
        <f>COUNTIF(女子エントリー!$J$7:$J$406,R14)</f>
        <v>0</v>
      </c>
    </row>
    <row r="15" spans="2:20" s="12" customFormat="1" ht="25.8" customHeight="1">
      <c r="B15" s="331" t="s">
        <v>30</v>
      </c>
      <c r="C15" s="332"/>
      <c r="D15" s="332"/>
      <c r="E15" s="342"/>
      <c r="F15" s="342"/>
      <c r="G15" s="342"/>
      <c r="H15" s="342"/>
      <c r="I15" s="342"/>
      <c r="J15" s="342"/>
      <c r="K15" s="342"/>
      <c r="L15" s="342"/>
      <c r="M15" s="343"/>
      <c r="O15" s="12" t="s">
        <v>3790</v>
      </c>
      <c r="P15" s="12">
        <f>COUNTIF(男子エントリー!$J$7:$J$406,O15)</f>
        <v>0</v>
      </c>
      <c r="R15" s="12" t="s">
        <v>3790</v>
      </c>
      <c r="S15" s="12">
        <f>COUNTIF(女子エントリー!$J$7:$J$406,R15)</f>
        <v>0</v>
      </c>
    </row>
    <row r="16" spans="2:20" s="12" customFormat="1" ht="25.8" customHeight="1">
      <c r="B16" s="331" t="s">
        <v>31</v>
      </c>
      <c r="C16" s="332"/>
      <c r="D16" s="332"/>
      <c r="E16" s="367"/>
      <c r="F16" s="367"/>
      <c r="G16" s="367"/>
      <c r="H16" s="367"/>
      <c r="I16" s="367"/>
      <c r="J16" s="367"/>
      <c r="K16" s="367"/>
      <c r="L16" s="367"/>
      <c r="M16" s="368"/>
      <c r="O16" s="12" t="s">
        <v>3792</v>
      </c>
      <c r="P16" s="12">
        <f>COUNTIF(男子エントリー!$J$7:$J$406,O16)</f>
        <v>0</v>
      </c>
      <c r="R16" s="12" t="s">
        <v>3792</v>
      </c>
      <c r="S16" s="12">
        <f>COUNTIF(女子エントリー!$J$7:$J$406,R16)</f>
        <v>0</v>
      </c>
    </row>
    <row r="17" spans="2:20" s="12" customFormat="1" ht="25.8" customHeight="1" thickBot="1">
      <c r="B17" s="329" t="s">
        <v>32</v>
      </c>
      <c r="C17" s="330"/>
      <c r="D17" s="330"/>
      <c r="E17" s="369"/>
      <c r="F17" s="369"/>
      <c r="G17" s="369"/>
      <c r="H17" s="369"/>
      <c r="I17" s="369"/>
      <c r="J17" s="369"/>
      <c r="K17" s="369"/>
      <c r="L17" s="369"/>
      <c r="M17" s="370"/>
      <c r="O17" s="12" t="s">
        <v>3794</v>
      </c>
      <c r="P17" s="12">
        <f>COUNTIF(男子エントリー!$J$7:$J$406,O17)</f>
        <v>0</v>
      </c>
      <c r="R17" s="12" t="s">
        <v>3794</v>
      </c>
      <c r="S17" s="12">
        <f>COUNTIF(女子エントリー!$J$7:$J$406,R17)</f>
        <v>0</v>
      </c>
    </row>
    <row r="18" spans="2:20" ht="57" customHeight="1">
      <c r="O18" s="12" t="s">
        <v>3796</v>
      </c>
      <c r="P18" s="12">
        <f>COUNTIF(男子エントリー!$J$7:$J$406,O18)</f>
        <v>0</v>
      </c>
      <c r="R18" s="12" t="s">
        <v>3796</v>
      </c>
      <c r="S18" s="12">
        <f>COUNTIF(女子エントリー!$J$7:$J$406,R18)</f>
        <v>0</v>
      </c>
    </row>
    <row r="19" spans="2:20" ht="32.4" customHeight="1">
      <c r="B19" s="339" t="s">
        <v>18</v>
      </c>
      <c r="C19" s="339"/>
      <c r="D19" s="339"/>
      <c r="E19" s="21" t="s">
        <v>19</v>
      </c>
      <c r="F19" s="21"/>
      <c r="G19" s="21"/>
      <c r="H19" s="21" t="s">
        <v>20</v>
      </c>
      <c r="I19" s="21"/>
      <c r="J19" s="21"/>
      <c r="K19" s="21" t="s">
        <v>21</v>
      </c>
      <c r="L19" s="21"/>
      <c r="O19" s="12" t="s">
        <v>3798</v>
      </c>
      <c r="P19" s="12">
        <f>COUNTIF(男子エントリー!$J$7:$J$406,O19)</f>
        <v>0</v>
      </c>
      <c r="R19" s="12" t="s">
        <v>3798</v>
      </c>
      <c r="S19" s="12">
        <f>COUNTIF(女子エントリー!$J$7:$J$406,R19)</f>
        <v>0</v>
      </c>
    </row>
    <row r="20" spans="2:20" s="22" customFormat="1" ht="14.4" customHeight="1">
      <c r="B20" s="328" t="s">
        <v>33</v>
      </c>
      <c r="C20" s="328"/>
      <c r="D20" s="328"/>
      <c r="E20" s="340" t="s">
        <v>39</v>
      </c>
      <c r="F20" s="341"/>
      <c r="H20" s="23" t="s">
        <v>43</v>
      </c>
      <c r="I20" s="24"/>
      <c r="J20" s="24"/>
      <c r="K20" s="25" t="s">
        <v>7009</v>
      </c>
      <c r="O20" s="12" t="s">
        <v>3800</v>
      </c>
      <c r="P20" s="12">
        <f>COUNTIF(男子エントリー!$J$7:$J$406,O20)</f>
        <v>0</v>
      </c>
      <c r="Q20" s="12"/>
      <c r="R20" s="12" t="s">
        <v>3800</v>
      </c>
      <c r="S20" s="12">
        <f>COUNTIF(女子エントリー!$J$7:$J$406,R20)</f>
        <v>0</v>
      </c>
      <c r="T20" s="123"/>
    </row>
    <row r="21" spans="2:20" s="22" customFormat="1" ht="14.4" customHeight="1">
      <c r="B21" s="328" t="s">
        <v>7015</v>
      </c>
      <c r="C21" s="328"/>
      <c r="D21" s="328"/>
      <c r="E21" s="318" t="s">
        <v>40</v>
      </c>
      <c r="F21" s="319"/>
      <c r="H21" s="324" t="s">
        <v>7003</v>
      </c>
      <c r="I21" s="324"/>
      <c r="J21" s="324"/>
      <c r="K21" s="124" t="s">
        <v>7006</v>
      </c>
      <c r="O21" s="12" t="s">
        <v>3802</v>
      </c>
      <c r="P21" s="12">
        <f>COUNTIF(男子エントリー!$J$7:$J$406,O21)</f>
        <v>0</v>
      </c>
      <c r="Q21" s="12"/>
      <c r="R21" s="12" t="s">
        <v>3802</v>
      </c>
      <c r="S21" s="12">
        <f>COUNTIF(女子エントリー!$J$7:$J$406,R21)</f>
        <v>0</v>
      </c>
    </row>
    <row r="22" spans="2:20" s="22" customFormat="1" ht="14.4" customHeight="1">
      <c r="B22" s="22" t="s">
        <v>7058</v>
      </c>
      <c r="E22" s="320" t="s">
        <v>41</v>
      </c>
      <c r="F22" s="321"/>
      <c r="H22" s="325" t="s">
        <v>184</v>
      </c>
      <c r="I22" s="325"/>
      <c r="J22" s="325"/>
      <c r="K22" s="25" t="s">
        <v>7008</v>
      </c>
      <c r="O22" s="12" t="s">
        <v>3804</v>
      </c>
      <c r="P22" s="12">
        <f>COUNTIF(男子エントリー!$J$7:$J$406,O22)</f>
        <v>0</v>
      </c>
      <c r="R22" s="12" t="s">
        <v>3804</v>
      </c>
      <c r="S22" s="12">
        <f>COUNTIF(女子エントリー!$J$7:$J$406,R22)</f>
        <v>0</v>
      </c>
      <c r="T22" s="123"/>
    </row>
    <row r="23" spans="2:20" s="22" customFormat="1" ht="14.4" customHeight="1">
      <c r="B23" s="328" t="s">
        <v>7057</v>
      </c>
      <c r="C23" s="328"/>
      <c r="D23" s="328"/>
      <c r="E23" s="322" t="s">
        <v>42</v>
      </c>
      <c r="F23" s="323"/>
      <c r="H23" s="325"/>
      <c r="I23" s="325"/>
      <c r="J23" s="325"/>
      <c r="K23" s="124" t="s">
        <v>7007</v>
      </c>
      <c r="O23" s="12" t="s">
        <v>3806</v>
      </c>
      <c r="P23" s="12">
        <f>混成競技エントリー!AC2</f>
        <v>0</v>
      </c>
      <c r="Q23" s="12"/>
      <c r="R23" s="12" t="s">
        <v>3808</v>
      </c>
      <c r="S23" s="12">
        <f>混成競技エントリー!AC3</f>
        <v>0</v>
      </c>
      <c r="T23" s="123"/>
    </row>
    <row r="24" spans="2:20" s="22" customFormat="1" ht="14.4" customHeight="1">
      <c r="E24" s="322" t="s">
        <v>7014</v>
      </c>
      <c r="F24" s="323"/>
      <c r="H24" s="23" t="s">
        <v>44</v>
      </c>
      <c r="I24" s="23"/>
      <c r="J24" s="23"/>
      <c r="O24" s="12" t="s">
        <v>4015</v>
      </c>
      <c r="P24" s="12">
        <f>リレーエントリー!D4</f>
        <v>0</v>
      </c>
      <c r="Q24" s="12"/>
      <c r="R24" s="12" t="s">
        <v>4015</v>
      </c>
      <c r="S24" s="12">
        <f>リレーエントリー!D19</f>
        <v>0</v>
      </c>
      <c r="T24" s="123"/>
    </row>
    <row r="25" spans="2:20" s="22" customFormat="1" ht="14.4" customHeight="1">
      <c r="E25" s="316" t="s">
        <v>7002</v>
      </c>
      <c r="F25" s="317"/>
      <c r="H25" s="314" t="s">
        <v>7597</v>
      </c>
      <c r="I25" s="314"/>
      <c r="J25" s="314"/>
      <c r="O25" s="12"/>
      <c r="P25" s="12"/>
      <c r="Q25" s="12"/>
      <c r="R25" s="12"/>
      <c r="S25" s="12"/>
      <c r="T25" s="123"/>
    </row>
    <row r="26" spans="2:20" s="273" customFormat="1" ht="14.4" customHeight="1">
      <c r="E26" s="326" t="s">
        <v>7594</v>
      </c>
      <c r="F26" s="327"/>
      <c r="H26" s="314"/>
      <c r="I26" s="314"/>
      <c r="J26" s="314"/>
      <c r="O26" s="12"/>
      <c r="P26" s="12"/>
      <c r="Q26" s="12"/>
      <c r="R26" s="12"/>
      <c r="S26" s="12"/>
      <c r="T26" s="123"/>
    </row>
    <row r="27" spans="2:20" ht="57" customHeight="1" thickBot="1">
      <c r="H27" s="315"/>
      <c r="I27" s="315"/>
      <c r="J27" s="315"/>
      <c r="O27" s="12" t="s">
        <v>6997</v>
      </c>
      <c r="P27" s="12">
        <f>IF(SUM(男子エントリー!$AN$3:$BQ$3)&gt;0,1,0)</f>
        <v>0</v>
      </c>
      <c r="R27" s="12" t="s">
        <v>6997</v>
      </c>
      <c r="S27" s="12">
        <f>IF(SUM(女子エントリー!$AN$3:$BQ$3)&gt;0,1,0)</f>
        <v>0</v>
      </c>
    </row>
    <row r="28" spans="2:20" ht="18" customHeight="1" thickBot="1">
      <c r="C28" s="363" t="s">
        <v>34</v>
      </c>
      <c r="D28" s="364"/>
      <c r="E28" s="364"/>
      <c r="F28" s="364"/>
      <c r="G28" s="364"/>
      <c r="H28" s="364"/>
      <c r="I28" s="364"/>
      <c r="J28" s="364"/>
      <c r="K28" s="364"/>
      <c r="L28" s="365"/>
      <c r="O28" s="12" t="s">
        <v>4015</v>
      </c>
      <c r="P28" s="12">
        <f>IF(COUNTIF(リレーエントリー!$Q$6:$Y$17,TRUE)&gt;0,1,0)</f>
        <v>0</v>
      </c>
      <c r="Q28" s="22"/>
      <c r="R28" s="12" t="s">
        <v>4015</v>
      </c>
      <c r="S28" s="12">
        <f>IF(COUNTIF(リレーエントリー!$Q$21:$Y$32,TRUE)&gt;0,1,0)</f>
        <v>0</v>
      </c>
    </row>
    <row r="29" spans="2:20" ht="26.4" customHeight="1" thickTop="1">
      <c r="C29" s="26" t="s">
        <v>35</v>
      </c>
      <c r="D29" s="344">
        <f>IF(P27=1,"エラーあり",PRODUCT(SUM(P3:P22),競技会設定!C2))</f>
        <v>0</v>
      </c>
      <c r="E29" s="344"/>
      <c r="F29" s="27" t="s">
        <v>45</v>
      </c>
      <c r="G29" s="344">
        <f>IF(S27=1,"エラーあり",PRODUCT(SUM(S3:S22),競技会設定!C2))</f>
        <v>0</v>
      </c>
      <c r="H29" s="344"/>
      <c r="I29" s="344" t="s">
        <v>49</v>
      </c>
      <c r="J29" s="344"/>
      <c r="K29" s="344"/>
      <c r="L29" s="28">
        <f>IFERROR(D29+G29,"エラーあり")</f>
        <v>0</v>
      </c>
      <c r="O29" s="12" t="s">
        <v>6998</v>
      </c>
      <c r="P29" s="12">
        <f>IF(COUNTIF(混成競技エントリー!AI6:AL11,TRUE)&gt;0,1,0)</f>
        <v>0</v>
      </c>
      <c r="Q29" s="22"/>
      <c r="R29" s="12" t="s">
        <v>6998</v>
      </c>
      <c r="S29" s="12">
        <f>IF(COUNTIF(混成競技エントリー!AL6:AO11,TRUE)&gt;0,1,0)</f>
        <v>0</v>
      </c>
    </row>
    <row r="30" spans="2:20" ht="26.4" customHeight="1">
      <c r="C30" s="29" t="s">
        <v>36</v>
      </c>
      <c r="D30" s="338">
        <f>IF(P28=1,"エラーあり",P24*競技会設定!C4)</f>
        <v>0</v>
      </c>
      <c r="E30" s="338"/>
      <c r="F30" s="30" t="s">
        <v>46</v>
      </c>
      <c r="G30" s="338">
        <f>IF(S28=1,"エラーあり",S24*競技会設定!C4)</f>
        <v>0</v>
      </c>
      <c r="H30" s="338"/>
      <c r="I30" s="338" t="s">
        <v>50</v>
      </c>
      <c r="J30" s="338"/>
      <c r="K30" s="338"/>
      <c r="L30" s="31">
        <f>IFERROR(D30+G30,"エラーあり")</f>
        <v>0</v>
      </c>
    </row>
    <row r="31" spans="2:20" ht="26.4" customHeight="1">
      <c r="C31" s="29" t="s">
        <v>37</v>
      </c>
      <c r="D31" s="338">
        <f>IF(P29=1,"エラーあり",P23*競技会設定!C3)</f>
        <v>0</v>
      </c>
      <c r="E31" s="338"/>
      <c r="F31" s="30" t="s">
        <v>47</v>
      </c>
      <c r="G31" s="338">
        <f>IF(S29=1,"エラーあり",S23*競技会設定!C3)</f>
        <v>0</v>
      </c>
      <c r="H31" s="338"/>
      <c r="I31" s="338" t="s">
        <v>51</v>
      </c>
      <c r="J31" s="338"/>
      <c r="K31" s="338"/>
      <c r="L31" s="31">
        <f>IFERROR(D31+G31,"エラーあり")</f>
        <v>0</v>
      </c>
    </row>
    <row r="32" spans="2:20" ht="26.4" customHeight="1" thickBot="1">
      <c r="C32" s="32" t="s">
        <v>38</v>
      </c>
      <c r="D32" s="337">
        <f>男子エントリー!Q4+女子エントリー!Q4</f>
        <v>0</v>
      </c>
      <c r="E32" s="337"/>
      <c r="F32" s="33" t="s">
        <v>48</v>
      </c>
      <c r="G32" s="366"/>
      <c r="H32" s="366"/>
      <c r="I32" s="362" t="s">
        <v>52</v>
      </c>
      <c r="J32" s="362"/>
      <c r="K32" s="362"/>
      <c r="L32" s="34">
        <f>IFERROR(G32+L29+L30+L31,"エラーあり")</f>
        <v>0</v>
      </c>
    </row>
    <row r="33" ht="38.4" customHeight="1"/>
  </sheetData>
  <sheetProtection algorithmName="SHA-512" hashValue="mmNB0XFFtU0gVqPz8w00CRB/35FLOoW0TkNUlduvexBCeXAxvToNmOLYM7ncUuqhPQGI4wkb8RFWbZHNr5kXMQ==" saltValue="fCLSEBpqSma4LowFOLLsQA==" spinCount="100000" sheet="1" selectLockedCells="1"/>
  <mergeCells count="58">
    <mergeCell ref="E15:M15"/>
    <mergeCell ref="E16:M16"/>
    <mergeCell ref="E17:M17"/>
    <mergeCell ref="E8:M8"/>
    <mergeCell ref="E9:M9"/>
    <mergeCell ref="E10:M10"/>
    <mergeCell ref="E11:M11"/>
    <mergeCell ref="E12:M12"/>
    <mergeCell ref="I31:K31"/>
    <mergeCell ref="I32:K32"/>
    <mergeCell ref="C28:L28"/>
    <mergeCell ref="G30:H30"/>
    <mergeCell ref="G31:H31"/>
    <mergeCell ref="G32:H32"/>
    <mergeCell ref="D29:E29"/>
    <mergeCell ref="G29:H29"/>
    <mergeCell ref="B2:M2"/>
    <mergeCell ref="E3:M3"/>
    <mergeCell ref="E4:M4"/>
    <mergeCell ref="E5:M5"/>
    <mergeCell ref="E7:M7"/>
    <mergeCell ref="B3:D3"/>
    <mergeCell ref="B4:D4"/>
    <mergeCell ref="B5:D5"/>
    <mergeCell ref="B7:D7"/>
    <mergeCell ref="B6:D6"/>
    <mergeCell ref="E6:M6"/>
    <mergeCell ref="B8:D8"/>
    <mergeCell ref="B9:D9"/>
    <mergeCell ref="B10:D10"/>
    <mergeCell ref="B11:D11"/>
    <mergeCell ref="D32:E32"/>
    <mergeCell ref="D30:E30"/>
    <mergeCell ref="D31:E31"/>
    <mergeCell ref="B12:D12"/>
    <mergeCell ref="B19:D19"/>
    <mergeCell ref="B20:D20"/>
    <mergeCell ref="E20:F20"/>
    <mergeCell ref="E14:M14"/>
    <mergeCell ref="B16:D16"/>
    <mergeCell ref="E13:M13"/>
    <mergeCell ref="I29:K29"/>
    <mergeCell ref="I30:K30"/>
    <mergeCell ref="B21:D21"/>
    <mergeCell ref="B23:D23"/>
    <mergeCell ref="B17:D17"/>
    <mergeCell ref="B13:D13"/>
    <mergeCell ref="B14:D14"/>
    <mergeCell ref="B15:D15"/>
    <mergeCell ref="H25:J27"/>
    <mergeCell ref="E25:F25"/>
    <mergeCell ref="E21:F21"/>
    <mergeCell ref="E22:F22"/>
    <mergeCell ref="E23:F23"/>
    <mergeCell ref="E24:F24"/>
    <mergeCell ref="H21:J21"/>
    <mergeCell ref="H22:J23"/>
    <mergeCell ref="E26:F26"/>
  </mergeCells>
  <phoneticPr fontId="3"/>
  <conditionalFormatting sqref="D29:E31 L29:L32 G29:H31">
    <cfRule type="expression" dxfId="5" priority="3">
      <formula>D29&gt;=0</formula>
    </cfRule>
  </conditionalFormatting>
  <conditionalFormatting sqref="E5 E7:M17">
    <cfRule type="expression" dxfId="4" priority="2">
      <formula>E5&lt;&gt;""</formula>
    </cfRule>
  </conditionalFormatting>
  <dataValidations xWindow="1056" yWindow="463" count="2">
    <dataValidation imeMode="hiragana" allowBlank="1" showInputMessage="1" showErrorMessage="1" sqref="E13:M15" xr:uid="{206D7312-D5D5-4451-90D1-FDD7991C36AB}"/>
    <dataValidation imeMode="halfAlpha" allowBlank="1" showInputMessage="1" showErrorMessage="1" sqref="E16:M16" xr:uid="{D39013A8-DD72-4914-88EB-11D4DB25EFC0}"/>
  </dataValidations>
  <pageMargins left="0.7" right="0.7" top="0.75" bottom="0.75" header="0.3" footer="0.3"/>
  <pageSetup paperSize="9" scale="75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xWindow="1056" yWindow="463" count="1">
        <x14:dataValidation type="list" imeMode="hiragana" allowBlank="1" showInputMessage="1" showErrorMessage="1" xr:uid="{11D5359C-1C57-4F27-892E-B00E60C05864}">
          <x14:formula1>
            <xm:f>競技会設定!$N$2:$N$47</xm:f>
          </x14:formula1>
          <xm:sqref>E5:M5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6860-A1D3-473B-8367-24BDCE62FE82}">
  <sheetPr codeName="Sheet9"/>
  <dimension ref="A2:T13"/>
  <sheetViews>
    <sheetView workbookViewId="0"/>
  </sheetViews>
  <sheetFormatPr defaultRowHeight="13.2"/>
  <cols>
    <col min="1" max="3" width="8.796875" style="1"/>
    <col min="4" max="4" width="13.3984375" style="1" bestFit="1" customWidth="1"/>
    <col min="5" max="10" width="8.796875" style="1"/>
    <col min="11" max="14" width="13.3984375" style="1" bestFit="1" customWidth="1"/>
    <col min="15" max="20" width="11.3984375" style="1" bestFit="1" customWidth="1"/>
    <col min="21" max="16384" width="8.796875" style="1"/>
  </cols>
  <sheetData>
    <row r="2" spans="1:20">
      <c r="A2" s="104"/>
      <c r="B2" s="104"/>
      <c r="C2" s="116" t="s">
        <v>3753</v>
      </c>
      <c r="D2" s="117" t="s">
        <v>3754</v>
      </c>
      <c r="E2" s="117" t="s">
        <v>3755</v>
      </c>
      <c r="F2" s="117" t="s">
        <v>6847</v>
      </c>
      <c r="G2" s="117" t="s">
        <v>3760</v>
      </c>
      <c r="H2" s="117" t="s">
        <v>3761</v>
      </c>
      <c r="I2" s="117" t="s">
        <v>3762</v>
      </c>
      <c r="J2" s="117" t="s">
        <v>3763</v>
      </c>
      <c r="K2" s="117" t="s">
        <v>6848</v>
      </c>
      <c r="L2" s="118" t="s">
        <v>6849</v>
      </c>
    </row>
    <row r="3" spans="1:20">
      <c r="A3" s="111" t="s">
        <v>6769</v>
      </c>
      <c r="B3" s="111" t="s">
        <v>6780</v>
      </c>
      <c r="C3" s="106" t="str">
        <f>基本情報!$E$7</f>
        <v/>
      </c>
      <c r="D3" s="35">
        <f>基本情報!$E$5</f>
        <v>0</v>
      </c>
      <c r="E3" s="35" t="str">
        <f>基本情報!$E$3</f>
        <v/>
      </c>
      <c r="F3" s="35" t="str">
        <f>TEXT(リレーエントリー!I6,"00000")</f>
        <v>00000</v>
      </c>
      <c r="G3" s="35" t="str">
        <f>_xlfn.IFNA(INDEX(男子エントリー!$D$7:$T$406,MATCH(VALUE(RIGHT(G$2,1)),男子エントリー!$T$7:$T$406,0),1),"")</f>
        <v/>
      </c>
      <c r="H3" s="35" t="str">
        <f>_xlfn.IFNA(INDEX(男子エントリー!$D$7:$T$406,MATCH(VALUE(RIGHT(H$2,1)),男子エントリー!$T$7:$T$406,0),1),"")</f>
        <v/>
      </c>
      <c r="I3" s="35" t="str">
        <f>_xlfn.IFNA(INDEX(男子エントリー!$D$7:$T$406,MATCH(VALUE(RIGHT(I$2,1)),男子エントリー!$T$7:$T$406,0),1),"")</f>
        <v/>
      </c>
      <c r="J3" s="35" t="str">
        <f>_xlfn.IFNA(INDEX(男子エントリー!$D$7:$T$406,MATCH(VALUE(RIGHT(J$2,1)),男子エントリー!$T$7:$T$406,0),1),"")</f>
        <v/>
      </c>
      <c r="K3" s="35" t="str">
        <f>_xlfn.IFNA(INDEX(男子エントリー!$D$7:$T$406,MATCH(VALUE(RIGHT(K$2,1)),男子エントリー!$T$7:$T$406,0),1),"")</f>
        <v/>
      </c>
      <c r="L3" s="107" t="str">
        <f>_xlfn.IFNA(INDEX(男子エントリー!$D$7:$T$406,MATCH(VALUE(RIGHT(L$2,1)),男子エントリー!$T$7:$T$406,0),1),"")</f>
        <v/>
      </c>
    </row>
    <row r="4" spans="1:20">
      <c r="A4" s="111" t="s">
        <v>6819</v>
      </c>
      <c r="B4" s="111" t="s">
        <v>6780</v>
      </c>
      <c r="C4" s="108" t="str">
        <f>基本情報!$E$7</f>
        <v/>
      </c>
      <c r="D4" s="109">
        <f>基本情報!$E$5</f>
        <v>0</v>
      </c>
      <c r="E4" s="109" t="str">
        <f>基本情報!$E$3</f>
        <v/>
      </c>
      <c r="F4" s="109" t="str">
        <f>TEXT(リレーエントリー!I21,"00000")</f>
        <v>00000</v>
      </c>
      <c r="G4" s="109" t="str">
        <f>_xlfn.IFNA(INDEX(女子エントリー!$D$7:$T$406,MATCH(VALUE(RIGHT(G$2,1)),女子エントリー!$T$7:$T$406,0),1),"")</f>
        <v/>
      </c>
      <c r="H4" s="109" t="str">
        <f>_xlfn.IFNA(INDEX(女子エントリー!$D$7:$T$406,MATCH(VALUE(RIGHT(H$2,1)),女子エントリー!$T$7:$T$406,0),1),"")</f>
        <v/>
      </c>
      <c r="I4" s="109" t="str">
        <f>_xlfn.IFNA(INDEX(女子エントリー!$D$7:$T$406,MATCH(VALUE(RIGHT(I$2,1)),女子エントリー!$T$7:$T$406,0),1),"")</f>
        <v/>
      </c>
      <c r="J4" s="109" t="str">
        <f>_xlfn.IFNA(INDEX(女子エントリー!$D$7:$T$406,MATCH(VALUE(RIGHT(J$2,1)),女子エントリー!$T$7:$T$406,0),1),"")</f>
        <v/>
      </c>
      <c r="K4" s="109" t="str">
        <f>_xlfn.IFNA(INDEX(女子エントリー!$D$7:$T$406,MATCH(VALUE(RIGHT(K$2,1)),女子エントリー!$T$7:$T$406,0),1),"")</f>
        <v/>
      </c>
      <c r="L4" s="110" t="str">
        <f>_xlfn.IFNA(INDEX(女子エントリー!$D$7:$T$406,MATCH(VALUE(RIGHT(L$2,1)),女子エントリー!$T$7:$T$406,0),1),"")</f>
        <v/>
      </c>
    </row>
    <row r="6" spans="1:20" s="104" customFormat="1">
      <c r="K6" s="103">
        <v>200</v>
      </c>
      <c r="L6" s="103">
        <v>500</v>
      </c>
      <c r="M6" s="103">
        <v>800</v>
      </c>
      <c r="N6" s="103">
        <v>3400</v>
      </c>
      <c r="O6" s="103">
        <v>7100</v>
      </c>
      <c r="P6" s="103">
        <v>7200</v>
      </c>
      <c r="Q6" s="103">
        <v>7300</v>
      </c>
      <c r="R6" s="103">
        <v>8100</v>
      </c>
      <c r="S6" s="103">
        <v>8600</v>
      </c>
      <c r="T6" s="103">
        <v>9200</v>
      </c>
    </row>
    <row r="7" spans="1:20">
      <c r="A7" s="113"/>
      <c r="B7" s="114"/>
      <c r="C7" s="116" t="s">
        <v>3753</v>
      </c>
      <c r="D7" s="117" t="s">
        <v>3754</v>
      </c>
      <c r="E7" s="117" t="s">
        <v>3755</v>
      </c>
      <c r="F7" s="117" t="s">
        <v>3756</v>
      </c>
      <c r="G7" s="117" t="s">
        <v>3758</v>
      </c>
      <c r="H7" s="117" t="s">
        <v>3757</v>
      </c>
      <c r="I7" s="117" t="s">
        <v>3759</v>
      </c>
      <c r="J7" s="117" t="s">
        <v>6853</v>
      </c>
      <c r="K7" s="117" t="s">
        <v>3760</v>
      </c>
      <c r="L7" s="117" t="s">
        <v>3761</v>
      </c>
      <c r="M7" s="117" t="s">
        <v>3762</v>
      </c>
      <c r="N7" s="117" t="s">
        <v>3763</v>
      </c>
      <c r="O7" s="117" t="s">
        <v>6848</v>
      </c>
      <c r="P7" s="117" t="s">
        <v>6849</v>
      </c>
      <c r="Q7" s="117" t="s">
        <v>6850</v>
      </c>
      <c r="R7" s="117" t="s">
        <v>6851</v>
      </c>
      <c r="S7" s="117" t="s">
        <v>6852</v>
      </c>
      <c r="T7" s="118" t="s">
        <v>6854</v>
      </c>
    </row>
    <row r="8" spans="1:20">
      <c r="A8" s="112" t="s">
        <v>6906</v>
      </c>
      <c r="B8" s="115">
        <v>1</v>
      </c>
      <c r="C8" s="106" t="str">
        <f>_xlfn.IFNA(INDEX(男子エントリー!$D$7:$AB$406,MATCH($B8,男子エントリー!$AB$7:$AB$406,0),1),"")</f>
        <v/>
      </c>
      <c r="D8" s="35" t="str">
        <f>_xlfn.IFNA(INDEX(男子エントリー!$D$7:$AB$406,MATCH($B8,男子エントリー!$AB$7:$AB$406,0),2)&amp;"("&amp;INDEX(男子エントリー!$D$7:$AB$406,MATCH($B8,男子エントリー!$AB$7:$AB$406,0),4)&amp;")","")</f>
        <v/>
      </c>
      <c r="E8" s="35" t="str">
        <f>_xlfn.IFNA(INDEX(男子エントリー!$D$7:$AB$406,MATCH($B8,男子エントリー!$AB$7:$AB$406,0),3),"")</f>
        <v/>
      </c>
      <c r="F8" s="35" t="str">
        <f>IF(D8="","",1)</f>
        <v/>
      </c>
      <c r="G8" s="35" t="str">
        <f>基本情報!$E$7</f>
        <v/>
      </c>
      <c r="H8" s="35" t="str" cm="1">
        <f t="array" ref="H8">_xlfn.IFNA(VLOOKUP(INDEX(男子エントリー!$D$7:$AB$406,MATCH($B8,男子エントリー!$AB$7:$AB$406,0)+1,4),競技会設定!$D$3:$E$50,2,0),"")</f>
        <v/>
      </c>
      <c r="I8" s="35" t="str">
        <f t="shared" ref="I8:I13" si="0">IFERROR(VALUE(RIGHT(C8,5)),"")</f>
        <v/>
      </c>
      <c r="J8" s="35" t="str">
        <f>_xlfn.IFNA(TEXT(INDEX(男子エントリー!$D$7:$AC$406,MATCH($B8,男子エントリー!$AB$7:$AB$406,0),26),"00000"),"")</f>
        <v/>
      </c>
      <c r="K8" s="35" t="str">
        <f>TEXT(K$6,"00000")&amp;" "&amp;TEXT(混成競技エントリー!F7,"0000000")</f>
        <v>00200 0000000</v>
      </c>
      <c r="L8" s="35" t="str">
        <f>TEXT(L$6,"00000")&amp;" "&amp;TEXT(混成競技エントリー!F8,"0000000")</f>
        <v>00500 0000000</v>
      </c>
      <c r="M8" s="35" t="str">
        <f>TEXT(M$6,"00000")&amp;" "&amp;TEXT(混成競技エントリー!F9,"0000000")</f>
        <v>00800 0000000</v>
      </c>
      <c r="N8" s="35" t="str">
        <f>TEXT(N$6,"00000")&amp;" "&amp;TEXT(混成競技エントリー!F10,"0000000")</f>
        <v>03400 0000000</v>
      </c>
      <c r="O8" s="35" t="str">
        <f>TEXT(O$6,"00000")&amp;" "&amp;TEXT(混成競技エントリー!F11,"00000")</f>
        <v>07100 00000</v>
      </c>
      <c r="P8" s="35" t="str">
        <f>TEXT(P$6,"00000")&amp;" "&amp;TEXT(混成競技エントリー!I7,"00000")</f>
        <v>07200 00000</v>
      </c>
      <c r="Q8" s="35" t="str">
        <f>TEXT(Q$6,"00000")&amp;" "&amp;TEXT(混成競技エントリー!I8,"00000")</f>
        <v>07300 00000</v>
      </c>
      <c r="R8" s="35" t="str">
        <f>TEXT(R$6,"00000")&amp;" "&amp;TEXT(混成競技エントリー!I9,"00000")</f>
        <v>08100 00000</v>
      </c>
      <c r="S8" s="35" t="str">
        <f>TEXT(S$6,"00000")&amp;" "&amp;TEXT(混成競技エントリー!I10,"00000")</f>
        <v>08600 00000</v>
      </c>
      <c r="T8" s="107" t="str">
        <f>TEXT(T$6,"00000")&amp;" "&amp;TEXT(混成競技エントリー!I11,"00000")</f>
        <v>09200 00000</v>
      </c>
    </row>
    <row r="9" spans="1:20">
      <c r="A9" s="112"/>
      <c r="B9" s="115">
        <v>2</v>
      </c>
      <c r="C9" s="106" t="str">
        <f>_xlfn.IFNA(INDEX(男子エントリー!$D$7:$AB$406,MATCH($B9,男子エントリー!$AB$7:$AB$406,0),1),"")</f>
        <v/>
      </c>
      <c r="D9" s="35" t="str">
        <f>_xlfn.IFNA(INDEX(男子エントリー!$D$7:$AB$406,MATCH($B9,男子エントリー!$AB$7:$AB$406,0),2)&amp;"("&amp;INDEX(男子エントリー!$D$7:$AB$406,MATCH($B9,男子エントリー!$AB$7:$AB$406,0),4)&amp;")","")</f>
        <v/>
      </c>
      <c r="E9" s="35" t="str">
        <f>_xlfn.IFNA(INDEX(男子エントリー!$D$7:$AB$406,MATCH($B9,男子エントリー!$AB$7:$AB$406,0),3),"")</f>
        <v/>
      </c>
      <c r="F9" s="35" t="str">
        <f t="shared" ref="F9:F13" si="1">IF(D9="","",1)</f>
        <v/>
      </c>
      <c r="G9" s="35" t="str">
        <f>基本情報!$E$7</f>
        <v/>
      </c>
      <c r="H9" s="35" t="str" cm="1">
        <f t="array" ref="H9">_xlfn.IFNA(VLOOKUP(INDEX(男子エントリー!$D$7:$AB$406,MATCH($B9,男子エントリー!$AB$7:$AB$406,0)+1,4),競技会設定!$D$3:$E$50,2,0),"")</f>
        <v/>
      </c>
      <c r="I9" s="35" t="str">
        <f t="shared" si="0"/>
        <v/>
      </c>
      <c r="J9" s="35" t="str">
        <f>_xlfn.IFNA(TEXT(INDEX(男子エントリー!$D$7:$AC$406,MATCH($B9,男子エントリー!$AB$7:$AB$406,0),26),"00000"),"")</f>
        <v/>
      </c>
      <c r="K9" s="35" t="str">
        <f>TEXT(K$6,"00000")&amp;" "&amp;TEXT(混成競技エントリー!P7,"0000000")</f>
        <v>00200 0000000</v>
      </c>
      <c r="L9" s="35" t="str">
        <f>TEXT(L$6,"00000")&amp;" "&amp;TEXT(混成競技エントリー!P8,"0000000")</f>
        <v>00500 0000000</v>
      </c>
      <c r="M9" s="35" t="str">
        <f>TEXT(M$6,"00000")&amp;" "&amp;TEXT(混成競技エントリー!P9,"0000000")</f>
        <v>00800 0000000</v>
      </c>
      <c r="N9" s="35" t="str">
        <f>TEXT(N$6,"00000")&amp;" "&amp;TEXT(混成競技エントリー!P10,"0000000")</f>
        <v>03400 0000000</v>
      </c>
      <c r="O9" s="35" t="str">
        <f>TEXT(O$6,"00000")&amp;" "&amp;TEXT(混成競技エントリー!P11,"00000")</f>
        <v>07100 00000</v>
      </c>
      <c r="P9" s="35" t="str">
        <f>TEXT(P$6,"00000")&amp;" "&amp;TEXT(混成競技エントリー!S7,"00000")</f>
        <v>07200 00000</v>
      </c>
      <c r="Q9" s="35" t="str">
        <f>TEXT(Q$6,"00000")&amp;" "&amp;TEXT(混成競技エントリー!S8,"00000")</f>
        <v>07300 00000</v>
      </c>
      <c r="R9" s="35" t="str">
        <f>TEXT(R$6,"00000")&amp;" "&amp;TEXT(混成競技エントリー!S9,"00000")</f>
        <v>08100 00000</v>
      </c>
      <c r="S9" s="35" t="str">
        <f>TEXT(S$6,"00000")&amp;" "&amp;TEXT(混成競技エントリー!S10,"00000")</f>
        <v>08600 00000</v>
      </c>
      <c r="T9" s="107" t="str">
        <f>TEXT(T$6,"00000")&amp;" "&amp;TEXT(混成競技エントリー!S11,"00000")</f>
        <v>09200 00000</v>
      </c>
    </row>
    <row r="10" spans="1:20">
      <c r="A10" s="112"/>
      <c r="B10" s="115">
        <v>3</v>
      </c>
      <c r="C10" s="106" t="str">
        <f>_xlfn.IFNA(INDEX(男子エントリー!$D$7:$AB$406,MATCH($B10,男子エントリー!$AB$7:$AB$406,0),1),"")</f>
        <v/>
      </c>
      <c r="D10" s="35" t="str">
        <f>_xlfn.IFNA(INDEX(男子エントリー!$D$7:$AB$406,MATCH($B10,男子エントリー!$AB$7:$AB$406,0),2)&amp;"("&amp;INDEX(男子エントリー!$D$7:$AB$406,MATCH($B10,男子エントリー!$AB$7:$AB$406,0),4)&amp;")","")</f>
        <v/>
      </c>
      <c r="E10" s="35" t="str">
        <f>_xlfn.IFNA(INDEX(男子エントリー!$D$7:$AB$406,MATCH($B10,男子エントリー!$AB$7:$AB$406,0),3),"")</f>
        <v/>
      </c>
      <c r="F10" s="35" t="str">
        <f t="shared" si="1"/>
        <v/>
      </c>
      <c r="G10" s="35" t="str">
        <f>基本情報!$E$7</f>
        <v/>
      </c>
      <c r="H10" s="35" t="str" cm="1">
        <f t="array" ref="H10">_xlfn.IFNA(VLOOKUP(INDEX(男子エントリー!$D$7:$AB$406,MATCH($B10,男子エントリー!$AB$7:$AB$406,0)+1,4),競技会設定!$D$3:$E$50,2,0),"")</f>
        <v/>
      </c>
      <c r="I10" s="35" t="str">
        <f t="shared" si="0"/>
        <v/>
      </c>
      <c r="J10" s="35" t="str">
        <f>_xlfn.IFNA(TEXT(INDEX(男子エントリー!$D$7:$AC$406,MATCH($B10,男子エントリー!$AB$7:$AB$406,0),26),"00000"),"")</f>
        <v/>
      </c>
      <c r="K10" s="35" t="str">
        <f>TEXT(K$6,"00000")&amp;" "&amp;TEXT(混成競技エントリー!Z7,"0000000")</f>
        <v>00200 0000000</v>
      </c>
      <c r="L10" s="35" t="str">
        <f>TEXT(L$6,"00000")&amp;" "&amp;TEXT(混成競技エントリー!Z8,"0000000")</f>
        <v>00500 0000000</v>
      </c>
      <c r="M10" s="35" t="str">
        <f>TEXT(M$6,"00000")&amp;" "&amp;TEXT(混成競技エントリー!Z9,"0000000")</f>
        <v>00800 0000000</v>
      </c>
      <c r="N10" s="35" t="str">
        <f>TEXT(N$6,"00000")&amp;" "&amp;TEXT(混成競技エントリー!Z10,"0000000")</f>
        <v>03400 0000000</v>
      </c>
      <c r="O10" s="35" t="str">
        <f>TEXT(O$6,"00000")&amp;" "&amp;TEXT(混成競技エントリー!Z11,"00000")</f>
        <v>07100 00000</v>
      </c>
      <c r="P10" s="35" t="str">
        <f>TEXT(P$6,"00000")&amp;" "&amp;TEXT(混成競技エントリー!AC7,"00000")</f>
        <v>07200 00000</v>
      </c>
      <c r="Q10" s="35" t="str">
        <f>TEXT(Q$6,"00000")&amp;" "&amp;TEXT(混成競技エントリー!AC8,"00000")</f>
        <v>07300 00000</v>
      </c>
      <c r="R10" s="35" t="str">
        <f>TEXT(R$6,"00000")&amp;" "&amp;TEXT(混成競技エントリー!AC9,"00000")</f>
        <v>08100 00000</v>
      </c>
      <c r="S10" s="35" t="str">
        <f>TEXT(S$6,"00000")&amp;" "&amp;TEXT(混成競技エントリー!AC10,"00000")</f>
        <v>08600 00000</v>
      </c>
      <c r="T10" s="107" t="str">
        <f>TEXT(T$6,"00000")&amp;" "&amp;TEXT(混成競技エントリー!AC11,"00000")</f>
        <v>09200 00000</v>
      </c>
    </row>
    <row r="11" spans="1:20">
      <c r="A11" s="112"/>
      <c r="B11" s="115">
        <v>4</v>
      </c>
      <c r="C11" s="106" t="str">
        <f>_xlfn.IFNA(INDEX(男子エントリー!$D$7:$AB$406,MATCH($B11,男子エントリー!$AB$7:$AB$406,0),1),"")</f>
        <v/>
      </c>
      <c r="D11" s="35" t="str">
        <f>_xlfn.IFNA(INDEX(男子エントリー!$D$7:$AB$406,MATCH($B11,男子エントリー!$AB$7:$AB$406,0),2)&amp;"("&amp;INDEX(男子エントリー!$D$7:$AB$406,MATCH($B11,男子エントリー!$AB$7:$AB$406,0),4)&amp;")","")</f>
        <v/>
      </c>
      <c r="E11" s="35" t="str">
        <f>_xlfn.IFNA(INDEX(男子エントリー!$D$7:$AB$406,MATCH($B11,男子エントリー!$AB$7:$AB$406,0),3),"")</f>
        <v/>
      </c>
      <c r="F11" s="35" t="str">
        <f t="shared" si="1"/>
        <v/>
      </c>
      <c r="G11" s="35" t="str">
        <f>基本情報!$E$7</f>
        <v/>
      </c>
      <c r="H11" s="35" t="str" cm="1">
        <f t="array" ref="H11">_xlfn.IFNA(VLOOKUP(INDEX(男子エントリー!$D$7:$AB$406,MATCH($B11,男子エントリー!$AB$7:$AB$406,0)+1,4),競技会設定!$D$3:$E$50,2,0),"")</f>
        <v/>
      </c>
      <c r="I11" s="35" t="str">
        <f t="shared" si="0"/>
        <v/>
      </c>
      <c r="J11" s="35" t="str">
        <f>_xlfn.IFNA(TEXT(INDEX(男子エントリー!$D$7:$AC$406,MATCH($B11,男子エントリー!$AB$7:$AB$406,0),26),"00000"),"")</f>
        <v/>
      </c>
      <c r="K11" s="35" t="str">
        <f>TEXT(K$6,"00000")&amp;" "&amp;TEXT(混成競技エントリー!F15,"0000000")</f>
        <v>00200 0000000</v>
      </c>
      <c r="L11" s="35" t="str">
        <f>TEXT(L$6,"00000")&amp;" "&amp;TEXT(混成競技エントリー!F16,"0000000")</f>
        <v>00500 0000000</v>
      </c>
      <c r="M11" s="35" t="str">
        <f>TEXT(M$6,"00000")&amp;" "&amp;TEXT(混成競技エントリー!F17,"0000000")</f>
        <v>00800 0000000</v>
      </c>
      <c r="N11" s="35" t="str">
        <f>TEXT(N$6,"00000")&amp;" "&amp;TEXT(混成競技エントリー!F18,"0000000")</f>
        <v>03400 0000000</v>
      </c>
      <c r="O11" s="35" t="str">
        <f>TEXT(O$6,"00000")&amp;" "&amp;TEXT(混成競技エントリー!F19,"00000")</f>
        <v>07100 00000</v>
      </c>
      <c r="P11" s="35" t="str">
        <f>TEXT(P$6,"00000")&amp;" "&amp;TEXT(混成競技エントリー!I15,"00000")</f>
        <v>07200 00000</v>
      </c>
      <c r="Q11" s="35" t="str">
        <f>TEXT(Q$6,"00000")&amp;" "&amp;TEXT(混成競技エントリー!I16,"00000")</f>
        <v>07300 00000</v>
      </c>
      <c r="R11" s="35" t="str">
        <f>TEXT(R$6,"00000")&amp;" "&amp;TEXT(混成競技エントリー!I17,"00000")</f>
        <v>08100 00000</v>
      </c>
      <c r="S11" s="35" t="str">
        <f>TEXT(S$6,"00000")&amp;" "&amp;TEXT(混成競技エントリー!I18,"00000")</f>
        <v>08600 00000</v>
      </c>
      <c r="T11" s="107" t="str">
        <f>TEXT(T$6,"00000")&amp;" "&amp;TEXT(混成競技エントリー!I19,"00000")</f>
        <v>09200 00000</v>
      </c>
    </row>
    <row r="12" spans="1:20">
      <c r="A12" s="112"/>
      <c r="B12" s="115">
        <v>5</v>
      </c>
      <c r="C12" s="106" t="str">
        <f>_xlfn.IFNA(INDEX(男子エントリー!$D$7:$AB$406,MATCH($B12,男子エントリー!$AB$7:$AB$406,0),1),"")</f>
        <v/>
      </c>
      <c r="D12" s="35" t="str">
        <f>_xlfn.IFNA(INDEX(男子エントリー!$D$7:$AB$406,MATCH($B12,男子エントリー!$AB$7:$AB$406,0),2)&amp;"("&amp;INDEX(男子エントリー!$D$7:$AB$406,MATCH($B12,男子エントリー!$AB$7:$AB$406,0),4)&amp;")","")</f>
        <v/>
      </c>
      <c r="E12" s="35" t="str">
        <f>_xlfn.IFNA(INDEX(男子エントリー!$D$7:$AB$406,MATCH($B12,男子エントリー!$AB$7:$AB$406,0),3),"")</f>
        <v/>
      </c>
      <c r="F12" s="35" t="str">
        <f t="shared" si="1"/>
        <v/>
      </c>
      <c r="G12" s="35" t="str">
        <f>基本情報!$E$7</f>
        <v/>
      </c>
      <c r="H12" s="35" t="str" cm="1">
        <f t="array" ref="H12">_xlfn.IFNA(VLOOKUP(INDEX(男子エントリー!$D$7:$AB$406,MATCH($B12,男子エントリー!$AB$7:$AB$406,0)+1,4),競技会設定!$D$3:$E$50,2,0),"")</f>
        <v/>
      </c>
      <c r="I12" s="35" t="str">
        <f t="shared" si="0"/>
        <v/>
      </c>
      <c r="J12" s="35" t="str">
        <f>_xlfn.IFNA(TEXT(INDEX(男子エントリー!$D$7:$AC$406,MATCH($B12,男子エントリー!$AB$7:$AB$406,0),26),"00000"),"")</f>
        <v/>
      </c>
      <c r="K12" s="35" t="str">
        <f>TEXT(K$6,"00000")&amp;" "&amp;TEXT(混成競技エントリー!P15,"0000000")</f>
        <v>00200 0000000</v>
      </c>
      <c r="L12" s="35" t="str">
        <f>TEXT(L$6,"00000")&amp;" "&amp;TEXT(混成競技エントリー!P16,"0000000")</f>
        <v>00500 0000000</v>
      </c>
      <c r="M12" s="35" t="str">
        <f>TEXT(M$6,"00000")&amp;" "&amp;TEXT(混成競技エントリー!P17,"0000000")</f>
        <v>00800 0000000</v>
      </c>
      <c r="N12" s="35" t="str">
        <f>TEXT(N$6,"00000")&amp;" "&amp;TEXT(混成競技エントリー!P18,"0000000")</f>
        <v>03400 0000000</v>
      </c>
      <c r="O12" s="35" t="str">
        <f>TEXT(O$6,"00000")&amp;" "&amp;TEXT(混成競技エントリー!P19,"00000")</f>
        <v>07100 00000</v>
      </c>
      <c r="P12" s="35" t="str">
        <f>TEXT(P$6,"00000")&amp;" "&amp;TEXT(混成競技エントリー!S15,"00000")</f>
        <v>07200 00000</v>
      </c>
      <c r="Q12" s="35" t="str">
        <f>TEXT(Q$6,"00000")&amp;" "&amp;TEXT(混成競技エントリー!S16,"00000")</f>
        <v>07300 00000</v>
      </c>
      <c r="R12" s="35" t="str">
        <f>TEXT(R$6,"00000")&amp;" "&amp;TEXT(混成競技エントリー!S17,"00000")</f>
        <v>08100 00000</v>
      </c>
      <c r="S12" s="35" t="str">
        <f>TEXT(S$6,"00000")&amp;" "&amp;TEXT(混成競技エントリー!S18,"00000")</f>
        <v>08600 00000</v>
      </c>
      <c r="T12" s="107" t="str">
        <f>TEXT(T$6,"00000")&amp;" "&amp;TEXT(混成競技エントリー!S19,"00000")</f>
        <v>09200 00000</v>
      </c>
    </row>
    <row r="13" spans="1:20">
      <c r="A13" s="112"/>
      <c r="B13" s="115">
        <v>6</v>
      </c>
      <c r="C13" s="108" t="str">
        <f>_xlfn.IFNA(INDEX(男子エントリー!$D$7:$AB$406,MATCH($B13,男子エントリー!$AB$7:$AB$406,0),1),"")</f>
        <v/>
      </c>
      <c r="D13" s="109" t="str">
        <f>_xlfn.IFNA(INDEX(男子エントリー!$D$7:$AB$406,MATCH($B13,男子エントリー!$AB$7:$AB$406,0),2)&amp;"("&amp;INDEX(男子エントリー!$D$7:$AB$406,MATCH($B13,男子エントリー!$AB$7:$AB$406,0),4)&amp;")","")</f>
        <v/>
      </c>
      <c r="E13" s="109" t="str">
        <f>_xlfn.IFNA(INDEX(男子エントリー!$D$7:$AB$406,MATCH($B13,男子エントリー!$AB$7:$AB$406,0),3),"")</f>
        <v/>
      </c>
      <c r="F13" s="109" t="str">
        <f t="shared" si="1"/>
        <v/>
      </c>
      <c r="G13" s="109" t="str">
        <f>基本情報!$E$7</f>
        <v/>
      </c>
      <c r="H13" s="109" t="str" cm="1">
        <f t="array" ref="H13">_xlfn.IFNA(VLOOKUP(INDEX(男子エントリー!$D$7:$AB$406,MATCH($B13,男子エントリー!$AB$7:$AB$406,0)+1,4),競技会設定!$D$3:$E$50,2,0),"")</f>
        <v/>
      </c>
      <c r="I13" s="109" t="str">
        <f t="shared" si="0"/>
        <v/>
      </c>
      <c r="J13" s="109" t="str">
        <f>_xlfn.IFNA(TEXT(INDEX(男子エントリー!$D$7:$AC$406,MATCH($B13,男子エントリー!$AB$7:$AB$406,0),26),"00000"),"")</f>
        <v/>
      </c>
      <c r="K13" s="109" t="str">
        <f>TEXT(K$6,"00000")&amp;" "&amp;TEXT(混成競技エントリー!Z15,"0000000")</f>
        <v>00200 0000000</v>
      </c>
      <c r="L13" s="109" t="str">
        <f>TEXT(L$6,"00000")&amp;" "&amp;TEXT(混成競技エントリー!Z16,"0000000")</f>
        <v>00500 0000000</v>
      </c>
      <c r="M13" s="109" t="str">
        <f>TEXT(M$6,"00000")&amp;" "&amp;TEXT(混成競技エントリー!Z17,"0000000")</f>
        <v>00800 0000000</v>
      </c>
      <c r="N13" s="109" t="str">
        <f>TEXT(N$6,"00000")&amp;" "&amp;TEXT(混成競技エントリー!Z18,"0000000")</f>
        <v>03400 0000000</v>
      </c>
      <c r="O13" s="109" t="str">
        <f>TEXT(O$6,"00000")&amp;" "&amp;TEXT(混成競技エントリー!Z19,"00000")</f>
        <v>07100 00000</v>
      </c>
      <c r="P13" s="109" t="str">
        <f>TEXT(P$6,"00000")&amp;" "&amp;TEXT(混成競技エントリー!AC15,"00000")</f>
        <v>07200 00000</v>
      </c>
      <c r="Q13" s="109" t="str">
        <f>TEXT(Q$6,"00000")&amp;" "&amp;TEXT(混成競技エントリー!AC16,"00000")</f>
        <v>07300 00000</v>
      </c>
      <c r="R13" s="109" t="str">
        <f>TEXT(R$6,"00000")&amp;" "&amp;TEXT(混成競技エントリー!AC17,"00000")</f>
        <v>08100 00000</v>
      </c>
      <c r="S13" s="109" t="str">
        <f>TEXT(S$6,"00000")&amp;" "&amp;TEXT(混成競技エントリー!AC18,"00000")</f>
        <v>08600 00000</v>
      </c>
      <c r="T13" s="110" t="str">
        <f>TEXT(T$6,"00000")&amp;" "&amp;TEXT(混成競技エントリー!AC19,"00000")</f>
        <v>09200 00000</v>
      </c>
    </row>
  </sheetData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4BEEA-F49E-46E3-A2EE-9B3E07EF6B00}">
  <sheetPr codeName="Sheet10"/>
  <dimension ref="A1:AP101"/>
  <sheetViews>
    <sheetView topLeftCell="B1" workbookViewId="0">
      <selection activeCell="B1" sqref="B1"/>
    </sheetView>
  </sheetViews>
  <sheetFormatPr defaultRowHeight="13.2"/>
  <cols>
    <col min="1" max="1" width="8.59765625" style="1" hidden="1" customWidth="1"/>
    <col min="2" max="18" width="8.5" style="1" customWidth="1"/>
    <col min="19" max="19" width="8.5" style="1" hidden="1" customWidth="1"/>
    <col min="20" max="23" width="8.5" style="1" customWidth="1"/>
    <col min="24" max="24" width="8.5" style="1" hidden="1" customWidth="1"/>
    <col min="25" max="28" width="8.5" style="1" customWidth="1"/>
    <col min="29" max="29" width="8.5" style="1" hidden="1" customWidth="1"/>
    <col min="30" max="33" width="8.5" style="1" customWidth="1"/>
    <col min="34" max="34" width="8.5" style="1" hidden="1" customWidth="1"/>
    <col min="35" max="38" width="8.5" style="1" customWidth="1"/>
    <col min="39" max="39" width="8.5" style="1" hidden="1" customWidth="1"/>
    <col min="40" max="42" width="8.5" style="1" customWidth="1"/>
    <col min="43" max="16384" width="8.796875" style="1"/>
  </cols>
  <sheetData>
    <row r="1" spans="1:42" s="104" customFormat="1">
      <c r="A1" s="104" t="s">
        <v>6907</v>
      </c>
      <c r="B1" s="3" t="s">
        <v>7106</v>
      </c>
      <c r="C1" s="3" t="s">
        <v>6909</v>
      </c>
      <c r="D1" s="3" t="s">
        <v>6910</v>
      </c>
      <c r="E1" s="3" t="s">
        <v>6911</v>
      </c>
      <c r="F1" s="3" t="s">
        <v>6912</v>
      </c>
      <c r="G1" s="3" t="s">
        <v>6913</v>
      </c>
      <c r="H1" s="3" t="s">
        <v>6914</v>
      </c>
      <c r="I1" s="3" t="s">
        <v>6915</v>
      </c>
      <c r="J1" s="3" t="s">
        <v>7012</v>
      </c>
      <c r="K1" s="3" t="s">
        <v>7010</v>
      </c>
      <c r="L1" s="3" t="s">
        <v>6916</v>
      </c>
      <c r="M1" s="3" t="s">
        <v>6776</v>
      </c>
      <c r="N1" s="3" t="s">
        <v>6917</v>
      </c>
      <c r="O1" s="3" t="s">
        <v>6918</v>
      </c>
      <c r="P1" s="3" t="s">
        <v>6919</v>
      </c>
      <c r="Q1" s="3" t="s">
        <v>6920</v>
      </c>
      <c r="R1" s="3" t="s">
        <v>6921</v>
      </c>
      <c r="T1" s="3" t="s">
        <v>6922</v>
      </c>
      <c r="U1" s="3" t="s">
        <v>6923</v>
      </c>
      <c r="V1" s="3" t="s">
        <v>6924</v>
      </c>
      <c r="W1" s="3" t="s">
        <v>6925</v>
      </c>
      <c r="Y1" s="3" t="s">
        <v>6926</v>
      </c>
      <c r="Z1" s="3" t="s">
        <v>6927</v>
      </c>
      <c r="AA1" s="3" t="s">
        <v>6928</v>
      </c>
      <c r="AB1" s="3" t="s">
        <v>6929</v>
      </c>
      <c r="AD1" s="3" t="s">
        <v>6930</v>
      </c>
      <c r="AE1" s="3" t="s">
        <v>6931</v>
      </c>
      <c r="AF1" s="3" t="s">
        <v>6932</v>
      </c>
      <c r="AG1" s="3" t="s">
        <v>6933</v>
      </c>
      <c r="AI1" s="3" t="s">
        <v>6934</v>
      </c>
      <c r="AJ1" s="3" t="s">
        <v>6935</v>
      </c>
      <c r="AK1" s="3" t="s">
        <v>6936</v>
      </c>
      <c r="AL1" s="3" t="s">
        <v>6937</v>
      </c>
      <c r="AN1" s="3" t="s">
        <v>6938</v>
      </c>
      <c r="AO1" s="3" t="s">
        <v>6939</v>
      </c>
      <c r="AP1" s="3" t="s">
        <v>6940</v>
      </c>
    </row>
    <row r="2" spans="1:42">
      <c r="A2" s="1">
        <v>1</v>
      </c>
      <c r="B2" s="92" t="str">
        <f>男子エントリー!D7</f>
        <v/>
      </c>
      <c r="C2" s="1" t="str">
        <f>基本情報!$E$6</f>
        <v/>
      </c>
      <c r="D2" s="1" t="str">
        <f>基本情報!$E$7</f>
        <v/>
      </c>
      <c r="F2" s="92">
        <f>男子エントリー!C7</f>
        <v>0</v>
      </c>
      <c r="G2" s="92" t="str">
        <f>男子エントリー!E7</f>
        <v/>
      </c>
      <c r="H2" s="92" t="str">
        <f>男子エントリー!F7</f>
        <v/>
      </c>
      <c r="I2" s="1" t="str">
        <f>G2</f>
        <v/>
      </c>
      <c r="J2" s="1" t="e">
        <f>LEFT(男子エントリー!E9,FIND(",",LEFT(男子エントリー!E9,LEN(男子エントリー!E9)-5))-1)&amp;LEFT(RIGHT(男子エントリー!E9,LEN(男子エントリー!E9)-FIND(",",男子エントリー!E9)),LEN(RIGHT(男子エントリー!E9,LEN(男子エントリー!E9)-FIND(",",男子エントリー!E9)))-5)</f>
        <v>#VALUE!</v>
      </c>
      <c r="K2" s="1" t="str">
        <f>男子エントリー!G9</f>
        <v/>
      </c>
      <c r="L2" s="1" t="str">
        <f>IF(G2="","",IF(G2=0,"",1))</f>
        <v/>
      </c>
      <c r="M2" s="92" t="str">
        <f>男子エントリー!G7</f>
        <v/>
      </c>
      <c r="N2" s="92" t="e">
        <f>MID(男子エントリー!E9,FIND("(",男子エントリー!E9)+1,2)</f>
        <v>#VALUE!</v>
      </c>
      <c r="O2" s="1">
        <v>0</v>
      </c>
      <c r="P2" s="92" t="e">
        <f>VLOOKUP(男子エントリー!G8,競技会設定!$F$3:$I$50,2,0)</f>
        <v>#N/A</v>
      </c>
      <c r="R2" s="1" t="str" cm="1">
        <f t="array" ref="R2">_xlfn.IFNA(_xlfn.IFNA(INDEX(競技会設定!$X$2:$AC$24,MATCH(INDEX(男子エントリー!$J$7:$AH$406,MATCH($G2&amp;RIGHT(R$1,1),男子エントリー!$AH$7:$AH$406,0),1),競技会設定!$AC$2:$AC$24,0),1),INDEX(競技会設定!$X$2:$AC$24,MATCH(INDEX(男子エントリー!$R$6:$V$406,MATCH($G2&amp;RIGHT(R$1,1),男子エントリー!$V$6:$V$406,0)-MATCH($G2&amp;RIGHT(R$1,1),男子エントリー!$V$6:$V$406,0)+1,1),競技会設定!$AC$2:$AC$24,0),1)),"")</f>
        <v/>
      </c>
      <c r="S2" s="1" t="str">
        <f>IF(R2=14,リレーエントリー!$I$12,_xlfn.IFNA(INDEX(男子エントリー!$J$7:$AH$406,MATCH($G2&amp;RIGHT(T$1,1),男子エントリー!$AH$7:$AH$406,0),3),""))</f>
        <v/>
      </c>
      <c r="T2" s="1" t="str">
        <f>IFERROR(IF(S2=0,"",IF(R2=23,S2,IF(R2&gt;14,INT(S2/100)&amp;"m"&amp;TEXT(RIGHT(S2,2),"00"),IF(S2&gt;5999,INT(S2/10000)&amp;"."&amp;TEXT(INT(MOD(S2,10000)/100),"00")&amp;"."&amp;TEXT(MOD(S2,100),"00")&amp;"0",INT(S2/100)&amp;"."&amp;TEXT(MOD(S2,100),"00"))))),"")</f>
        <v/>
      </c>
      <c r="U2" s="1" t="str">
        <f>IF(R2="","",0)</f>
        <v/>
      </c>
      <c r="V2" s="1" t="str">
        <f>_xlfn.IFNA(IF(S2="","",IF(S2&gt;0,2,"")),"")</f>
        <v/>
      </c>
      <c r="W2" s="1" t="str" cm="1">
        <f t="array" ref="W2">_xlfn.IFNA(_xlfn.IFNA(INDEX(競技会設定!$X$2:$AC$24,MATCH(INDEX(男子エントリー!$J$7:$AH$406,MATCH($G2&amp;RIGHT(W$1,1),男子エントリー!$AH$7:$AH$406,0),1),競技会設定!$AC$2:$AC$24,0),1),INDEX(競技会設定!$X$2:$AC$24,MATCH(INDEX(男子エントリー!$R$6:$V$406,MATCH($G2&amp;RIGHT(W$1,1),男子エントリー!$V$6:$V$406,0)-MATCH($G2&amp;RIGHT(W$1,1),男子エントリー!$V$6:$V$406,0)+1,1),競技会設定!$AC$2:$AC$24,0),1)),"")</f>
        <v/>
      </c>
      <c r="X2" s="1" t="str">
        <f>IF(W2=14,リレーエントリー!$I$12,_xlfn.IFNA(INDEX(男子エントリー!$J$7:$AH$406,MATCH($G2&amp;RIGHT(Y$1,1),男子エントリー!$AH$7:$AH$406,0),3),""))</f>
        <v/>
      </c>
      <c r="Y2" s="1" t="str">
        <f t="shared" ref="Y2:Y65" si="0">IFERROR(IF(X2=0,"",IF(W2=23,X2,IF(W2&gt;14,INT(X2/100)&amp;"m"&amp;TEXT(RIGHT(X2,2),"00"),IF(X2&gt;5999,INT(X2/10000)&amp;"."&amp;TEXT(INT(MOD(X2,10000)/100),"00")&amp;"."&amp;TEXT(MOD(X2,100),"00")&amp;"0",INT(X2/100)&amp;"."&amp;TEXT(MOD(X2,100),"00"))))),"")</f>
        <v/>
      </c>
      <c r="Z2" s="1" t="str">
        <f t="shared" ref="Z2:Z65" si="1">IF(W2="","",0)</f>
        <v/>
      </c>
      <c r="AA2" s="1" t="str">
        <f t="shared" ref="AA2:AA65" si="2">_xlfn.IFNA(IF(X2="","",IF(X2&gt;0,2,"")),"")</f>
        <v/>
      </c>
      <c r="AB2" s="1" t="str" cm="1">
        <f t="array" ref="AB2">_xlfn.IFNA(_xlfn.IFNA(INDEX(競技会設定!$X$2:$AC$24,MATCH(INDEX(男子エントリー!$J$7:$AH$406,MATCH($G2&amp;RIGHT(AB$1,1),男子エントリー!$AH$7:$AH$406,0),1),競技会設定!$AC$2:$AC$24,0),1),INDEX(競技会設定!$X$2:$AC$24,MATCH(INDEX(男子エントリー!$R$6:$V$406,MATCH($G2&amp;RIGHT(AB$1,1),男子エントリー!$V$6:$V$406,0)-MATCH($G2&amp;RIGHT(AB$1,1),男子エントリー!$V$6:$V$406,0)+1,1),競技会設定!$AC$2:$AC$24,0),1)),"")</f>
        <v/>
      </c>
      <c r="AC2" s="1" t="str">
        <f>IF(AB2=14,リレーエントリー!$I$12,_xlfn.IFNA(INDEX(男子エントリー!$J$7:$AH$406,MATCH($G2&amp;RIGHT(AD$1,1),男子エントリー!$AH$7:$AH$406,0),3),""))</f>
        <v/>
      </c>
      <c r="AD2" s="1" t="str">
        <f t="shared" ref="AD2:AD65" si="3">IFERROR(IF(AC2=0,"",IF(AB2=23,AC2,IF(AB2&gt;14,INT(AC2/100)&amp;"m"&amp;TEXT(RIGHT(AC2,2),"00"),IF(AC2&gt;5999,INT(AC2/10000)&amp;"."&amp;TEXT(INT(MOD(AC2,10000)/100),"00")&amp;"."&amp;TEXT(MOD(AC2,100),"00")&amp;"0",INT(AC2/100)&amp;"."&amp;TEXT(MOD(AC2,100),"00"))))),"")</f>
        <v/>
      </c>
      <c r="AE2" s="1" t="str">
        <f t="shared" ref="AE2:AE65" si="4">IF(AB2="","",0)</f>
        <v/>
      </c>
      <c r="AF2" s="1" t="str">
        <f t="shared" ref="AF2:AF65" si="5">_xlfn.IFNA(IF(AC2="","",IF(AC2&gt;0,2,"")),"")</f>
        <v/>
      </c>
      <c r="AG2" s="1" t="str" cm="1">
        <f t="array" ref="AG2">_xlfn.IFNA(_xlfn.IFNA(INDEX(競技会設定!$X$2:$AC$24,MATCH(INDEX(男子エントリー!$J$7:$AH$406,MATCH($G2&amp;RIGHT(AG$1,1),男子エントリー!$AH$7:$AH$406,0),1),競技会設定!$AC$2:$AC$24,0),1),INDEX(競技会設定!$X$2:$AC$24,MATCH(INDEX(男子エントリー!$R$6:$V$406,MATCH($G2&amp;RIGHT(AG$1,1),男子エントリー!$V$6:$V$406,0)-MATCH($G2&amp;RIGHT(AG$1,1),男子エントリー!$V$6:$V$406,0)+1,1),競技会設定!$AC$2:$AC$24,0),1)),"")</f>
        <v/>
      </c>
      <c r="AH2" s="1" t="str">
        <f>IF(AG2=14,リレーエントリー!$I$12,_xlfn.IFNA(INDEX(男子エントリー!$J$7:$AH$406,MATCH($G2&amp;RIGHT(AI$1,1),男子エントリー!$AH$7:$AH$406,0),3),""))</f>
        <v/>
      </c>
      <c r="AI2" s="1" t="str">
        <f t="shared" ref="AI2:AI65" si="6">IFERROR(IF(AH2=0,"",IF(AG2=23,AH2,IF(AG2&gt;14,INT(AH2/100)&amp;"m"&amp;TEXT(RIGHT(AH2,2),"00"),IF(AH2&gt;5999,INT(AH2/10000)&amp;"."&amp;TEXT(INT(MOD(AH2,10000)/100),"00")&amp;"."&amp;TEXT(MOD(AH2,100),"00")&amp;"0",INT(AH2/100)&amp;"."&amp;TEXT(MOD(AH2,100),"00"))))),"")</f>
        <v/>
      </c>
      <c r="AJ2" s="1" t="str">
        <f t="shared" ref="AJ2:AJ65" si="7">IF(AG2="","",0)</f>
        <v/>
      </c>
      <c r="AK2" s="1" t="str">
        <f t="shared" ref="AK2:AK65" si="8">_xlfn.IFNA(IF(AH2="","",IF(AH2&gt;0,2,"")),"")</f>
        <v/>
      </c>
      <c r="AL2" s="1" t="str" cm="1">
        <f t="array" ref="AL2">_xlfn.IFNA(_xlfn.IFNA(INDEX(競技会設定!$X$2:$AC$24,MATCH(INDEX(男子エントリー!$J$7:$AH$406,MATCH($G2&amp;RIGHT(AL$1,1),男子エントリー!$AH$7:$AH$406,0),1),競技会設定!$AC$2:$AC$24,0),1),INDEX(競技会設定!$X$2:$AC$24,MATCH(INDEX(男子エントリー!$R$6:$V$406,MATCH($G2&amp;RIGHT(AL$1,1),男子エントリー!$V$6:$V$406,0)-MATCH($G2&amp;RIGHT(AL$1,1),男子エントリー!$V$6:$V$406,0)+1,1),競技会設定!$AC$2:$AC$24,0),1)),"")</f>
        <v/>
      </c>
      <c r="AM2" s="1" t="str">
        <f>IF(AL2=14,リレーエントリー!$I$12,_xlfn.IFNA(INDEX(男子エントリー!$J$7:$AH$406,MATCH($G2&amp;RIGHT(AN$1,1),男子エントリー!$AH$7:$AH$406,0),3),""))</f>
        <v/>
      </c>
      <c r="AN2" s="1" t="str">
        <f t="shared" ref="AN2:AN65" si="9">IFERROR(IF(AM2=0,"",IF(AL2=23,AM2,IF(AL2&gt;14,INT(AM2/100)&amp;"m"&amp;TEXT(RIGHT(AM2,2),"00"),IF(AM2&gt;5999,INT(AM2/10000)&amp;"."&amp;TEXT(INT(MOD(AM2,10000)/100),"00")&amp;"."&amp;TEXT(MOD(AM2,100),"00")&amp;"0",INT(AM2/100)&amp;"."&amp;TEXT(MOD(AM2,100),"00"))))),"")</f>
        <v/>
      </c>
      <c r="AO2" s="1" t="str">
        <f t="shared" ref="AO2:AO65" si="10">IF(AL2="","",0)</f>
        <v/>
      </c>
      <c r="AP2" s="1" t="str">
        <f t="shared" ref="AP2:AP65" si="11">_xlfn.IFNA(IF(AM2="","",IF(AM2&gt;0,2,"")),"")</f>
        <v/>
      </c>
    </row>
    <row r="3" spans="1:42">
      <c r="A3" s="1">
        <v>2</v>
      </c>
      <c r="B3" s="92" t="str">
        <f>男子エントリー!D11</f>
        <v/>
      </c>
      <c r="C3" s="1" t="str">
        <f>基本情報!$E$6</f>
        <v/>
      </c>
      <c r="D3" s="1" t="str">
        <f>基本情報!$E$7</f>
        <v/>
      </c>
      <c r="F3" s="92">
        <f>男子エントリー!C11</f>
        <v>0</v>
      </c>
      <c r="G3" s="92" t="str">
        <f>男子エントリー!E11</f>
        <v/>
      </c>
      <c r="H3" s="92" t="str">
        <f>男子エントリー!F11</f>
        <v/>
      </c>
      <c r="I3" s="1" t="str">
        <f t="shared" ref="I3:I66" si="12">G3</f>
        <v/>
      </c>
      <c r="J3" s="1" t="e">
        <f>LEFT(男子エントリー!E13,FIND(",",LEFT(男子エントリー!E13,LEN(男子エントリー!E13)-5))-1)&amp;LEFT(RIGHT(男子エントリー!E13,LEN(男子エントリー!E13)-FIND(",",男子エントリー!E13)),LEN(RIGHT(男子エントリー!E13,LEN(男子エントリー!E13)-FIND(",",男子エントリー!E13)))-5)</f>
        <v>#VALUE!</v>
      </c>
      <c r="K3" s="1" t="str">
        <f>男子エントリー!G13</f>
        <v/>
      </c>
      <c r="L3" s="1" t="str">
        <f t="shared" ref="L3:L66" si="13">IF(G3="","",IF(G3=0,"",1))</f>
        <v/>
      </c>
      <c r="M3" s="92" t="str">
        <f>男子エントリー!G11</f>
        <v/>
      </c>
      <c r="N3" s="92" t="e">
        <f>MID(男子エントリー!E13,FIND("(",男子エントリー!E13)+1,2)</f>
        <v>#VALUE!</v>
      </c>
      <c r="O3" s="1">
        <v>0</v>
      </c>
      <c r="P3" s="92" t="e">
        <f>VLOOKUP(男子エントリー!G12,競技会設定!$F$3:$I$50,2,0)</f>
        <v>#N/A</v>
      </c>
      <c r="R3" s="1" t="str" cm="1">
        <f t="array" ref="R3">_xlfn.IFNA(_xlfn.IFNA(INDEX(競技会設定!$X$2:$AC$24,MATCH(INDEX(男子エントリー!$J$7:$AH$406,MATCH($G3&amp;RIGHT(R$1,1),男子エントリー!$AH$7:$AH$406,0),1),競技会設定!$AC$2:$AC$24,0),1),INDEX(競技会設定!$X$2:$AC$24,MATCH(INDEX(男子エントリー!$R$6:$V$406,MATCH($G3&amp;RIGHT(R$1,1),男子エントリー!$V$6:$V$406,0)-MATCH($G3&amp;RIGHT(R$1,1),男子エントリー!$V$6:$V$406,0)+1,1),競技会設定!$AC$2:$AC$24,0),1)),"")</f>
        <v/>
      </c>
      <c r="S3" s="1" t="str">
        <f>IF(R3=14,リレーエントリー!$I$12,_xlfn.IFNA(INDEX(男子エントリー!$J$7:$AH$406,MATCH($G3&amp;RIGHT(T$1,1),男子エントリー!$AH$7:$AH$406,0),3),""))</f>
        <v/>
      </c>
      <c r="T3" s="1" t="str">
        <f t="shared" ref="T3:T66" si="14">IFERROR(IF(S3=0,"",IF(R3=23,S3,IF(R3&gt;14,INT(S3/100)&amp;"m"&amp;TEXT(RIGHT(S3,2),"00"),IF(S3&gt;5999,INT(S3/10000)&amp;"."&amp;TEXT(INT(MOD(S3,10000)/100),"00")&amp;"."&amp;TEXT(MOD(S3,100),"00")&amp;"0",INT(S3/100)&amp;"."&amp;TEXT(MOD(S3,100),"00"))))),"")</f>
        <v/>
      </c>
      <c r="U3" s="1" t="str">
        <f t="shared" ref="U3:U4" si="15">IF(R3="","",0)</f>
        <v/>
      </c>
      <c r="V3" s="1" t="str">
        <f>_xlfn.IFNA(IF(S3="","",IF(S3&gt;0,2,"")),"")</f>
        <v/>
      </c>
      <c r="W3" s="1" t="str" cm="1">
        <f t="array" ref="W3">_xlfn.IFNA(_xlfn.IFNA(INDEX(競技会設定!$X$2:$AC$24,MATCH(INDEX(男子エントリー!$J$7:$AH$406,MATCH($G3&amp;RIGHT(W$1,1),男子エントリー!$AH$7:$AH$406,0),1),競技会設定!$AC$2:$AC$24,0),1),INDEX(競技会設定!$X$2:$AC$24,MATCH(INDEX(男子エントリー!$R$6:$V$406,MATCH($G3&amp;RIGHT(W$1,1),男子エントリー!$V$6:$V$406,0)-MATCH($G3&amp;RIGHT(W$1,1),男子エントリー!$V$6:$V$406,0)+1,1),競技会設定!$AC$2:$AC$24,0),1)),"")</f>
        <v/>
      </c>
      <c r="X3" s="1" t="str">
        <f>IF(W3=14,リレーエントリー!$I$12,_xlfn.IFNA(INDEX(男子エントリー!$J$7:$AH$406,MATCH($G3&amp;RIGHT(Y$1,1),男子エントリー!$AH$7:$AH$406,0),3),""))</f>
        <v/>
      </c>
      <c r="Y3" s="1" t="str">
        <f t="shared" si="0"/>
        <v/>
      </c>
      <c r="Z3" s="1" t="str">
        <f t="shared" si="1"/>
        <v/>
      </c>
      <c r="AA3" s="1" t="str">
        <f t="shared" si="2"/>
        <v/>
      </c>
      <c r="AB3" s="1" t="str" cm="1">
        <f t="array" ref="AB3">_xlfn.IFNA(_xlfn.IFNA(INDEX(競技会設定!$X$2:$AC$24,MATCH(INDEX(男子エントリー!$J$7:$AH$406,MATCH($G3&amp;RIGHT(AB$1,1),男子エントリー!$AH$7:$AH$406,0),1),競技会設定!$AC$2:$AC$24,0),1),INDEX(競技会設定!$X$2:$AC$24,MATCH(INDEX(男子エントリー!$R$6:$V$406,MATCH($G3&amp;RIGHT(AB$1,1),男子エントリー!$V$6:$V$406,0)-MATCH($G3&amp;RIGHT(AB$1,1),男子エントリー!$V$6:$V$406,0)+1,1),競技会設定!$AC$2:$AC$24,0),1)),"")</f>
        <v/>
      </c>
      <c r="AC3" s="1" t="str">
        <f>IF(AB3=14,リレーエントリー!$I$12,_xlfn.IFNA(INDEX(男子エントリー!$J$7:$AH$406,MATCH($G3&amp;RIGHT(AD$1,1),男子エントリー!$AH$7:$AH$406,0),3),""))</f>
        <v/>
      </c>
      <c r="AD3" s="1" t="str">
        <f t="shared" si="3"/>
        <v/>
      </c>
      <c r="AE3" s="1" t="str">
        <f t="shared" si="4"/>
        <v/>
      </c>
      <c r="AF3" s="1" t="str">
        <f t="shared" si="5"/>
        <v/>
      </c>
      <c r="AG3" s="1" t="str" cm="1">
        <f t="array" ref="AG3">_xlfn.IFNA(_xlfn.IFNA(INDEX(競技会設定!$X$2:$AC$24,MATCH(INDEX(男子エントリー!$J$7:$AH$406,MATCH($G3&amp;RIGHT(AG$1,1),男子エントリー!$AH$7:$AH$406,0),1),競技会設定!$AC$2:$AC$24,0),1),INDEX(競技会設定!$X$2:$AC$24,MATCH(INDEX(男子エントリー!$R$6:$V$406,MATCH($G3&amp;RIGHT(AG$1,1),男子エントリー!$V$6:$V$406,0)-MATCH($G3&amp;RIGHT(AG$1,1),男子エントリー!$V$6:$V$406,0)+1,1),競技会設定!$AC$2:$AC$24,0),1)),"")</f>
        <v/>
      </c>
      <c r="AH3" s="1" t="str">
        <f>IF(AG3=14,リレーエントリー!$I$12,_xlfn.IFNA(INDEX(男子エントリー!$J$7:$AH$406,MATCH($G3&amp;RIGHT(AI$1,1),男子エントリー!$AH$7:$AH$406,0),3),""))</f>
        <v/>
      </c>
      <c r="AI3" s="1" t="str">
        <f t="shared" si="6"/>
        <v/>
      </c>
      <c r="AJ3" s="1" t="str">
        <f t="shared" si="7"/>
        <v/>
      </c>
      <c r="AK3" s="1" t="str">
        <f t="shared" si="8"/>
        <v/>
      </c>
      <c r="AL3" s="1" t="str" cm="1">
        <f t="array" ref="AL3">_xlfn.IFNA(_xlfn.IFNA(INDEX(競技会設定!$X$2:$AC$24,MATCH(INDEX(男子エントリー!$J$7:$AH$406,MATCH($G3&amp;RIGHT(AL$1,1),男子エントリー!$AH$7:$AH$406,0),1),競技会設定!$AC$2:$AC$24,0),1),INDEX(競技会設定!$X$2:$AC$24,MATCH(INDEX(男子エントリー!$R$6:$V$406,MATCH($G3&amp;RIGHT(AL$1,1),男子エントリー!$V$6:$V$406,0)-MATCH($G3&amp;RIGHT(AL$1,1),男子エントリー!$V$6:$V$406,0)+1,1),競技会設定!$AC$2:$AC$24,0),1)),"")</f>
        <v/>
      </c>
      <c r="AM3" s="1" t="str">
        <f>IF(AL3=14,リレーエントリー!$I$12,_xlfn.IFNA(INDEX(男子エントリー!$J$7:$AH$406,MATCH($G3&amp;RIGHT(AN$1,1),男子エントリー!$AH$7:$AH$406,0),3),""))</f>
        <v/>
      </c>
      <c r="AN3" s="1" t="str">
        <f t="shared" si="9"/>
        <v/>
      </c>
      <c r="AO3" s="1" t="str">
        <f t="shared" si="10"/>
        <v/>
      </c>
      <c r="AP3" s="1" t="str">
        <f t="shared" si="11"/>
        <v/>
      </c>
    </row>
    <row r="4" spans="1:42">
      <c r="A4" s="1">
        <v>3</v>
      </c>
      <c r="B4" s="92" t="str">
        <f>男子エントリー!D15</f>
        <v/>
      </c>
      <c r="C4" s="1" t="str">
        <f>基本情報!$E$6</f>
        <v/>
      </c>
      <c r="D4" s="1" t="str">
        <f>基本情報!$E$7</f>
        <v/>
      </c>
      <c r="F4" s="92">
        <f>男子エントリー!C15</f>
        <v>0</v>
      </c>
      <c r="G4" s="92" t="str">
        <f>男子エントリー!E15</f>
        <v/>
      </c>
      <c r="H4" s="92" t="str">
        <f>男子エントリー!F15</f>
        <v/>
      </c>
      <c r="I4" s="1" t="str">
        <f t="shared" si="12"/>
        <v/>
      </c>
      <c r="J4" s="1" t="e">
        <f>LEFT(男子エントリー!E17,FIND(",",LEFT(男子エントリー!E17,LEN(男子エントリー!E17)-5))-1)&amp;LEFT(RIGHT(男子エントリー!E17,LEN(男子エントリー!E17)-FIND(",",男子エントリー!E17)),LEN(RIGHT(男子エントリー!E17,LEN(男子エントリー!E17)-FIND(",",男子エントリー!E17)))-5)</f>
        <v>#VALUE!</v>
      </c>
      <c r="K4" s="1" t="str">
        <f>男子エントリー!G17</f>
        <v/>
      </c>
      <c r="L4" s="1" t="str">
        <f t="shared" si="13"/>
        <v/>
      </c>
      <c r="M4" s="92" t="str">
        <f>男子エントリー!G15</f>
        <v/>
      </c>
      <c r="N4" s="92" t="e">
        <f>MID(男子エントリー!E17,FIND("(",男子エントリー!E17)+1,2)</f>
        <v>#VALUE!</v>
      </c>
      <c r="O4" s="1">
        <v>0</v>
      </c>
      <c r="P4" s="92" t="e">
        <f>VLOOKUP(男子エントリー!G16,競技会設定!$F$3:$I$50,2,0)</f>
        <v>#N/A</v>
      </c>
      <c r="R4" s="1" t="str" cm="1">
        <f t="array" ref="R4">_xlfn.IFNA(_xlfn.IFNA(INDEX(競技会設定!$X$2:$AC$24,MATCH(INDEX(男子エントリー!$J$7:$AH$406,MATCH($G4&amp;RIGHT(R$1,1),男子エントリー!$AH$7:$AH$406,0),1),競技会設定!$AC$2:$AC$24,0),1),INDEX(競技会設定!$X$2:$AC$24,MATCH(INDEX(男子エントリー!$R$6:$V$406,MATCH($G4&amp;RIGHT(R$1,1),男子エントリー!$V$6:$V$406,0)-MATCH($G4&amp;RIGHT(R$1,1),男子エントリー!$V$6:$V$406,0)+1,1),競技会設定!$AC$2:$AC$24,0),1)),"")</f>
        <v/>
      </c>
      <c r="S4" s="1" t="str">
        <f>IF(R4=14,リレーエントリー!$I$12,_xlfn.IFNA(INDEX(男子エントリー!$J$7:$AH$406,MATCH($G4&amp;RIGHT(T$1,1),男子エントリー!$AH$7:$AH$406,0),3),""))</f>
        <v/>
      </c>
      <c r="T4" s="1" t="str">
        <f t="shared" si="14"/>
        <v/>
      </c>
      <c r="U4" s="1" t="str">
        <f t="shared" si="15"/>
        <v/>
      </c>
      <c r="V4" s="1" t="str">
        <f t="shared" ref="V4:V67" si="16">_xlfn.IFNA(IF(S4="","",IF(S4&gt;0,2,"")),"")</f>
        <v/>
      </c>
      <c r="W4" s="1" t="str" cm="1">
        <f t="array" ref="W4">_xlfn.IFNA(_xlfn.IFNA(INDEX(競技会設定!$X$2:$AC$24,MATCH(INDEX(男子エントリー!$J$7:$AH$406,MATCH($G4&amp;RIGHT(W$1,1),男子エントリー!$AH$7:$AH$406,0),1),競技会設定!$AC$2:$AC$24,0),1),INDEX(競技会設定!$X$2:$AC$24,MATCH(INDEX(男子エントリー!$R$6:$V$406,MATCH($G4&amp;RIGHT(W$1,1),男子エントリー!$V$6:$V$406,0)-MATCH($G4&amp;RIGHT(W$1,1),男子エントリー!$V$6:$V$406,0)+1,1),競技会設定!$AC$2:$AC$24,0),1)),"")</f>
        <v/>
      </c>
      <c r="X4" s="1" t="str">
        <f>IF(W4=14,リレーエントリー!$I$12,_xlfn.IFNA(INDEX(男子エントリー!$J$7:$AH$406,MATCH($G4&amp;RIGHT(Y$1,1),男子エントリー!$AH$7:$AH$406,0),3),""))</f>
        <v/>
      </c>
      <c r="Y4" s="1" t="str">
        <f t="shared" si="0"/>
        <v/>
      </c>
      <c r="Z4" s="1" t="str">
        <f t="shared" si="1"/>
        <v/>
      </c>
      <c r="AA4" s="1" t="str">
        <f t="shared" si="2"/>
        <v/>
      </c>
      <c r="AB4" s="1" t="str" cm="1">
        <f t="array" ref="AB4">_xlfn.IFNA(_xlfn.IFNA(INDEX(競技会設定!$X$2:$AC$24,MATCH(INDEX(男子エントリー!$J$7:$AH$406,MATCH($G4&amp;RIGHT(AB$1,1),男子エントリー!$AH$7:$AH$406,0),1),競技会設定!$AC$2:$AC$24,0),1),INDEX(競技会設定!$X$2:$AC$24,MATCH(INDEX(男子エントリー!$R$6:$V$406,MATCH($G4&amp;RIGHT(AB$1,1),男子エントリー!$V$6:$V$406,0)-MATCH($G4&amp;RIGHT(AB$1,1),男子エントリー!$V$6:$V$406,0)+1,1),競技会設定!$AC$2:$AC$24,0),1)),"")</f>
        <v/>
      </c>
      <c r="AC4" s="1" t="str">
        <f>IF(AB4=14,リレーエントリー!$I$12,_xlfn.IFNA(INDEX(男子エントリー!$J$7:$AH$406,MATCH($G4&amp;RIGHT(AD$1,1),男子エントリー!$AH$7:$AH$406,0),3),""))</f>
        <v/>
      </c>
      <c r="AD4" s="1" t="str">
        <f t="shared" si="3"/>
        <v/>
      </c>
      <c r="AE4" s="1" t="str">
        <f t="shared" si="4"/>
        <v/>
      </c>
      <c r="AF4" s="1" t="str">
        <f t="shared" si="5"/>
        <v/>
      </c>
      <c r="AG4" s="1" t="str" cm="1">
        <f t="array" ref="AG4">_xlfn.IFNA(_xlfn.IFNA(INDEX(競技会設定!$X$2:$AC$24,MATCH(INDEX(男子エントリー!$J$7:$AH$406,MATCH($G4&amp;RIGHT(AG$1,1),男子エントリー!$AH$7:$AH$406,0),1),競技会設定!$AC$2:$AC$24,0),1),INDEX(競技会設定!$X$2:$AC$24,MATCH(INDEX(男子エントリー!$R$6:$V$406,MATCH($G4&amp;RIGHT(AG$1,1),男子エントリー!$V$6:$V$406,0)-MATCH($G4&amp;RIGHT(AG$1,1),男子エントリー!$V$6:$V$406,0)+1,1),競技会設定!$AC$2:$AC$24,0),1)),"")</f>
        <v/>
      </c>
      <c r="AH4" s="1" t="str">
        <f>IF(AG4=14,リレーエントリー!$I$12,_xlfn.IFNA(INDEX(男子エントリー!$J$7:$AH$406,MATCH($G4&amp;RIGHT(AI$1,1),男子エントリー!$AH$7:$AH$406,0),3),""))</f>
        <v/>
      </c>
      <c r="AI4" s="1" t="str">
        <f t="shared" si="6"/>
        <v/>
      </c>
      <c r="AJ4" s="1" t="str">
        <f t="shared" si="7"/>
        <v/>
      </c>
      <c r="AK4" s="1" t="str">
        <f t="shared" si="8"/>
        <v/>
      </c>
      <c r="AL4" s="1" t="str" cm="1">
        <f t="array" ref="AL4">_xlfn.IFNA(_xlfn.IFNA(INDEX(競技会設定!$X$2:$AC$24,MATCH(INDEX(男子エントリー!$J$7:$AH$406,MATCH($G4&amp;RIGHT(AL$1,1),男子エントリー!$AH$7:$AH$406,0),1),競技会設定!$AC$2:$AC$24,0),1),INDEX(競技会設定!$X$2:$AC$24,MATCH(INDEX(男子エントリー!$R$6:$V$406,MATCH($G4&amp;RIGHT(AL$1,1),男子エントリー!$V$6:$V$406,0)-MATCH($G4&amp;RIGHT(AL$1,1),男子エントリー!$V$6:$V$406,0)+1,1),競技会設定!$AC$2:$AC$24,0),1)),"")</f>
        <v/>
      </c>
      <c r="AM4" s="1" t="str">
        <f>IF(AL4=14,リレーエントリー!$I$12,_xlfn.IFNA(INDEX(男子エントリー!$J$7:$AH$406,MATCH($G4&amp;RIGHT(AN$1,1),男子エントリー!$AH$7:$AH$406,0),3),""))</f>
        <v/>
      </c>
      <c r="AN4" s="1" t="str">
        <f t="shared" si="9"/>
        <v/>
      </c>
      <c r="AO4" s="1" t="str">
        <f t="shared" si="10"/>
        <v/>
      </c>
      <c r="AP4" s="1" t="str">
        <f t="shared" si="11"/>
        <v/>
      </c>
    </row>
    <row r="5" spans="1:42">
      <c r="A5" s="1">
        <v>4</v>
      </c>
      <c r="B5" s="92" t="str">
        <f>男子エントリー!D19</f>
        <v/>
      </c>
      <c r="C5" s="1" t="str">
        <f>基本情報!$E$6</f>
        <v/>
      </c>
      <c r="D5" s="1" t="str">
        <f>基本情報!$E$7</f>
        <v/>
      </c>
      <c r="F5" s="92">
        <f>男子エントリー!C19</f>
        <v>0</v>
      </c>
      <c r="G5" s="92" t="str">
        <f>男子エントリー!E19</f>
        <v/>
      </c>
      <c r="H5" s="92" t="str">
        <f>男子エントリー!F19</f>
        <v/>
      </c>
      <c r="I5" s="1" t="str">
        <f t="shared" si="12"/>
        <v/>
      </c>
      <c r="J5" s="1" t="e">
        <f>LEFT(男子エントリー!E21,FIND(",",LEFT(男子エントリー!E21,LEN(男子エントリー!E21)-5))-1)&amp;LEFT(RIGHT(男子エントリー!E21,LEN(男子エントリー!E21)-FIND(",",男子エントリー!E21)),LEN(RIGHT(男子エントリー!E21,LEN(男子エントリー!E21)-FIND(",",男子エントリー!E21)))-5)</f>
        <v>#VALUE!</v>
      </c>
      <c r="K5" s="1" t="str">
        <f>男子エントリー!G21</f>
        <v/>
      </c>
      <c r="L5" s="1" t="str">
        <f t="shared" si="13"/>
        <v/>
      </c>
      <c r="M5" s="92" t="str">
        <f>男子エントリー!G19</f>
        <v/>
      </c>
      <c r="N5" s="92" t="e">
        <f>MID(男子エントリー!E21,FIND("(",男子エントリー!E21)+1,2)</f>
        <v>#VALUE!</v>
      </c>
      <c r="O5" s="1">
        <v>0</v>
      </c>
      <c r="P5" s="92" t="e">
        <f>VLOOKUP(男子エントリー!G20,競技会設定!$F$3:$I$50,2,0)</f>
        <v>#N/A</v>
      </c>
      <c r="R5" s="1" t="str" cm="1">
        <f t="array" ref="R5">_xlfn.IFNA(_xlfn.IFNA(INDEX(競技会設定!$X$2:$AC$24,MATCH(INDEX(男子エントリー!$J$7:$AH$406,MATCH($G5&amp;RIGHT(R$1,1),男子エントリー!$AH$7:$AH$406,0),1),競技会設定!$AC$2:$AC$24,0),1),INDEX(競技会設定!$X$2:$AC$24,MATCH(INDEX(男子エントリー!$R$6:$V$406,MATCH($G5&amp;RIGHT(R$1,1),男子エントリー!$V$6:$V$406,0)-MATCH($G5&amp;RIGHT(R$1,1),男子エントリー!$V$6:$V$406,0)+1,1),競技会設定!$AC$2:$AC$24,0),1)),"")</f>
        <v/>
      </c>
      <c r="S5" s="1" t="str">
        <f>IF(R5=14,リレーエントリー!$I$12,_xlfn.IFNA(INDEX(男子エントリー!$J$7:$AH$406,MATCH($G5&amp;RIGHT(T$1,1),男子エントリー!$AH$7:$AH$406,0),3),""))</f>
        <v/>
      </c>
      <c r="T5" s="1" t="str">
        <f t="shared" si="14"/>
        <v/>
      </c>
      <c r="U5" s="1" t="str">
        <f t="shared" ref="U5:U68" si="17">IF(R5="","",0)</f>
        <v/>
      </c>
      <c r="V5" s="1" t="str">
        <f t="shared" si="16"/>
        <v/>
      </c>
      <c r="W5" s="1" t="str" cm="1">
        <f t="array" ref="W5">_xlfn.IFNA(_xlfn.IFNA(INDEX(競技会設定!$X$2:$AC$24,MATCH(INDEX(男子エントリー!$J$7:$AH$406,MATCH($G5&amp;RIGHT(W$1,1),男子エントリー!$AH$7:$AH$406,0),1),競技会設定!$AC$2:$AC$24,0),1),INDEX(競技会設定!$X$2:$AC$24,MATCH(INDEX(男子エントリー!$R$6:$V$406,MATCH($G5&amp;RIGHT(W$1,1),男子エントリー!$V$6:$V$406,0)-MATCH($G5&amp;RIGHT(W$1,1),男子エントリー!$V$6:$V$406,0)+1,1),競技会設定!$AC$2:$AC$24,0),1)),"")</f>
        <v/>
      </c>
      <c r="X5" s="1" t="str">
        <f>IF(W5=14,リレーエントリー!$I$12,_xlfn.IFNA(INDEX(男子エントリー!$J$7:$AH$406,MATCH($G5&amp;RIGHT(Y$1,1),男子エントリー!$AH$7:$AH$406,0),3),""))</f>
        <v/>
      </c>
      <c r="Y5" s="1" t="str">
        <f t="shared" si="0"/>
        <v/>
      </c>
      <c r="Z5" s="1" t="str">
        <f t="shared" si="1"/>
        <v/>
      </c>
      <c r="AA5" s="1" t="str">
        <f t="shared" si="2"/>
        <v/>
      </c>
      <c r="AB5" s="1" t="str" cm="1">
        <f t="array" ref="AB5">_xlfn.IFNA(_xlfn.IFNA(INDEX(競技会設定!$X$2:$AC$24,MATCH(INDEX(男子エントリー!$J$7:$AH$406,MATCH($G5&amp;RIGHT(AB$1,1),男子エントリー!$AH$7:$AH$406,0),1),競技会設定!$AC$2:$AC$24,0),1),INDEX(競技会設定!$X$2:$AC$24,MATCH(INDEX(男子エントリー!$R$6:$V$406,MATCH($G5&amp;RIGHT(AB$1,1),男子エントリー!$V$6:$V$406,0)-MATCH($G5&amp;RIGHT(AB$1,1),男子エントリー!$V$6:$V$406,0)+1,1),競技会設定!$AC$2:$AC$24,0),1)),"")</f>
        <v/>
      </c>
      <c r="AC5" s="1" t="str">
        <f>IF(AB5=14,リレーエントリー!$I$12,_xlfn.IFNA(INDEX(男子エントリー!$J$7:$AH$406,MATCH($G5&amp;RIGHT(AD$1,1),男子エントリー!$AH$7:$AH$406,0),3),""))</f>
        <v/>
      </c>
      <c r="AD5" s="1" t="str">
        <f t="shared" si="3"/>
        <v/>
      </c>
      <c r="AE5" s="1" t="str">
        <f t="shared" si="4"/>
        <v/>
      </c>
      <c r="AF5" s="1" t="str">
        <f t="shared" si="5"/>
        <v/>
      </c>
      <c r="AG5" s="1" t="str" cm="1">
        <f t="array" ref="AG5">_xlfn.IFNA(_xlfn.IFNA(INDEX(競技会設定!$X$2:$AC$24,MATCH(INDEX(男子エントリー!$J$7:$AH$406,MATCH($G5&amp;RIGHT(AG$1,1),男子エントリー!$AH$7:$AH$406,0),1),競技会設定!$AC$2:$AC$24,0),1),INDEX(競技会設定!$X$2:$AC$24,MATCH(INDEX(男子エントリー!$R$6:$V$406,MATCH($G5&amp;RIGHT(AG$1,1),男子エントリー!$V$6:$V$406,0)-MATCH($G5&amp;RIGHT(AG$1,1),男子エントリー!$V$6:$V$406,0)+1,1),競技会設定!$AC$2:$AC$24,0),1)),"")</f>
        <v/>
      </c>
      <c r="AH5" s="1" t="str">
        <f>IF(AG5=14,リレーエントリー!$I$12,_xlfn.IFNA(INDEX(男子エントリー!$J$7:$AH$406,MATCH($G5&amp;RIGHT(AI$1,1),男子エントリー!$AH$7:$AH$406,0),3),""))</f>
        <v/>
      </c>
      <c r="AI5" s="1" t="str">
        <f t="shared" si="6"/>
        <v/>
      </c>
      <c r="AJ5" s="1" t="str">
        <f t="shared" si="7"/>
        <v/>
      </c>
      <c r="AK5" s="1" t="str">
        <f t="shared" si="8"/>
        <v/>
      </c>
      <c r="AL5" s="1" t="str" cm="1">
        <f t="array" ref="AL5">_xlfn.IFNA(_xlfn.IFNA(INDEX(競技会設定!$X$2:$AC$24,MATCH(INDEX(男子エントリー!$J$7:$AH$406,MATCH($G5&amp;RIGHT(AL$1,1),男子エントリー!$AH$7:$AH$406,0),1),競技会設定!$AC$2:$AC$24,0),1),INDEX(競技会設定!$X$2:$AC$24,MATCH(INDEX(男子エントリー!$R$6:$V$406,MATCH($G5&amp;RIGHT(AL$1,1),男子エントリー!$V$6:$V$406,0)-MATCH($G5&amp;RIGHT(AL$1,1),男子エントリー!$V$6:$V$406,0)+1,1),競技会設定!$AC$2:$AC$24,0),1)),"")</f>
        <v/>
      </c>
      <c r="AM5" s="1" t="str">
        <f>IF(AL5=14,リレーエントリー!$I$12,_xlfn.IFNA(INDEX(男子エントリー!$J$7:$AH$406,MATCH($G5&amp;RIGHT(AN$1,1),男子エントリー!$AH$7:$AH$406,0),3),""))</f>
        <v/>
      </c>
      <c r="AN5" s="1" t="str">
        <f t="shared" si="9"/>
        <v/>
      </c>
      <c r="AO5" s="1" t="str">
        <f t="shared" si="10"/>
        <v/>
      </c>
      <c r="AP5" s="1" t="str">
        <f t="shared" si="11"/>
        <v/>
      </c>
    </row>
    <row r="6" spans="1:42">
      <c r="A6" s="1">
        <v>5</v>
      </c>
      <c r="B6" s="92" t="str">
        <f>男子エントリー!D23</f>
        <v/>
      </c>
      <c r="C6" s="1" t="str">
        <f>基本情報!$E$6</f>
        <v/>
      </c>
      <c r="D6" s="1" t="str">
        <f>基本情報!$E$7</f>
        <v/>
      </c>
      <c r="F6" s="92">
        <f>男子エントリー!C23</f>
        <v>0</v>
      </c>
      <c r="G6" s="92" t="str">
        <f>男子エントリー!E23</f>
        <v/>
      </c>
      <c r="H6" s="92" t="str">
        <f>男子エントリー!F23</f>
        <v/>
      </c>
      <c r="I6" s="1" t="str">
        <f t="shared" si="12"/>
        <v/>
      </c>
      <c r="J6" s="1" t="e">
        <f>LEFT(男子エントリー!E25,FIND(",",LEFT(男子エントリー!E25,LEN(男子エントリー!E25)-5))-1)&amp;LEFT(RIGHT(男子エントリー!E25,LEN(男子エントリー!E25)-FIND(",",男子エントリー!E25)),LEN(RIGHT(男子エントリー!E25,LEN(男子エントリー!E25)-FIND(",",男子エントリー!E25)))-5)</f>
        <v>#VALUE!</v>
      </c>
      <c r="K6" s="1" t="str">
        <f>男子エントリー!G25</f>
        <v/>
      </c>
      <c r="L6" s="1" t="str">
        <f t="shared" si="13"/>
        <v/>
      </c>
      <c r="M6" s="92" t="str">
        <f>男子エントリー!G23</f>
        <v/>
      </c>
      <c r="N6" s="92" t="e">
        <f>MID(男子エントリー!E25,FIND("(",男子エントリー!E25)+1,2)</f>
        <v>#VALUE!</v>
      </c>
      <c r="O6" s="1">
        <v>0</v>
      </c>
      <c r="P6" s="92" t="e">
        <f>VLOOKUP(男子エントリー!G24,競技会設定!$F$3:$I$50,2,0)</f>
        <v>#N/A</v>
      </c>
      <c r="R6" s="1" t="str" cm="1">
        <f t="array" ref="R6">_xlfn.IFNA(_xlfn.IFNA(INDEX(競技会設定!$X$2:$AC$24,MATCH(INDEX(男子エントリー!$J$7:$AH$406,MATCH($G6&amp;RIGHT(R$1,1),男子エントリー!$AH$7:$AH$406,0),1),競技会設定!$AC$2:$AC$24,0),1),INDEX(競技会設定!$X$2:$AC$24,MATCH(INDEX(男子エントリー!$R$6:$V$406,MATCH($G6&amp;RIGHT(R$1,1),男子エントリー!$V$6:$V$406,0)-MATCH($G6&amp;RIGHT(R$1,1),男子エントリー!$V$6:$V$406,0)+1,1),競技会設定!$AC$2:$AC$24,0),1)),"")</f>
        <v/>
      </c>
      <c r="S6" s="1" t="str">
        <f>IF(R6=14,リレーエントリー!$I$12,_xlfn.IFNA(INDEX(男子エントリー!$J$7:$AH$406,MATCH($G6&amp;RIGHT(T$1,1),男子エントリー!$AH$7:$AH$406,0),3),""))</f>
        <v/>
      </c>
      <c r="T6" s="1" t="str">
        <f t="shared" si="14"/>
        <v/>
      </c>
      <c r="U6" s="1" t="str">
        <f t="shared" si="17"/>
        <v/>
      </c>
      <c r="V6" s="1" t="str">
        <f t="shared" si="16"/>
        <v/>
      </c>
      <c r="W6" s="1" t="str" cm="1">
        <f t="array" ref="W6">_xlfn.IFNA(_xlfn.IFNA(INDEX(競技会設定!$X$2:$AC$24,MATCH(INDEX(男子エントリー!$J$7:$AH$406,MATCH($G6&amp;RIGHT(W$1,1),男子エントリー!$AH$7:$AH$406,0),1),競技会設定!$AC$2:$AC$24,0),1),INDEX(競技会設定!$X$2:$AC$24,MATCH(INDEX(男子エントリー!$R$6:$V$406,MATCH($G6&amp;RIGHT(W$1,1),男子エントリー!$V$6:$V$406,0)-MATCH($G6&amp;RIGHT(W$1,1),男子エントリー!$V$6:$V$406,0)+1,1),競技会設定!$AC$2:$AC$24,0),1)),"")</f>
        <v/>
      </c>
      <c r="X6" s="1" t="str">
        <f>IF(W6=14,リレーエントリー!$I$12,_xlfn.IFNA(INDEX(男子エントリー!$J$7:$AH$406,MATCH($G6&amp;RIGHT(Y$1,1),男子エントリー!$AH$7:$AH$406,0),3),""))</f>
        <v/>
      </c>
      <c r="Y6" s="1" t="str">
        <f t="shared" si="0"/>
        <v/>
      </c>
      <c r="Z6" s="1" t="str">
        <f t="shared" si="1"/>
        <v/>
      </c>
      <c r="AA6" s="1" t="str">
        <f t="shared" si="2"/>
        <v/>
      </c>
      <c r="AB6" s="1" t="str" cm="1">
        <f t="array" ref="AB6">_xlfn.IFNA(_xlfn.IFNA(INDEX(競技会設定!$X$2:$AC$24,MATCH(INDEX(男子エントリー!$J$7:$AH$406,MATCH($G6&amp;RIGHT(AB$1,1),男子エントリー!$AH$7:$AH$406,0),1),競技会設定!$AC$2:$AC$24,0),1),INDEX(競技会設定!$X$2:$AC$24,MATCH(INDEX(男子エントリー!$R$6:$V$406,MATCH($G6&amp;RIGHT(AB$1,1),男子エントリー!$V$6:$V$406,0)-MATCH($G6&amp;RIGHT(AB$1,1),男子エントリー!$V$6:$V$406,0)+1,1),競技会設定!$AC$2:$AC$24,0),1)),"")</f>
        <v/>
      </c>
      <c r="AC6" s="1" t="str">
        <f>IF(AB6=14,リレーエントリー!$I$12,_xlfn.IFNA(INDEX(男子エントリー!$J$7:$AH$406,MATCH($G6&amp;RIGHT(AD$1,1),男子エントリー!$AH$7:$AH$406,0),3),""))</f>
        <v/>
      </c>
      <c r="AD6" s="1" t="str">
        <f t="shared" si="3"/>
        <v/>
      </c>
      <c r="AE6" s="1" t="str">
        <f t="shared" si="4"/>
        <v/>
      </c>
      <c r="AF6" s="1" t="str">
        <f t="shared" si="5"/>
        <v/>
      </c>
      <c r="AG6" s="1" t="str" cm="1">
        <f t="array" ref="AG6">_xlfn.IFNA(_xlfn.IFNA(INDEX(競技会設定!$X$2:$AC$24,MATCH(INDEX(男子エントリー!$J$7:$AH$406,MATCH($G6&amp;RIGHT(AG$1,1),男子エントリー!$AH$7:$AH$406,0),1),競技会設定!$AC$2:$AC$24,0),1),INDEX(競技会設定!$X$2:$AC$24,MATCH(INDEX(男子エントリー!$R$6:$V$406,MATCH($G6&amp;RIGHT(AG$1,1),男子エントリー!$V$6:$V$406,0)-MATCH($G6&amp;RIGHT(AG$1,1),男子エントリー!$V$6:$V$406,0)+1,1),競技会設定!$AC$2:$AC$24,0),1)),"")</f>
        <v/>
      </c>
      <c r="AH6" s="1" t="str">
        <f>IF(AG6=14,リレーエントリー!$I$12,_xlfn.IFNA(INDEX(男子エントリー!$J$7:$AH$406,MATCH($G6&amp;RIGHT(AI$1,1),男子エントリー!$AH$7:$AH$406,0),3),""))</f>
        <v/>
      </c>
      <c r="AI6" s="1" t="str">
        <f t="shared" si="6"/>
        <v/>
      </c>
      <c r="AJ6" s="1" t="str">
        <f t="shared" si="7"/>
        <v/>
      </c>
      <c r="AK6" s="1" t="str">
        <f t="shared" si="8"/>
        <v/>
      </c>
      <c r="AL6" s="1" t="str" cm="1">
        <f t="array" ref="AL6">_xlfn.IFNA(_xlfn.IFNA(INDEX(競技会設定!$X$2:$AC$24,MATCH(INDEX(男子エントリー!$J$7:$AH$406,MATCH($G6&amp;RIGHT(AL$1,1),男子エントリー!$AH$7:$AH$406,0),1),競技会設定!$AC$2:$AC$24,0),1),INDEX(競技会設定!$X$2:$AC$24,MATCH(INDEX(男子エントリー!$R$6:$V$406,MATCH($G6&amp;RIGHT(AL$1,1),男子エントリー!$V$6:$V$406,0)-MATCH($G6&amp;RIGHT(AL$1,1),男子エントリー!$V$6:$V$406,0)+1,1),競技会設定!$AC$2:$AC$24,0),1)),"")</f>
        <v/>
      </c>
      <c r="AM6" s="1" t="str">
        <f>IF(AL6=14,リレーエントリー!$I$12,_xlfn.IFNA(INDEX(男子エントリー!$J$7:$AH$406,MATCH($G6&amp;RIGHT(AN$1,1),男子エントリー!$AH$7:$AH$406,0),3),""))</f>
        <v/>
      </c>
      <c r="AN6" s="1" t="str">
        <f t="shared" si="9"/>
        <v/>
      </c>
      <c r="AO6" s="1" t="str">
        <f t="shared" si="10"/>
        <v/>
      </c>
      <c r="AP6" s="1" t="str">
        <f t="shared" si="11"/>
        <v/>
      </c>
    </row>
    <row r="7" spans="1:42">
      <c r="A7" s="1">
        <v>6</v>
      </c>
      <c r="B7" s="92" t="str">
        <f>男子エントリー!D27</f>
        <v/>
      </c>
      <c r="C7" s="1" t="str">
        <f>基本情報!$E$6</f>
        <v/>
      </c>
      <c r="D7" s="1" t="str">
        <f>基本情報!$E$7</f>
        <v/>
      </c>
      <c r="F7" s="92">
        <f>男子エントリー!C27</f>
        <v>0</v>
      </c>
      <c r="G7" s="92" t="str">
        <f>男子エントリー!E27</f>
        <v/>
      </c>
      <c r="H7" s="92" t="str">
        <f>男子エントリー!F27</f>
        <v/>
      </c>
      <c r="I7" s="1" t="str">
        <f t="shared" si="12"/>
        <v/>
      </c>
      <c r="J7" s="1" t="e">
        <f>LEFT(男子エントリー!E29,FIND(",",LEFT(男子エントリー!E29,LEN(男子エントリー!E29)-5))-1)&amp;LEFT(RIGHT(男子エントリー!E29,LEN(男子エントリー!E29)-FIND(",",男子エントリー!E29)),LEN(RIGHT(男子エントリー!E29,LEN(男子エントリー!E29)-FIND(",",男子エントリー!E29)))-5)</f>
        <v>#VALUE!</v>
      </c>
      <c r="K7" s="1" t="str">
        <f>男子エントリー!G29</f>
        <v/>
      </c>
      <c r="L7" s="1" t="str">
        <f t="shared" si="13"/>
        <v/>
      </c>
      <c r="M7" s="92" t="str">
        <f>男子エントリー!G27</f>
        <v/>
      </c>
      <c r="N7" s="92" t="e">
        <f>MID(男子エントリー!E29,FIND("(",男子エントリー!E29)+1,2)</f>
        <v>#VALUE!</v>
      </c>
      <c r="O7" s="1">
        <v>0</v>
      </c>
      <c r="P7" s="92" t="e">
        <f>VLOOKUP(男子エントリー!G28,競技会設定!$F$3:$I$50,2,0)</f>
        <v>#N/A</v>
      </c>
      <c r="R7" s="1" t="str" cm="1">
        <f t="array" ref="R7">_xlfn.IFNA(_xlfn.IFNA(INDEX(競技会設定!$X$2:$AC$24,MATCH(INDEX(男子エントリー!$J$7:$AH$406,MATCH($G7&amp;RIGHT(R$1,1),男子エントリー!$AH$7:$AH$406,0),1),競技会設定!$AC$2:$AC$24,0),1),INDEX(競技会設定!$X$2:$AC$24,MATCH(INDEX(男子エントリー!$R$6:$V$406,MATCH($G7&amp;RIGHT(R$1,1),男子エントリー!$V$6:$V$406,0)-MATCH($G7&amp;RIGHT(R$1,1),男子エントリー!$V$6:$V$406,0)+1,1),競技会設定!$AC$2:$AC$24,0),1)),"")</f>
        <v/>
      </c>
      <c r="S7" s="1" t="str">
        <f>IF(R7=14,リレーエントリー!$I$12,_xlfn.IFNA(INDEX(男子エントリー!$J$7:$AH$406,MATCH($G7&amp;RIGHT(T$1,1),男子エントリー!$AH$7:$AH$406,0),3),""))</f>
        <v/>
      </c>
      <c r="T7" s="1" t="str">
        <f t="shared" si="14"/>
        <v/>
      </c>
      <c r="U7" s="1" t="str">
        <f t="shared" si="17"/>
        <v/>
      </c>
      <c r="V7" s="1" t="str">
        <f t="shared" si="16"/>
        <v/>
      </c>
      <c r="W7" s="1" t="str" cm="1">
        <f t="array" ref="W7">_xlfn.IFNA(_xlfn.IFNA(INDEX(競技会設定!$X$2:$AC$24,MATCH(INDEX(男子エントリー!$J$7:$AH$406,MATCH($G7&amp;RIGHT(W$1,1),男子エントリー!$AH$7:$AH$406,0),1),競技会設定!$AC$2:$AC$24,0),1),INDEX(競技会設定!$X$2:$AC$24,MATCH(INDEX(男子エントリー!$R$6:$V$406,MATCH($G7&amp;RIGHT(W$1,1),男子エントリー!$V$6:$V$406,0)-MATCH($G7&amp;RIGHT(W$1,1),男子エントリー!$V$6:$V$406,0)+1,1),競技会設定!$AC$2:$AC$24,0),1)),"")</f>
        <v/>
      </c>
      <c r="X7" s="1" t="str">
        <f>IF(W7=14,リレーエントリー!$I$12,_xlfn.IFNA(INDEX(男子エントリー!$J$7:$AH$406,MATCH($G7&amp;RIGHT(Y$1,1),男子エントリー!$AH$7:$AH$406,0),3),""))</f>
        <v/>
      </c>
      <c r="Y7" s="1" t="str">
        <f t="shared" si="0"/>
        <v/>
      </c>
      <c r="Z7" s="1" t="str">
        <f t="shared" si="1"/>
        <v/>
      </c>
      <c r="AA7" s="1" t="str">
        <f t="shared" si="2"/>
        <v/>
      </c>
      <c r="AB7" s="1" t="str" cm="1">
        <f t="array" ref="AB7">_xlfn.IFNA(_xlfn.IFNA(INDEX(競技会設定!$X$2:$AC$24,MATCH(INDEX(男子エントリー!$J$7:$AH$406,MATCH($G7&amp;RIGHT(AB$1,1),男子エントリー!$AH$7:$AH$406,0),1),競技会設定!$AC$2:$AC$24,0),1),INDEX(競技会設定!$X$2:$AC$24,MATCH(INDEX(男子エントリー!$R$6:$V$406,MATCH($G7&amp;RIGHT(AB$1,1),男子エントリー!$V$6:$V$406,0)-MATCH($G7&amp;RIGHT(AB$1,1),男子エントリー!$V$6:$V$406,0)+1,1),競技会設定!$AC$2:$AC$24,0),1)),"")</f>
        <v/>
      </c>
      <c r="AC7" s="1" t="str">
        <f>IF(AB7=14,リレーエントリー!$I$12,_xlfn.IFNA(INDEX(男子エントリー!$J$7:$AH$406,MATCH($G7&amp;RIGHT(AD$1,1),男子エントリー!$AH$7:$AH$406,0),3),""))</f>
        <v/>
      </c>
      <c r="AD7" s="1" t="str">
        <f t="shared" si="3"/>
        <v/>
      </c>
      <c r="AE7" s="1" t="str">
        <f t="shared" si="4"/>
        <v/>
      </c>
      <c r="AF7" s="1" t="str">
        <f t="shared" si="5"/>
        <v/>
      </c>
      <c r="AG7" s="1" t="str" cm="1">
        <f t="array" ref="AG7">_xlfn.IFNA(_xlfn.IFNA(INDEX(競技会設定!$X$2:$AC$24,MATCH(INDEX(男子エントリー!$J$7:$AH$406,MATCH($G7&amp;RIGHT(AG$1,1),男子エントリー!$AH$7:$AH$406,0),1),競技会設定!$AC$2:$AC$24,0),1),INDEX(競技会設定!$X$2:$AC$24,MATCH(INDEX(男子エントリー!$R$6:$V$406,MATCH($G7&amp;RIGHT(AG$1,1),男子エントリー!$V$6:$V$406,0)-MATCH($G7&amp;RIGHT(AG$1,1),男子エントリー!$V$6:$V$406,0)+1,1),競技会設定!$AC$2:$AC$24,0),1)),"")</f>
        <v/>
      </c>
      <c r="AH7" s="1" t="str">
        <f>IF(AG7=14,リレーエントリー!$I$12,_xlfn.IFNA(INDEX(男子エントリー!$J$7:$AH$406,MATCH($G7&amp;RIGHT(AI$1,1),男子エントリー!$AH$7:$AH$406,0),3),""))</f>
        <v/>
      </c>
      <c r="AI7" s="1" t="str">
        <f t="shared" si="6"/>
        <v/>
      </c>
      <c r="AJ7" s="1" t="str">
        <f t="shared" si="7"/>
        <v/>
      </c>
      <c r="AK7" s="1" t="str">
        <f t="shared" si="8"/>
        <v/>
      </c>
      <c r="AL7" s="1" t="str" cm="1">
        <f t="array" ref="AL7">_xlfn.IFNA(_xlfn.IFNA(INDEX(競技会設定!$X$2:$AC$24,MATCH(INDEX(男子エントリー!$J$7:$AH$406,MATCH($G7&amp;RIGHT(AL$1,1),男子エントリー!$AH$7:$AH$406,0),1),競技会設定!$AC$2:$AC$24,0),1),INDEX(競技会設定!$X$2:$AC$24,MATCH(INDEX(男子エントリー!$R$6:$V$406,MATCH($G7&amp;RIGHT(AL$1,1),男子エントリー!$V$6:$V$406,0)-MATCH($G7&amp;RIGHT(AL$1,1),男子エントリー!$V$6:$V$406,0)+1,1),競技会設定!$AC$2:$AC$24,0),1)),"")</f>
        <v/>
      </c>
      <c r="AM7" s="1" t="str">
        <f>IF(AL7=14,リレーエントリー!$I$12,_xlfn.IFNA(INDEX(男子エントリー!$J$7:$AH$406,MATCH($G7&amp;RIGHT(AN$1,1),男子エントリー!$AH$7:$AH$406,0),3),""))</f>
        <v/>
      </c>
      <c r="AN7" s="1" t="str">
        <f t="shared" si="9"/>
        <v/>
      </c>
      <c r="AO7" s="1" t="str">
        <f t="shared" si="10"/>
        <v/>
      </c>
      <c r="AP7" s="1" t="str">
        <f t="shared" si="11"/>
        <v/>
      </c>
    </row>
    <row r="8" spans="1:42">
      <c r="A8" s="1">
        <v>7</v>
      </c>
      <c r="B8" s="92" t="str">
        <f>男子エントリー!D31</f>
        <v/>
      </c>
      <c r="C8" s="1" t="str">
        <f>基本情報!$E$6</f>
        <v/>
      </c>
      <c r="D8" s="1" t="str">
        <f>基本情報!$E$7</f>
        <v/>
      </c>
      <c r="F8" s="92">
        <f>男子エントリー!C31</f>
        <v>0</v>
      </c>
      <c r="G8" s="92" t="str">
        <f>男子エントリー!E31</f>
        <v/>
      </c>
      <c r="H8" s="92" t="str">
        <f>男子エントリー!F31</f>
        <v/>
      </c>
      <c r="I8" s="1" t="str">
        <f t="shared" si="12"/>
        <v/>
      </c>
      <c r="J8" s="1" t="e">
        <f>LEFT(男子エントリー!E33,FIND(",",LEFT(男子エントリー!E33,LEN(男子エントリー!E33)-5))-1)&amp;LEFT(RIGHT(男子エントリー!E33,LEN(男子エントリー!E33)-FIND(",",男子エントリー!E33)),LEN(RIGHT(男子エントリー!E33,LEN(男子エントリー!E33)-FIND(",",男子エントリー!E33)))-5)</f>
        <v>#VALUE!</v>
      </c>
      <c r="K8" s="1" t="str">
        <f>男子エントリー!G33</f>
        <v/>
      </c>
      <c r="L8" s="1" t="str">
        <f t="shared" si="13"/>
        <v/>
      </c>
      <c r="M8" s="92" t="str">
        <f>男子エントリー!G31</f>
        <v/>
      </c>
      <c r="N8" s="92" t="e">
        <f>MID(男子エントリー!E33,FIND("(",男子エントリー!E33)+1,2)</f>
        <v>#VALUE!</v>
      </c>
      <c r="O8" s="1">
        <v>0</v>
      </c>
      <c r="P8" s="92" t="e">
        <f>VLOOKUP(男子エントリー!G32,競技会設定!$F$3:$I$50,2,0)</f>
        <v>#N/A</v>
      </c>
      <c r="R8" s="1" t="str" cm="1">
        <f t="array" ref="R8">_xlfn.IFNA(_xlfn.IFNA(INDEX(競技会設定!$X$2:$AC$24,MATCH(INDEX(男子エントリー!$J$7:$AH$406,MATCH($G8&amp;RIGHT(R$1,1),男子エントリー!$AH$7:$AH$406,0),1),競技会設定!$AC$2:$AC$24,0),1),INDEX(競技会設定!$X$2:$AC$24,MATCH(INDEX(男子エントリー!$R$6:$V$406,MATCH($G8&amp;RIGHT(R$1,1),男子エントリー!$V$6:$V$406,0)-MATCH($G8&amp;RIGHT(R$1,1),男子エントリー!$V$6:$V$406,0)+1,1),競技会設定!$AC$2:$AC$24,0),1)),"")</f>
        <v/>
      </c>
      <c r="S8" s="1" t="str">
        <f>IF(R8=14,リレーエントリー!$I$12,_xlfn.IFNA(INDEX(男子エントリー!$J$7:$AH$406,MATCH($G8&amp;RIGHT(T$1,1),男子エントリー!$AH$7:$AH$406,0),3),""))</f>
        <v/>
      </c>
      <c r="T8" s="1" t="str">
        <f t="shared" si="14"/>
        <v/>
      </c>
      <c r="U8" s="1" t="str">
        <f t="shared" si="17"/>
        <v/>
      </c>
      <c r="V8" s="1" t="str">
        <f t="shared" si="16"/>
        <v/>
      </c>
      <c r="W8" s="1" t="str" cm="1">
        <f t="array" ref="W8">_xlfn.IFNA(_xlfn.IFNA(INDEX(競技会設定!$X$2:$AC$24,MATCH(INDEX(男子エントリー!$J$7:$AH$406,MATCH($G8&amp;RIGHT(W$1,1),男子エントリー!$AH$7:$AH$406,0),1),競技会設定!$AC$2:$AC$24,0),1),INDEX(競技会設定!$X$2:$AC$24,MATCH(INDEX(男子エントリー!$R$6:$V$406,MATCH($G8&amp;RIGHT(W$1,1),男子エントリー!$V$6:$V$406,0)-MATCH($G8&amp;RIGHT(W$1,1),男子エントリー!$V$6:$V$406,0)+1,1),競技会設定!$AC$2:$AC$24,0),1)),"")</f>
        <v/>
      </c>
      <c r="X8" s="1" t="str">
        <f>IF(W8=14,リレーエントリー!$I$12,_xlfn.IFNA(INDEX(男子エントリー!$J$7:$AH$406,MATCH($G8&amp;RIGHT(Y$1,1),男子エントリー!$AH$7:$AH$406,0),3),""))</f>
        <v/>
      </c>
      <c r="Y8" s="1" t="str">
        <f t="shared" si="0"/>
        <v/>
      </c>
      <c r="Z8" s="1" t="str">
        <f t="shared" si="1"/>
        <v/>
      </c>
      <c r="AA8" s="1" t="str">
        <f t="shared" si="2"/>
        <v/>
      </c>
      <c r="AB8" s="1" t="str" cm="1">
        <f t="array" ref="AB8">_xlfn.IFNA(_xlfn.IFNA(INDEX(競技会設定!$X$2:$AC$24,MATCH(INDEX(男子エントリー!$J$7:$AH$406,MATCH($G8&amp;RIGHT(AB$1,1),男子エントリー!$AH$7:$AH$406,0),1),競技会設定!$AC$2:$AC$24,0),1),INDEX(競技会設定!$X$2:$AC$24,MATCH(INDEX(男子エントリー!$R$6:$V$406,MATCH($G8&amp;RIGHT(AB$1,1),男子エントリー!$V$6:$V$406,0)-MATCH($G8&amp;RIGHT(AB$1,1),男子エントリー!$V$6:$V$406,0)+1,1),競技会設定!$AC$2:$AC$24,0),1)),"")</f>
        <v/>
      </c>
      <c r="AC8" s="1" t="str">
        <f>IF(AB8=14,リレーエントリー!$I$12,_xlfn.IFNA(INDEX(男子エントリー!$J$7:$AH$406,MATCH($G8&amp;RIGHT(AD$1,1),男子エントリー!$AH$7:$AH$406,0),3),""))</f>
        <v/>
      </c>
      <c r="AD8" s="1" t="str">
        <f t="shared" si="3"/>
        <v/>
      </c>
      <c r="AE8" s="1" t="str">
        <f t="shared" si="4"/>
        <v/>
      </c>
      <c r="AF8" s="1" t="str">
        <f t="shared" si="5"/>
        <v/>
      </c>
      <c r="AG8" s="1" t="str" cm="1">
        <f t="array" ref="AG8">_xlfn.IFNA(_xlfn.IFNA(INDEX(競技会設定!$X$2:$AC$24,MATCH(INDEX(男子エントリー!$J$7:$AH$406,MATCH($G8&amp;RIGHT(AG$1,1),男子エントリー!$AH$7:$AH$406,0),1),競技会設定!$AC$2:$AC$24,0),1),INDEX(競技会設定!$X$2:$AC$24,MATCH(INDEX(男子エントリー!$R$6:$V$406,MATCH($G8&amp;RIGHT(AG$1,1),男子エントリー!$V$6:$V$406,0)-MATCH($G8&amp;RIGHT(AG$1,1),男子エントリー!$V$6:$V$406,0)+1,1),競技会設定!$AC$2:$AC$24,0),1)),"")</f>
        <v/>
      </c>
      <c r="AH8" s="1" t="str">
        <f>IF(AG8=14,リレーエントリー!$I$12,_xlfn.IFNA(INDEX(男子エントリー!$J$7:$AH$406,MATCH($G8&amp;RIGHT(AI$1,1),男子エントリー!$AH$7:$AH$406,0),3),""))</f>
        <v/>
      </c>
      <c r="AI8" s="1" t="str">
        <f t="shared" si="6"/>
        <v/>
      </c>
      <c r="AJ8" s="1" t="str">
        <f t="shared" si="7"/>
        <v/>
      </c>
      <c r="AK8" s="1" t="str">
        <f t="shared" si="8"/>
        <v/>
      </c>
      <c r="AL8" s="1" t="str" cm="1">
        <f t="array" ref="AL8">_xlfn.IFNA(_xlfn.IFNA(INDEX(競技会設定!$X$2:$AC$24,MATCH(INDEX(男子エントリー!$J$7:$AH$406,MATCH($G8&amp;RIGHT(AL$1,1),男子エントリー!$AH$7:$AH$406,0),1),競技会設定!$AC$2:$AC$24,0),1),INDEX(競技会設定!$X$2:$AC$24,MATCH(INDEX(男子エントリー!$R$6:$V$406,MATCH($G8&amp;RIGHT(AL$1,1),男子エントリー!$V$6:$V$406,0)-MATCH($G8&amp;RIGHT(AL$1,1),男子エントリー!$V$6:$V$406,0)+1,1),競技会設定!$AC$2:$AC$24,0),1)),"")</f>
        <v/>
      </c>
      <c r="AM8" s="1" t="str">
        <f>IF(AL8=14,リレーエントリー!$I$12,_xlfn.IFNA(INDEX(男子エントリー!$J$7:$AH$406,MATCH($G8&amp;RIGHT(AN$1,1),男子エントリー!$AH$7:$AH$406,0),3),""))</f>
        <v/>
      </c>
      <c r="AN8" s="1" t="str">
        <f t="shared" si="9"/>
        <v/>
      </c>
      <c r="AO8" s="1" t="str">
        <f t="shared" si="10"/>
        <v/>
      </c>
      <c r="AP8" s="1" t="str">
        <f t="shared" si="11"/>
        <v/>
      </c>
    </row>
    <row r="9" spans="1:42">
      <c r="A9" s="1">
        <v>8</v>
      </c>
      <c r="B9" s="92" t="str">
        <f>男子エントリー!D35</f>
        <v/>
      </c>
      <c r="C9" s="1" t="str">
        <f>基本情報!$E$6</f>
        <v/>
      </c>
      <c r="D9" s="1" t="str">
        <f>基本情報!$E$7</f>
        <v/>
      </c>
      <c r="F9" s="92">
        <f>男子エントリー!C35</f>
        <v>0</v>
      </c>
      <c r="G9" s="92" t="str">
        <f>男子エントリー!E35</f>
        <v/>
      </c>
      <c r="H9" s="92" t="str">
        <f>男子エントリー!F35</f>
        <v/>
      </c>
      <c r="I9" s="1" t="str">
        <f t="shared" si="12"/>
        <v/>
      </c>
      <c r="J9" s="1" t="e">
        <f>LEFT(男子エントリー!E37,FIND(",",LEFT(男子エントリー!E37,LEN(男子エントリー!E37)-5))-1)&amp;LEFT(RIGHT(男子エントリー!E37,LEN(男子エントリー!E37)-FIND(",",男子エントリー!E37)),LEN(RIGHT(男子エントリー!E37,LEN(男子エントリー!E37)-FIND(",",男子エントリー!E37)))-5)</f>
        <v>#VALUE!</v>
      </c>
      <c r="K9" s="1" t="str">
        <f>男子エントリー!G37</f>
        <v/>
      </c>
      <c r="L9" s="1" t="str">
        <f t="shared" si="13"/>
        <v/>
      </c>
      <c r="M9" s="92" t="str">
        <f>男子エントリー!G35</f>
        <v/>
      </c>
      <c r="N9" s="92" t="e">
        <f>MID(男子エントリー!E37,FIND("(",男子エントリー!E37)+1,2)</f>
        <v>#VALUE!</v>
      </c>
      <c r="O9" s="1">
        <v>0</v>
      </c>
      <c r="P9" s="92" t="e">
        <f>VLOOKUP(男子エントリー!G36,競技会設定!$F$3:$I$50,2,0)</f>
        <v>#N/A</v>
      </c>
      <c r="R9" s="1" t="str" cm="1">
        <f t="array" ref="R9">_xlfn.IFNA(_xlfn.IFNA(INDEX(競技会設定!$X$2:$AC$24,MATCH(INDEX(男子エントリー!$J$7:$AH$406,MATCH($G9&amp;RIGHT(R$1,1),男子エントリー!$AH$7:$AH$406,0),1),競技会設定!$AC$2:$AC$24,0),1),INDEX(競技会設定!$X$2:$AC$24,MATCH(INDEX(男子エントリー!$R$6:$V$406,MATCH($G9&amp;RIGHT(R$1,1),男子エントリー!$V$6:$V$406,0)-MATCH($G9&amp;RIGHT(R$1,1),男子エントリー!$V$6:$V$406,0)+1,1),競技会設定!$AC$2:$AC$24,0),1)),"")</f>
        <v/>
      </c>
      <c r="S9" s="1" t="str">
        <f>IF(R9=14,リレーエントリー!$I$12,_xlfn.IFNA(INDEX(男子エントリー!$J$7:$AH$406,MATCH($G9&amp;RIGHT(T$1,1),男子エントリー!$AH$7:$AH$406,0),3),""))</f>
        <v/>
      </c>
      <c r="T9" s="1" t="str">
        <f t="shared" si="14"/>
        <v/>
      </c>
      <c r="U9" s="1" t="str">
        <f t="shared" si="17"/>
        <v/>
      </c>
      <c r="V9" s="1" t="str">
        <f t="shared" si="16"/>
        <v/>
      </c>
      <c r="W9" s="1" t="str" cm="1">
        <f t="array" ref="W9">_xlfn.IFNA(_xlfn.IFNA(INDEX(競技会設定!$X$2:$AC$24,MATCH(INDEX(男子エントリー!$J$7:$AH$406,MATCH($G9&amp;RIGHT(W$1,1),男子エントリー!$AH$7:$AH$406,0),1),競技会設定!$AC$2:$AC$24,0),1),INDEX(競技会設定!$X$2:$AC$24,MATCH(INDEX(男子エントリー!$R$6:$V$406,MATCH($G9&amp;RIGHT(W$1,1),男子エントリー!$V$6:$V$406,0)-MATCH($G9&amp;RIGHT(W$1,1),男子エントリー!$V$6:$V$406,0)+1,1),競技会設定!$AC$2:$AC$24,0),1)),"")</f>
        <v/>
      </c>
      <c r="X9" s="1" t="str">
        <f>IF(W9=14,リレーエントリー!$I$12,_xlfn.IFNA(INDEX(男子エントリー!$J$7:$AH$406,MATCH($G9&amp;RIGHT(Y$1,1),男子エントリー!$AH$7:$AH$406,0),3),""))</f>
        <v/>
      </c>
      <c r="Y9" s="1" t="str">
        <f t="shared" si="0"/>
        <v/>
      </c>
      <c r="Z9" s="1" t="str">
        <f t="shared" si="1"/>
        <v/>
      </c>
      <c r="AA9" s="1" t="str">
        <f t="shared" si="2"/>
        <v/>
      </c>
      <c r="AB9" s="1" t="str" cm="1">
        <f t="array" ref="AB9">_xlfn.IFNA(_xlfn.IFNA(INDEX(競技会設定!$X$2:$AC$24,MATCH(INDEX(男子エントリー!$J$7:$AH$406,MATCH($G9&amp;RIGHT(AB$1,1),男子エントリー!$AH$7:$AH$406,0),1),競技会設定!$AC$2:$AC$24,0),1),INDEX(競技会設定!$X$2:$AC$24,MATCH(INDEX(男子エントリー!$R$6:$V$406,MATCH($G9&amp;RIGHT(AB$1,1),男子エントリー!$V$6:$V$406,0)-MATCH($G9&amp;RIGHT(AB$1,1),男子エントリー!$V$6:$V$406,0)+1,1),競技会設定!$AC$2:$AC$24,0),1)),"")</f>
        <v/>
      </c>
      <c r="AC9" s="1" t="str">
        <f>IF(AB9=14,リレーエントリー!$I$12,_xlfn.IFNA(INDEX(男子エントリー!$J$7:$AH$406,MATCH($G9&amp;RIGHT(AD$1,1),男子エントリー!$AH$7:$AH$406,0),3),""))</f>
        <v/>
      </c>
      <c r="AD9" s="1" t="str">
        <f t="shared" si="3"/>
        <v/>
      </c>
      <c r="AE9" s="1" t="str">
        <f t="shared" si="4"/>
        <v/>
      </c>
      <c r="AF9" s="1" t="str">
        <f t="shared" si="5"/>
        <v/>
      </c>
      <c r="AG9" s="1" t="str" cm="1">
        <f t="array" ref="AG9">_xlfn.IFNA(_xlfn.IFNA(INDEX(競技会設定!$X$2:$AC$24,MATCH(INDEX(男子エントリー!$J$7:$AH$406,MATCH($G9&amp;RIGHT(AG$1,1),男子エントリー!$AH$7:$AH$406,0),1),競技会設定!$AC$2:$AC$24,0),1),INDEX(競技会設定!$X$2:$AC$24,MATCH(INDEX(男子エントリー!$R$6:$V$406,MATCH($G9&amp;RIGHT(AG$1,1),男子エントリー!$V$6:$V$406,0)-MATCH($G9&amp;RIGHT(AG$1,1),男子エントリー!$V$6:$V$406,0)+1,1),競技会設定!$AC$2:$AC$24,0),1)),"")</f>
        <v/>
      </c>
      <c r="AH9" s="1" t="str">
        <f>IF(AG9=14,リレーエントリー!$I$12,_xlfn.IFNA(INDEX(男子エントリー!$J$7:$AH$406,MATCH($G9&amp;RIGHT(AI$1,1),男子エントリー!$AH$7:$AH$406,0),3),""))</f>
        <v/>
      </c>
      <c r="AI9" s="1" t="str">
        <f t="shared" si="6"/>
        <v/>
      </c>
      <c r="AJ9" s="1" t="str">
        <f t="shared" si="7"/>
        <v/>
      </c>
      <c r="AK9" s="1" t="str">
        <f t="shared" si="8"/>
        <v/>
      </c>
      <c r="AL9" s="1" t="str" cm="1">
        <f t="array" ref="AL9">_xlfn.IFNA(_xlfn.IFNA(INDEX(競技会設定!$X$2:$AC$24,MATCH(INDEX(男子エントリー!$J$7:$AH$406,MATCH($G9&amp;RIGHT(AL$1,1),男子エントリー!$AH$7:$AH$406,0),1),競技会設定!$AC$2:$AC$24,0),1),INDEX(競技会設定!$X$2:$AC$24,MATCH(INDEX(男子エントリー!$R$6:$V$406,MATCH($G9&amp;RIGHT(AL$1,1),男子エントリー!$V$6:$V$406,0)-MATCH($G9&amp;RIGHT(AL$1,1),男子エントリー!$V$6:$V$406,0)+1,1),競技会設定!$AC$2:$AC$24,0),1)),"")</f>
        <v/>
      </c>
      <c r="AM9" s="1" t="str">
        <f>IF(AL9=14,リレーエントリー!$I$12,_xlfn.IFNA(INDEX(男子エントリー!$J$7:$AH$406,MATCH($G9&amp;RIGHT(AN$1,1),男子エントリー!$AH$7:$AH$406,0),3),""))</f>
        <v/>
      </c>
      <c r="AN9" s="1" t="str">
        <f t="shared" si="9"/>
        <v/>
      </c>
      <c r="AO9" s="1" t="str">
        <f t="shared" si="10"/>
        <v/>
      </c>
      <c r="AP9" s="1" t="str">
        <f t="shared" si="11"/>
        <v/>
      </c>
    </row>
    <row r="10" spans="1:42">
      <c r="A10" s="1">
        <v>9</v>
      </c>
      <c r="B10" s="92" t="str">
        <f>男子エントリー!D39</f>
        <v/>
      </c>
      <c r="C10" s="1" t="str">
        <f>基本情報!$E$6</f>
        <v/>
      </c>
      <c r="D10" s="1" t="str">
        <f>基本情報!$E$7</f>
        <v/>
      </c>
      <c r="F10" s="92">
        <f>男子エントリー!C39</f>
        <v>0</v>
      </c>
      <c r="G10" s="92" t="str">
        <f>男子エントリー!E39</f>
        <v/>
      </c>
      <c r="H10" s="92" t="str">
        <f>男子エントリー!F39</f>
        <v/>
      </c>
      <c r="I10" s="1" t="str">
        <f t="shared" si="12"/>
        <v/>
      </c>
      <c r="J10" s="1" t="e">
        <f>LEFT(男子エントリー!E41,FIND(",",LEFT(男子エントリー!E41,LEN(男子エントリー!E41)-5))-1)&amp;LEFT(RIGHT(男子エントリー!E41,LEN(男子エントリー!E41)-FIND(",",男子エントリー!E41)),LEN(RIGHT(男子エントリー!E41,LEN(男子エントリー!E41)-FIND(",",男子エントリー!E41)))-5)</f>
        <v>#VALUE!</v>
      </c>
      <c r="K10" s="1" t="str">
        <f>男子エントリー!G41</f>
        <v/>
      </c>
      <c r="L10" s="1" t="str">
        <f t="shared" si="13"/>
        <v/>
      </c>
      <c r="M10" s="92" t="str">
        <f>男子エントリー!G39</f>
        <v/>
      </c>
      <c r="N10" s="92" t="e">
        <f>MID(男子エントリー!E41,FIND("(",男子エントリー!E41)+1,2)</f>
        <v>#VALUE!</v>
      </c>
      <c r="O10" s="1">
        <v>0</v>
      </c>
      <c r="P10" s="92" t="e">
        <f>VLOOKUP(男子エントリー!G40,競技会設定!$F$3:$I$50,2,0)</f>
        <v>#N/A</v>
      </c>
      <c r="R10" s="1" t="str" cm="1">
        <f t="array" ref="R10">_xlfn.IFNA(_xlfn.IFNA(INDEX(競技会設定!$X$2:$AC$24,MATCH(INDEX(男子エントリー!$J$7:$AH$406,MATCH($G10&amp;RIGHT(R$1,1),男子エントリー!$AH$7:$AH$406,0),1),競技会設定!$AC$2:$AC$24,0),1),INDEX(競技会設定!$X$2:$AC$24,MATCH(INDEX(男子エントリー!$R$6:$V$406,MATCH($G10&amp;RIGHT(R$1,1),男子エントリー!$V$6:$V$406,0)-MATCH($G10&amp;RIGHT(R$1,1),男子エントリー!$V$6:$V$406,0)+1,1),競技会設定!$AC$2:$AC$24,0),1)),"")</f>
        <v/>
      </c>
      <c r="S10" s="1" t="str">
        <f>IF(R10=14,リレーエントリー!$I$12,_xlfn.IFNA(INDEX(男子エントリー!$J$7:$AH$406,MATCH($G10&amp;RIGHT(T$1,1),男子エントリー!$AH$7:$AH$406,0),3),""))</f>
        <v/>
      </c>
      <c r="T10" s="1" t="str">
        <f t="shared" si="14"/>
        <v/>
      </c>
      <c r="U10" s="1" t="str">
        <f t="shared" si="17"/>
        <v/>
      </c>
      <c r="V10" s="1" t="str">
        <f t="shared" si="16"/>
        <v/>
      </c>
      <c r="W10" s="1" t="str" cm="1">
        <f t="array" ref="W10">_xlfn.IFNA(_xlfn.IFNA(INDEX(競技会設定!$X$2:$AC$24,MATCH(INDEX(男子エントリー!$J$7:$AH$406,MATCH($G10&amp;RIGHT(W$1,1),男子エントリー!$AH$7:$AH$406,0),1),競技会設定!$AC$2:$AC$24,0),1),INDEX(競技会設定!$X$2:$AC$24,MATCH(INDEX(男子エントリー!$R$6:$V$406,MATCH($G10&amp;RIGHT(W$1,1),男子エントリー!$V$6:$V$406,0)-MATCH($G10&amp;RIGHT(W$1,1),男子エントリー!$V$6:$V$406,0)+1,1),競技会設定!$AC$2:$AC$24,0),1)),"")</f>
        <v/>
      </c>
      <c r="X10" s="1" t="str">
        <f>IF(W10=14,リレーエントリー!$I$12,_xlfn.IFNA(INDEX(男子エントリー!$J$7:$AH$406,MATCH($G10&amp;RIGHT(Y$1,1),男子エントリー!$AH$7:$AH$406,0),3),""))</f>
        <v/>
      </c>
      <c r="Y10" s="1" t="str">
        <f t="shared" si="0"/>
        <v/>
      </c>
      <c r="Z10" s="1" t="str">
        <f t="shared" si="1"/>
        <v/>
      </c>
      <c r="AA10" s="1" t="str">
        <f t="shared" si="2"/>
        <v/>
      </c>
      <c r="AB10" s="1" t="str" cm="1">
        <f t="array" ref="AB10">_xlfn.IFNA(_xlfn.IFNA(INDEX(競技会設定!$X$2:$AC$24,MATCH(INDEX(男子エントリー!$J$7:$AH$406,MATCH($G10&amp;RIGHT(AB$1,1),男子エントリー!$AH$7:$AH$406,0),1),競技会設定!$AC$2:$AC$24,0),1),INDEX(競技会設定!$X$2:$AC$24,MATCH(INDEX(男子エントリー!$R$6:$V$406,MATCH($G10&amp;RIGHT(AB$1,1),男子エントリー!$V$6:$V$406,0)-MATCH($G10&amp;RIGHT(AB$1,1),男子エントリー!$V$6:$V$406,0)+1,1),競技会設定!$AC$2:$AC$24,0),1)),"")</f>
        <v/>
      </c>
      <c r="AC10" s="1" t="str">
        <f>IF(AB10=14,リレーエントリー!$I$12,_xlfn.IFNA(INDEX(男子エントリー!$J$7:$AH$406,MATCH($G10&amp;RIGHT(AD$1,1),男子エントリー!$AH$7:$AH$406,0),3),""))</f>
        <v/>
      </c>
      <c r="AD10" s="1" t="str">
        <f t="shared" si="3"/>
        <v/>
      </c>
      <c r="AE10" s="1" t="str">
        <f t="shared" si="4"/>
        <v/>
      </c>
      <c r="AF10" s="1" t="str">
        <f t="shared" si="5"/>
        <v/>
      </c>
      <c r="AG10" s="1" t="str" cm="1">
        <f t="array" ref="AG10">_xlfn.IFNA(_xlfn.IFNA(INDEX(競技会設定!$X$2:$AC$24,MATCH(INDEX(男子エントリー!$J$7:$AH$406,MATCH($G10&amp;RIGHT(AG$1,1),男子エントリー!$AH$7:$AH$406,0),1),競技会設定!$AC$2:$AC$24,0),1),INDEX(競技会設定!$X$2:$AC$24,MATCH(INDEX(男子エントリー!$R$6:$V$406,MATCH($G10&amp;RIGHT(AG$1,1),男子エントリー!$V$6:$V$406,0)-MATCH($G10&amp;RIGHT(AG$1,1),男子エントリー!$V$6:$V$406,0)+1,1),競技会設定!$AC$2:$AC$24,0),1)),"")</f>
        <v/>
      </c>
      <c r="AH10" s="1" t="str">
        <f>IF(AG10=14,リレーエントリー!$I$12,_xlfn.IFNA(INDEX(男子エントリー!$J$7:$AH$406,MATCH($G10&amp;RIGHT(AI$1,1),男子エントリー!$AH$7:$AH$406,0),3),""))</f>
        <v/>
      </c>
      <c r="AI10" s="1" t="str">
        <f t="shared" si="6"/>
        <v/>
      </c>
      <c r="AJ10" s="1" t="str">
        <f t="shared" si="7"/>
        <v/>
      </c>
      <c r="AK10" s="1" t="str">
        <f t="shared" si="8"/>
        <v/>
      </c>
      <c r="AL10" s="1" t="str" cm="1">
        <f t="array" ref="AL10">_xlfn.IFNA(_xlfn.IFNA(INDEX(競技会設定!$X$2:$AC$24,MATCH(INDEX(男子エントリー!$J$7:$AH$406,MATCH($G10&amp;RIGHT(AL$1,1),男子エントリー!$AH$7:$AH$406,0),1),競技会設定!$AC$2:$AC$24,0),1),INDEX(競技会設定!$X$2:$AC$24,MATCH(INDEX(男子エントリー!$R$6:$V$406,MATCH($G10&amp;RIGHT(AL$1,1),男子エントリー!$V$6:$V$406,0)-MATCH($G10&amp;RIGHT(AL$1,1),男子エントリー!$V$6:$V$406,0)+1,1),競技会設定!$AC$2:$AC$24,0),1)),"")</f>
        <v/>
      </c>
      <c r="AM10" s="1" t="str">
        <f>IF(AL10=14,リレーエントリー!$I$12,_xlfn.IFNA(INDEX(男子エントリー!$J$7:$AH$406,MATCH($G10&amp;RIGHT(AN$1,1),男子エントリー!$AH$7:$AH$406,0),3),""))</f>
        <v/>
      </c>
      <c r="AN10" s="1" t="str">
        <f t="shared" si="9"/>
        <v/>
      </c>
      <c r="AO10" s="1" t="str">
        <f t="shared" si="10"/>
        <v/>
      </c>
      <c r="AP10" s="1" t="str">
        <f t="shared" si="11"/>
        <v/>
      </c>
    </row>
    <row r="11" spans="1:42">
      <c r="A11" s="1">
        <v>10</v>
      </c>
      <c r="B11" s="92" t="str">
        <f>男子エントリー!D43</f>
        <v/>
      </c>
      <c r="C11" s="1" t="str">
        <f>基本情報!$E$6</f>
        <v/>
      </c>
      <c r="D11" s="1" t="str">
        <f>基本情報!$E$7</f>
        <v/>
      </c>
      <c r="F11" s="92">
        <f>男子エントリー!C43</f>
        <v>0</v>
      </c>
      <c r="G11" s="92" t="str">
        <f>男子エントリー!E43</f>
        <v/>
      </c>
      <c r="H11" s="92" t="str">
        <f>男子エントリー!F43</f>
        <v/>
      </c>
      <c r="I11" s="1" t="str">
        <f t="shared" si="12"/>
        <v/>
      </c>
      <c r="J11" s="1" t="e">
        <f>LEFT(男子エントリー!E45,FIND(",",LEFT(男子エントリー!E45,LEN(男子エントリー!E45)-5))-1)&amp;LEFT(RIGHT(男子エントリー!E45,LEN(男子エントリー!E45)-FIND(",",男子エントリー!E45)),LEN(RIGHT(男子エントリー!E45,LEN(男子エントリー!E45)-FIND(",",男子エントリー!E45)))-5)</f>
        <v>#VALUE!</v>
      </c>
      <c r="K11" s="1" t="str">
        <f>男子エントリー!G45</f>
        <v/>
      </c>
      <c r="L11" s="1" t="str">
        <f t="shared" si="13"/>
        <v/>
      </c>
      <c r="M11" s="92" t="str">
        <f>男子エントリー!G43</f>
        <v/>
      </c>
      <c r="N11" s="92" t="e">
        <f>MID(男子エントリー!E45,FIND("(",男子エントリー!E45)+1,2)</f>
        <v>#VALUE!</v>
      </c>
      <c r="O11" s="1">
        <v>0</v>
      </c>
      <c r="P11" s="92" t="e">
        <f>VLOOKUP(男子エントリー!G44,競技会設定!$F$3:$I$50,2,0)</f>
        <v>#N/A</v>
      </c>
      <c r="R11" s="1" t="str" cm="1">
        <f t="array" ref="R11">_xlfn.IFNA(_xlfn.IFNA(INDEX(競技会設定!$X$2:$AC$24,MATCH(INDEX(男子エントリー!$J$7:$AH$406,MATCH($G11&amp;RIGHT(R$1,1),男子エントリー!$AH$7:$AH$406,0),1),競技会設定!$AC$2:$AC$24,0),1),INDEX(競技会設定!$X$2:$AC$24,MATCH(INDEX(男子エントリー!$R$6:$V$406,MATCH($G11&amp;RIGHT(R$1,1),男子エントリー!$V$6:$V$406,0)-MATCH($G11&amp;RIGHT(R$1,1),男子エントリー!$V$6:$V$406,0)+1,1),競技会設定!$AC$2:$AC$24,0),1)),"")</f>
        <v/>
      </c>
      <c r="S11" s="1" t="str">
        <f>IF(R11=14,リレーエントリー!$I$12,_xlfn.IFNA(INDEX(男子エントリー!$J$7:$AH$406,MATCH($G11&amp;RIGHT(T$1,1),男子エントリー!$AH$7:$AH$406,0),3),""))</f>
        <v/>
      </c>
      <c r="T11" s="1" t="str">
        <f t="shared" si="14"/>
        <v/>
      </c>
      <c r="U11" s="1" t="str">
        <f t="shared" si="17"/>
        <v/>
      </c>
      <c r="V11" s="1" t="str">
        <f t="shared" si="16"/>
        <v/>
      </c>
      <c r="W11" s="1" t="str" cm="1">
        <f t="array" ref="W11">_xlfn.IFNA(_xlfn.IFNA(INDEX(競技会設定!$X$2:$AC$24,MATCH(INDEX(男子エントリー!$J$7:$AH$406,MATCH($G11&amp;RIGHT(W$1,1),男子エントリー!$AH$7:$AH$406,0),1),競技会設定!$AC$2:$AC$24,0),1),INDEX(競技会設定!$X$2:$AC$24,MATCH(INDEX(男子エントリー!$R$6:$V$406,MATCH($G11&amp;RIGHT(W$1,1),男子エントリー!$V$6:$V$406,0)-MATCH($G11&amp;RIGHT(W$1,1),男子エントリー!$V$6:$V$406,0)+1,1),競技会設定!$AC$2:$AC$24,0),1)),"")</f>
        <v/>
      </c>
      <c r="X11" s="1" t="str">
        <f>IF(W11=14,リレーエントリー!$I$12,_xlfn.IFNA(INDEX(男子エントリー!$J$7:$AH$406,MATCH($G11&amp;RIGHT(Y$1,1),男子エントリー!$AH$7:$AH$406,0),3),""))</f>
        <v/>
      </c>
      <c r="Y11" s="1" t="str">
        <f t="shared" si="0"/>
        <v/>
      </c>
      <c r="Z11" s="1" t="str">
        <f t="shared" si="1"/>
        <v/>
      </c>
      <c r="AA11" s="1" t="str">
        <f t="shared" si="2"/>
        <v/>
      </c>
      <c r="AB11" s="1" t="str" cm="1">
        <f t="array" ref="AB11">_xlfn.IFNA(_xlfn.IFNA(INDEX(競技会設定!$X$2:$AC$24,MATCH(INDEX(男子エントリー!$J$7:$AH$406,MATCH($G11&amp;RIGHT(AB$1,1),男子エントリー!$AH$7:$AH$406,0),1),競技会設定!$AC$2:$AC$24,0),1),INDEX(競技会設定!$X$2:$AC$24,MATCH(INDEX(男子エントリー!$R$6:$V$406,MATCH($G11&amp;RIGHT(AB$1,1),男子エントリー!$V$6:$V$406,0)-MATCH($G11&amp;RIGHT(AB$1,1),男子エントリー!$V$6:$V$406,0)+1,1),競技会設定!$AC$2:$AC$24,0),1)),"")</f>
        <v/>
      </c>
      <c r="AC11" s="1" t="str">
        <f>IF(AB11=14,リレーエントリー!$I$12,_xlfn.IFNA(INDEX(男子エントリー!$J$7:$AH$406,MATCH($G11&amp;RIGHT(AD$1,1),男子エントリー!$AH$7:$AH$406,0),3),""))</f>
        <v/>
      </c>
      <c r="AD11" s="1" t="str">
        <f t="shared" si="3"/>
        <v/>
      </c>
      <c r="AE11" s="1" t="str">
        <f t="shared" si="4"/>
        <v/>
      </c>
      <c r="AF11" s="1" t="str">
        <f t="shared" si="5"/>
        <v/>
      </c>
      <c r="AG11" s="1" t="str" cm="1">
        <f t="array" ref="AG11">_xlfn.IFNA(_xlfn.IFNA(INDEX(競技会設定!$X$2:$AC$24,MATCH(INDEX(男子エントリー!$J$7:$AH$406,MATCH($G11&amp;RIGHT(AG$1,1),男子エントリー!$AH$7:$AH$406,0),1),競技会設定!$AC$2:$AC$24,0),1),INDEX(競技会設定!$X$2:$AC$24,MATCH(INDEX(男子エントリー!$R$6:$V$406,MATCH($G11&amp;RIGHT(AG$1,1),男子エントリー!$V$6:$V$406,0)-MATCH($G11&amp;RIGHT(AG$1,1),男子エントリー!$V$6:$V$406,0)+1,1),競技会設定!$AC$2:$AC$24,0),1)),"")</f>
        <v/>
      </c>
      <c r="AH11" s="1" t="str">
        <f>IF(AG11=14,リレーエントリー!$I$12,_xlfn.IFNA(INDEX(男子エントリー!$J$7:$AH$406,MATCH($G11&amp;RIGHT(AI$1,1),男子エントリー!$AH$7:$AH$406,0),3),""))</f>
        <v/>
      </c>
      <c r="AI11" s="1" t="str">
        <f t="shared" si="6"/>
        <v/>
      </c>
      <c r="AJ11" s="1" t="str">
        <f t="shared" si="7"/>
        <v/>
      </c>
      <c r="AK11" s="1" t="str">
        <f t="shared" si="8"/>
        <v/>
      </c>
      <c r="AL11" s="1" t="str" cm="1">
        <f t="array" ref="AL11">_xlfn.IFNA(_xlfn.IFNA(INDEX(競技会設定!$X$2:$AC$24,MATCH(INDEX(男子エントリー!$J$7:$AH$406,MATCH($G11&amp;RIGHT(AL$1,1),男子エントリー!$AH$7:$AH$406,0),1),競技会設定!$AC$2:$AC$24,0),1),INDEX(競技会設定!$X$2:$AC$24,MATCH(INDEX(男子エントリー!$R$6:$V$406,MATCH($G11&amp;RIGHT(AL$1,1),男子エントリー!$V$6:$V$406,0)-MATCH($G11&amp;RIGHT(AL$1,1),男子エントリー!$V$6:$V$406,0)+1,1),競技会設定!$AC$2:$AC$24,0),1)),"")</f>
        <v/>
      </c>
      <c r="AM11" s="1" t="str">
        <f>IF(AL11=14,リレーエントリー!$I$12,_xlfn.IFNA(INDEX(男子エントリー!$J$7:$AH$406,MATCH($G11&amp;RIGHT(AN$1,1),男子エントリー!$AH$7:$AH$406,0),3),""))</f>
        <v/>
      </c>
      <c r="AN11" s="1" t="str">
        <f t="shared" si="9"/>
        <v/>
      </c>
      <c r="AO11" s="1" t="str">
        <f t="shared" si="10"/>
        <v/>
      </c>
      <c r="AP11" s="1" t="str">
        <f t="shared" si="11"/>
        <v/>
      </c>
    </row>
    <row r="12" spans="1:42">
      <c r="A12" s="1">
        <v>11</v>
      </c>
      <c r="B12" s="92" t="str">
        <f>男子エントリー!D47</f>
        <v/>
      </c>
      <c r="C12" s="1" t="str">
        <f>基本情報!$E$6</f>
        <v/>
      </c>
      <c r="D12" s="1" t="str">
        <f>基本情報!$E$7</f>
        <v/>
      </c>
      <c r="F12" s="92">
        <f>男子エントリー!C47</f>
        <v>0</v>
      </c>
      <c r="G12" s="92" t="str">
        <f>男子エントリー!E47</f>
        <v/>
      </c>
      <c r="H12" s="92" t="str">
        <f>男子エントリー!F47</f>
        <v/>
      </c>
      <c r="I12" s="1" t="str">
        <f t="shared" si="12"/>
        <v/>
      </c>
      <c r="J12" s="1" t="e">
        <f>LEFT(男子エントリー!E49,FIND(",",LEFT(男子エントリー!E49,LEN(男子エントリー!E49)-5))-1)&amp;LEFT(RIGHT(男子エントリー!E49,LEN(男子エントリー!E49)-FIND(",",男子エントリー!E49)),LEN(RIGHT(男子エントリー!E49,LEN(男子エントリー!E49)-FIND(",",男子エントリー!E49)))-5)</f>
        <v>#VALUE!</v>
      </c>
      <c r="K12" s="1" t="str">
        <f>男子エントリー!G49</f>
        <v/>
      </c>
      <c r="L12" s="1" t="str">
        <f t="shared" si="13"/>
        <v/>
      </c>
      <c r="M12" s="92" t="str">
        <f>男子エントリー!G47</f>
        <v/>
      </c>
      <c r="N12" s="92" t="e">
        <f>MID(男子エントリー!E49,FIND("(",男子エントリー!E49)+1,2)</f>
        <v>#VALUE!</v>
      </c>
      <c r="O12" s="1">
        <v>0</v>
      </c>
      <c r="P12" s="92" t="e">
        <f>VLOOKUP(男子エントリー!G48,競技会設定!$F$3:$I$50,2,0)</f>
        <v>#N/A</v>
      </c>
      <c r="R12" s="1" t="str" cm="1">
        <f t="array" ref="R12">_xlfn.IFNA(_xlfn.IFNA(INDEX(競技会設定!$X$2:$AC$24,MATCH(INDEX(男子エントリー!$J$7:$AH$406,MATCH($G12&amp;RIGHT(R$1,1),男子エントリー!$AH$7:$AH$406,0),1),競技会設定!$AC$2:$AC$24,0),1),INDEX(競技会設定!$X$2:$AC$24,MATCH(INDEX(男子エントリー!$R$6:$V$406,MATCH($G12&amp;RIGHT(R$1,1),男子エントリー!$V$6:$V$406,0)-MATCH($G12&amp;RIGHT(R$1,1),男子エントリー!$V$6:$V$406,0)+1,1),競技会設定!$AC$2:$AC$24,0),1)),"")</f>
        <v/>
      </c>
      <c r="S12" s="1" t="str">
        <f>IF(R12=14,リレーエントリー!$I$12,_xlfn.IFNA(INDEX(男子エントリー!$J$7:$AH$406,MATCH($G12&amp;RIGHT(T$1,1),男子エントリー!$AH$7:$AH$406,0),3),""))</f>
        <v/>
      </c>
      <c r="T12" s="1" t="str">
        <f t="shared" si="14"/>
        <v/>
      </c>
      <c r="U12" s="1" t="str">
        <f t="shared" si="17"/>
        <v/>
      </c>
      <c r="V12" s="1" t="str">
        <f t="shared" si="16"/>
        <v/>
      </c>
      <c r="W12" s="1" t="str" cm="1">
        <f t="array" ref="W12">_xlfn.IFNA(_xlfn.IFNA(INDEX(競技会設定!$X$2:$AC$24,MATCH(INDEX(男子エントリー!$J$7:$AH$406,MATCH($G12&amp;RIGHT(W$1,1),男子エントリー!$AH$7:$AH$406,0),1),競技会設定!$AC$2:$AC$24,0),1),INDEX(競技会設定!$X$2:$AC$24,MATCH(INDEX(男子エントリー!$R$6:$V$406,MATCH($G12&amp;RIGHT(W$1,1),男子エントリー!$V$6:$V$406,0)-MATCH($G12&amp;RIGHT(W$1,1),男子エントリー!$V$6:$V$406,0)+1,1),競技会設定!$AC$2:$AC$24,0),1)),"")</f>
        <v/>
      </c>
      <c r="X12" s="1" t="str">
        <f>IF(W12=14,リレーエントリー!$I$12,_xlfn.IFNA(INDEX(男子エントリー!$J$7:$AH$406,MATCH($G12&amp;RIGHT(Y$1,1),男子エントリー!$AH$7:$AH$406,0),3),""))</f>
        <v/>
      </c>
      <c r="Y12" s="1" t="str">
        <f t="shared" si="0"/>
        <v/>
      </c>
      <c r="Z12" s="1" t="str">
        <f t="shared" si="1"/>
        <v/>
      </c>
      <c r="AA12" s="1" t="str">
        <f t="shared" si="2"/>
        <v/>
      </c>
      <c r="AB12" s="1" t="str" cm="1">
        <f t="array" ref="AB12">_xlfn.IFNA(_xlfn.IFNA(INDEX(競技会設定!$X$2:$AC$24,MATCH(INDEX(男子エントリー!$J$7:$AH$406,MATCH($G12&amp;RIGHT(AB$1,1),男子エントリー!$AH$7:$AH$406,0),1),競技会設定!$AC$2:$AC$24,0),1),INDEX(競技会設定!$X$2:$AC$24,MATCH(INDEX(男子エントリー!$R$6:$V$406,MATCH($G12&amp;RIGHT(AB$1,1),男子エントリー!$V$6:$V$406,0)-MATCH($G12&amp;RIGHT(AB$1,1),男子エントリー!$V$6:$V$406,0)+1,1),競技会設定!$AC$2:$AC$24,0),1)),"")</f>
        <v/>
      </c>
      <c r="AC12" s="1" t="str">
        <f>IF(AB12=14,リレーエントリー!$I$12,_xlfn.IFNA(INDEX(男子エントリー!$J$7:$AH$406,MATCH($G12&amp;RIGHT(AD$1,1),男子エントリー!$AH$7:$AH$406,0),3),""))</f>
        <v/>
      </c>
      <c r="AD12" s="1" t="str">
        <f t="shared" si="3"/>
        <v/>
      </c>
      <c r="AE12" s="1" t="str">
        <f t="shared" si="4"/>
        <v/>
      </c>
      <c r="AF12" s="1" t="str">
        <f t="shared" si="5"/>
        <v/>
      </c>
      <c r="AG12" s="1" t="str" cm="1">
        <f t="array" ref="AG12">_xlfn.IFNA(_xlfn.IFNA(INDEX(競技会設定!$X$2:$AC$24,MATCH(INDEX(男子エントリー!$J$7:$AH$406,MATCH($G12&amp;RIGHT(AG$1,1),男子エントリー!$AH$7:$AH$406,0),1),競技会設定!$AC$2:$AC$24,0),1),INDEX(競技会設定!$X$2:$AC$24,MATCH(INDEX(男子エントリー!$R$6:$V$406,MATCH($G12&amp;RIGHT(AG$1,1),男子エントリー!$V$6:$V$406,0)-MATCH($G12&amp;RIGHT(AG$1,1),男子エントリー!$V$6:$V$406,0)+1,1),競技会設定!$AC$2:$AC$24,0),1)),"")</f>
        <v/>
      </c>
      <c r="AH12" s="1" t="str">
        <f>IF(AG12=14,リレーエントリー!$I$12,_xlfn.IFNA(INDEX(男子エントリー!$J$7:$AH$406,MATCH($G12&amp;RIGHT(AI$1,1),男子エントリー!$AH$7:$AH$406,0),3),""))</f>
        <v/>
      </c>
      <c r="AI12" s="1" t="str">
        <f t="shared" si="6"/>
        <v/>
      </c>
      <c r="AJ12" s="1" t="str">
        <f t="shared" si="7"/>
        <v/>
      </c>
      <c r="AK12" s="1" t="str">
        <f t="shared" si="8"/>
        <v/>
      </c>
      <c r="AL12" s="1" t="str" cm="1">
        <f t="array" ref="AL12">_xlfn.IFNA(_xlfn.IFNA(INDEX(競技会設定!$X$2:$AC$24,MATCH(INDEX(男子エントリー!$J$7:$AH$406,MATCH($G12&amp;RIGHT(AL$1,1),男子エントリー!$AH$7:$AH$406,0),1),競技会設定!$AC$2:$AC$24,0),1),INDEX(競技会設定!$X$2:$AC$24,MATCH(INDEX(男子エントリー!$R$6:$V$406,MATCH($G12&amp;RIGHT(AL$1,1),男子エントリー!$V$6:$V$406,0)-MATCH($G12&amp;RIGHT(AL$1,1),男子エントリー!$V$6:$V$406,0)+1,1),競技会設定!$AC$2:$AC$24,0),1)),"")</f>
        <v/>
      </c>
      <c r="AM12" s="1" t="str">
        <f>IF(AL12=14,リレーエントリー!$I$12,_xlfn.IFNA(INDEX(男子エントリー!$J$7:$AH$406,MATCH($G12&amp;RIGHT(AN$1,1),男子エントリー!$AH$7:$AH$406,0),3),""))</f>
        <v/>
      </c>
      <c r="AN12" s="1" t="str">
        <f t="shared" si="9"/>
        <v/>
      </c>
      <c r="AO12" s="1" t="str">
        <f t="shared" si="10"/>
        <v/>
      </c>
      <c r="AP12" s="1" t="str">
        <f t="shared" si="11"/>
        <v/>
      </c>
    </row>
    <row r="13" spans="1:42">
      <c r="A13" s="1">
        <v>12</v>
      </c>
      <c r="B13" s="92" t="str">
        <f>男子エントリー!D51</f>
        <v/>
      </c>
      <c r="C13" s="1" t="str">
        <f>基本情報!$E$6</f>
        <v/>
      </c>
      <c r="D13" s="1" t="str">
        <f>基本情報!$E$7</f>
        <v/>
      </c>
      <c r="F13" s="92">
        <f>男子エントリー!C51</f>
        <v>0</v>
      </c>
      <c r="G13" s="92" t="str">
        <f>男子エントリー!E51</f>
        <v/>
      </c>
      <c r="H13" s="92" t="str">
        <f>男子エントリー!F51</f>
        <v/>
      </c>
      <c r="I13" s="1" t="str">
        <f t="shared" si="12"/>
        <v/>
      </c>
      <c r="J13" s="1" t="e">
        <f>LEFT(男子エントリー!E53,FIND(",",LEFT(男子エントリー!E53,LEN(男子エントリー!E53)-5))-1)&amp;LEFT(RIGHT(男子エントリー!E53,LEN(男子エントリー!E53)-FIND(",",男子エントリー!E53)),LEN(RIGHT(男子エントリー!E53,LEN(男子エントリー!E53)-FIND(",",男子エントリー!E53)))-5)</f>
        <v>#VALUE!</v>
      </c>
      <c r="K13" s="1" t="str">
        <f>男子エントリー!G53</f>
        <v/>
      </c>
      <c r="L13" s="1" t="str">
        <f t="shared" si="13"/>
        <v/>
      </c>
      <c r="M13" s="92" t="str">
        <f>男子エントリー!G51</f>
        <v/>
      </c>
      <c r="N13" s="92" t="e">
        <f>MID(男子エントリー!E53,FIND("(",男子エントリー!E53)+1,2)</f>
        <v>#VALUE!</v>
      </c>
      <c r="O13" s="1">
        <v>0</v>
      </c>
      <c r="P13" s="92" t="e">
        <f>VLOOKUP(男子エントリー!G52,競技会設定!$F$3:$I$50,2,0)</f>
        <v>#N/A</v>
      </c>
      <c r="R13" s="1" t="str" cm="1">
        <f t="array" ref="R13">_xlfn.IFNA(_xlfn.IFNA(INDEX(競技会設定!$X$2:$AC$24,MATCH(INDEX(男子エントリー!$J$7:$AH$406,MATCH($G13&amp;RIGHT(R$1,1),男子エントリー!$AH$7:$AH$406,0),1),競技会設定!$AC$2:$AC$24,0),1),INDEX(競技会設定!$X$2:$AC$24,MATCH(INDEX(男子エントリー!$R$6:$V$406,MATCH($G13&amp;RIGHT(R$1,1),男子エントリー!$V$6:$V$406,0)-MATCH($G13&amp;RIGHT(R$1,1),男子エントリー!$V$6:$V$406,0)+1,1),競技会設定!$AC$2:$AC$24,0),1)),"")</f>
        <v/>
      </c>
      <c r="S13" s="1" t="str">
        <f>IF(R13=14,リレーエントリー!$I$12,_xlfn.IFNA(INDEX(男子エントリー!$J$7:$AH$406,MATCH($G13&amp;RIGHT(T$1,1),男子エントリー!$AH$7:$AH$406,0),3),""))</f>
        <v/>
      </c>
      <c r="T13" s="1" t="str">
        <f t="shared" si="14"/>
        <v/>
      </c>
      <c r="U13" s="1" t="str">
        <f t="shared" si="17"/>
        <v/>
      </c>
      <c r="V13" s="1" t="str">
        <f t="shared" si="16"/>
        <v/>
      </c>
      <c r="W13" s="1" t="str" cm="1">
        <f t="array" ref="W13">_xlfn.IFNA(_xlfn.IFNA(INDEX(競技会設定!$X$2:$AC$24,MATCH(INDEX(男子エントリー!$J$7:$AH$406,MATCH($G13&amp;RIGHT(W$1,1),男子エントリー!$AH$7:$AH$406,0),1),競技会設定!$AC$2:$AC$24,0),1),INDEX(競技会設定!$X$2:$AC$24,MATCH(INDEX(男子エントリー!$R$6:$V$406,MATCH($G13&amp;RIGHT(W$1,1),男子エントリー!$V$6:$V$406,0)-MATCH($G13&amp;RIGHT(W$1,1),男子エントリー!$V$6:$V$406,0)+1,1),競技会設定!$AC$2:$AC$24,0),1)),"")</f>
        <v/>
      </c>
      <c r="X13" s="1" t="str">
        <f>IF(W13=14,リレーエントリー!$I$12,_xlfn.IFNA(INDEX(男子エントリー!$J$7:$AH$406,MATCH($G13&amp;RIGHT(Y$1,1),男子エントリー!$AH$7:$AH$406,0),3),""))</f>
        <v/>
      </c>
      <c r="Y13" s="1" t="str">
        <f t="shared" si="0"/>
        <v/>
      </c>
      <c r="Z13" s="1" t="str">
        <f t="shared" si="1"/>
        <v/>
      </c>
      <c r="AA13" s="1" t="str">
        <f t="shared" si="2"/>
        <v/>
      </c>
      <c r="AB13" s="1" t="str" cm="1">
        <f t="array" ref="AB13">_xlfn.IFNA(_xlfn.IFNA(INDEX(競技会設定!$X$2:$AC$24,MATCH(INDEX(男子エントリー!$J$7:$AH$406,MATCH($G13&amp;RIGHT(AB$1,1),男子エントリー!$AH$7:$AH$406,0),1),競技会設定!$AC$2:$AC$24,0),1),INDEX(競技会設定!$X$2:$AC$24,MATCH(INDEX(男子エントリー!$R$6:$V$406,MATCH($G13&amp;RIGHT(AB$1,1),男子エントリー!$V$6:$V$406,0)-MATCH($G13&amp;RIGHT(AB$1,1),男子エントリー!$V$6:$V$406,0)+1,1),競技会設定!$AC$2:$AC$24,0),1)),"")</f>
        <v/>
      </c>
      <c r="AC13" s="1" t="str">
        <f>IF(AB13=14,リレーエントリー!$I$12,_xlfn.IFNA(INDEX(男子エントリー!$J$7:$AH$406,MATCH($G13&amp;RIGHT(AD$1,1),男子エントリー!$AH$7:$AH$406,0),3),""))</f>
        <v/>
      </c>
      <c r="AD13" s="1" t="str">
        <f t="shared" si="3"/>
        <v/>
      </c>
      <c r="AE13" s="1" t="str">
        <f t="shared" si="4"/>
        <v/>
      </c>
      <c r="AF13" s="1" t="str">
        <f t="shared" si="5"/>
        <v/>
      </c>
      <c r="AG13" s="1" t="str" cm="1">
        <f t="array" ref="AG13">_xlfn.IFNA(_xlfn.IFNA(INDEX(競技会設定!$X$2:$AC$24,MATCH(INDEX(男子エントリー!$J$7:$AH$406,MATCH($G13&amp;RIGHT(AG$1,1),男子エントリー!$AH$7:$AH$406,0),1),競技会設定!$AC$2:$AC$24,0),1),INDEX(競技会設定!$X$2:$AC$24,MATCH(INDEX(男子エントリー!$R$6:$V$406,MATCH($G13&amp;RIGHT(AG$1,1),男子エントリー!$V$6:$V$406,0)-MATCH($G13&amp;RIGHT(AG$1,1),男子エントリー!$V$6:$V$406,0)+1,1),競技会設定!$AC$2:$AC$24,0),1)),"")</f>
        <v/>
      </c>
      <c r="AH13" s="1" t="str">
        <f>IF(AG13=14,リレーエントリー!$I$12,_xlfn.IFNA(INDEX(男子エントリー!$J$7:$AH$406,MATCH($G13&amp;RIGHT(AI$1,1),男子エントリー!$AH$7:$AH$406,0),3),""))</f>
        <v/>
      </c>
      <c r="AI13" s="1" t="str">
        <f t="shared" si="6"/>
        <v/>
      </c>
      <c r="AJ13" s="1" t="str">
        <f t="shared" si="7"/>
        <v/>
      </c>
      <c r="AK13" s="1" t="str">
        <f t="shared" si="8"/>
        <v/>
      </c>
      <c r="AL13" s="1" t="str" cm="1">
        <f t="array" ref="AL13">_xlfn.IFNA(_xlfn.IFNA(INDEX(競技会設定!$X$2:$AC$24,MATCH(INDEX(男子エントリー!$J$7:$AH$406,MATCH($G13&amp;RIGHT(AL$1,1),男子エントリー!$AH$7:$AH$406,0),1),競技会設定!$AC$2:$AC$24,0),1),INDEX(競技会設定!$X$2:$AC$24,MATCH(INDEX(男子エントリー!$R$6:$V$406,MATCH($G13&amp;RIGHT(AL$1,1),男子エントリー!$V$6:$V$406,0)-MATCH($G13&amp;RIGHT(AL$1,1),男子エントリー!$V$6:$V$406,0)+1,1),競技会設定!$AC$2:$AC$24,0),1)),"")</f>
        <v/>
      </c>
      <c r="AM13" s="1" t="str">
        <f>IF(AL13=14,リレーエントリー!$I$12,_xlfn.IFNA(INDEX(男子エントリー!$J$7:$AH$406,MATCH($G13&amp;RIGHT(AN$1,1),男子エントリー!$AH$7:$AH$406,0),3),""))</f>
        <v/>
      </c>
      <c r="AN13" s="1" t="str">
        <f t="shared" si="9"/>
        <v/>
      </c>
      <c r="AO13" s="1" t="str">
        <f t="shared" si="10"/>
        <v/>
      </c>
      <c r="AP13" s="1" t="str">
        <f t="shared" si="11"/>
        <v/>
      </c>
    </row>
    <row r="14" spans="1:42">
      <c r="A14" s="1">
        <v>13</v>
      </c>
      <c r="B14" s="92" t="str">
        <f>男子エントリー!D55</f>
        <v/>
      </c>
      <c r="C14" s="1" t="str">
        <f>基本情報!$E$6</f>
        <v/>
      </c>
      <c r="D14" s="1" t="str">
        <f>基本情報!$E$7</f>
        <v/>
      </c>
      <c r="F14" s="92">
        <f>男子エントリー!C55</f>
        <v>0</v>
      </c>
      <c r="G14" s="92" t="str">
        <f>男子エントリー!E55</f>
        <v/>
      </c>
      <c r="H14" s="92" t="str">
        <f>男子エントリー!F55</f>
        <v/>
      </c>
      <c r="I14" s="1" t="str">
        <f t="shared" si="12"/>
        <v/>
      </c>
      <c r="J14" s="1" t="e">
        <f>LEFT(男子エントリー!E57,FIND(",",LEFT(男子エントリー!E57,LEN(男子エントリー!E57)-5))-1)&amp;LEFT(RIGHT(男子エントリー!E57,LEN(男子エントリー!E57)-FIND(",",男子エントリー!E57)),LEN(RIGHT(男子エントリー!E57,LEN(男子エントリー!E57)-FIND(",",男子エントリー!E57)))-5)</f>
        <v>#VALUE!</v>
      </c>
      <c r="K14" s="1" t="str">
        <f>男子エントリー!G57</f>
        <v/>
      </c>
      <c r="L14" s="1" t="str">
        <f t="shared" si="13"/>
        <v/>
      </c>
      <c r="M14" s="92" t="str">
        <f>男子エントリー!G55</f>
        <v/>
      </c>
      <c r="N14" s="92" t="e">
        <f>MID(男子エントリー!E57,FIND("(",男子エントリー!E57)+1,2)</f>
        <v>#VALUE!</v>
      </c>
      <c r="O14" s="1">
        <v>0</v>
      </c>
      <c r="P14" s="92" t="e">
        <f>VLOOKUP(男子エントリー!G56,競技会設定!$F$3:$I$50,2,0)</f>
        <v>#N/A</v>
      </c>
      <c r="R14" s="1" t="str" cm="1">
        <f t="array" ref="R14">_xlfn.IFNA(_xlfn.IFNA(INDEX(競技会設定!$X$2:$AC$24,MATCH(INDEX(男子エントリー!$J$7:$AH$406,MATCH($G14&amp;RIGHT(R$1,1),男子エントリー!$AH$7:$AH$406,0),1),競技会設定!$AC$2:$AC$24,0),1),INDEX(競技会設定!$X$2:$AC$24,MATCH(INDEX(男子エントリー!$R$6:$V$406,MATCH($G14&amp;RIGHT(R$1,1),男子エントリー!$V$6:$V$406,0)-MATCH($G14&amp;RIGHT(R$1,1),男子エントリー!$V$6:$V$406,0)+1,1),競技会設定!$AC$2:$AC$24,0),1)),"")</f>
        <v/>
      </c>
      <c r="S14" s="1" t="str">
        <f>IF(R14=14,リレーエントリー!$I$12,_xlfn.IFNA(INDEX(男子エントリー!$J$7:$AH$406,MATCH($G14&amp;RIGHT(T$1,1),男子エントリー!$AH$7:$AH$406,0),3),""))</f>
        <v/>
      </c>
      <c r="T14" s="1" t="str">
        <f t="shared" si="14"/>
        <v/>
      </c>
      <c r="U14" s="1" t="str">
        <f t="shared" si="17"/>
        <v/>
      </c>
      <c r="V14" s="1" t="str">
        <f t="shared" si="16"/>
        <v/>
      </c>
      <c r="W14" s="1" t="str" cm="1">
        <f t="array" ref="W14">_xlfn.IFNA(_xlfn.IFNA(INDEX(競技会設定!$X$2:$AC$24,MATCH(INDEX(男子エントリー!$J$7:$AH$406,MATCH($G14&amp;RIGHT(W$1,1),男子エントリー!$AH$7:$AH$406,0),1),競技会設定!$AC$2:$AC$24,0),1),INDEX(競技会設定!$X$2:$AC$24,MATCH(INDEX(男子エントリー!$R$6:$V$406,MATCH($G14&amp;RIGHT(W$1,1),男子エントリー!$V$6:$V$406,0)-MATCH($G14&amp;RIGHT(W$1,1),男子エントリー!$V$6:$V$406,0)+1,1),競技会設定!$AC$2:$AC$24,0),1)),"")</f>
        <v/>
      </c>
      <c r="X14" s="1" t="str">
        <f>IF(W14=14,リレーエントリー!$I$12,_xlfn.IFNA(INDEX(男子エントリー!$J$7:$AH$406,MATCH($G14&amp;RIGHT(Y$1,1),男子エントリー!$AH$7:$AH$406,0),3),""))</f>
        <v/>
      </c>
      <c r="Y14" s="1" t="str">
        <f t="shared" si="0"/>
        <v/>
      </c>
      <c r="Z14" s="1" t="str">
        <f t="shared" si="1"/>
        <v/>
      </c>
      <c r="AA14" s="1" t="str">
        <f t="shared" si="2"/>
        <v/>
      </c>
      <c r="AB14" s="1" t="str" cm="1">
        <f t="array" ref="AB14">_xlfn.IFNA(_xlfn.IFNA(INDEX(競技会設定!$X$2:$AC$24,MATCH(INDEX(男子エントリー!$J$7:$AH$406,MATCH($G14&amp;RIGHT(AB$1,1),男子エントリー!$AH$7:$AH$406,0),1),競技会設定!$AC$2:$AC$24,0),1),INDEX(競技会設定!$X$2:$AC$24,MATCH(INDEX(男子エントリー!$R$6:$V$406,MATCH($G14&amp;RIGHT(AB$1,1),男子エントリー!$V$6:$V$406,0)-MATCH($G14&amp;RIGHT(AB$1,1),男子エントリー!$V$6:$V$406,0)+1,1),競技会設定!$AC$2:$AC$24,0),1)),"")</f>
        <v/>
      </c>
      <c r="AC14" s="1" t="str">
        <f>IF(AB14=14,リレーエントリー!$I$12,_xlfn.IFNA(INDEX(男子エントリー!$J$7:$AH$406,MATCH($G14&amp;RIGHT(AD$1,1),男子エントリー!$AH$7:$AH$406,0),3),""))</f>
        <v/>
      </c>
      <c r="AD14" s="1" t="str">
        <f t="shared" si="3"/>
        <v/>
      </c>
      <c r="AE14" s="1" t="str">
        <f t="shared" si="4"/>
        <v/>
      </c>
      <c r="AF14" s="1" t="str">
        <f t="shared" si="5"/>
        <v/>
      </c>
      <c r="AG14" s="1" t="str" cm="1">
        <f t="array" ref="AG14">_xlfn.IFNA(_xlfn.IFNA(INDEX(競技会設定!$X$2:$AC$24,MATCH(INDEX(男子エントリー!$J$7:$AH$406,MATCH($G14&amp;RIGHT(AG$1,1),男子エントリー!$AH$7:$AH$406,0),1),競技会設定!$AC$2:$AC$24,0),1),INDEX(競技会設定!$X$2:$AC$24,MATCH(INDEX(男子エントリー!$R$6:$V$406,MATCH($G14&amp;RIGHT(AG$1,1),男子エントリー!$V$6:$V$406,0)-MATCH($G14&amp;RIGHT(AG$1,1),男子エントリー!$V$6:$V$406,0)+1,1),競技会設定!$AC$2:$AC$24,0),1)),"")</f>
        <v/>
      </c>
      <c r="AH14" s="1" t="str">
        <f>IF(AG14=14,リレーエントリー!$I$12,_xlfn.IFNA(INDEX(男子エントリー!$J$7:$AH$406,MATCH($G14&amp;RIGHT(AI$1,1),男子エントリー!$AH$7:$AH$406,0),3),""))</f>
        <v/>
      </c>
      <c r="AI14" s="1" t="str">
        <f t="shared" si="6"/>
        <v/>
      </c>
      <c r="AJ14" s="1" t="str">
        <f t="shared" si="7"/>
        <v/>
      </c>
      <c r="AK14" s="1" t="str">
        <f t="shared" si="8"/>
        <v/>
      </c>
      <c r="AL14" s="1" t="str" cm="1">
        <f t="array" ref="AL14">_xlfn.IFNA(_xlfn.IFNA(INDEX(競技会設定!$X$2:$AC$24,MATCH(INDEX(男子エントリー!$J$7:$AH$406,MATCH($G14&amp;RIGHT(AL$1,1),男子エントリー!$AH$7:$AH$406,0),1),競技会設定!$AC$2:$AC$24,0),1),INDEX(競技会設定!$X$2:$AC$24,MATCH(INDEX(男子エントリー!$R$6:$V$406,MATCH($G14&amp;RIGHT(AL$1,1),男子エントリー!$V$6:$V$406,0)-MATCH($G14&amp;RIGHT(AL$1,1),男子エントリー!$V$6:$V$406,0)+1,1),競技会設定!$AC$2:$AC$24,0),1)),"")</f>
        <v/>
      </c>
      <c r="AM14" s="1" t="str">
        <f>IF(AL14=14,リレーエントリー!$I$12,_xlfn.IFNA(INDEX(男子エントリー!$J$7:$AH$406,MATCH($G14&amp;RIGHT(AN$1,1),男子エントリー!$AH$7:$AH$406,0),3),""))</f>
        <v/>
      </c>
      <c r="AN14" s="1" t="str">
        <f t="shared" si="9"/>
        <v/>
      </c>
      <c r="AO14" s="1" t="str">
        <f t="shared" si="10"/>
        <v/>
      </c>
      <c r="AP14" s="1" t="str">
        <f t="shared" si="11"/>
        <v/>
      </c>
    </row>
    <row r="15" spans="1:42">
      <c r="A15" s="1">
        <v>14</v>
      </c>
      <c r="B15" s="92" t="str">
        <f>男子エントリー!D59</f>
        <v/>
      </c>
      <c r="C15" s="1" t="str">
        <f>基本情報!$E$6</f>
        <v/>
      </c>
      <c r="D15" s="1" t="str">
        <f>基本情報!$E$7</f>
        <v/>
      </c>
      <c r="F15" s="92">
        <f>男子エントリー!C59</f>
        <v>0</v>
      </c>
      <c r="G15" s="92" t="str">
        <f>男子エントリー!E59</f>
        <v/>
      </c>
      <c r="H15" s="92" t="str">
        <f>男子エントリー!F59</f>
        <v/>
      </c>
      <c r="I15" s="1" t="str">
        <f t="shared" si="12"/>
        <v/>
      </c>
      <c r="J15" s="1" t="e">
        <f>LEFT(男子エントリー!E61,FIND(",",LEFT(男子エントリー!E61,LEN(男子エントリー!E61)-5))-1)&amp;LEFT(RIGHT(男子エントリー!E61,LEN(男子エントリー!E61)-FIND(",",男子エントリー!E61)),LEN(RIGHT(男子エントリー!E61,LEN(男子エントリー!E61)-FIND(",",男子エントリー!E61)))-5)</f>
        <v>#VALUE!</v>
      </c>
      <c r="K15" s="1" t="str">
        <f>男子エントリー!G61</f>
        <v/>
      </c>
      <c r="L15" s="1" t="str">
        <f t="shared" si="13"/>
        <v/>
      </c>
      <c r="M15" s="92" t="str">
        <f>男子エントリー!G59</f>
        <v/>
      </c>
      <c r="N15" s="92" t="e">
        <f>MID(男子エントリー!E61,FIND("(",男子エントリー!E61)+1,2)</f>
        <v>#VALUE!</v>
      </c>
      <c r="O15" s="1">
        <v>0</v>
      </c>
      <c r="P15" s="92" t="e">
        <f>VLOOKUP(男子エントリー!G60,競技会設定!$F$3:$I$50,2,0)</f>
        <v>#N/A</v>
      </c>
      <c r="R15" s="1" t="str" cm="1">
        <f t="array" ref="R15">_xlfn.IFNA(_xlfn.IFNA(INDEX(競技会設定!$X$2:$AC$24,MATCH(INDEX(男子エントリー!$J$7:$AH$406,MATCH($G15&amp;RIGHT(R$1,1),男子エントリー!$AH$7:$AH$406,0),1),競技会設定!$AC$2:$AC$24,0),1),INDEX(競技会設定!$X$2:$AC$24,MATCH(INDEX(男子エントリー!$R$6:$V$406,MATCH($G15&amp;RIGHT(R$1,1),男子エントリー!$V$6:$V$406,0)-MATCH($G15&amp;RIGHT(R$1,1),男子エントリー!$V$6:$V$406,0)+1,1),競技会設定!$AC$2:$AC$24,0),1)),"")</f>
        <v/>
      </c>
      <c r="S15" s="1" t="str">
        <f>IF(R15=14,リレーエントリー!$I$12,_xlfn.IFNA(INDEX(男子エントリー!$J$7:$AH$406,MATCH($G15&amp;RIGHT(T$1,1),男子エントリー!$AH$7:$AH$406,0),3),""))</f>
        <v/>
      </c>
      <c r="T15" s="1" t="str">
        <f t="shared" si="14"/>
        <v/>
      </c>
      <c r="U15" s="1" t="str">
        <f t="shared" si="17"/>
        <v/>
      </c>
      <c r="V15" s="1" t="str">
        <f t="shared" si="16"/>
        <v/>
      </c>
      <c r="W15" s="1" t="str" cm="1">
        <f t="array" ref="W15">_xlfn.IFNA(_xlfn.IFNA(INDEX(競技会設定!$X$2:$AC$24,MATCH(INDEX(男子エントリー!$J$7:$AH$406,MATCH($G15&amp;RIGHT(W$1,1),男子エントリー!$AH$7:$AH$406,0),1),競技会設定!$AC$2:$AC$24,0),1),INDEX(競技会設定!$X$2:$AC$24,MATCH(INDEX(男子エントリー!$R$6:$V$406,MATCH($G15&amp;RIGHT(W$1,1),男子エントリー!$V$6:$V$406,0)-MATCH($G15&amp;RIGHT(W$1,1),男子エントリー!$V$6:$V$406,0)+1,1),競技会設定!$AC$2:$AC$24,0),1)),"")</f>
        <v/>
      </c>
      <c r="X15" s="1" t="str">
        <f>IF(W15=14,リレーエントリー!$I$12,_xlfn.IFNA(INDEX(男子エントリー!$J$7:$AH$406,MATCH($G15&amp;RIGHT(Y$1,1),男子エントリー!$AH$7:$AH$406,0),3),""))</f>
        <v/>
      </c>
      <c r="Y15" s="1" t="str">
        <f t="shared" si="0"/>
        <v/>
      </c>
      <c r="Z15" s="1" t="str">
        <f t="shared" si="1"/>
        <v/>
      </c>
      <c r="AA15" s="1" t="str">
        <f t="shared" si="2"/>
        <v/>
      </c>
      <c r="AB15" s="1" t="str" cm="1">
        <f t="array" ref="AB15">_xlfn.IFNA(_xlfn.IFNA(INDEX(競技会設定!$X$2:$AC$24,MATCH(INDEX(男子エントリー!$J$7:$AH$406,MATCH($G15&amp;RIGHT(AB$1,1),男子エントリー!$AH$7:$AH$406,0),1),競技会設定!$AC$2:$AC$24,0),1),INDEX(競技会設定!$X$2:$AC$24,MATCH(INDEX(男子エントリー!$R$6:$V$406,MATCH($G15&amp;RIGHT(AB$1,1),男子エントリー!$V$6:$V$406,0)-MATCH($G15&amp;RIGHT(AB$1,1),男子エントリー!$V$6:$V$406,0)+1,1),競技会設定!$AC$2:$AC$24,0),1)),"")</f>
        <v/>
      </c>
      <c r="AC15" s="1" t="str">
        <f>IF(AB15=14,リレーエントリー!$I$12,_xlfn.IFNA(INDEX(男子エントリー!$J$7:$AH$406,MATCH($G15&amp;RIGHT(AD$1,1),男子エントリー!$AH$7:$AH$406,0),3),""))</f>
        <v/>
      </c>
      <c r="AD15" s="1" t="str">
        <f t="shared" si="3"/>
        <v/>
      </c>
      <c r="AE15" s="1" t="str">
        <f t="shared" si="4"/>
        <v/>
      </c>
      <c r="AF15" s="1" t="str">
        <f t="shared" si="5"/>
        <v/>
      </c>
      <c r="AG15" s="1" t="str" cm="1">
        <f t="array" ref="AG15">_xlfn.IFNA(_xlfn.IFNA(INDEX(競技会設定!$X$2:$AC$24,MATCH(INDEX(男子エントリー!$J$7:$AH$406,MATCH($G15&amp;RIGHT(AG$1,1),男子エントリー!$AH$7:$AH$406,0),1),競技会設定!$AC$2:$AC$24,0),1),INDEX(競技会設定!$X$2:$AC$24,MATCH(INDEX(男子エントリー!$R$6:$V$406,MATCH($G15&amp;RIGHT(AG$1,1),男子エントリー!$V$6:$V$406,0)-MATCH($G15&amp;RIGHT(AG$1,1),男子エントリー!$V$6:$V$406,0)+1,1),競技会設定!$AC$2:$AC$24,0),1)),"")</f>
        <v/>
      </c>
      <c r="AH15" s="1" t="str">
        <f>IF(AG15=14,リレーエントリー!$I$12,_xlfn.IFNA(INDEX(男子エントリー!$J$7:$AH$406,MATCH($G15&amp;RIGHT(AI$1,1),男子エントリー!$AH$7:$AH$406,0),3),""))</f>
        <v/>
      </c>
      <c r="AI15" s="1" t="str">
        <f t="shared" si="6"/>
        <v/>
      </c>
      <c r="AJ15" s="1" t="str">
        <f t="shared" si="7"/>
        <v/>
      </c>
      <c r="AK15" s="1" t="str">
        <f t="shared" si="8"/>
        <v/>
      </c>
      <c r="AL15" s="1" t="str" cm="1">
        <f t="array" ref="AL15">_xlfn.IFNA(_xlfn.IFNA(INDEX(競技会設定!$X$2:$AC$24,MATCH(INDEX(男子エントリー!$J$7:$AH$406,MATCH($G15&amp;RIGHT(AL$1,1),男子エントリー!$AH$7:$AH$406,0),1),競技会設定!$AC$2:$AC$24,0),1),INDEX(競技会設定!$X$2:$AC$24,MATCH(INDEX(男子エントリー!$R$6:$V$406,MATCH($G15&amp;RIGHT(AL$1,1),男子エントリー!$V$6:$V$406,0)-MATCH($G15&amp;RIGHT(AL$1,1),男子エントリー!$V$6:$V$406,0)+1,1),競技会設定!$AC$2:$AC$24,0),1)),"")</f>
        <v/>
      </c>
      <c r="AM15" s="1" t="str">
        <f>IF(AL15=14,リレーエントリー!$I$12,_xlfn.IFNA(INDEX(男子エントリー!$J$7:$AH$406,MATCH($G15&amp;RIGHT(AN$1,1),男子エントリー!$AH$7:$AH$406,0),3),""))</f>
        <v/>
      </c>
      <c r="AN15" s="1" t="str">
        <f t="shared" si="9"/>
        <v/>
      </c>
      <c r="AO15" s="1" t="str">
        <f t="shared" si="10"/>
        <v/>
      </c>
      <c r="AP15" s="1" t="str">
        <f t="shared" si="11"/>
        <v/>
      </c>
    </row>
    <row r="16" spans="1:42">
      <c r="A16" s="1">
        <v>15</v>
      </c>
      <c r="B16" s="92" t="str">
        <f>男子エントリー!D63</f>
        <v/>
      </c>
      <c r="C16" s="1" t="str">
        <f>基本情報!$E$6</f>
        <v/>
      </c>
      <c r="D16" s="1" t="str">
        <f>基本情報!$E$7</f>
        <v/>
      </c>
      <c r="F16" s="92">
        <f>男子エントリー!C63</f>
        <v>0</v>
      </c>
      <c r="G16" s="92" t="str">
        <f>男子エントリー!E63</f>
        <v/>
      </c>
      <c r="H16" s="92" t="str">
        <f>男子エントリー!F63</f>
        <v/>
      </c>
      <c r="I16" s="1" t="str">
        <f t="shared" si="12"/>
        <v/>
      </c>
      <c r="J16" s="1" t="e">
        <f>LEFT(男子エントリー!E65,FIND(",",LEFT(男子エントリー!E65,LEN(男子エントリー!E65)-5))-1)&amp;LEFT(RIGHT(男子エントリー!E65,LEN(男子エントリー!E65)-FIND(",",男子エントリー!E65)),LEN(RIGHT(男子エントリー!E65,LEN(男子エントリー!E65)-FIND(",",男子エントリー!E65)))-5)</f>
        <v>#VALUE!</v>
      </c>
      <c r="K16" s="1" t="str">
        <f>男子エントリー!G65</f>
        <v/>
      </c>
      <c r="L16" s="1" t="str">
        <f t="shared" si="13"/>
        <v/>
      </c>
      <c r="M16" s="92" t="str">
        <f>男子エントリー!G63</f>
        <v/>
      </c>
      <c r="N16" s="92" t="e">
        <f>MID(男子エントリー!E65,FIND("(",男子エントリー!E65)+1,2)</f>
        <v>#VALUE!</v>
      </c>
      <c r="O16" s="1">
        <v>0</v>
      </c>
      <c r="P16" s="92" t="e">
        <f>VLOOKUP(男子エントリー!G64,競技会設定!$F$3:$I$50,2,0)</f>
        <v>#N/A</v>
      </c>
      <c r="R16" s="1" t="str" cm="1">
        <f t="array" ref="R16">_xlfn.IFNA(_xlfn.IFNA(INDEX(競技会設定!$X$2:$AC$24,MATCH(INDEX(男子エントリー!$J$7:$AH$406,MATCH($G16&amp;RIGHT(R$1,1),男子エントリー!$AH$7:$AH$406,0),1),競技会設定!$AC$2:$AC$24,0),1),INDEX(競技会設定!$X$2:$AC$24,MATCH(INDEX(男子エントリー!$R$6:$V$406,MATCH($G16&amp;RIGHT(R$1,1),男子エントリー!$V$6:$V$406,0)-MATCH($G16&amp;RIGHT(R$1,1),男子エントリー!$V$6:$V$406,0)+1,1),競技会設定!$AC$2:$AC$24,0),1)),"")</f>
        <v/>
      </c>
      <c r="S16" s="1" t="str">
        <f>IF(R16=14,リレーエントリー!$I$12,_xlfn.IFNA(INDEX(男子エントリー!$J$7:$AH$406,MATCH($G16&amp;RIGHT(T$1,1),男子エントリー!$AH$7:$AH$406,0),3),""))</f>
        <v/>
      </c>
      <c r="T16" s="1" t="str">
        <f t="shared" si="14"/>
        <v/>
      </c>
      <c r="U16" s="1" t="str">
        <f t="shared" si="17"/>
        <v/>
      </c>
      <c r="V16" s="1" t="str">
        <f t="shared" si="16"/>
        <v/>
      </c>
      <c r="W16" s="1" t="str" cm="1">
        <f t="array" ref="W16">_xlfn.IFNA(_xlfn.IFNA(INDEX(競技会設定!$X$2:$AC$24,MATCH(INDEX(男子エントリー!$J$7:$AH$406,MATCH($G16&amp;RIGHT(W$1,1),男子エントリー!$AH$7:$AH$406,0),1),競技会設定!$AC$2:$AC$24,0),1),INDEX(競技会設定!$X$2:$AC$24,MATCH(INDEX(男子エントリー!$R$6:$V$406,MATCH($G16&amp;RIGHT(W$1,1),男子エントリー!$V$6:$V$406,0)-MATCH($G16&amp;RIGHT(W$1,1),男子エントリー!$V$6:$V$406,0)+1,1),競技会設定!$AC$2:$AC$24,0),1)),"")</f>
        <v/>
      </c>
      <c r="X16" s="1" t="str">
        <f>IF(W16=14,リレーエントリー!$I$12,_xlfn.IFNA(INDEX(男子エントリー!$J$7:$AH$406,MATCH($G16&amp;RIGHT(Y$1,1),男子エントリー!$AH$7:$AH$406,0),3),""))</f>
        <v/>
      </c>
      <c r="Y16" s="1" t="str">
        <f t="shared" si="0"/>
        <v/>
      </c>
      <c r="Z16" s="1" t="str">
        <f t="shared" si="1"/>
        <v/>
      </c>
      <c r="AA16" s="1" t="str">
        <f t="shared" si="2"/>
        <v/>
      </c>
      <c r="AB16" s="1" t="str" cm="1">
        <f t="array" ref="AB16">_xlfn.IFNA(_xlfn.IFNA(INDEX(競技会設定!$X$2:$AC$24,MATCH(INDEX(男子エントリー!$J$7:$AH$406,MATCH($G16&amp;RIGHT(AB$1,1),男子エントリー!$AH$7:$AH$406,0),1),競技会設定!$AC$2:$AC$24,0),1),INDEX(競技会設定!$X$2:$AC$24,MATCH(INDEX(男子エントリー!$R$6:$V$406,MATCH($G16&amp;RIGHT(AB$1,1),男子エントリー!$V$6:$V$406,0)-MATCH($G16&amp;RIGHT(AB$1,1),男子エントリー!$V$6:$V$406,0)+1,1),競技会設定!$AC$2:$AC$24,0),1)),"")</f>
        <v/>
      </c>
      <c r="AC16" s="1" t="str">
        <f>IF(AB16=14,リレーエントリー!$I$12,_xlfn.IFNA(INDEX(男子エントリー!$J$7:$AH$406,MATCH($G16&amp;RIGHT(AD$1,1),男子エントリー!$AH$7:$AH$406,0),3),""))</f>
        <v/>
      </c>
      <c r="AD16" s="1" t="str">
        <f t="shared" si="3"/>
        <v/>
      </c>
      <c r="AE16" s="1" t="str">
        <f t="shared" si="4"/>
        <v/>
      </c>
      <c r="AF16" s="1" t="str">
        <f t="shared" si="5"/>
        <v/>
      </c>
      <c r="AG16" s="1" t="str" cm="1">
        <f t="array" ref="AG16">_xlfn.IFNA(_xlfn.IFNA(INDEX(競技会設定!$X$2:$AC$24,MATCH(INDEX(男子エントリー!$J$7:$AH$406,MATCH($G16&amp;RIGHT(AG$1,1),男子エントリー!$AH$7:$AH$406,0),1),競技会設定!$AC$2:$AC$24,0),1),INDEX(競技会設定!$X$2:$AC$24,MATCH(INDEX(男子エントリー!$R$6:$V$406,MATCH($G16&amp;RIGHT(AG$1,1),男子エントリー!$V$6:$V$406,0)-MATCH($G16&amp;RIGHT(AG$1,1),男子エントリー!$V$6:$V$406,0)+1,1),競技会設定!$AC$2:$AC$24,0),1)),"")</f>
        <v/>
      </c>
      <c r="AH16" s="1" t="str">
        <f>IF(AG16=14,リレーエントリー!$I$12,_xlfn.IFNA(INDEX(男子エントリー!$J$7:$AH$406,MATCH($G16&amp;RIGHT(AI$1,1),男子エントリー!$AH$7:$AH$406,0),3),""))</f>
        <v/>
      </c>
      <c r="AI16" s="1" t="str">
        <f t="shared" si="6"/>
        <v/>
      </c>
      <c r="AJ16" s="1" t="str">
        <f t="shared" si="7"/>
        <v/>
      </c>
      <c r="AK16" s="1" t="str">
        <f t="shared" si="8"/>
        <v/>
      </c>
      <c r="AL16" s="1" t="str" cm="1">
        <f t="array" ref="AL16">_xlfn.IFNA(_xlfn.IFNA(INDEX(競技会設定!$X$2:$AC$24,MATCH(INDEX(男子エントリー!$J$7:$AH$406,MATCH($G16&amp;RIGHT(AL$1,1),男子エントリー!$AH$7:$AH$406,0),1),競技会設定!$AC$2:$AC$24,0),1),INDEX(競技会設定!$X$2:$AC$24,MATCH(INDEX(男子エントリー!$R$6:$V$406,MATCH($G16&amp;RIGHT(AL$1,1),男子エントリー!$V$6:$V$406,0)-MATCH($G16&amp;RIGHT(AL$1,1),男子エントリー!$V$6:$V$406,0)+1,1),競技会設定!$AC$2:$AC$24,0),1)),"")</f>
        <v/>
      </c>
      <c r="AM16" s="1" t="str">
        <f>IF(AL16=14,リレーエントリー!$I$12,_xlfn.IFNA(INDEX(男子エントリー!$J$7:$AH$406,MATCH($G16&amp;RIGHT(AN$1,1),男子エントリー!$AH$7:$AH$406,0),3),""))</f>
        <v/>
      </c>
      <c r="AN16" s="1" t="str">
        <f t="shared" si="9"/>
        <v/>
      </c>
      <c r="AO16" s="1" t="str">
        <f t="shared" si="10"/>
        <v/>
      </c>
      <c r="AP16" s="1" t="str">
        <f t="shared" si="11"/>
        <v/>
      </c>
    </row>
    <row r="17" spans="1:42">
      <c r="A17" s="1">
        <v>16</v>
      </c>
      <c r="B17" s="92" t="str">
        <f>男子エントリー!D67</f>
        <v/>
      </c>
      <c r="C17" s="1" t="str">
        <f>基本情報!$E$6</f>
        <v/>
      </c>
      <c r="D17" s="1" t="str">
        <f>基本情報!$E$7</f>
        <v/>
      </c>
      <c r="F17" s="92">
        <f>男子エントリー!C67</f>
        <v>0</v>
      </c>
      <c r="G17" s="92" t="str">
        <f>男子エントリー!E67</f>
        <v/>
      </c>
      <c r="H17" s="92" t="str">
        <f>男子エントリー!F67</f>
        <v/>
      </c>
      <c r="I17" s="1" t="str">
        <f t="shared" si="12"/>
        <v/>
      </c>
      <c r="J17" s="1" t="e">
        <f>LEFT(男子エントリー!E69,FIND(",",LEFT(男子エントリー!E69,LEN(男子エントリー!E69)-5))-1)&amp;LEFT(RIGHT(男子エントリー!E69,LEN(男子エントリー!E69)-FIND(",",男子エントリー!E69)),LEN(RIGHT(男子エントリー!E69,LEN(男子エントリー!E69)-FIND(",",男子エントリー!E69)))-5)</f>
        <v>#VALUE!</v>
      </c>
      <c r="K17" s="1" t="str">
        <f>男子エントリー!G69</f>
        <v/>
      </c>
      <c r="L17" s="1" t="str">
        <f t="shared" si="13"/>
        <v/>
      </c>
      <c r="M17" s="92" t="str">
        <f>男子エントリー!G67</f>
        <v/>
      </c>
      <c r="N17" s="92" t="e">
        <f>MID(男子エントリー!E69,FIND("(",男子エントリー!E69)+1,2)</f>
        <v>#VALUE!</v>
      </c>
      <c r="O17" s="1">
        <v>0</v>
      </c>
      <c r="P17" s="92" t="e">
        <f>VLOOKUP(男子エントリー!G68,競技会設定!$F$3:$I$50,2,0)</f>
        <v>#N/A</v>
      </c>
      <c r="R17" s="1" t="str" cm="1">
        <f t="array" ref="R17">_xlfn.IFNA(_xlfn.IFNA(INDEX(競技会設定!$X$2:$AC$24,MATCH(INDEX(男子エントリー!$J$7:$AH$406,MATCH($G17&amp;RIGHT(R$1,1),男子エントリー!$AH$7:$AH$406,0),1),競技会設定!$AC$2:$AC$24,0),1),INDEX(競技会設定!$X$2:$AC$24,MATCH(INDEX(男子エントリー!$R$6:$V$406,MATCH($G17&amp;RIGHT(R$1,1),男子エントリー!$V$6:$V$406,0)-MATCH($G17&amp;RIGHT(R$1,1),男子エントリー!$V$6:$V$406,0)+1,1),競技会設定!$AC$2:$AC$24,0),1)),"")</f>
        <v/>
      </c>
      <c r="S17" s="1" t="str">
        <f>IF(R17=14,リレーエントリー!$I$12,_xlfn.IFNA(INDEX(男子エントリー!$J$7:$AH$406,MATCH($G17&amp;RIGHT(T$1,1),男子エントリー!$AH$7:$AH$406,0),3),""))</f>
        <v/>
      </c>
      <c r="T17" s="1" t="str">
        <f t="shared" si="14"/>
        <v/>
      </c>
      <c r="U17" s="1" t="str">
        <f t="shared" si="17"/>
        <v/>
      </c>
      <c r="V17" s="1" t="str">
        <f t="shared" si="16"/>
        <v/>
      </c>
      <c r="W17" s="1" t="str" cm="1">
        <f t="array" ref="W17">_xlfn.IFNA(_xlfn.IFNA(INDEX(競技会設定!$X$2:$AC$24,MATCH(INDEX(男子エントリー!$J$7:$AH$406,MATCH($G17&amp;RIGHT(W$1,1),男子エントリー!$AH$7:$AH$406,0),1),競技会設定!$AC$2:$AC$24,0),1),INDEX(競技会設定!$X$2:$AC$24,MATCH(INDEX(男子エントリー!$R$6:$V$406,MATCH($G17&amp;RIGHT(W$1,1),男子エントリー!$V$6:$V$406,0)-MATCH($G17&amp;RIGHT(W$1,1),男子エントリー!$V$6:$V$406,0)+1,1),競技会設定!$AC$2:$AC$24,0),1)),"")</f>
        <v/>
      </c>
      <c r="X17" s="1" t="str">
        <f>IF(W17=14,リレーエントリー!$I$12,_xlfn.IFNA(INDEX(男子エントリー!$J$7:$AH$406,MATCH($G17&amp;RIGHT(Y$1,1),男子エントリー!$AH$7:$AH$406,0),3),""))</f>
        <v/>
      </c>
      <c r="Y17" s="1" t="str">
        <f t="shared" si="0"/>
        <v/>
      </c>
      <c r="Z17" s="1" t="str">
        <f t="shared" si="1"/>
        <v/>
      </c>
      <c r="AA17" s="1" t="str">
        <f t="shared" si="2"/>
        <v/>
      </c>
      <c r="AB17" s="1" t="str" cm="1">
        <f t="array" ref="AB17">_xlfn.IFNA(_xlfn.IFNA(INDEX(競技会設定!$X$2:$AC$24,MATCH(INDEX(男子エントリー!$J$7:$AH$406,MATCH($G17&amp;RIGHT(AB$1,1),男子エントリー!$AH$7:$AH$406,0),1),競技会設定!$AC$2:$AC$24,0),1),INDEX(競技会設定!$X$2:$AC$24,MATCH(INDEX(男子エントリー!$R$6:$V$406,MATCH($G17&amp;RIGHT(AB$1,1),男子エントリー!$V$6:$V$406,0)-MATCH($G17&amp;RIGHT(AB$1,1),男子エントリー!$V$6:$V$406,0)+1,1),競技会設定!$AC$2:$AC$24,0),1)),"")</f>
        <v/>
      </c>
      <c r="AC17" s="1" t="str">
        <f>IF(AB17=14,リレーエントリー!$I$12,_xlfn.IFNA(INDEX(男子エントリー!$J$7:$AH$406,MATCH($G17&amp;RIGHT(AD$1,1),男子エントリー!$AH$7:$AH$406,0),3),""))</f>
        <v/>
      </c>
      <c r="AD17" s="1" t="str">
        <f t="shared" si="3"/>
        <v/>
      </c>
      <c r="AE17" s="1" t="str">
        <f t="shared" si="4"/>
        <v/>
      </c>
      <c r="AF17" s="1" t="str">
        <f t="shared" si="5"/>
        <v/>
      </c>
      <c r="AG17" s="1" t="str" cm="1">
        <f t="array" ref="AG17">_xlfn.IFNA(_xlfn.IFNA(INDEX(競技会設定!$X$2:$AC$24,MATCH(INDEX(男子エントリー!$J$7:$AH$406,MATCH($G17&amp;RIGHT(AG$1,1),男子エントリー!$AH$7:$AH$406,0),1),競技会設定!$AC$2:$AC$24,0),1),INDEX(競技会設定!$X$2:$AC$24,MATCH(INDEX(男子エントリー!$R$6:$V$406,MATCH($G17&amp;RIGHT(AG$1,1),男子エントリー!$V$6:$V$406,0)-MATCH($G17&amp;RIGHT(AG$1,1),男子エントリー!$V$6:$V$406,0)+1,1),競技会設定!$AC$2:$AC$24,0),1)),"")</f>
        <v/>
      </c>
      <c r="AH17" s="1" t="str">
        <f>IF(AG17=14,リレーエントリー!$I$12,_xlfn.IFNA(INDEX(男子エントリー!$J$7:$AH$406,MATCH($G17&amp;RIGHT(AI$1,1),男子エントリー!$AH$7:$AH$406,0),3),""))</f>
        <v/>
      </c>
      <c r="AI17" s="1" t="str">
        <f t="shared" si="6"/>
        <v/>
      </c>
      <c r="AJ17" s="1" t="str">
        <f t="shared" si="7"/>
        <v/>
      </c>
      <c r="AK17" s="1" t="str">
        <f t="shared" si="8"/>
        <v/>
      </c>
      <c r="AL17" s="1" t="str" cm="1">
        <f t="array" ref="AL17">_xlfn.IFNA(_xlfn.IFNA(INDEX(競技会設定!$X$2:$AC$24,MATCH(INDEX(男子エントリー!$J$7:$AH$406,MATCH($G17&amp;RIGHT(AL$1,1),男子エントリー!$AH$7:$AH$406,0),1),競技会設定!$AC$2:$AC$24,0),1),INDEX(競技会設定!$X$2:$AC$24,MATCH(INDEX(男子エントリー!$R$6:$V$406,MATCH($G17&amp;RIGHT(AL$1,1),男子エントリー!$V$6:$V$406,0)-MATCH($G17&amp;RIGHT(AL$1,1),男子エントリー!$V$6:$V$406,0)+1,1),競技会設定!$AC$2:$AC$24,0),1)),"")</f>
        <v/>
      </c>
      <c r="AM17" s="1" t="str">
        <f>IF(AL17=14,リレーエントリー!$I$12,_xlfn.IFNA(INDEX(男子エントリー!$J$7:$AH$406,MATCH($G17&amp;RIGHT(AN$1,1),男子エントリー!$AH$7:$AH$406,0),3),""))</f>
        <v/>
      </c>
      <c r="AN17" s="1" t="str">
        <f t="shared" si="9"/>
        <v/>
      </c>
      <c r="AO17" s="1" t="str">
        <f t="shared" si="10"/>
        <v/>
      </c>
      <c r="AP17" s="1" t="str">
        <f t="shared" si="11"/>
        <v/>
      </c>
    </row>
    <row r="18" spans="1:42">
      <c r="A18" s="1">
        <v>17</v>
      </c>
      <c r="B18" s="92" t="str">
        <f>男子エントリー!D71</f>
        <v/>
      </c>
      <c r="C18" s="1" t="str">
        <f>基本情報!$E$6</f>
        <v/>
      </c>
      <c r="D18" s="1" t="str">
        <f>基本情報!$E$7</f>
        <v/>
      </c>
      <c r="F18" s="92">
        <f>男子エントリー!C71</f>
        <v>0</v>
      </c>
      <c r="G18" s="92" t="str">
        <f>男子エントリー!E71</f>
        <v/>
      </c>
      <c r="H18" s="92" t="str">
        <f>男子エントリー!F71</f>
        <v/>
      </c>
      <c r="I18" s="1" t="str">
        <f t="shared" si="12"/>
        <v/>
      </c>
      <c r="J18" s="1" t="e">
        <f>LEFT(男子エントリー!E73,FIND(",",LEFT(男子エントリー!E73,LEN(男子エントリー!E73)-5))-1)&amp;LEFT(RIGHT(男子エントリー!E73,LEN(男子エントリー!E73)-FIND(",",男子エントリー!E73)),LEN(RIGHT(男子エントリー!E73,LEN(男子エントリー!E73)-FIND(",",男子エントリー!E73)))-5)</f>
        <v>#VALUE!</v>
      </c>
      <c r="K18" s="1" t="str">
        <f>男子エントリー!G73</f>
        <v/>
      </c>
      <c r="L18" s="1" t="str">
        <f t="shared" si="13"/>
        <v/>
      </c>
      <c r="M18" s="92" t="str">
        <f>男子エントリー!G71</f>
        <v/>
      </c>
      <c r="N18" s="92" t="e">
        <f>MID(男子エントリー!E73,FIND("(",男子エントリー!E73)+1,2)</f>
        <v>#VALUE!</v>
      </c>
      <c r="O18" s="1">
        <v>0</v>
      </c>
      <c r="P18" s="92" t="e">
        <f>VLOOKUP(男子エントリー!G72,競技会設定!$F$3:$I$50,2,0)</f>
        <v>#N/A</v>
      </c>
      <c r="R18" s="1" t="str" cm="1">
        <f t="array" ref="R18">_xlfn.IFNA(_xlfn.IFNA(INDEX(競技会設定!$X$2:$AC$24,MATCH(INDEX(男子エントリー!$J$7:$AH$406,MATCH($G18&amp;RIGHT(R$1,1),男子エントリー!$AH$7:$AH$406,0),1),競技会設定!$AC$2:$AC$24,0),1),INDEX(競技会設定!$X$2:$AC$24,MATCH(INDEX(男子エントリー!$R$6:$V$406,MATCH($G18&amp;RIGHT(R$1,1),男子エントリー!$V$6:$V$406,0)-MATCH($G18&amp;RIGHT(R$1,1),男子エントリー!$V$6:$V$406,0)+1,1),競技会設定!$AC$2:$AC$24,0),1)),"")</f>
        <v/>
      </c>
      <c r="S18" s="1" t="str">
        <f>IF(R18=14,リレーエントリー!$I$12,_xlfn.IFNA(INDEX(男子エントリー!$J$7:$AH$406,MATCH($G18&amp;RIGHT(T$1,1),男子エントリー!$AH$7:$AH$406,0),3),""))</f>
        <v/>
      </c>
      <c r="T18" s="1" t="str">
        <f t="shared" si="14"/>
        <v/>
      </c>
      <c r="U18" s="1" t="str">
        <f t="shared" si="17"/>
        <v/>
      </c>
      <c r="V18" s="1" t="str">
        <f t="shared" si="16"/>
        <v/>
      </c>
      <c r="W18" s="1" t="str" cm="1">
        <f t="array" ref="W18">_xlfn.IFNA(_xlfn.IFNA(INDEX(競技会設定!$X$2:$AC$24,MATCH(INDEX(男子エントリー!$J$7:$AH$406,MATCH($G18&amp;RIGHT(W$1,1),男子エントリー!$AH$7:$AH$406,0),1),競技会設定!$AC$2:$AC$24,0),1),INDEX(競技会設定!$X$2:$AC$24,MATCH(INDEX(男子エントリー!$R$6:$V$406,MATCH($G18&amp;RIGHT(W$1,1),男子エントリー!$V$6:$V$406,0)-MATCH($G18&amp;RIGHT(W$1,1),男子エントリー!$V$6:$V$406,0)+1,1),競技会設定!$AC$2:$AC$24,0),1)),"")</f>
        <v/>
      </c>
      <c r="X18" s="1" t="str">
        <f>IF(W18=14,リレーエントリー!$I$12,_xlfn.IFNA(INDEX(男子エントリー!$J$7:$AH$406,MATCH($G18&amp;RIGHT(Y$1,1),男子エントリー!$AH$7:$AH$406,0),3),""))</f>
        <v/>
      </c>
      <c r="Y18" s="1" t="str">
        <f t="shared" si="0"/>
        <v/>
      </c>
      <c r="Z18" s="1" t="str">
        <f t="shared" si="1"/>
        <v/>
      </c>
      <c r="AA18" s="1" t="str">
        <f t="shared" si="2"/>
        <v/>
      </c>
      <c r="AB18" s="1" t="str" cm="1">
        <f t="array" ref="AB18">_xlfn.IFNA(_xlfn.IFNA(INDEX(競技会設定!$X$2:$AC$24,MATCH(INDEX(男子エントリー!$J$7:$AH$406,MATCH($G18&amp;RIGHT(AB$1,1),男子エントリー!$AH$7:$AH$406,0),1),競技会設定!$AC$2:$AC$24,0),1),INDEX(競技会設定!$X$2:$AC$24,MATCH(INDEX(男子エントリー!$R$6:$V$406,MATCH($G18&amp;RIGHT(AB$1,1),男子エントリー!$V$6:$V$406,0)-MATCH($G18&amp;RIGHT(AB$1,1),男子エントリー!$V$6:$V$406,0)+1,1),競技会設定!$AC$2:$AC$24,0),1)),"")</f>
        <v/>
      </c>
      <c r="AC18" s="1" t="str">
        <f>IF(AB18=14,リレーエントリー!$I$12,_xlfn.IFNA(INDEX(男子エントリー!$J$7:$AH$406,MATCH($G18&amp;RIGHT(AD$1,1),男子エントリー!$AH$7:$AH$406,0),3),""))</f>
        <v/>
      </c>
      <c r="AD18" s="1" t="str">
        <f t="shared" si="3"/>
        <v/>
      </c>
      <c r="AE18" s="1" t="str">
        <f t="shared" si="4"/>
        <v/>
      </c>
      <c r="AF18" s="1" t="str">
        <f t="shared" si="5"/>
        <v/>
      </c>
      <c r="AG18" s="1" t="str" cm="1">
        <f t="array" ref="AG18">_xlfn.IFNA(_xlfn.IFNA(INDEX(競技会設定!$X$2:$AC$24,MATCH(INDEX(男子エントリー!$J$7:$AH$406,MATCH($G18&amp;RIGHT(AG$1,1),男子エントリー!$AH$7:$AH$406,0),1),競技会設定!$AC$2:$AC$24,0),1),INDEX(競技会設定!$X$2:$AC$24,MATCH(INDEX(男子エントリー!$R$6:$V$406,MATCH($G18&amp;RIGHT(AG$1,1),男子エントリー!$V$6:$V$406,0)-MATCH($G18&amp;RIGHT(AG$1,1),男子エントリー!$V$6:$V$406,0)+1,1),競技会設定!$AC$2:$AC$24,0),1)),"")</f>
        <v/>
      </c>
      <c r="AH18" s="1" t="str">
        <f>IF(AG18=14,リレーエントリー!$I$12,_xlfn.IFNA(INDEX(男子エントリー!$J$7:$AH$406,MATCH($G18&amp;RIGHT(AI$1,1),男子エントリー!$AH$7:$AH$406,0),3),""))</f>
        <v/>
      </c>
      <c r="AI18" s="1" t="str">
        <f t="shared" si="6"/>
        <v/>
      </c>
      <c r="AJ18" s="1" t="str">
        <f t="shared" si="7"/>
        <v/>
      </c>
      <c r="AK18" s="1" t="str">
        <f t="shared" si="8"/>
        <v/>
      </c>
      <c r="AL18" s="1" t="str" cm="1">
        <f t="array" ref="AL18">_xlfn.IFNA(_xlfn.IFNA(INDEX(競技会設定!$X$2:$AC$24,MATCH(INDEX(男子エントリー!$J$7:$AH$406,MATCH($G18&amp;RIGHT(AL$1,1),男子エントリー!$AH$7:$AH$406,0),1),競技会設定!$AC$2:$AC$24,0),1),INDEX(競技会設定!$X$2:$AC$24,MATCH(INDEX(男子エントリー!$R$6:$V$406,MATCH($G18&amp;RIGHT(AL$1,1),男子エントリー!$V$6:$V$406,0)-MATCH($G18&amp;RIGHT(AL$1,1),男子エントリー!$V$6:$V$406,0)+1,1),競技会設定!$AC$2:$AC$24,0),1)),"")</f>
        <v/>
      </c>
      <c r="AM18" s="1" t="str">
        <f>IF(AL18=14,リレーエントリー!$I$12,_xlfn.IFNA(INDEX(男子エントリー!$J$7:$AH$406,MATCH($G18&amp;RIGHT(AN$1,1),男子エントリー!$AH$7:$AH$406,0),3),""))</f>
        <v/>
      </c>
      <c r="AN18" s="1" t="str">
        <f t="shared" si="9"/>
        <v/>
      </c>
      <c r="AO18" s="1" t="str">
        <f t="shared" si="10"/>
        <v/>
      </c>
      <c r="AP18" s="1" t="str">
        <f t="shared" si="11"/>
        <v/>
      </c>
    </row>
    <row r="19" spans="1:42">
      <c r="A19" s="1">
        <v>18</v>
      </c>
      <c r="B19" s="92" t="str">
        <f>男子エントリー!D75</f>
        <v/>
      </c>
      <c r="C19" s="1" t="str">
        <f>基本情報!$E$6</f>
        <v/>
      </c>
      <c r="D19" s="1" t="str">
        <f>基本情報!$E$7</f>
        <v/>
      </c>
      <c r="F19" s="92">
        <f>男子エントリー!C75</f>
        <v>0</v>
      </c>
      <c r="G19" s="92" t="str">
        <f>男子エントリー!E75</f>
        <v/>
      </c>
      <c r="H19" s="92" t="str">
        <f>男子エントリー!F75</f>
        <v/>
      </c>
      <c r="I19" s="1" t="str">
        <f t="shared" si="12"/>
        <v/>
      </c>
      <c r="J19" s="1" t="e">
        <f>LEFT(男子エントリー!E77,FIND(",",LEFT(男子エントリー!E77,LEN(男子エントリー!E77)-5))-1)&amp;LEFT(RIGHT(男子エントリー!E77,LEN(男子エントリー!E77)-FIND(",",男子エントリー!E77)),LEN(RIGHT(男子エントリー!E77,LEN(男子エントリー!E77)-FIND(",",男子エントリー!E77)))-5)</f>
        <v>#VALUE!</v>
      </c>
      <c r="K19" s="1" t="str">
        <f>男子エントリー!G77</f>
        <v/>
      </c>
      <c r="L19" s="1" t="str">
        <f t="shared" si="13"/>
        <v/>
      </c>
      <c r="M19" s="92" t="str">
        <f>男子エントリー!G75</f>
        <v/>
      </c>
      <c r="N19" s="92" t="e">
        <f>MID(男子エントリー!E77,FIND("(",男子エントリー!E77)+1,2)</f>
        <v>#VALUE!</v>
      </c>
      <c r="O19" s="1">
        <v>0</v>
      </c>
      <c r="P19" s="92" t="e">
        <f>VLOOKUP(男子エントリー!G76,競技会設定!$F$3:$I$50,2,0)</f>
        <v>#N/A</v>
      </c>
      <c r="R19" s="1" t="str" cm="1">
        <f t="array" ref="R19">_xlfn.IFNA(_xlfn.IFNA(INDEX(競技会設定!$X$2:$AC$24,MATCH(INDEX(男子エントリー!$J$7:$AH$406,MATCH($G19&amp;RIGHT(R$1,1),男子エントリー!$AH$7:$AH$406,0),1),競技会設定!$AC$2:$AC$24,0),1),INDEX(競技会設定!$X$2:$AC$24,MATCH(INDEX(男子エントリー!$R$6:$V$406,MATCH($G19&amp;RIGHT(R$1,1),男子エントリー!$V$6:$V$406,0)-MATCH($G19&amp;RIGHT(R$1,1),男子エントリー!$V$6:$V$406,0)+1,1),競技会設定!$AC$2:$AC$24,0),1)),"")</f>
        <v/>
      </c>
      <c r="S19" s="1" t="str">
        <f>IF(R19=14,リレーエントリー!$I$12,_xlfn.IFNA(INDEX(男子エントリー!$J$7:$AH$406,MATCH($G19&amp;RIGHT(T$1,1),男子エントリー!$AH$7:$AH$406,0),3),""))</f>
        <v/>
      </c>
      <c r="T19" s="1" t="str">
        <f t="shared" si="14"/>
        <v/>
      </c>
      <c r="U19" s="1" t="str">
        <f t="shared" si="17"/>
        <v/>
      </c>
      <c r="V19" s="1" t="str">
        <f t="shared" si="16"/>
        <v/>
      </c>
      <c r="W19" s="1" t="str" cm="1">
        <f t="array" ref="W19">_xlfn.IFNA(_xlfn.IFNA(INDEX(競技会設定!$X$2:$AC$24,MATCH(INDEX(男子エントリー!$J$7:$AH$406,MATCH($G19&amp;RIGHT(W$1,1),男子エントリー!$AH$7:$AH$406,0),1),競技会設定!$AC$2:$AC$24,0),1),INDEX(競技会設定!$X$2:$AC$24,MATCH(INDEX(男子エントリー!$R$6:$V$406,MATCH($G19&amp;RIGHT(W$1,1),男子エントリー!$V$6:$V$406,0)-MATCH($G19&amp;RIGHT(W$1,1),男子エントリー!$V$6:$V$406,0)+1,1),競技会設定!$AC$2:$AC$24,0),1)),"")</f>
        <v/>
      </c>
      <c r="X19" s="1" t="str">
        <f>IF(W19=14,リレーエントリー!$I$12,_xlfn.IFNA(INDEX(男子エントリー!$J$7:$AH$406,MATCH($G19&amp;RIGHT(Y$1,1),男子エントリー!$AH$7:$AH$406,0),3),""))</f>
        <v/>
      </c>
      <c r="Y19" s="1" t="str">
        <f t="shared" si="0"/>
        <v/>
      </c>
      <c r="Z19" s="1" t="str">
        <f t="shared" si="1"/>
        <v/>
      </c>
      <c r="AA19" s="1" t="str">
        <f t="shared" si="2"/>
        <v/>
      </c>
      <c r="AB19" s="1" t="str" cm="1">
        <f t="array" ref="AB19">_xlfn.IFNA(_xlfn.IFNA(INDEX(競技会設定!$X$2:$AC$24,MATCH(INDEX(男子エントリー!$J$7:$AH$406,MATCH($G19&amp;RIGHT(AB$1,1),男子エントリー!$AH$7:$AH$406,0),1),競技会設定!$AC$2:$AC$24,0),1),INDEX(競技会設定!$X$2:$AC$24,MATCH(INDEX(男子エントリー!$R$6:$V$406,MATCH($G19&amp;RIGHT(AB$1,1),男子エントリー!$V$6:$V$406,0)-MATCH($G19&amp;RIGHT(AB$1,1),男子エントリー!$V$6:$V$406,0)+1,1),競技会設定!$AC$2:$AC$24,0),1)),"")</f>
        <v/>
      </c>
      <c r="AC19" s="1" t="str">
        <f>IF(AB19=14,リレーエントリー!$I$12,_xlfn.IFNA(INDEX(男子エントリー!$J$7:$AH$406,MATCH($G19&amp;RIGHT(AD$1,1),男子エントリー!$AH$7:$AH$406,0),3),""))</f>
        <v/>
      </c>
      <c r="AD19" s="1" t="str">
        <f t="shared" si="3"/>
        <v/>
      </c>
      <c r="AE19" s="1" t="str">
        <f t="shared" si="4"/>
        <v/>
      </c>
      <c r="AF19" s="1" t="str">
        <f t="shared" si="5"/>
        <v/>
      </c>
      <c r="AG19" s="1" t="str" cm="1">
        <f t="array" ref="AG19">_xlfn.IFNA(_xlfn.IFNA(INDEX(競技会設定!$X$2:$AC$24,MATCH(INDEX(男子エントリー!$J$7:$AH$406,MATCH($G19&amp;RIGHT(AG$1,1),男子エントリー!$AH$7:$AH$406,0),1),競技会設定!$AC$2:$AC$24,0),1),INDEX(競技会設定!$X$2:$AC$24,MATCH(INDEX(男子エントリー!$R$6:$V$406,MATCH($G19&amp;RIGHT(AG$1,1),男子エントリー!$V$6:$V$406,0)-MATCH($G19&amp;RIGHT(AG$1,1),男子エントリー!$V$6:$V$406,0)+1,1),競技会設定!$AC$2:$AC$24,0),1)),"")</f>
        <v/>
      </c>
      <c r="AH19" s="1" t="str">
        <f>IF(AG19=14,リレーエントリー!$I$12,_xlfn.IFNA(INDEX(男子エントリー!$J$7:$AH$406,MATCH($G19&amp;RIGHT(AI$1,1),男子エントリー!$AH$7:$AH$406,0),3),""))</f>
        <v/>
      </c>
      <c r="AI19" s="1" t="str">
        <f t="shared" si="6"/>
        <v/>
      </c>
      <c r="AJ19" s="1" t="str">
        <f t="shared" si="7"/>
        <v/>
      </c>
      <c r="AK19" s="1" t="str">
        <f t="shared" si="8"/>
        <v/>
      </c>
      <c r="AL19" s="1" t="str" cm="1">
        <f t="array" ref="AL19">_xlfn.IFNA(_xlfn.IFNA(INDEX(競技会設定!$X$2:$AC$24,MATCH(INDEX(男子エントリー!$J$7:$AH$406,MATCH($G19&amp;RIGHT(AL$1,1),男子エントリー!$AH$7:$AH$406,0),1),競技会設定!$AC$2:$AC$24,0),1),INDEX(競技会設定!$X$2:$AC$24,MATCH(INDEX(男子エントリー!$R$6:$V$406,MATCH($G19&amp;RIGHT(AL$1,1),男子エントリー!$V$6:$V$406,0)-MATCH($G19&amp;RIGHT(AL$1,1),男子エントリー!$V$6:$V$406,0)+1,1),競技会設定!$AC$2:$AC$24,0),1)),"")</f>
        <v/>
      </c>
      <c r="AM19" s="1" t="str">
        <f>IF(AL19=14,リレーエントリー!$I$12,_xlfn.IFNA(INDEX(男子エントリー!$J$7:$AH$406,MATCH($G19&amp;RIGHT(AN$1,1),男子エントリー!$AH$7:$AH$406,0),3),""))</f>
        <v/>
      </c>
      <c r="AN19" s="1" t="str">
        <f t="shared" si="9"/>
        <v/>
      </c>
      <c r="AO19" s="1" t="str">
        <f t="shared" si="10"/>
        <v/>
      </c>
      <c r="AP19" s="1" t="str">
        <f t="shared" si="11"/>
        <v/>
      </c>
    </row>
    <row r="20" spans="1:42">
      <c r="A20" s="1">
        <v>19</v>
      </c>
      <c r="B20" s="92" t="str">
        <f>男子エントリー!D79</f>
        <v/>
      </c>
      <c r="C20" s="1" t="str">
        <f>基本情報!$E$6</f>
        <v/>
      </c>
      <c r="D20" s="1" t="str">
        <f>基本情報!$E$7</f>
        <v/>
      </c>
      <c r="F20" s="92">
        <f>男子エントリー!C79</f>
        <v>0</v>
      </c>
      <c r="G20" s="92" t="str">
        <f>男子エントリー!E79</f>
        <v/>
      </c>
      <c r="H20" s="92" t="str">
        <f>男子エントリー!F79</f>
        <v/>
      </c>
      <c r="I20" s="1" t="str">
        <f t="shared" si="12"/>
        <v/>
      </c>
      <c r="J20" s="1" t="e">
        <f>LEFT(男子エントリー!E81,FIND(",",LEFT(男子エントリー!E81,LEN(男子エントリー!E81)-5))-1)&amp;LEFT(RIGHT(男子エントリー!E81,LEN(男子エントリー!E81)-FIND(",",男子エントリー!E81)),LEN(RIGHT(男子エントリー!E81,LEN(男子エントリー!E81)-FIND(",",男子エントリー!E81)))-5)</f>
        <v>#VALUE!</v>
      </c>
      <c r="K20" s="1" t="str">
        <f>男子エントリー!G81</f>
        <v/>
      </c>
      <c r="L20" s="1" t="str">
        <f t="shared" si="13"/>
        <v/>
      </c>
      <c r="M20" s="92" t="str">
        <f>男子エントリー!G79</f>
        <v/>
      </c>
      <c r="N20" s="92" t="e">
        <f>MID(男子エントリー!E81,FIND("(",男子エントリー!E81)+1,2)</f>
        <v>#VALUE!</v>
      </c>
      <c r="O20" s="1">
        <v>0</v>
      </c>
      <c r="P20" s="92" t="e">
        <f>VLOOKUP(男子エントリー!G80,競技会設定!$F$3:$I$50,2,0)</f>
        <v>#N/A</v>
      </c>
      <c r="R20" s="1" t="str" cm="1">
        <f t="array" ref="R20">_xlfn.IFNA(_xlfn.IFNA(INDEX(競技会設定!$X$2:$AC$24,MATCH(INDEX(男子エントリー!$J$7:$AH$406,MATCH($G20&amp;RIGHT(R$1,1),男子エントリー!$AH$7:$AH$406,0),1),競技会設定!$AC$2:$AC$24,0),1),INDEX(競技会設定!$X$2:$AC$24,MATCH(INDEX(男子エントリー!$R$6:$V$406,MATCH($G20&amp;RIGHT(R$1,1),男子エントリー!$V$6:$V$406,0)-MATCH($G20&amp;RIGHT(R$1,1),男子エントリー!$V$6:$V$406,0)+1,1),競技会設定!$AC$2:$AC$24,0),1)),"")</f>
        <v/>
      </c>
      <c r="S20" s="1" t="str">
        <f>IF(R20=14,リレーエントリー!$I$12,_xlfn.IFNA(INDEX(男子エントリー!$J$7:$AH$406,MATCH($G20&amp;RIGHT(T$1,1),男子エントリー!$AH$7:$AH$406,0),3),""))</f>
        <v/>
      </c>
      <c r="T20" s="1" t="str">
        <f t="shared" si="14"/>
        <v/>
      </c>
      <c r="U20" s="1" t="str">
        <f t="shared" si="17"/>
        <v/>
      </c>
      <c r="V20" s="1" t="str">
        <f t="shared" si="16"/>
        <v/>
      </c>
      <c r="W20" s="1" t="str" cm="1">
        <f t="array" ref="W20">_xlfn.IFNA(_xlfn.IFNA(INDEX(競技会設定!$X$2:$AC$24,MATCH(INDEX(男子エントリー!$J$7:$AH$406,MATCH($G20&amp;RIGHT(W$1,1),男子エントリー!$AH$7:$AH$406,0),1),競技会設定!$AC$2:$AC$24,0),1),INDEX(競技会設定!$X$2:$AC$24,MATCH(INDEX(男子エントリー!$R$6:$V$406,MATCH($G20&amp;RIGHT(W$1,1),男子エントリー!$V$6:$V$406,0)-MATCH($G20&amp;RIGHT(W$1,1),男子エントリー!$V$6:$V$406,0)+1,1),競技会設定!$AC$2:$AC$24,0),1)),"")</f>
        <v/>
      </c>
      <c r="X20" s="1" t="str">
        <f>IF(W20=14,リレーエントリー!$I$12,_xlfn.IFNA(INDEX(男子エントリー!$J$7:$AH$406,MATCH($G20&amp;RIGHT(Y$1,1),男子エントリー!$AH$7:$AH$406,0),3),""))</f>
        <v/>
      </c>
      <c r="Y20" s="1" t="str">
        <f t="shared" si="0"/>
        <v/>
      </c>
      <c r="Z20" s="1" t="str">
        <f t="shared" si="1"/>
        <v/>
      </c>
      <c r="AA20" s="1" t="str">
        <f t="shared" si="2"/>
        <v/>
      </c>
      <c r="AB20" s="1" t="str" cm="1">
        <f t="array" ref="AB20">_xlfn.IFNA(_xlfn.IFNA(INDEX(競技会設定!$X$2:$AC$24,MATCH(INDEX(男子エントリー!$J$7:$AH$406,MATCH($G20&amp;RIGHT(AB$1,1),男子エントリー!$AH$7:$AH$406,0),1),競技会設定!$AC$2:$AC$24,0),1),INDEX(競技会設定!$X$2:$AC$24,MATCH(INDEX(男子エントリー!$R$6:$V$406,MATCH($G20&amp;RIGHT(AB$1,1),男子エントリー!$V$6:$V$406,0)-MATCH($G20&amp;RIGHT(AB$1,1),男子エントリー!$V$6:$V$406,0)+1,1),競技会設定!$AC$2:$AC$24,0),1)),"")</f>
        <v/>
      </c>
      <c r="AC20" s="1" t="str">
        <f>IF(AB20=14,リレーエントリー!$I$12,_xlfn.IFNA(INDEX(男子エントリー!$J$7:$AH$406,MATCH($G20&amp;RIGHT(AD$1,1),男子エントリー!$AH$7:$AH$406,0),3),""))</f>
        <v/>
      </c>
      <c r="AD20" s="1" t="str">
        <f t="shared" si="3"/>
        <v/>
      </c>
      <c r="AE20" s="1" t="str">
        <f t="shared" si="4"/>
        <v/>
      </c>
      <c r="AF20" s="1" t="str">
        <f t="shared" si="5"/>
        <v/>
      </c>
      <c r="AG20" s="1" t="str" cm="1">
        <f t="array" ref="AG20">_xlfn.IFNA(_xlfn.IFNA(INDEX(競技会設定!$X$2:$AC$24,MATCH(INDEX(男子エントリー!$J$7:$AH$406,MATCH($G20&amp;RIGHT(AG$1,1),男子エントリー!$AH$7:$AH$406,0),1),競技会設定!$AC$2:$AC$24,0),1),INDEX(競技会設定!$X$2:$AC$24,MATCH(INDEX(男子エントリー!$R$6:$V$406,MATCH($G20&amp;RIGHT(AG$1,1),男子エントリー!$V$6:$V$406,0)-MATCH($G20&amp;RIGHT(AG$1,1),男子エントリー!$V$6:$V$406,0)+1,1),競技会設定!$AC$2:$AC$24,0),1)),"")</f>
        <v/>
      </c>
      <c r="AH20" s="1" t="str">
        <f>IF(AG20=14,リレーエントリー!$I$12,_xlfn.IFNA(INDEX(男子エントリー!$J$7:$AH$406,MATCH($G20&amp;RIGHT(AI$1,1),男子エントリー!$AH$7:$AH$406,0),3),""))</f>
        <v/>
      </c>
      <c r="AI20" s="1" t="str">
        <f t="shared" si="6"/>
        <v/>
      </c>
      <c r="AJ20" s="1" t="str">
        <f t="shared" si="7"/>
        <v/>
      </c>
      <c r="AK20" s="1" t="str">
        <f t="shared" si="8"/>
        <v/>
      </c>
      <c r="AL20" s="1" t="str" cm="1">
        <f t="array" ref="AL20">_xlfn.IFNA(_xlfn.IFNA(INDEX(競技会設定!$X$2:$AC$24,MATCH(INDEX(男子エントリー!$J$7:$AH$406,MATCH($G20&amp;RIGHT(AL$1,1),男子エントリー!$AH$7:$AH$406,0),1),競技会設定!$AC$2:$AC$24,0),1),INDEX(競技会設定!$X$2:$AC$24,MATCH(INDEX(男子エントリー!$R$6:$V$406,MATCH($G20&amp;RIGHT(AL$1,1),男子エントリー!$V$6:$V$406,0)-MATCH($G20&amp;RIGHT(AL$1,1),男子エントリー!$V$6:$V$406,0)+1,1),競技会設定!$AC$2:$AC$24,0),1)),"")</f>
        <v/>
      </c>
      <c r="AM20" s="1" t="str">
        <f>IF(AL20=14,リレーエントリー!$I$12,_xlfn.IFNA(INDEX(男子エントリー!$J$7:$AH$406,MATCH($G20&amp;RIGHT(AN$1,1),男子エントリー!$AH$7:$AH$406,0),3),""))</f>
        <v/>
      </c>
      <c r="AN20" s="1" t="str">
        <f t="shared" si="9"/>
        <v/>
      </c>
      <c r="AO20" s="1" t="str">
        <f t="shared" si="10"/>
        <v/>
      </c>
      <c r="AP20" s="1" t="str">
        <f t="shared" si="11"/>
        <v/>
      </c>
    </row>
    <row r="21" spans="1:42">
      <c r="A21" s="1">
        <v>20</v>
      </c>
      <c r="B21" s="92" t="str">
        <f>男子エントリー!D83</f>
        <v/>
      </c>
      <c r="C21" s="1" t="str">
        <f>基本情報!$E$6</f>
        <v/>
      </c>
      <c r="D21" s="1" t="str">
        <f>基本情報!$E$7</f>
        <v/>
      </c>
      <c r="F21" s="92">
        <f>男子エントリー!C83</f>
        <v>0</v>
      </c>
      <c r="G21" s="92" t="str">
        <f>男子エントリー!E83</f>
        <v/>
      </c>
      <c r="H21" s="92" t="str">
        <f>男子エントリー!F83</f>
        <v/>
      </c>
      <c r="I21" s="1" t="str">
        <f t="shared" si="12"/>
        <v/>
      </c>
      <c r="J21" s="1" t="e">
        <f>LEFT(男子エントリー!E85,FIND(",",LEFT(男子エントリー!E85,LEN(男子エントリー!E85)-5))-1)&amp;LEFT(RIGHT(男子エントリー!E85,LEN(男子エントリー!E85)-FIND(",",男子エントリー!E85)),LEN(RIGHT(男子エントリー!E85,LEN(男子エントリー!E85)-FIND(",",男子エントリー!E85)))-5)</f>
        <v>#VALUE!</v>
      </c>
      <c r="K21" s="1" t="str">
        <f>男子エントリー!G85</f>
        <v/>
      </c>
      <c r="L21" s="1" t="str">
        <f t="shared" si="13"/>
        <v/>
      </c>
      <c r="M21" s="92" t="str">
        <f>男子エントリー!G83</f>
        <v/>
      </c>
      <c r="N21" s="92" t="e">
        <f>MID(男子エントリー!E85,FIND("(",男子エントリー!E85)+1,2)</f>
        <v>#VALUE!</v>
      </c>
      <c r="O21" s="1">
        <v>0</v>
      </c>
      <c r="P21" s="92" t="e">
        <f>VLOOKUP(男子エントリー!G84,競技会設定!$F$3:$I$50,2,0)</f>
        <v>#N/A</v>
      </c>
      <c r="R21" s="1" t="str" cm="1">
        <f t="array" ref="R21">_xlfn.IFNA(_xlfn.IFNA(INDEX(競技会設定!$X$2:$AC$24,MATCH(INDEX(男子エントリー!$J$7:$AH$406,MATCH($G21&amp;RIGHT(R$1,1),男子エントリー!$AH$7:$AH$406,0),1),競技会設定!$AC$2:$AC$24,0),1),INDEX(競技会設定!$X$2:$AC$24,MATCH(INDEX(男子エントリー!$R$6:$V$406,MATCH($G21&amp;RIGHT(R$1,1),男子エントリー!$V$6:$V$406,0)-MATCH($G21&amp;RIGHT(R$1,1),男子エントリー!$V$6:$V$406,0)+1,1),競技会設定!$AC$2:$AC$24,0),1)),"")</f>
        <v/>
      </c>
      <c r="S21" s="1" t="str">
        <f>IF(R21=14,リレーエントリー!$I$12,_xlfn.IFNA(INDEX(男子エントリー!$J$7:$AH$406,MATCH($G21&amp;RIGHT(T$1,1),男子エントリー!$AH$7:$AH$406,0),3),""))</f>
        <v/>
      </c>
      <c r="T21" s="1" t="str">
        <f t="shared" si="14"/>
        <v/>
      </c>
      <c r="U21" s="1" t="str">
        <f t="shared" si="17"/>
        <v/>
      </c>
      <c r="V21" s="1" t="str">
        <f t="shared" si="16"/>
        <v/>
      </c>
      <c r="W21" s="1" t="str" cm="1">
        <f t="array" ref="W21">_xlfn.IFNA(_xlfn.IFNA(INDEX(競技会設定!$X$2:$AC$24,MATCH(INDEX(男子エントリー!$J$7:$AH$406,MATCH($G21&amp;RIGHT(W$1,1),男子エントリー!$AH$7:$AH$406,0),1),競技会設定!$AC$2:$AC$24,0),1),INDEX(競技会設定!$X$2:$AC$24,MATCH(INDEX(男子エントリー!$R$6:$V$406,MATCH($G21&amp;RIGHT(W$1,1),男子エントリー!$V$6:$V$406,0)-MATCH($G21&amp;RIGHT(W$1,1),男子エントリー!$V$6:$V$406,0)+1,1),競技会設定!$AC$2:$AC$24,0),1)),"")</f>
        <v/>
      </c>
      <c r="X21" s="1" t="str">
        <f>IF(W21=14,リレーエントリー!$I$12,_xlfn.IFNA(INDEX(男子エントリー!$J$7:$AH$406,MATCH($G21&amp;RIGHT(Y$1,1),男子エントリー!$AH$7:$AH$406,0),3),""))</f>
        <v/>
      </c>
      <c r="Y21" s="1" t="str">
        <f t="shared" si="0"/>
        <v/>
      </c>
      <c r="Z21" s="1" t="str">
        <f t="shared" si="1"/>
        <v/>
      </c>
      <c r="AA21" s="1" t="str">
        <f t="shared" si="2"/>
        <v/>
      </c>
      <c r="AB21" s="1" t="str" cm="1">
        <f t="array" ref="AB21">_xlfn.IFNA(_xlfn.IFNA(INDEX(競技会設定!$X$2:$AC$24,MATCH(INDEX(男子エントリー!$J$7:$AH$406,MATCH($G21&amp;RIGHT(AB$1,1),男子エントリー!$AH$7:$AH$406,0),1),競技会設定!$AC$2:$AC$24,0),1),INDEX(競技会設定!$X$2:$AC$24,MATCH(INDEX(男子エントリー!$R$6:$V$406,MATCH($G21&amp;RIGHT(AB$1,1),男子エントリー!$V$6:$V$406,0)-MATCH($G21&amp;RIGHT(AB$1,1),男子エントリー!$V$6:$V$406,0)+1,1),競技会設定!$AC$2:$AC$24,0),1)),"")</f>
        <v/>
      </c>
      <c r="AC21" s="1" t="str">
        <f>IF(AB21=14,リレーエントリー!$I$12,_xlfn.IFNA(INDEX(男子エントリー!$J$7:$AH$406,MATCH($G21&amp;RIGHT(AD$1,1),男子エントリー!$AH$7:$AH$406,0),3),""))</f>
        <v/>
      </c>
      <c r="AD21" s="1" t="str">
        <f t="shared" si="3"/>
        <v/>
      </c>
      <c r="AE21" s="1" t="str">
        <f t="shared" si="4"/>
        <v/>
      </c>
      <c r="AF21" s="1" t="str">
        <f t="shared" si="5"/>
        <v/>
      </c>
      <c r="AG21" s="1" t="str" cm="1">
        <f t="array" ref="AG21">_xlfn.IFNA(_xlfn.IFNA(INDEX(競技会設定!$X$2:$AC$24,MATCH(INDEX(男子エントリー!$J$7:$AH$406,MATCH($G21&amp;RIGHT(AG$1,1),男子エントリー!$AH$7:$AH$406,0),1),競技会設定!$AC$2:$AC$24,0),1),INDEX(競技会設定!$X$2:$AC$24,MATCH(INDEX(男子エントリー!$R$6:$V$406,MATCH($G21&amp;RIGHT(AG$1,1),男子エントリー!$V$6:$V$406,0)-MATCH($G21&amp;RIGHT(AG$1,1),男子エントリー!$V$6:$V$406,0)+1,1),競技会設定!$AC$2:$AC$24,0),1)),"")</f>
        <v/>
      </c>
      <c r="AH21" s="1" t="str">
        <f>IF(AG21=14,リレーエントリー!$I$12,_xlfn.IFNA(INDEX(男子エントリー!$J$7:$AH$406,MATCH($G21&amp;RIGHT(AI$1,1),男子エントリー!$AH$7:$AH$406,0),3),""))</f>
        <v/>
      </c>
      <c r="AI21" s="1" t="str">
        <f t="shared" si="6"/>
        <v/>
      </c>
      <c r="AJ21" s="1" t="str">
        <f t="shared" si="7"/>
        <v/>
      </c>
      <c r="AK21" s="1" t="str">
        <f t="shared" si="8"/>
        <v/>
      </c>
      <c r="AL21" s="1" t="str" cm="1">
        <f t="array" ref="AL21">_xlfn.IFNA(_xlfn.IFNA(INDEX(競技会設定!$X$2:$AC$24,MATCH(INDEX(男子エントリー!$J$7:$AH$406,MATCH($G21&amp;RIGHT(AL$1,1),男子エントリー!$AH$7:$AH$406,0),1),競技会設定!$AC$2:$AC$24,0),1),INDEX(競技会設定!$X$2:$AC$24,MATCH(INDEX(男子エントリー!$R$6:$V$406,MATCH($G21&amp;RIGHT(AL$1,1),男子エントリー!$V$6:$V$406,0)-MATCH($G21&amp;RIGHT(AL$1,1),男子エントリー!$V$6:$V$406,0)+1,1),競技会設定!$AC$2:$AC$24,0),1)),"")</f>
        <v/>
      </c>
      <c r="AM21" s="1" t="str">
        <f>IF(AL21=14,リレーエントリー!$I$12,_xlfn.IFNA(INDEX(男子エントリー!$J$7:$AH$406,MATCH($G21&amp;RIGHT(AN$1,1),男子エントリー!$AH$7:$AH$406,0),3),""))</f>
        <v/>
      </c>
      <c r="AN21" s="1" t="str">
        <f t="shared" si="9"/>
        <v/>
      </c>
      <c r="AO21" s="1" t="str">
        <f t="shared" si="10"/>
        <v/>
      </c>
      <c r="AP21" s="1" t="str">
        <f t="shared" si="11"/>
        <v/>
      </c>
    </row>
    <row r="22" spans="1:42">
      <c r="A22" s="1">
        <v>21</v>
      </c>
      <c r="B22" s="92" t="str">
        <f>男子エントリー!D87</f>
        <v/>
      </c>
      <c r="C22" s="1" t="str">
        <f>基本情報!$E$6</f>
        <v/>
      </c>
      <c r="D22" s="1" t="str">
        <f>基本情報!$E$7</f>
        <v/>
      </c>
      <c r="F22" s="92">
        <f>男子エントリー!C87</f>
        <v>0</v>
      </c>
      <c r="G22" s="92" t="str">
        <f>男子エントリー!E87</f>
        <v/>
      </c>
      <c r="H22" s="92" t="str">
        <f>男子エントリー!F87</f>
        <v/>
      </c>
      <c r="I22" s="1" t="str">
        <f t="shared" si="12"/>
        <v/>
      </c>
      <c r="J22" s="1" t="e">
        <f>LEFT(男子エントリー!E89,FIND(",",LEFT(男子エントリー!E89,LEN(男子エントリー!E89)-5))-1)&amp;LEFT(RIGHT(男子エントリー!E89,LEN(男子エントリー!E89)-FIND(",",男子エントリー!E89)),LEN(RIGHT(男子エントリー!E89,LEN(男子エントリー!E89)-FIND(",",男子エントリー!E89)))-5)</f>
        <v>#VALUE!</v>
      </c>
      <c r="K22" s="1" t="str">
        <f>男子エントリー!G89</f>
        <v/>
      </c>
      <c r="L22" s="1" t="str">
        <f t="shared" si="13"/>
        <v/>
      </c>
      <c r="M22" s="92" t="str">
        <f>男子エントリー!G87</f>
        <v/>
      </c>
      <c r="N22" s="92" t="e">
        <f>MID(男子エントリー!E89,FIND("(",男子エントリー!E89)+1,2)</f>
        <v>#VALUE!</v>
      </c>
      <c r="O22" s="1">
        <v>0</v>
      </c>
      <c r="P22" s="92" t="e">
        <f>VLOOKUP(男子エントリー!G88,競技会設定!$F$3:$I$50,2,0)</f>
        <v>#N/A</v>
      </c>
      <c r="R22" s="1" t="str" cm="1">
        <f t="array" ref="R22">_xlfn.IFNA(_xlfn.IFNA(INDEX(競技会設定!$X$2:$AC$24,MATCH(INDEX(男子エントリー!$J$7:$AH$406,MATCH($G22&amp;RIGHT(R$1,1),男子エントリー!$AH$7:$AH$406,0),1),競技会設定!$AC$2:$AC$24,0),1),INDEX(競技会設定!$X$2:$AC$24,MATCH(INDEX(男子エントリー!$R$6:$V$406,MATCH($G22&amp;RIGHT(R$1,1),男子エントリー!$V$6:$V$406,0)-MATCH($G22&amp;RIGHT(R$1,1),男子エントリー!$V$6:$V$406,0)+1,1),競技会設定!$AC$2:$AC$24,0),1)),"")</f>
        <v/>
      </c>
      <c r="S22" s="1" t="str">
        <f>IF(R22=14,リレーエントリー!$I$12,_xlfn.IFNA(INDEX(男子エントリー!$J$7:$AH$406,MATCH($G22&amp;RIGHT(T$1,1),男子エントリー!$AH$7:$AH$406,0),3),""))</f>
        <v/>
      </c>
      <c r="T22" s="1" t="str">
        <f t="shared" si="14"/>
        <v/>
      </c>
      <c r="U22" s="1" t="str">
        <f t="shared" si="17"/>
        <v/>
      </c>
      <c r="V22" s="1" t="str">
        <f t="shared" si="16"/>
        <v/>
      </c>
      <c r="W22" s="1" t="str" cm="1">
        <f t="array" ref="W22">_xlfn.IFNA(_xlfn.IFNA(INDEX(競技会設定!$X$2:$AC$24,MATCH(INDEX(男子エントリー!$J$7:$AH$406,MATCH($G22&amp;RIGHT(W$1,1),男子エントリー!$AH$7:$AH$406,0),1),競技会設定!$AC$2:$AC$24,0),1),INDEX(競技会設定!$X$2:$AC$24,MATCH(INDEX(男子エントリー!$R$6:$V$406,MATCH($G22&amp;RIGHT(W$1,1),男子エントリー!$V$6:$V$406,0)-MATCH($G22&amp;RIGHT(W$1,1),男子エントリー!$V$6:$V$406,0)+1,1),競技会設定!$AC$2:$AC$24,0),1)),"")</f>
        <v/>
      </c>
      <c r="X22" s="1" t="str">
        <f>IF(W22=14,リレーエントリー!$I$12,_xlfn.IFNA(INDEX(男子エントリー!$J$7:$AH$406,MATCH($G22&amp;RIGHT(Y$1,1),男子エントリー!$AH$7:$AH$406,0),3),""))</f>
        <v/>
      </c>
      <c r="Y22" s="1" t="str">
        <f t="shared" si="0"/>
        <v/>
      </c>
      <c r="Z22" s="1" t="str">
        <f t="shared" si="1"/>
        <v/>
      </c>
      <c r="AA22" s="1" t="str">
        <f t="shared" si="2"/>
        <v/>
      </c>
      <c r="AB22" s="1" t="str" cm="1">
        <f t="array" ref="AB22">_xlfn.IFNA(_xlfn.IFNA(INDEX(競技会設定!$X$2:$AC$24,MATCH(INDEX(男子エントリー!$J$7:$AH$406,MATCH($G22&amp;RIGHT(AB$1,1),男子エントリー!$AH$7:$AH$406,0),1),競技会設定!$AC$2:$AC$24,0),1),INDEX(競技会設定!$X$2:$AC$24,MATCH(INDEX(男子エントリー!$R$6:$V$406,MATCH($G22&amp;RIGHT(AB$1,1),男子エントリー!$V$6:$V$406,0)-MATCH($G22&amp;RIGHT(AB$1,1),男子エントリー!$V$6:$V$406,0)+1,1),競技会設定!$AC$2:$AC$24,0),1)),"")</f>
        <v/>
      </c>
      <c r="AC22" s="1" t="str">
        <f>IF(AB22=14,リレーエントリー!$I$12,_xlfn.IFNA(INDEX(男子エントリー!$J$7:$AH$406,MATCH($G22&amp;RIGHT(AD$1,1),男子エントリー!$AH$7:$AH$406,0),3),""))</f>
        <v/>
      </c>
      <c r="AD22" s="1" t="str">
        <f t="shared" si="3"/>
        <v/>
      </c>
      <c r="AE22" s="1" t="str">
        <f t="shared" si="4"/>
        <v/>
      </c>
      <c r="AF22" s="1" t="str">
        <f t="shared" si="5"/>
        <v/>
      </c>
      <c r="AG22" s="1" t="str" cm="1">
        <f t="array" ref="AG22">_xlfn.IFNA(_xlfn.IFNA(INDEX(競技会設定!$X$2:$AC$24,MATCH(INDEX(男子エントリー!$J$7:$AH$406,MATCH($G22&amp;RIGHT(AG$1,1),男子エントリー!$AH$7:$AH$406,0),1),競技会設定!$AC$2:$AC$24,0),1),INDEX(競技会設定!$X$2:$AC$24,MATCH(INDEX(男子エントリー!$R$6:$V$406,MATCH($G22&amp;RIGHT(AG$1,1),男子エントリー!$V$6:$V$406,0)-MATCH($G22&amp;RIGHT(AG$1,1),男子エントリー!$V$6:$V$406,0)+1,1),競技会設定!$AC$2:$AC$24,0),1)),"")</f>
        <v/>
      </c>
      <c r="AH22" s="1" t="str">
        <f>IF(AG22=14,リレーエントリー!$I$12,_xlfn.IFNA(INDEX(男子エントリー!$J$7:$AH$406,MATCH($G22&amp;RIGHT(AI$1,1),男子エントリー!$AH$7:$AH$406,0),3),""))</f>
        <v/>
      </c>
      <c r="AI22" s="1" t="str">
        <f t="shared" si="6"/>
        <v/>
      </c>
      <c r="AJ22" s="1" t="str">
        <f t="shared" si="7"/>
        <v/>
      </c>
      <c r="AK22" s="1" t="str">
        <f t="shared" si="8"/>
        <v/>
      </c>
      <c r="AL22" s="1" t="str" cm="1">
        <f t="array" ref="AL22">_xlfn.IFNA(_xlfn.IFNA(INDEX(競技会設定!$X$2:$AC$24,MATCH(INDEX(男子エントリー!$J$7:$AH$406,MATCH($G22&amp;RIGHT(AL$1,1),男子エントリー!$AH$7:$AH$406,0),1),競技会設定!$AC$2:$AC$24,0),1),INDEX(競技会設定!$X$2:$AC$24,MATCH(INDEX(男子エントリー!$R$6:$V$406,MATCH($G22&amp;RIGHT(AL$1,1),男子エントリー!$V$6:$V$406,0)-MATCH($G22&amp;RIGHT(AL$1,1),男子エントリー!$V$6:$V$406,0)+1,1),競技会設定!$AC$2:$AC$24,0),1)),"")</f>
        <v/>
      </c>
      <c r="AM22" s="1" t="str">
        <f>IF(AL22=14,リレーエントリー!$I$12,_xlfn.IFNA(INDEX(男子エントリー!$J$7:$AH$406,MATCH($G22&amp;RIGHT(AN$1,1),男子エントリー!$AH$7:$AH$406,0),3),""))</f>
        <v/>
      </c>
      <c r="AN22" s="1" t="str">
        <f t="shared" si="9"/>
        <v/>
      </c>
      <c r="AO22" s="1" t="str">
        <f t="shared" si="10"/>
        <v/>
      </c>
      <c r="AP22" s="1" t="str">
        <f t="shared" si="11"/>
        <v/>
      </c>
    </row>
    <row r="23" spans="1:42">
      <c r="A23" s="1">
        <v>22</v>
      </c>
      <c r="B23" s="92" t="str">
        <f>男子エントリー!D91</f>
        <v/>
      </c>
      <c r="C23" s="1" t="str">
        <f>基本情報!$E$6</f>
        <v/>
      </c>
      <c r="D23" s="1" t="str">
        <f>基本情報!$E$7</f>
        <v/>
      </c>
      <c r="F23" s="92">
        <f>男子エントリー!C91</f>
        <v>0</v>
      </c>
      <c r="G23" s="92" t="str">
        <f>男子エントリー!E91</f>
        <v/>
      </c>
      <c r="H23" s="92" t="str">
        <f>男子エントリー!F91</f>
        <v/>
      </c>
      <c r="I23" s="1" t="str">
        <f t="shared" si="12"/>
        <v/>
      </c>
      <c r="J23" s="1" t="e">
        <f>LEFT(男子エントリー!E93,FIND(",",LEFT(男子エントリー!E93,LEN(男子エントリー!E93)-5))-1)&amp;LEFT(RIGHT(男子エントリー!E93,LEN(男子エントリー!E93)-FIND(",",男子エントリー!E93)),LEN(RIGHT(男子エントリー!E93,LEN(男子エントリー!E93)-FIND(",",男子エントリー!E93)))-5)</f>
        <v>#VALUE!</v>
      </c>
      <c r="K23" s="1" t="str">
        <f>男子エントリー!G93</f>
        <v/>
      </c>
      <c r="L23" s="1" t="str">
        <f t="shared" si="13"/>
        <v/>
      </c>
      <c r="M23" s="92" t="str">
        <f>男子エントリー!G91</f>
        <v/>
      </c>
      <c r="N23" s="92" t="e">
        <f>MID(男子エントリー!E93,FIND("(",男子エントリー!E93)+1,2)</f>
        <v>#VALUE!</v>
      </c>
      <c r="O23" s="1">
        <v>0</v>
      </c>
      <c r="P23" s="92" t="e">
        <f>VLOOKUP(男子エントリー!G92,競技会設定!$F$3:$I$50,2,0)</f>
        <v>#N/A</v>
      </c>
      <c r="R23" s="1" t="str" cm="1">
        <f t="array" ref="R23">_xlfn.IFNA(_xlfn.IFNA(INDEX(競技会設定!$X$2:$AC$24,MATCH(INDEX(男子エントリー!$J$7:$AH$406,MATCH($G23&amp;RIGHT(R$1,1),男子エントリー!$AH$7:$AH$406,0),1),競技会設定!$AC$2:$AC$24,0),1),INDEX(競技会設定!$X$2:$AC$24,MATCH(INDEX(男子エントリー!$R$6:$V$406,MATCH($G23&amp;RIGHT(R$1,1),男子エントリー!$V$6:$V$406,0)-MATCH($G23&amp;RIGHT(R$1,1),男子エントリー!$V$6:$V$406,0)+1,1),競技会設定!$AC$2:$AC$24,0),1)),"")</f>
        <v/>
      </c>
      <c r="S23" s="1" t="str">
        <f>IF(R23=14,リレーエントリー!$I$12,_xlfn.IFNA(INDEX(男子エントリー!$J$7:$AH$406,MATCH($G23&amp;RIGHT(T$1,1),男子エントリー!$AH$7:$AH$406,0),3),""))</f>
        <v/>
      </c>
      <c r="T23" s="1" t="str">
        <f t="shared" si="14"/>
        <v/>
      </c>
      <c r="U23" s="1" t="str">
        <f t="shared" si="17"/>
        <v/>
      </c>
      <c r="V23" s="1" t="str">
        <f t="shared" si="16"/>
        <v/>
      </c>
      <c r="W23" s="1" t="str" cm="1">
        <f t="array" ref="W23">_xlfn.IFNA(_xlfn.IFNA(INDEX(競技会設定!$X$2:$AC$24,MATCH(INDEX(男子エントリー!$J$7:$AH$406,MATCH($G23&amp;RIGHT(W$1,1),男子エントリー!$AH$7:$AH$406,0),1),競技会設定!$AC$2:$AC$24,0),1),INDEX(競技会設定!$X$2:$AC$24,MATCH(INDEX(男子エントリー!$R$6:$V$406,MATCH($G23&amp;RIGHT(W$1,1),男子エントリー!$V$6:$V$406,0)-MATCH($G23&amp;RIGHT(W$1,1),男子エントリー!$V$6:$V$406,0)+1,1),競技会設定!$AC$2:$AC$24,0),1)),"")</f>
        <v/>
      </c>
      <c r="X23" s="1" t="str">
        <f>IF(W23=14,リレーエントリー!$I$12,_xlfn.IFNA(INDEX(男子エントリー!$J$7:$AH$406,MATCH($G23&amp;RIGHT(Y$1,1),男子エントリー!$AH$7:$AH$406,0),3),""))</f>
        <v/>
      </c>
      <c r="Y23" s="1" t="str">
        <f t="shared" si="0"/>
        <v/>
      </c>
      <c r="Z23" s="1" t="str">
        <f t="shared" si="1"/>
        <v/>
      </c>
      <c r="AA23" s="1" t="str">
        <f t="shared" si="2"/>
        <v/>
      </c>
      <c r="AB23" s="1" t="str" cm="1">
        <f t="array" ref="AB23">_xlfn.IFNA(_xlfn.IFNA(INDEX(競技会設定!$X$2:$AC$24,MATCH(INDEX(男子エントリー!$J$7:$AH$406,MATCH($G23&amp;RIGHT(AB$1,1),男子エントリー!$AH$7:$AH$406,0),1),競技会設定!$AC$2:$AC$24,0),1),INDEX(競技会設定!$X$2:$AC$24,MATCH(INDEX(男子エントリー!$R$6:$V$406,MATCH($G23&amp;RIGHT(AB$1,1),男子エントリー!$V$6:$V$406,0)-MATCH($G23&amp;RIGHT(AB$1,1),男子エントリー!$V$6:$V$406,0)+1,1),競技会設定!$AC$2:$AC$24,0),1)),"")</f>
        <v/>
      </c>
      <c r="AC23" s="1" t="str">
        <f>IF(AB23=14,リレーエントリー!$I$12,_xlfn.IFNA(INDEX(男子エントリー!$J$7:$AH$406,MATCH($G23&amp;RIGHT(AD$1,1),男子エントリー!$AH$7:$AH$406,0),3),""))</f>
        <v/>
      </c>
      <c r="AD23" s="1" t="str">
        <f t="shared" si="3"/>
        <v/>
      </c>
      <c r="AE23" s="1" t="str">
        <f t="shared" si="4"/>
        <v/>
      </c>
      <c r="AF23" s="1" t="str">
        <f t="shared" si="5"/>
        <v/>
      </c>
      <c r="AG23" s="1" t="str" cm="1">
        <f t="array" ref="AG23">_xlfn.IFNA(_xlfn.IFNA(INDEX(競技会設定!$X$2:$AC$24,MATCH(INDEX(男子エントリー!$J$7:$AH$406,MATCH($G23&amp;RIGHT(AG$1,1),男子エントリー!$AH$7:$AH$406,0),1),競技会設定!$AC$2:$AC$24,0),1),INDEX(競技会設定!$X$2:$AC$24,MATCH(INDEX(男子エントリー!$R$6:$V$406,MATCH($G23&amp;RIGHT(AG$1,1),男子エントリー!$V$6:$V$406,0)-MATCH($G23&amp;RIGHT(AG$1,1),男子エントリー!$V$6:$V$406,0)+1,1),競技会設定!$AC$2:$AC$24,0),1)),"")</f>
        <v/>
      </c>
      <c r="AH23" s="1" t="str">
        <f>IF(AG23=14,リレーエントリー!$I$12,_xlfn.IFNA(INDEX(男子エントリー!$J$7:$AH$406,MATCH($G23&amp;RIGHT(AI$1,1),男子エントリー!$AH$7:$AH$406,0),3),""))</f>
        <v/>
      </c>
      <c r="AI23" s="1" t="str">
        <f t="shared" si="6"/>
        <v/>
      </c>
      <c r="AJ23" s="1" t="str">
        <f t="shared" si="7"/>
        <v/>
      </c>
      <c r="AK23" s="1" t="str">
        <f t="shared" si="8"/>
        <v/>
      </c>
      <c r="AL23" s="1" t="str" cm="1">
        <f t="array" ref="AL23">_xlfn.IFNA(_xlfn.IFNA(INDEX(競技会設定!$X$2:$AC$24,MATCH(INDEX(男子エントリー!$J$7:$AH$406,MATCH($G23&amp;RIGHT(AL$1,1),男子エントリー!$AH$7:$AH$406,0),1),競技会設定!$AC$2:$AC$24,0),1),INDEX(競技会設定!$X$2:$AC$24,MATCH(INDEX(男子エントリー!$R$6:$V$406,MATCH($G23&amp;RIGHT(AL$1,1),男子エントリー!$V$6:$V$406,0)-MATCH($G23&amp;RIGHT(AL$1,1),男子エントリー!$V$6:$V$406,0)+1,1),競技会設定!$AC$2:$AC$24,0),1)),"")</f>
        <v/>
      </c>
      <c r="AM23" s="1" t="str">
        <f>IF(AL23=14,リレーエントリー!$I$12,_xlfn.IFNA(INDEX(男子エントリー!$J$7:$AH$406,MATCH($G23&amp;RIGHT(AN$1,1),男子エントリー!$AH$7:$AH$406,0),3),""))</f>
        <v/>
      </c>
      <c r="AN23" s="1" t="str">
        <f t="shared" si="9"/>
        <v/>
      </c>
      <c r="AO23" s="1" t="str">
        <f t="shared" si="10"/>
        <v/>
      </c>
      <c r="AP23" s="1" t="str">
        <f t="shared" si="11"/>
        <v/>
      </c>
    </row>
    <row r="24" spans="1:42">
      <c r="A24" s="1">
        <v>23</v>
      </c>
      <c r="B24" s="92" t="str">
        <f>男子エントリー!D95</f>
        <v/>
      </c>
      <c r="C24" s="1" t="str">
        <f>基本情報!$E$6</f>
        <v/>
      </c>
      <c r="D24" s="1" t="str">
        <f>基本情報!$E$7</f>
        <v/>
      </c>
      <c r="F24" s="92">
        <f>男子エントリー!C95</f>
        <v>0</v>
      </c>
      <c r="G24" s="92" t="str">
        <f>男子エントリー!E95</f>
        <v/>
      </c>
      <c r="H24" s="92" t="str">
        <f>男子エントリー!F95</f>
        <v/>
      </c>
      <c r="I24" s="1" t="str">
        <f t="shared" si="12"/>
        <v/>
      </c>
      <c r="J24" s="1" t="e">
        <f>LEFT(男子エントリー!E97,FIND(",",LEFT(男子エントリー!E97,LEN(男子エントリー!E97)-5))-1)&amp;LEFT(RIGHT(男子エントリー!E97,LEN(男子エントリー!E97)-FIND(",",男子エントリー!E97)),LEN(RIGHT(男子エントリー!E97,LEN(男子エントリー!E97)-FIND(",",男子エントリー!E97)))-5)</f>
        <v>#VALUE!</v>
      </c>
      <c r="K24" s="1" t="str">
        <f>男子エントリー!G97</f>
        <v/>
      </c>
      <c r="L24" s="1" t="str">
        <f t="shared" si="13"/>
        <v/>
      </c>
      <c r="M24" s="92" t="str">
        <f>男子エントリー!G95</f>
        <v/>
      </c>
      <c r="N24" s="92" t="e">
        <f>MID(男子エントリー!E97,FIND("(",男子エントリー!E97)+1,2)</f>
        <v>#VALUE!</v>
      </c>
      <c r="O24" s="1">
        <v>0</v>
      </c>
      <c r="P24" s="92" t="e">
        <f>VLOOKUP(男子エントリー!G96,競技会設定!$F$3:$I$50,2,0)</f>
        <v>#N/A</v>
      </c>
      <c r="R24" s="1" t="str" cm="1">
        <f t="array" ref="R24">_xlfn.IFNA(_xlfn.IFNA(INDEX(競技会設定!$X$2:$AC$24,MATCH(INDEX(男子エントリー!$J$7:$AH$406,MATCH($G24&amp;RIGHT(R$1,1),男子エントリー!$AH$7:$AH$406,0),1),競技会設定!$AC$2:$AC$24,0),1),INDEX(競技会設定!$X$2:$AC$24,MATCH(INDEX(男子エントリー!$R$6:$V$406,MATCH($G24&amp;RIGHT(R$1,1),男子エントリー!$V$6:$V$406,0)-MATCH($G24&amp;RIGHT(R$1,1),男子エントリー!$V$6:$V$406,0)+1,1),競技会設定!$AC$2:$AC$24,0),1)),"")</f>
        <v/>
      </c>
      <c r="S24" s="1" t="str">
        <f>IF(R24=14,リレーエントリー!$I$12,_xlfn.IFNA(INDEX(男子エントリー!$J$7:$AH$406,MATCH($G24&amp;RIGHT(T$1,1),男子エントリー!$AH$7:$AH$406,0),3),""))</f>
        <v/>
      </c>
      <c r="T24" s="1" t="str">
        <f t="shared" si="14"/>
        <v/>
      </c>
      <c r="U24" s="1" t="str">
        <f t="shared" si="17"/>
        <v/>
      </c>
      <c r="V24" s="1" t="str">
        <f t="shared" si="16"/>
        <v/>
      </c>
      <c r="W24" s="1" t="str" cm="1">
        <f t="array" ref="W24">_xlfn.IFNA(_xlfn.IFNA(INDEX(競技会設定!$X$2:$AC$24,MATCH(INDEX(男子エントリー!$J$7:$AH$406,MATCH($G24&amp;RIGHT(W$1,1),男子エントリー!$AH$7:$AH$406,0),1),競技会設定!$AC$2:$AC$24,0),1),INDEX(競技会設定!$X$2:$AC$24,MATCH(INDEX(男子エントリー!$R$6:$V$406,MATCH($G24&amp;RIGHT(W$1,1),男子エントリー!$V$6:$V$406,0)-MATCH($G24&amp;RIGHT(W$1,1),男子エントリー!$V$6:$V$406,0)+1,1),競技会設定!$AC$2:$AC$24,0),1)),"")</f>
        <v/>
      </c>
      <c r="X24" s="1" t="str">
        <f>IF(W24=14,リレーエントリー!$I$12,_xlfn.IFNA(INDEX(男子エントリー!$J$7:$AH$406,MATCH($G24&amp;RIGHT(Y$1,1),男子エントリー!$AH$7:$AH$406,0),3),""))</f>
        <v/>
      </c>
      <c r="Y24" s="1" t="str">
        <f t="shared" si="0"/>
        <v/>
      </c>
      <c r="Z24" s="1" t="str">
        <f t="shared" si="1"/>
        <v/>
      </c>
      <c r="AA24" s="1" t="str">
        <f t="shared" si="2"/>
        <v/>
      </c>
      <c r="AB24" s="1" t="str" cm="1">
        <f t="array" ref="AB24">_xlfn.IFNA(_xlfn.IFNA(INDEX(競技会設定!$X$2:$AC$24,MATCH(INDEX(男子エントリー!$J$7:$AH$406,MATCH($G24&amp;RIGHT(AB$1,1),男子エントリー!$AH$7:$AH$406,0),1),競技会設定!$AC$2:$AC$24,0),1),INDEX(競技会設定!$X$2:$AC$24,MATCH(INDEX(男子エントリー!$R$6:$V$406,MATCH($G24&amp;RIGHT(AB$1,1),男子エントリー!$V$6:$V$406,0)-MATCH($G24&amp;RIGHT(AB$1,1),男子エントリー!$V$6:$V$406,0)+1,1),競技会設定!$AC$2:$AC$24,0),1)),"")</f>
        <v/>
      </c>
      <c r="AC24" s="1" t="str">
        <f>IF(AB24=14,リレーエントリー!$I$12,_xlfn.IFNA(INDEX(男子エントリー!$J$7:$AH$406,MATCH($G24&amp;RIGHT(AD$1,1),男子エントリー!$AH$7:$AH$406,0),3),""))</f>
        <v/>
      </c>
      <c r="AD24" s="1" t="str">
        <f t="shared" si="3"/>
        <v/>
      </c>
      <c r="AE24" s="1" t="str">
        <f t="shared" si="4"/>
        <v/>
      </c>
      <c r="AF24" s="1" t="str">
        <f t="shared" si="5"/>
        <v/>
      </c>
      <c r="AG24" s="1" t="str" cm="1">
        <f t="array" ref="AG24">_xlfn.IFNA(_xlfn.IFNA(INDEX(競技会設定!$X$2:$AC$24,MATCH(INDEX(男子エントリー!$J$7:$AH$406,MATCH($G24&amp;RIGHT(AG$1,1),男子エントリー!$AH$7:$AH$406,0),1),競技会設定!$AC$2:$AC$24,0),1),INDEX(競技会設定!$X$2:$AC$24,MATCH(INDEX(男子エントリー!$R$6:$V$406,MATCH($G24&amp;RIGHT(AG$1,1),男子エントリー!$V$6:$V$406,0)-MATCH($G24&amp;RIGHT(AG$1,1),男子エントリー!$V$6:$V$406,0)+1,1),競技会設定!$AC$2:$AC$24,0),1)),"")</f>
        <v/>
      </c>
      <c r="AH24" s="1" t="str">
        <f>IF(AG24=14,リレーエントリー!$I$12,_xlfn.IFNA(INDEX(男子エントリー!$J$7:$AH$406,MATCH($G24&amp;RIGHT(AI$1,1),男子エントリー!$AH$7:$AH$406,0),3),""))</f>
        <v/>
      </c>
      <c r="AI24" s="1" t="str">
        <f t="shared" si="6"/>
        <v/>
      </c>
      <c r="AJ24" s="1" t="str">
        <f t="shared" si="7"/>
        <v/>
      </c>
      <c r="AK24" s="1" t="str">
        <f t="shared" si="8"/>
        <v/>
      </c>
      <c r="AL24" s="1" t="str" cm="1">
        <f t="array" ref="AL24">_xlfn.IFNA(_xlfn.IFNA(INDEX(競技会設定!$X$2:$AC$24,MATCH(INDEX(男子エントリー!$J$7:$AH$406,MATCH($G24&amp;RIGHT(AL$1,1),男子エントリー!$AH$7:$AH$406,0),1),競技会設定!$AC$2:$AC$24,0),1),INDEX(競技会設定!$X$2:$AC$24,MATCH(INDEX(男子エントリー!$R$6:$V$406,MATCH($G24&amp;RIGHT(AL$1,1),男子エントリー!$V$6:$V$406,0)-MATCH($G24&amp;RIGHT(AL$1,1),男子エントリー!$V$6:$V$406,0)+1,1),競技会設定!$AC$2:$AC$24,0),1)),"")</f>
        <v/>
      </c>
      <c r="AM24" s="1" t="str">
        <f>IF(AL24=14,リレーエントリー!$I$12,_xlfn.IFNA(INDEX(男子エントリー!$J$7:$AH$406,MATCH($G24&amp;RIGHT(AN$1,1),男子エントリー!$AH$7:$AH$406,0),3),""))</f>
        <v/>
      </c>
      <c r="AN24" s="1" t="str">
        <f t="shared" si="9"/>
        <v/>
      </c>
      <c r="AO24" s="1" t="str">
        <f t="shared" si="10"/>
        <v/>
      </c>
      <c r="AP24" s="1" t="str">
        <f t="shared" si="11"/>
        <v/>
      </c>
    </row>
    <row r="25" spans="1:42">
      <c r="A25" s="1">
        <v>24</v>
      </c>
      <c r="B25" s="92" t="str">
        <f>男子エントリー!D99</f>
        <v/>
      </c>
      <c r="C25" s="1" t="str">
        <f>基本情報!$E$6</f>
        <v/>
      </c>
      <c r="D25" s="1" t="str">
        <f>基本情報!$E$7</f>
        <v/>
      </c>
      <c r="F25" s="92">
        <f>男子エントリー!C99</f>
        <v>0</v>
      </c>
      <c r="G25" s="92" t="str">
        <f>男子エントリー!E99</f>
        <v/>
      </c>
      <c r="H25" s="92" t="str">
        <f>男子エントリー!F99</f>
        <v/>
      </c>
      <c r="I25" s="1" t="str">
        <f t="shared" si="12"/>
        <v/>
      </c>
      <c r="J25" s="1" t="e">
        <f>LEFT(男子エントリー!E101,FIND(",",LEFT(男子エントリー!E101,LEN(男子エントリー!E101)-5))-1)&amp;LEFT(RIGHT(男子エントリー!E101,LEN(男子エントリー!E101)-FIND(",",男子エントリー!E101)),LEN(RIGHT(男子エントリー!E101,LEN(男子エントリー!E101)-FIND(",",男子エントリー!E101)))-5)</f>
        <v>#VALUE!</v>
      </c>
      <c r="K25" s="1" t="str">
        <f>男子エントリー!G101</f>
        <v/>
      </c>
      <c r="L25" s="1" t="str">
        <f t="shared" si="13"/>
        <v/>
      </c>
      <c r="M25" s="92" t="str">
        <f>男子エントリー!G99</f>
        <v/>
      </c>
      <c r="N25" s="92" t="e">
        <f>MID(男子エントリー!E101,FIND("(",男子エントリー!E101)+1,2)</f>
        <v>#VALUE!</v>
      </c>
      <c r="O25" s="1">
        <v>0</v>
      </c>
      <c r="P25" s="92" t="e">
        <f>VLOOKUP(男子エントリー!G100,競技会設定!$F$3:$I$50,2,0)</f>
        <v>#N/A</v>
      </c>
      <c r="R25" s="1" t="str" cm="1">
        <f t="array" ref="R25">_xlfn.IFNA(_xlfn.IFNA(INDEX(競技会設定!$X$2:$AC$24,MATCH(INDEX(男子エントリー!$J$7:$AH$406,MATCH($G25&amp;RIGHT(R$1,1),男子エントリー!$AH$7:$AH$406,0),1),競技会設定!$AC$2:$AC$24,0),1),INDEX(競技会設定!$X$2:$AC$24,MATCH(INDEX(男子エントリー!$R$6:$V$406,MATCH($G25&amp;RIGHT(R$1,1),男子エントリー!$V$6:$V$406,0)-MATCH($G25&amp;RIGHT(R$1,1),男子エントリー!$V$6:$V$406,0)+1,1),競技会設定!$AC$2:$AC$24,0),1)),"")</f>
        <v/>
      </c>
      <c r="S25" s="1" t="str">
        <f>IF(R25=14,リレーエントリー!$I$12,_xlfn.IFNA(INDEX(男子エントリー!$J$7:$AH$406,MATCH($G25&amp;RIGHT(T$1,1),男子エントリー!$AH$7:$AH$406,0),3),""))</f>
        <v/>
      </c>
      <c r="T25" s="1" t="str">
        <f t="shared" si="14"/>
        <v/>
      </c>
      <c r="U25" s="1" t="str">
        <f t="shared" si="17"/>
        <v/>
      </c>
      <c r="V25" s="1" t="str">
        <f t="shared" si="16"/>
        <v/>
      </c>
      <c r="W25" s="1" t="str" cm="1">
        <f t="array" ref="W25">_xlfn.IFNA(_xlfn.IFNA(INDEX(競技会設定!$X$2:$AC$24,MATCH(INDEX(男子エントリー!$J$7:$AH$406,MATCH($G25&amp;RIGHT(W$1,1),男子エントリー!$AH$7:$AH$406,0),1),競技会設定!$AC$2:$AC$24,0),1),INDEX(競技会設定!$X$2:$AC$24,MATCH(INDEX(男子エントリー!$R$6:$V$406,MATCH($G25&amp;RIGHT(W$1,1),男子エントリー!$V$6:$V$406,0)-MATCH($G25&amp;RIGHT(W$1,1),男子エントリー!$V$6:$V$406,0)+1,1),競技会設定!$AC$2:$AC$24,0),1)),"")</f>
        <v/>
      </c>
      <c r="X25" s="1" t="str">
        <f>IF(W25=14,リレーエントリー!$I$12,_xlfn.IFNA(INDEX(男子エントリー!$J$7:$AH$406,MATCH($G25&amp;RIGHT(Y$1,1),男子エントリー!$AH$7:$AH$406,0),3),""))</f>
        <v/>
      </c>
      <c r="Y25" s="1" t="str">
        <f t="shared" si="0"/>
        <v/>
      </c>
      <c r="Z25" s="1" t="str">
        <f t="shared" si="1"/>
        <v/>
      </c>
      <c r="AA25" s="1" t="str">
        <f t="shared" si="2"/>
        <v/>
      </c>
      <c r="AB25" s="1" t="str" cm="1">
        <f t="array" ref="AB25">_xlfn.IFNA(_xlfn.IFNA(INDEX(競技会設定!$X$2:$AC$24,MATCH(INDEX(男子エントリー!$J$7:$AH$406,MATCH($G25&amp;RIGHT(AB$1,1),男子エントリー!$AH$7:$AH$406,0),1),競技会設定!$AC$2:$AC$24,0),1),INDEX(競技会設定!$X$2:$AC$24,MATCH(INDEX(男子エントリー!$R$6:$V$406,MATCH($G25&amp;RIGHT(AB$1,1),男子エントリー!$V$6:$V$406,0)-MATCH($G25&amp;RIGHT(AB$1,1),男子エントリー!$V$6:$V$406,0)+1,1),競技会設定!$AC$2:$AC$24,0),1)),"")</f>
        <v/>
      </c>
      <c r="AC25" s="1" t="str">
        <f>IF(AB25=14,リレーエントリー!$I$12,_xlfn.IFNA(INDEX(男子エントリー!$J$7:$AH$406,MATCH($G25&amp;RIGHT(AD$1,1),男子エントリー!$AH$7:$AH$406,0),3),""))</f>
        <v/>
      </c>
      <c r="AD25" s="1" t="str">
        <f t="shared" si="3"/>
        <v/>
      </c>
      <c r="AE25" s="1" t="str">
        <f t="shared" si="4"/>
        <v/>
      </c>
      <c r="AF25" s="1" t="str">
        <f t="shared" si="5"/>
        <v/>
      </c>
      <c r="AG25" s="1" t="str" cm="1">
        <f t="array" ref="AG25">_xlfn.IFNA(_xlfn.IFNA(INDEX(競技会設定!$X$2:$AC$24,MATCH(INDEX(男子エントリー!$J$7:$AH$406,MATCH($G25&amp;RIGHT(AG$1,1),男子エントリー!$AH$7:$AH$406,0),1),競技会設定!$AC$2:$AC$24,0),1),INDEX(競技会設定!$X$2:$AC$24,MATCH(INDEX(男子エントリー!$R$6:$V$406,MATCH($G25&amp;RIGHT(AG$1,1),男子エントリー!$V$6:$V$406,0)-MATCH($G25&amp;RIGHT(AG$1,1),男子エントリー!$V$6:$V$406,0)+1,1),競技会設定!$AC$2:$AC$24,0),1)),"")</f>
        <v/>
      </c>
      <c r="AH25" s="1" t="str">
        <f>IF(AG25=14,リレーエントリー!$I$12,_xlfn.IFNA(INDEX(男子エントリー!$J$7:$AH$406,MATCH($G25&amp;RIGHT(AI$1,1),男子エントリー!$AH$7:$AH$406,0),3),""))</f>
        <v/>
      </c>
      <c r="AI25" s="1" t="str">
        <f t="shared" si="6"/>
        <v/>
      </c>
      <c r="AJ25" s="1" t="str">
        <f t="shared" si="7"/>
        <v/>
      </c>
      <c r="AK25" s="1" t="str">
        <f t="shared" si="8"/>
        <v/>
      </c>
      <c r="AL25" s="1" t="str" cm="1">
        <f t="array" ref="AL25">_xlfn.IFNA(_xlfn.IFNA(INDEX(競技会設定!$X$2:$AC$24,MATCH(INDEX(男子エントリー!$J$7:$AH$406,MATCH($G25&amp;RIGHT(AL$1,1),男子エントリー!$AH$7:$AH$406,0),1),競技会設定!$AC$2:$AC$24,0),1),INDEX(競技会設定!$X$2:$AC$24,MATCH(INDEX(男子エントリー!$R$6:$V$406,MATCH($G25&amp;RIGHT(AL$1,1),男子エントリー!$V$6:$V$406,0)-MATCH($G25&amp;RIGHT(AL$1,1),男子エントリー!$V$6:$V$406,0)+1,1),競技会設定!$AC$2:$AC$24,0),1)),"")</f>
        <v/>
      </c>
      <c r="AM25" s="1" t="str">
        <f>IF(AL25=14,リレーエントリー!$I$12,_xlfn.IFNA(INDEX(男子エントリー!$J$7:$AH$406,MATCH($G25&amp;RIGHT(AN$1,1),男子エントリー!$AH$7:$AH$406,0),3),""))</f>
        <v/>
      </c>
      <c r="AN25" s="1" t="str">
        <f t="shared" si="9"/>
        <v/>
      </c>
      <c r="AO25" s="1" t="str">
        <f t="shared" si="10"/>
        <v/>
      </c>
      <c r="AP25" s="1" t="str">
        <f t="shared" si="11"/>
        <v/>
      </c>
    </row>
    <row r="26" spans="1:42">
      <c r="A26" s="1">
        <v>25</v>
      </c>
      <c r="B26" s="92" t="str">
        <f>男子エントリー!D103</f>
        <v/>
      </c>
      <c r="C26" s="1" t="str">
        <f>基本情報!$E$6</f>
        <v/>
      </c>
      <c r="D26" s="1" t="str">
        <f>基本情報!$E$7</f>
        <v/>
      </c>
      <c r="F26" s="92">
        <f>男子エントリー!C103</f>
        <v>0</v>
      </c>
      <c r="G26" s="92" t="str">
        <f>男子エントリー!E103</f>
        <v/>
      </c>
      <c r="H26" s="92" t="str">
        <f>男子エントリー!F103</f>
        <v/>
      </c>
      <c r="I26" s="1" t="str">
        <f t="shared" si="12"/>
        <v/>
      </c>
      <c r="J26" s="1" t="e">
        <f>LEFT(男子エントリー!E105,FIND(",",LEFT(男子エントリー!E105,LEN(男子エントリー!E105)-5))-1)&amp;LEFT(RIGHT(男子エントリー!E105,LEN(男子エントリー!E105)-FIND(",",男子エントリー!E105)),LEN(RIGHT(男子エントリー!E105,LEN(男子エントリー!E105)-FIND(",",男子エントリー!E105)))-5)</f>
        <v>#VALUE!</v>
      </c>
      <c r="K26" s="1" t="str">
        <f>男子エントリー!G105</f>
        <v/>
      </c>
      <c r="L26" s="1" t="str">
        <f t="shared" si="13"/>
        <v/>
      </c>
      <c r="M26" s="92" t="str">
        <f>男子エントリー!G103</f>
        <v/>
      </c>
      <c r="N26" s="92" t="e">
        <f>MID(男子エントリー!E105,FIND("(",男子エントリー!E105)+1,2)</f>
        <v>#VALUE!</v>
      </c>
      <c r="O26" s="1">
        <v>0</v>
      </c>
      <c r="P26" s="92" t="e">
        <f>VLOOKUP(男子エントリー!G104,競技会設定!$F$3:$I$50,2,0)</f>
        <v>#N/A</v>
      </c>
      <c r="R26" s="1" t="str" cm="1">
        <f t="array" ref="R26">_xlfn.IFNA(_xlfn.IFNA(INDEX(競技会設定!$X$2:$AC$24,MATCH(INDEX(男子エントリー!$J$7:$AH$406,MATCH($G26&amp;RIGHT(R$1,1),男子エントリー!$AH$7:$AH$406,0),1),競技会設定!$AC$2:$AC$24,0),1),INDEX(競技会設定!$X$2:$AC$24,MATCH(INDEX(男子エントリー!$R$6:$V$406,MATCH($G26&amp;RIGHT(R$1,1),男子エントリー!$V$6:$V$406,0)-MATCH($G26&amp;RIGHT(R$1,1),男子エントリー!$V$6:$V$406,0)+1,1),競技会設定!$AC$2:$AC$24,0),1)),"")</f>
        <v/>
      </c>
      <c r="S26" s="1" t="str">
        <f>IF(R26=14,リレーエントリー!$I$12,_xlfn.IFNA(INDEX(男子エントリー!$J$7:$AH$406,MATCH($G26&amp;RIGHT(T$1,1),男子エントリー!$AH$7:$AH$406,0),3),""))</f>
        <v/>
      </c>
      <c r="T26" s="1" t="str">
        <f t="shared" si="14"/>
        <v/>
      </c>
      <c r="U26" s="1" t="str">
        <f t="shared" si="17"/>
        <v/>
      </c>
      <c r="V26" s="1" t="str">
        <f t="shared" si="16"/>
        <v/>
      </c>
      <c r="W26" s="1" t="str" cm="1">
        <f t="array" ref="W26">_xlfn.IFNA(_xlfn.IFNA(INDEX(競技会設定!$X$2:$AC$24,MATCH(INDEX(男子エントリー!$J$7:$AH$406,MATCH($G26&amp;RIGHT(W$1,1),男子エントリー!$AH$7:$AH$406,0),1),競技会設定!$AC$2:$AC$24,0),1),INDEX(競技会設定!$X$2:$AC$24,MATCH(INDEX(男子エントリー!$R$6:$V$406,MATCH($G26&amp;RIGHT(W$1,1),男子エントリー!$V$6:$V$406,0)-MATCH($G26&amp;RIGHT(W$1,1),男子エントリー!$V$6:$V$406,0)+1,1),競技会設定!$AC$2:$AC$24,0),1)),"")</f>
        <v/>
      </c>
      <c r="X26" s="1" t="str">
        <f>IF(W26=14,リレーエントリー!$I$12,_xlfn.IFNA(INDEX(男子エントリー!$J$7:$AH$406,MATCH($G26&amp;RIGHT(Y$1,1),男子エントリー!$AH$7:$AH$406,0),3),""))</f>
        <v/>
      </c>
      <c r="Y26" s="1" t="str">
        <f t="shared" si="0"/>
        <v/>
      </c>
      <c r="Z26" s="1" t="str">
        <f t="shared" si="1"/>
        <v/>
      </c>
      <c r="AA26" s="1" t="str">
        <f t="shared" si="2"/>
        <v/>
      </c>
      <c r="AB26" s="1" t="str" cm="1">
        <f t="array" ref="AB26">_xlfn.IFNA(_xlfn.IFNA(INDEX(競技会設定!$X$2:$AC$24,MATCH(INDEX(男子エントリー!$J$7:$AH$406,MATCH($G26&amp;RIGHT(AB$1,1),男子エントリー!$AH$7:$AH$406,0),1),競技会設定!$AC$2:$AC$24,0),1),INDEX(競技会設定!$X$2:$AC$24,MATCH(INDEX(男子エントリー!$R$6:$V$406,MATCH($G26&amp;RIGHT(AB$1,1),男子エントリー!$V$6:$V$406,0)-MATCH($G26&amp;RIGHT(AB$1,1),男子エントリー!$V$6:$V$406,0)+1,1),競技会設定!$AC$2:$AC$24,0),1)),"")</f>
        <v/>
      </c>
      <c r="AC26" s="1" t="str">
        <f>IF(AB26=14,リレーエントリー!$I$12,_xlfn.IFNA(INDEX(男子エントリー!$J$7:$AH$406,MATCH($G26&amp;RIGHT(AD$1,1),男子エントリー!$AH$7:$AH$406,0),3),""))</f>
        <v/>
      </c>
      <c r="AD26" s="1" t="str">
        <f t="shared" si="3"/>
        <v/>
      </c>
      <c r="AE26" s="1" t="str">
        <f t="shared" si="4"/>
        <v/>
      </c>
      <c r="AF26" s="1" t="str">
        <f t="shared" si="5"/>
        <v/>
      </c>
      <c r="AG26" s="1" t="str" cm="1">
        <f t="array" ref="AG26">_xlfn.IFNA(_xlfn.IFNA(INDEX(競技会設定!$X$2:$AC$24,MATCH(INDEX(男子エントリー!$J$7:$AH$406,MATCH($G26&amp;RIGHT(AG$1,1),男子エントリー!$AH$7:$AH$406,0),1),競技会設定!$AC$2:$AC$24,0),1),INDEX(競技会設定!$X$2:$AC$24,MATCH(INDEX(男子エントリー!$R$6:$V$406,MATCH($G26&amp;RIGHT(AG$1,1),男子エントリー!$V$6:$V$406,0)-MATCH($G26&amp;RIGHT(AG$1,1),男子エントリー!$V$6:$V$406,0)+1,1),競技会設定!$AC$2:$AC$24,0),1)),"")</f>
        <v/>
      </c>
      <c r="AH26" s="1" t="str">
        <f>IF(AG26=14,リレーエントリー!$I$12,_xlfn.IFNA(INDEX(男子エントリー!$J$7:$AH$406,MATCH($G26&amp;RIGHT(AI$1,1),男子エントリー!$AH$7:$AH$406,0),3),""))</f>
        <v/>
      </c>
      <c r="AI26" s="1" t="str">
        <f t="shared" si="6"/>
        <v/>
      </c>
      <c r="AJ26" s="1" t="str">
        <f t="shared" si="7"/>
        <v/>
      </c>
      <c r="AK26" s="1" t="str">
        <f t="shared" si="8"/>
        <v/>
      </c>
      <c r="AL26" s="1" t="str" cm="1">
        <f t="array" ref="AL26">_xlfn.IFNA(_xlfn.IFNA(INDEX(競技会設定!$X$2:$AC$24,MATCH(INDEX(男子エントリー!$J$7:$AH$406,MATCH($G26&amp;RIGHT(AL$1,1),男子エントリー!$AH$7:$AH$406,0),1),競技会設定!$AC$2:$AC$24,0),1),INDEX(競技会設定!$X$2:$AC$24,MATCH(INDEX(男子エントリー!$R$6:$V$406,MATCH($G26&amp;RIGHT(AL$1,1),男子エントリー!$V$6:$V$406,0)-MATCH($G26&amp;RIGHT(AL$1,1),男子エントリー!$V$6:$V$406,0)+1,1),競技会設定!$AC$2:$AC$24,0),1)),"")</f>
        <v/>
      </c>
      <c r="AM26" s="1" t="str">
        <f>IF(AL26=14,リレーエントリー!$I$12,_xlfn.IFNA(INDEX(男子エントリー!$J$7:$AH$406,MATCH($G26&amp;RIGHT(AN$1,1),男子エントリー!$AH$7:$AH$406,0),3),""))</f>
        <v/>
      </c>
      <c r="AN26" s="1" t="str">
        <f t="shared" si="9"/>
        <v/>
      </c>
      <c r="AO26" s="1" t="str">
        <f t="shared" si="10"/>
        <v/>
      </c>
      <c r="AP26" s="1" t="str">
        <f t="shared" si="11"/>
        <v/>
      </c>
    </row>
    <row r="27" spans="1:42">
      <c r="A27" s="1">
        <v>26</v>
      </c>
      <c r="B27" s="92" t="str">
        <f>男子エントリー!D107</f>
        <v/>
      </c>
      <c r="C27" s="1" t="str">
        <f>基本情報!$E$6</f>
        <v/>
      </c>
      <c r="D27" s="1" t="str">
        <f>基本情報!$E$7</f>
        <v/>
      </c>
      <c r="F27" s="92">
        <f>男子エントリー!C107</f>
        <v>0</v>
      </c>
      <c r="G27" s="92" t="str">
        <f>男子エントリー!E107</f>
        <v/>
      </c>
      <c r="H27" s="92" t="str">
        <f>男子エントリー!F107</f>
        <v/>
      </c>
      <c r="I27" s="1" t="str">
        <f t="shared" si="12"/>
        <v/>
      </c>
      <c r="J27" s="1" t="e">
        <f>LEFT(男子エントリー!E109,FIND(",",LEFT(男子エントリー!E109,LEN(男子エントリー!E109)-5))-1)&amp;LEFT(RIGHT(男子エントリー!E109,LEN(男子エントリー!E109)-FIND(",",男子エントリー!E109)),LEN(RIGHT(男子エントリー!E109,LEN(男子エントリー!E109)-FIND(",",男子エントリー!E109)))-5)</f>
        <v>#VALUE!</v>
      </c>
      <c r="K27" s="1" t="str">
        <f>男子エントリー!G109</f>
        <v/>
      </c>
      <c r="L27" s="1" t="str">
        <f t="shared" si="13"/>
        <v/>
      </c>
      <c r="M27" s="92" t="str">
        <f>男子エントリー!G107</f>
        <v/>
      </c>
      <c r="N27" s="92" t="e">
        <f>MID(男子エントリー!E109,FIND("(",男子エントリー!E109)+1,2)</f>
        <v>#VALUE!</v>
      </c>
      <c r="O27" s="1">
        <v>0</v>
      </c>
      <c r="P27" s="92" t="e">
        <f>VLOOKUP(男子エントリー!G108,競技会設定!$F$3:$I$50,2,0)</f>
        <v>#N/A</v>
      </c>
      <c r="R27" s="1" t="str" cm="1">
        <f t="array" ref="R27">_xlfn.IFNA(_xlfn.IFNA(INDEX(競技会設定!$X$2:$AC$24,MATCH(INDEX(男子エントリー!$J$7:$AH$406,MATCH($G27&amp;RIGHT(R$1,1),男子エントリー!$AH$7:$AH$406,0),1),競技会設定!$AC$2:$AC$24,0),1),INDEX(競技会設定!$X$2:$AC$24,MATCH(INDEX(男子エントリー!$R$6:$V$406,MATCH($G27&amp;RIGHT(R$1,1),男子エントリー!$V$6:$V$406,0)-MATCH($G27&amp;RIGHT(R$1,1),男子エントリー!$V$6:$V$406,0)+1,1),競技会設定!$AC$2:$AC$24,0),1)),"")</f>
        <v/>
      </c>
      <c r="S27" s="1" t="str">
        <f>IF(R27=14,リレーエントリー!$I$12,_xlfn.IFNA(INDEX(男子エントリー!$J$7:$AH$406,MATCH($G27&amp;RIGHT(T$1,1),男子エントリー!$AH$7:$AH$406,0),3),""))</f>
        <v/>
      </c>
      <c r="T27" s="1" t="str">
        <f t="shared" si="14"/>
        <v/>
      </c>
      <c r="U27" s="1" t="str">
        <f t="shared" si="17"/>
        <v/>
      </c>
      <c r="V27" s="1" t="str">
        <f t="shared" si="16"/>
        <v/>
      </c>
      <c r="W27" s="1" t="str" cm="1">
        <f t="array" ref="W27">_xlfn.IFNA(_xlfn.IFNA(INDEX(競技会設定!$X$2:$AC$24,MATCH(INDEX(男子エントリー!$J$7:$AH$406,MATCH($G27&amp;RIGHT(W$1,1),男子エントリー!$AH$7:$AH$406,0),1),競技会設定!$AC$2:$AC$24,0),1),INDEX(競技会設定!$X$2:$AC$24,MATCH(INDEX(男子エントリー!$R$6:$V$406,MATCH($G27&amp;RIGHT(W$1,1),男子エントリー!$V$6:$V$406,0)-MATCH($G27&amp;RIGHT(W$1,1),男子エントリー!$V$6:$V$406,0)+1,1),競技会設定!$AC$2:$AC$24,0),1)),"")</f>
        <v/>
      </c>
      <c r="X27" s="1" t="str">
        <f>IF(W27=14,リレーエントリー!$I$12,_xlfn.IFNA(INDEX(男子エントリー!$J$7:$AH$406,MATCH($G27&amp;RIGHT(Y$1,1),男子エントリー!$AH$7:$AH$406,0),3),""))</f>
        <v/>
      </c>
      <c r="Y27" s="1" t="str">
        <f t="shared" si="0"/>
        <v/>
      </c>
      <c r="Z27" s="1" t="str">
        <f t="shared" si="1"/>
        <v/>
      </c>
      <c r="AA27" s="1" t="str">
        <f t="shared" si="2"/>
        <v/>
      </c>
      <c r="AB27" s="1" t="str" cm="1">
        <f t="array" ref="AB27">_xlfn.IFNA(_xlfn.IFNA(INDEX(競技会設定!$X$2:$AC$24,MATCH(INDEX(男子エントリー!$J$7:$AH$406,MATCH($G27&amp;RIGHT(AB$1,1),男子エントリー!$AH$7:$AH$406,0),1),競技会設定!$AC$2:$AC$24,0),1),INDEX(競技会設定!$X$2:$AC$24,MATCH(INDEX(男子エントリー!$R$6:$V$406,MATCH($G27&amp;RIGHT(AB$1,1),男子エントリー!$V$6:$V$406,0)-MATCH($G27&amp;RIGHT(AB$1,1),男子エントリー!$V$6:$V$406,0)+1,1),競技会設定!$AC$2:$AC$24,0),1)),"")</f>
        <v/>
      </c>
      <c r="AC27" s="1" t="str">
        <f>IF(AB27=14,リレーエントリー!$I$12,_xlfn.IFNA(INDEX(男子エントリー!$J$7:$AH$406,MATCH($G27&amp;RIGHT(AD$1,1),男子エントリー!$AH$7:$AH$406,0),3),""))</f>
        <v/>
      </c>
      <c r="AD27" s="1" t="str">
        <f t="shared" si="3"/>
        <v/>
      </c>
      <c r="AE27" s="1" t="str">
        <f t="shared" si="4"/>
        <v/>
      </c>
      <c r="AF27" s="1" t="str">
        <f t="shared" si="5"/>
        <v/>
      </c>
      <c r="AG27" s="1" t="str" cm="1">
        <f t="array" ref="AG27">_xlfn.IFNA(_xlfn.IFNA(INDEX(競技会設定!$X$2:$AC$24,MATCH(INDEX(男子エントリー!$J$7:$AH$406,MATCH($G27&amp;RIGHT(AG$1,1),男子エントリー!$AH$7:$AH$406,0),1),競技会設定!$AC$2:$AC$24,0),1),INDEX(競技会設定!$X$2:$AC$24,MATCH(INDEX(男子エントリー!$R$6:$V$406,MATCH($G27&amp;RIGHT(AG$1,1),男子エントリー!$V$6:$V$406,0)-MATCH($G27&amp;RIGHT(AG$1,1),男子エントリー!$V$6:$V$406,0)+1,1),競技会設定!$AC$2:$AC$24,0),1)),"")</f>
        <v/>
      </c>
      <c r="AH27" s="1" t="str">
        <f>IF(AG27=14,リレーエントリー!$I$12,_xlfn.IFNA(INDEX(男子エントリー!$J$7:$AH$406,MATCH($G27&amp;RIGHT(AI$1,1),男子エントリー!$AH$7:$AH$406,0),3),""))</f>
        <v/>
      </c>
      <c r="AI27" s="1" t="str">
        <f t="shared" si="6"/>
        <v/>
      </c>
      <c r="AJ27" s="1" t="str">
        <f t="shared" si="7"/>
        <v/>
      </c>
      <c r="AK27" s="1" t="str">
        <f t="shared" si="8"/>
        <v/>
      </c>
      <c r="AL27" s="1" t="str" cm="1">
        <f t="array" ref="AL27">_xlfn.IFNA(_xlfn.IFNA(INDEX(競技会設定!$X$2:$AC$24,MATCH(INDEX(男子エントリー!$J$7:$AH$406,MATCH($G27&amp;RIGHT(AL$1,1),男子エントリー!$AH$7:$AH$406,0),1),競技会設定!$AC$2:$AC$24,0),1),INDEX(競技会設定!$X$2:$AC$24,MATCH(INDEX(男子エントリー!$R$6:$V$406,MATCH($G27&amp;RIGHT(AL$1,1),男子エントリー!$V$6:$V$406,0)-MATCH($G27&amp;RIGHT(AL$1,1),男子エントリー!$V$6:$V$406,0)+1,1),競技会設定!$AC$2:$AC$24,0),1)),"")</f>
        <v/>
      </c>
      <c r="AM27" s="1" t="str">
        <f>IF(AL27=14,リレーエントリー!$I$12,_xlfn.IFNA(INDEX(男子エントリー!$J$7:$AH$406,MATCH($G27&amp;RIGHT(AN$1,1),男子エントリー!$AH$7:$AH$406,0),3),""))</f>
        <v/>
      </c>
      <c r="AN27" s="1" t="str">
        <f t="shared" si="9"/>
        <v/>
      </c>
      <c r="AO27" s="1" t="str">
        <f t="shared" si="10"/>
        <v/>
      </c>
      <c r="AP27" s="1" t="str">
        <f t="shared" si="11"/>
        <v/>
      </c>
    </row>
    <row r="28" spans="1:42">
      <c r="A28" s="1">
        <v>27</v>
      </c>
      <c r="B28" s="92" t="str">
        <f>男子エントリー!D111</f>
        <v/>
      </c>
      <c r="C28" s="1" t="str">
        <f>基本情報!$E$6</f>
        <v/>
      </c>
      <c r="D28" s="1" t="str">
        <f>基本情報!$E$7</f>
        <v/>
      </c>
      <c r="F28" s="92">
        <f>男子エントリー!C111</f>
        <v>0</v>
      </c>
      <c r="G28" s="92" t="str">
        <f>男子エントリー!E111</f>
        <v/>
      </c>
      <c r="H28" s="92" t="str">
        <f>男子エントリー!F111</f>
        <v/>
      </c>
      <c r="I28" s="1" t="str">
        <f t="shared" si="12"/>
        <v/>
      </c>
      <c r="J28" s="1" t="e">
        <f>LEFT(男子エントリー!E113,FIND(",",LEFT(男子エントリー!E113,LEN(男子エントリー!E113)-5))-1)&amp;LEFT(RIGHT(男子エントリー!E113,LEN(男子エントリー!E113)-FIND(",",男子エントリー!E113)),LEN(RIGHT(男子エントリー!E113,LEN(男子エントリー!E113)-FIND(",",男子エントリー!E113)))-5)</f>
        <v>#VALUE!</v>
      </c>
      <c r="K28" s="1" t="str">
        <f>男子エントリー!G113</f>
        <v/>
      </c>
      <c r="L28" s="1" t="str">
        <f t="shared" si="13"/>
        <v/>
      </c>
      <c r="M28" s="92" t="str">
        <f>男子エントリー!G111</f>
        <v/>
      </c>
      <c r="N28" s="92" t="e">
        <f>MID(男子エントリー!E113,FIND("(",男子エントリー!E113)+1,2)</f>
        <v>#VALUE!</v>
      </c>
      <c r="O28" s="1">
        <v>0</v>
      </c>
      <c r="P28" s="92" t="e">
        <f>VLOOKUP(男子エントリー!G112,競技会設定!$F$3:$I$50,2,0)</f>
        <v>#N/A</v>
      </c>
      <c r="R28" s="1" t="str" cm="1">
        <f t="array" ref="R28">_xlfn.IFNA(_xlfn.IFNA(INDEX(競技会設定!$X$2:$AC$24,MATCH(INDEX(男子エントリー!$J$7:$AH$406,MATCH($G28&amp;RIGHT(R$1,1),男子エントリー!$AH$7:$AH$406,0),1),競技会設定!$AC$2:$AC$24,0),1),INDEX(競技会設定!$X$2:$AC$24,MATCH(INDEX(男子エントリー!$R$6:$V$406,MATCH($G28&amp;RIGHT(R$1,1),男子エントリー!$V$6:$V$406,0)-MATCH($G28&amp;RIGHT(R$1,1),男子エントリー!$V$6:$V$406,0)+1,1),競技会設定!$AC$2:$AC$24,0),1)),"")</f>
        <v/>
      </c>
      <c r="S28" s="1" t="str">
        <f>IF(R28=14,リレーエントリー!$I$12,_xlfn.IFNA(INDEX(男子エントリー!$J$7:$AH$406,MATCH($G28&amp;RIGHT(T$1,1),男子エントリー!$AH$7:$AH$406,0),3),""))</f>
        <v/>
      </c>
      <c r="T28" s="1" t="str">
        <f t="shared" si="14"/>
        <v/>
      </c>
      <c r="U28" s="1" t="str">
        <f t="shared" si="17"/>
        <v/>
      </c>
      <c r="V28" s="1" t="str">
        <f t="shared" si="16"/>
        <v/>
      </c>
      <c r="W28" s="1" t="str" cm="1">
        <f t="array" ref="W28">_xlfn.IFNA(_xlfn.IFNA(INDEX(競技会設定!$X$2:$AC$24,MATCH(INDEX(男子エントリー!$J$7:$AH$406,MATCH($G28&amp;RIGHT(W$1,1),男子エントリー!$AH$7:$AH$406,0),1),競技会設定!$AC$2:$AC$24,0),1),INDEX(競技会設定!$X$2:$AC$24,MATCH(INDEX(男子エントリー!$R$6:$V$406,MATCH($G28&amp;RIGHT(W$1,1),男子エントリー!$V$6:$V$406,0)-MATCH($G28&amp;RIGHT(W$1,1),男子エントリー!$V$6:$V$406,0)+1,1),競技会設定!$AC$2:$AC$24,0),1)),"")</f>
        <v/>
      </c>
      <c r="X28" s="1" t="str">
        <f>IF(W28=14,リレーエントリー!$I$12,_xlfn.IFNA(INDEX(男子エントリー!$J$7:$AH$406,MATCH($G28&amp;RIGHT(Y$1,1),男子エントリー!$AH$7:$AH$406,0),3),""))</f>
        <v/>
      </c>
      <c r="Y28" s="1" t="str">
        <f t="shared" si="0"/>
        <v/>
      </c>
      <c r="Z28" s="1" t="str">
        <f t="shared" si="1"/>
        <v/>
      </c>
      <c r="AA28" s="1" t="str">
        <f t="shared" si="2"/>
        <v/>
      </c>
      <c r="AB28" s="1" t="str" cm="1">
        <f t="array" ref="AB28">_xlfn.IFNA(_xlfn.IFNA(INDEX(競技会設定!$X$2:$AC$24,MATCH(INDEX(男子エントリー!$J$7:$AH$406,MATCH($G28&amp;RIGHT(AB$1,1),男子エントリー!$AH$7:$AH$406,0),1),競技会設定!$AC$2:$AC$24,0),1),INDEX(競技会設定!$X$2:$AC$24,MATCH(INDEX(男子エントリー!$R$6:$V$406,MATCH($G28&amp;RIGHT(AB$1,1),男子エントリー!$V$6:$V$406,0)-MATCH($G28&amp;RIGHT(AB$1,1),男子エントリー!$V$6:$V$406,0)+1,1),競技会設定!$AC$2:$AC$24,0),1)),"")</f>
        <v/>
      </c>
      <c r="AC28" s="1" t="str">
        <f>IF(AB28=14,リレーエントリー!$I$12,_xlfn.IFNA(INDEX(男子エントリー!$J$7:$AH$406,MATCH($G28&amp;RIGHT(AD$1,1),男子エントリー!$AH$7:$AH$406,0),3),""))</f>
        <v/>
      </c>
      <c r="AD28" s="1" t="str">
        <f t="shared" si="3"/>
        <v/>
      </c>
      <c r="AE28" s="1" t="str">
        <f t="shared" si="4"/>
        <v/>
      </c>
      <c r="AF28" s="1" t="str">
        <f t="shared" si="5"/>
        <v/>
      </c>
      <c r="AG28" s="1" t="str" cm="1">
        <f t="array" ref="AG28">_xlfn.IFNA(_xlfn.IFNA(INDEX(競技会設定!$X$2:$AC$24,MATCH(INDEX(男子エントリー!$J$7:$AH$406,MATCH($G28&amp;RIGHT(AG$1,1),男子エントリー!$AH$7:$AH$406,0),1),競技会設定!$AC$2:$AC$24,0),1),INDEX(競技会設定!$X$2:$AC$24,MATCH(INDEX(男子エントリー!$R$6:$V$406,MATCH($G28&amp;RIGHT(AG$1,1),男子エントリー!$V$6:$V$406,0)-MATCH($G28&amp;RIGHT(AG$1,1),男子エントリー!$V$6:$V$406,0)+1,1),競技会設定!$AC$2:$AC$24,0),1)),"")</f>
        <v/>
      </c>
      <c r="AH28" s="1" t="str">
        <f>IF(AG28=14,リレーエントリー!$I$12,_xlfn.IFNA(INDEX(男子エントリー!$J$7:$AH$406,MATCH($G28&amp;RIGHT(AI$1,1),男子エントリー!$AH$7:$AH$406,0),3),""))</f>
        <v/>
      </c>
      <c r="AI28" s="1" t="str">
        <f t="shared" si="6"/>
        <v/>
      </c>
      <c r="AJ28" s="1" t="str">
        <f t="shared" si="7"/>
        <v/>
      </c>
      <c r="AK28" s="1" t="str">
        <f t="shared" si="8"/>
        <v/>
      </c>
      <c r="AL28" s="1" t="str" cm="1">
        <f t="array" ref="AL28">_xlfn.IFNA(_xlfn.IFNA(INDEX(競技会設定!$X$2:$AC$24,MATCH(INDEX(男子エントリー!$J$7:$AH$406,MATCH($G28&amp;RIGHT(AL$1,1),男子エントリー!$AH$7:$AH$406,0),1),競技会設定!$AC$2:$AC$24,0),1),INDEX(競技会設定!$X$2:$AC$24,MATCH(INDEX(男子エントリー!$R$6:$V$406,MATCH($G28&amp;RIGHT(AL$1,1),男子エントリー!$V$6:$V$406,0)-MATCH($G28&amp;RIGHT(AL$1,1),男子エントリー!$V$6:$V$406,0)+1,1),競技会設定!$AC$2:$AC$24,0),1)),"")</f>
        <v/>
      </c>
      <c r="AM28" s="1" t="str">
        <f>IF(AL28=14,リレーエントリー!$I$12,_xlfn.IFNA(INDEX(男子エントリー!$J$7:$AH$406,MATCH($G28&amp;RIGHT(AN$1,1),男子エントリー!$AH$7:$AH$406,0),3),""))</f>
        <v/>
      </c>
      <c r="AN28" s="1" t="str">
        <f t="shared" si="9"/>
        <v/>
      </c>
      <c r="AO28" s="1" t="str">
        <f t="shared" si="10"/>
        <v/>
      </c>
      <c r="AP28" s="1" t="str">
        <f t="shared" si="11"/>
        <v/>
      </c>
    </row>
    <row r="29" spans="1:42">
      <c r="A29" s="1">
        <v>28</v>
      </c>
      <c r="B29" s="92" t="str">
        <f>男子エントリー!D115</f>
        <v/>
      </c>
      <c r="C29" s="1" t="str">
        <f>基本情報!$E$6</f>
        <v/>
      </c>
      <c r="D29" s="1" t="str">
        <f>基本情報!$E$7</f>
        <v/>
      </c>
      <c r="F29" s="92">
        <f>男子エントリー!C115</f>
        <v>0</v>
      </c>
      <c r="G29" s="92" t="str">
        <f>男子エントリー!E115</f>
        <v/>
      </c>
      <c r="H29" s="92" t="str">
        <f>男子エントリー!F115</f>
        <v/>
      </c>
      <c r="I29" s="1" t="str">
        <f t="shared" si="12"/>
        <v/>
      </c>
      <c r="J29" s="1" t="e">
        <f>LEFT(男子エントリー!E117,FIND(",",LEFT(男子エントリー!E117,LEN(男子エントリー!E117)-5))-1)&amp;LEFT(RIGHT(男子エントリー!E117,LEN(男子エントリー!E117)-FIND(",",男子エントリー!E117)),LEN(RIGHT(男子エントリー!E117,LEN(男子エントリー!E117)-FIND(",",男子エントリー!E117)))-5)</f>
        <v>#VALUE!</v>
      </c>
      <c r="K29" s="1" t="str">
        <f>男子エントリー!G117</f>
        <v/>
      </c>
      <c r="L29" s="1" t="str">
        <f t="shared" si="13"/>
        <v/>
      </c>
      <c r="M29" s="92" t="str">
        <f>男子エントリー!G115</f>
        <v/>
      </c>
      <c r="N29" s="92" t="e">
        <f>MID(男子エントリー!E117,FIND("(",男子エントリー!E117)+1,2)</f>
        <v>#VALUE!</v>
      </c>
      <c r="O29" s="1">
        <v>0</v>
      </c>
      <c r="P29" s="92" t="e">
        <f>VLOOKUP(男子エントリー!G116,競技会設定!$F$3:$I$50,2,0)</f>
        <v>#N/A</v>
      </c>
      <c r="R29" s="1" t="str" cm="1">
        <f t="array" ref="R29">_xlfn.IFNA(_xlfn.IFNA(INDEX(競技会設定!$X$2:$AC$24,MATCH(INDEX(男子エントリー!$J$7:$AH$406,MATCH($G29&amp;RIGHT(R$1,1),男子エントリー!$AH$7:$AH$406,0),1),競技会設定!$AC$2:$AC$24,0),1),INDEX(競技会設定!$X$2:$AC$24,MATCH(INDEX(男子エントリー!$R$6:$V$406,MATCH($G29&amp;RIGHT(R$1,1),男子エントリー!$V$6:$V$406,0)-MATCH($G29&amp;RIGHT(R$1,1),男子エントリー!$V$6:$V$406,0)+1,1),競技会設定!$AC$2:$AC$24,0),1)),"")</f>
        <v/>
      </c>
      <c r="S29" s="1" t="str">
        <f>IF(R29=14,リレーエントリー!$I$12,_xlfn.IFNA(INDEX(男子エントリー!$J$7:$AH$406,MATCH($G29&amp;RIGHT(T$1,1),男子エントリー!$AH$7:$AH$406,0),3),""))</f>
        <v/>
      </c>
      <c r="T29" s="1" t="str">
        <f t="shared" si="14"/>
        <v/>
      </c>
      <c r="U29" s="1" t="str">
        <f t="shared" si="17"/>
        <v/>
      </c>
      <c r="V29" s="1" t="str">
        <f t="shared" si="16"/>
        <v/>
      </c>
      <c r="W29" s="1" t="str" cm="1">
        <f t="array" ref="W29">_xlfn.IFNA(_xlfn.IFNA(INDEX(競技会設定!$X$2:$AC$24,MATCH(INDEX(男子エントリー!$J$7:$AH$406,MATCH($G29&amp;RIGHT(W$1,1),男子エントリー!$AH$7:$AH$406,0),1),競技会設定!$AC$2:$AC$24,0),1),INDEX(競技会設定!$X$2:$AC$24,MATCH(INDEX(男子エントリー!$R$6:$V$406,MATCH($G29&amp;RIGHT(W$1,1),男子エントリー!$V$6:$V$406,0)-MATCH($G29&amp;RIGHT(W$1,1),男子エントリー!$V$6:$V$406,0)+1,1),競技会設定!$AC$2:$AC$24,0),1)),"")</f>
        <v/>
      </c>
      <c r="X29" s="1" t="str">
        <f>IF(W29=14,リレーエントリー!$I$12,_xlfn.IFNA(INDEX(男子エントリー!$J$7:$AH$406,MATCH($G29&amp;RIGHT(Y$1,1),男子エントリー!$AH$7:$AH$406,0),3),""))</f>
        <v/>
      </c>
      <c r="Y29" s="1" t="str">
        <f t="shared" si="0"/>
        <v/>
      </c>
      <c r="Z29" s="1" t="str">
        <f t="shared" si="1"/>
        <v/>
      </c>
      <c r="AA29" s="1" t="str">
        <f t="shared" si="2"/>
        <v/>
      </c>
      <c r="AB29" s="1" t="str" cm="1">
        <f t="array" ref="AB29">_xlfn.IFNA(_xlfn.IFNA(INDEX(競技会設定!$X$2:$AC$24,MATCH(INDEX(男子エントリー!$J$7:$AH$406,MATCH($G29&amp;RIGHT(AB$1,1),男子エントリー!$AH$7:$AH$406,0),1),競技会設定!$AC$2:$AC$24,0),1),INDEX(競技会設定!$X$2:$AC$24,MATCH(INDEX(男子エントリー!$R$6:$V$406,MATCH($G29&amp;RIGHT(AB$1,1),男子エントリー!$V$6:$V$406,0)-MATCH($G29&amp;RIGHT(AB$1,1),男子エントリー!$V$6:$V$406,0)+1,1),競技会設定!$AC$2:$AC$24,0),1)),"")</f>
        <v/>
      </c>
      <c r="AC29" s="1" t="str">
        <f>IF(AB29=14,リレーエントリー!$I$12,_xlfn.IFNA(INDEX(男子エントリー!$J$7:$AH$406,MATCH($G29&amp;RIGHT(AD$1,1),男子エントリー!$AH$7:$AH$406,0),3),""))</f>
        <v/>
      </c>
      <c r="AD29" s="1" t="str">
        <f t="shared" si="3"/>
        <v/>
      </c>
      <c r="AE29" s="1" t="str">
        <f t="shared" si="4"/>
        <v/>
      </c>
      <c r="AF29" s="1" t="str">
        <f t="shared" si="5"/>
        <v/>
      </c>
      <c r="AG29" s="1" t="str" cm="1">
        <f t="array" ref="AG29">_xlfn.IFNA(_xlfn.IFNA(INDEX(競技会設定!$X$2:$AC$24,MATCH(INDEX(男子エントリー!$J$7:$AH$406,MATCH($G29&amp;RIGHT(AG$1,1),男子エントリー!$AH$7:$AH$406,0),1),競技会設定!$AC$2:$AC$24,0),1),INDEX(競技会設定!$X$2:$AC$24,MATCH(INDEX(男子エントリー!$R$6:$V$406,MATCH($G29&amp;RIGHT(AG$1,1),男子エントリー!$V$6:$V$406,0)-MATCH($G29&amp;RIGHT(AG$1,1),男子エントリー!$V$6:$V$406,0)+1,1),競技会設定!$AC$2:$AC$24,0),1)),"")</f>
        <v/>
      </c>
      <c r="AH29" s="1" t="str">
        <f>IF(AG29=14,リレーエントリー!$I$12,_xlfn.IFNA(INDEX(男子エントリー!$J$7:$AH$406,MATCH($G29&amp;RIGHT(AI$1,1),男子エントリー!$AH$7:$AH$406,0),3),""))</f>
        <v/>
      </c>
      <c r="AI29" s="1" t="str">
        <f t="shared" si="6"/>
        <v/>
      </c>
      <c r="AJ29" s="1" t="str">
        <f t="shared" si="7"/>
        <v/>
      </c>
      <c r="AK29" s="1" t="str">
        <f t="shared" si="8"/>
        <v/>
      </c>
      <c r="AL29" s="1" t="str" cm="1">
        <f t="array" ref="AL29">_xlfn.IFNA(_xlfn.IFNA(INDEX(競技会設定!$X$2:$AC$24,MATCH(INDEX(男子エントリー!$J$7:$AH$406,MATCH($G29&amp;RIGHT(AL$1,1),男子エントリー!$AH$7:$AH$406,0),1),競技会設定!$AC$2:$AC$24,0),1),INDEX(競技会設定!$X$2:$AC$24,MATCH(INDEX(男子エントリー!$R$6:$V$406,MATCH($G29&amp;RIGHT(AL$1,1),男子エントリー!$V$6:$V$406,0)-MATCH($G29&amp;RIGHT(AL$1,1),男子エントリー!$V$6:$V$406,0)+1,1),競技会設定!$AC$2:$AC$24,0),1)),"")</f>
        <v/>
      </c>
      <c r="AM29" s="1" t="str">
        <f>IF(AL29=14,リレーエントリー!$I$12,_xlfn.IFNA(INDEX(男子エントリー!$J$7:$AH$406,MATCH($G29&amp;RIGHT(AN$1,1),男子エントリー!$AH$7:$AH$406,0),3),""))</f>
        <v/>
      </c>
      <c r="AN29" s="1" t="str">
        <f t="shared" si="9"/>
        <v/>
      </c>
      <c r="AO29" s="1" t="str">
        <f t="shared" si="10"/>
        <v/>
      </c>
      <c r="AP29" s="1" t="str">
        <f t="shared" si="11"/>
        <v/>
      </c>
    </row>
    <row r="30" spans="1:42">
      <c r="A30" s="1">
        <v>29</v>
      </c>
      <c r="B30" s="92" t="str">
        <f>男子エントリー!D119</f>
        <v/>
      </c>
      <c r="C30" s="1" t="str">
        <f>基本情報!$E$6</f>
        <v/>
      </c>
      <c r="D30" s="1" t="str">
        <f>基本情報!$E$7</f>
        <v/>
      </c>
      <c r="F30" s="92">
        <f>男子エントリー!C119</f>
        <v>0</v>
      </c>
      <c r="G30" s="92" t="str">
        <f>男子エントリー!E119</f>
        <v/>
      </c>
      <c r="H30" s="92" t="str">
        <f>男子エントリー!F119</f>
        <v/>
      </c>
      <c r="I30" s="1" t="str">
        <f t="shared" si="12"/>
        <v/>
      </c>
      <c r="J30" s="1" t="e">
        <f>LEFT(男子エントリー!E121,FIND(",",LEFT(男子エントリー!E121,LEN(男子エントリー!E121)-5))-1)&amp;LEFT(RIGHT(男子エントリー!E121,LEN(男子エントリー!E121)-FIND(",",男子エントリー!E121)),LEN(RIGHT(男子エントリー!E121,LEN(男子エントリー!E121)-FIND(",",男子エントリー!E121)))-5)</f>
        <v>#VALUE!</v>
      </c>
      <c r="K30" s="1" t="str">
        <f>男子エントリー!G121</f>
        <v/>
      </c>
      <c r="L30" s="1" t="str">
        <f t="shared" si="13"/>
        <v/>
      </c>
      <c r="M30" s="92" t="str">
        <f>男子エントリー!G119</f>
        <v/>
      </c>
      <c r="N30" s="92" t="e">
        <f>MID(男子エントリー!E121,FIND("(",男子エントリー!E121)+1,2)</f>
        <v>#VALUE!</v>
      </c>
      <c r="O30" s="1">
        <v>0</v>
      </c>
      <c r="P30" s="92" t="e">
        <f>VLOOKUP(男子エントリー!G120,競技会設定!$F$3:$I$50,2,0)</f>
        <v>#N/A</v>
      </c>
      <c r="R30" s="1" t="str" cm="1">
        <f t="array" ref="R30">_xlfn.IFNA(_xlfn.IFNA(INDEX(競技会設定!$X$2:$AC$24,MATCH(INDEX(男子エントリー!$J$7:$AH$406,MATCH($G30&amp;RIGHT(R$1,1),男子エントリー!$AH$7:$AH$406,0),1),競技会設定!$AC$2:$AC$24,0),1),INDEX(競技会設定!$X$2:$AC$24,MATCH(INDEX(男子エントリー!$R$6:$V$406,MATCH($G30&amp;RIGHT(R$1,1),男子エントリー!$V$6:$V$406,0)-MATCH($G30&amp;RIGHT(R$1,1),男子エントリー!$V$6:$V$406,0)+1,1),競技会設定!$AC$2:$AC$24,0),1)),"")</f>
        <v/>
      </c>
      <c r="S30" s="1" t="str">
        <f>IF(R30=14,リレーエントリー!$I$12,_xlfn.IFNA(INDEX(男子エントリー!$J$7:$AH$406,MATCH($G30&amp;RIGHT(T$1,1),男子エントリー!$AH$7:$AH$406,0),3),""))</f>
        <v/>
      </c>
      <c r="T30" s="1" t="str">
        <f t="shared" si="14"/>
        <v/>
      </c>
      <c r="U30" s="1" t="str">
        <f t="shared" si="17"/>
        <v/>
      </c>
      <c r="V30" s="1" t="str">
        <f t="shared" si="16"/>
        <v/>
      </c>
      <c r="W30" s="1" t="str" cm="1">
        <f t="array" ref="W30">_xlfn.IFNA(_xlfn.IFNA(INDEX(競技会設定!$X$2:$AC$24,MATCH(INDEX(男子エントリー!$J$7:$AH$406,MATCH($G30&amp;RIGHT(W$1,1),男子エントリー!$AH$7:$AH$406,0),1),競技会設定!$AC$2:$AC$24,0),1),INDEX(競技会設定!$X$2:$AC$24,MATCH(INDEX(男子エントリー!$R$6:$V$406,MATCH($G30&amp;RIGHT(W$1,1),男子エントリー!$V$6:$V$406,0)-MATCH($G30&amp;RIGHT(W$1,1),男子エントリー!$V$6:$V$406,0)+1,1),競技会設定!$AC$2:$AC$24,0),1)),"")</f>
        <v/>
      </c>
      <c r="X30" s="1" t="str">
        <f>IF(W30=14,リレーエントリー!$I$12,_xlfn.IFNA(INDEX(男子エントリー!$J$7:$AH$406,MATCH($G30&amp;RIGHT(Y$1,1),男子エントリー!$AH$7:$AH$406,0),3),""))</f>
        <v/>
      </c>
      <c r="Y30" s="1" t="str">
        <f t="shared" si="0"/>
        <v/>
      </c>
      <c r="Z30" s="1" t="str">
        <f t="shared" si="1"/>
        <v/>
      </c>
      <c r="AA30" s="1" t="str">
        <f t="shared" si="2"/>
        <v/>
      </c>
      <c r="AB30" s="1" t="str" cm="1">
        <f t="array" ref="AB30">_xlfn.IFNA(_xlfn.IFNA(INDEX(競技会設定!$X$2:$AC$24,MATCH(INDEX(男子エントリー!$J$7:$AH$406,MATCH($G30&amp;RIGHT(AB$1,1),男子エントリー!$AH$7:$AH$406,0),1),競技会設定!$AC$2:$AC$24,0),1),INDEX(競技会設定!$X$2:$AC$24,MATCH(INDEX(男子エントリー!$R$6:$V$406,MATCH($G30&amp;RIGHT(AB$1,1),男子エントリー!$V$6:$V$406,0)-MATCH($G30&amp;RIGHT(AB$1,1),男子エントリー!$V$6:$V$406,0)+1,1),競技会設定!$AC$2:$AC$24,0),1)),"")</f>
        <v/>
      </c>
      <c r="AC30" s="1" t="str">
        <f>IF(AB30=14,リレーエントリー!$I$12,_xlfn.IFNA(INDEX(男子エントリー!$J$7:$AH$406,MATCH($G30&amp;RIGHT(AD$1,1),男子エントリー!$AH$7:$AH$406,0),3),""))</f>
        <v/>
      </c>
      <c r="AD30" s="1" t="str">
        <f t="shared" si="3"/>
        <v/>
      </c>
      <c r="AE30" s="1" t="str">
        <f t="shared" si="4"/>
        <v/>
      </c>
      <c r="AF30" s="1" t="str">
        <f t="shared" si="5"/>
        <v/>
      </c>
      <c r="AG30" s="1" t="str" cm="1">
        <f t="array" ref="AG30">_xlfn.IFNA(_xlfn.IFNA(INDEX(競技会設定!$X$2:$AC$24,MATCH(INDEX(男子エントリー!$J$7:$AH$406,MATCH($G30&amp;RIGHT(AG$1,1),男子エントリー!$AH$7:$AH$406,0),1),競技会設定!$AC$2:$AC$24,0),1),INDEX(競技会設定!$X$2:$AC$24,MATCH(INDEX(男子エントリー!$R$6:$V$406,MATCH($G30&amp;RIGHT(AG$1,1),男子エントリー!$V$6:$V$406,0)-MATCH($G30&amp;RIGHT(AG$1,1),男子エントリー!$V$6:$V$406,0)+1,1),競技会設定!$AC$2:$AC$24,0),1)),"")</f>
        <v/>
      </c>
      <c r="AH30" s="1" t="str">
        <f>IF(AG30=14,リレーエントリー!$I$12,_xlfn.IFNA(INDEX(男子エントリー!$J$7:$AH$406,MATCH($G30&amp;RIGHT(AI$1,1),男子エントリー!$AH$7:$AH$406,0),3),""))</f>
        <v/>
      </c>
      <c r="AI30" s="1" t="str">
        <f t="shared" si="6"/>
        <v/>
      </c>
      <c r="AJ30" s="1" t="str">
        <f t="shared" si="7"/>
        <v/>
      </c>
      <c r="AK30" s="1" t="str">
        <f t="shared" si="8"/>
        <v/>
      </c>
      <c r="AL30" s="1" t="str" cm="1">
        <f t="array" ref="AL30">_xlfn.IFNA(_xlfn.IFNA(INDEX(競技会設定!$X$2:$AC$24,MATCH(INDEX(男子エントリー!$J$7:$AH$406,MATCH($G30&amp;RIGHT(AL$1,1),男子エントリー!$AH$7:$AH$406,0),1),競技会設定!$AC$2:$AC$24,0),1),INDEX(競技会設定!$X$2:$AC$24,MATCH(INDEX(男子エントリー!$R$6:$V$406,MATCH($G30&amp;RIGHT(AL$1,1),男子エントリー!$V$6:$V$406,0)-MATCH($G30&amp;RIGHT(AL$1,1),男子エントリー!$V$6:$V$406,0)+1,1),競技会設定!$AC$2:$AC$24,0),1)),"")</f>
        <v/>
      </c>
      <c r="AM30" s="1" t="str">
        <f>IF(AL30=14,リレーエントリー!$I$12,_xlfn.IFNA(INDEX(男子エントリー!$J$7:$AH$406,MATCH($G30&amp;RIGHT(AN$1,1),男子エントリー!$AH$7:$AH$406,0),3),""))</f>
        <v/>
      </c>
      <c r="AN30" s="1" t="str">
        <f t="shared" si="9"/>
        <v/>
      </c>
      <c r="AO30" s="1" t="str">
        <f t="shared" si="10"/>
        <v/>
      </c>
      <c r="AP30" s="1" t="str">
        <f t="shared" si="11"/>
        <v/>
      </c>
    </row>
    <row r="31" spans="1:42">
      <c r="A31" s="1">
        <v>30</v>
      </c>
      <c r="B31" s="92" t="str">
        <f>男子エントリー!D123</f>
        <v/>
      </c>
      <c r="C31" s="1" t="str">
        <f>基本情報!$E$6</f>
        <v/>
      </c>
      <c r="D31" s="1" t="str">
        <f>基本情報!$E$7</f>
        <v/>
      </c>
      <c r="F31" s="92">
        <f>男子エントリー!C123</f>
        <v>0</v>
      </c>
      <c r="G31" s="92" t="str">
        <f>男子エントリー!E123</f>
        <v/>
      </c>
      <c r="H31" s="92" t="str">
        <f>男子エントリー!F123</f>
        <v/>
      </c>
      <c r="I31" s="1" t="str">
        <f t="shared" si="12"/>
        <v/>
      </c>
      <c r="J31" s="1" t="e">
        <f>LEFT(男子エントリー!E125,FIND(",",LEFT(男子エントリー!E125,LEN(男子エントリー!E125)-5))-1)&amp;LEFT(RIGHT(男子エントリー!E125,LEN(男子エントリー!E125)-FIND(",",男子エントリー!E125)),LEN(RIGHT(男子エントリー!E125,LEN(男子エントリー!E125)-FIND(",",男子エントリー!E125)))-5)</f>
        <v>#VALUE!</v>
      </c>
      <c r="K31" s="1" t="str">
        <f>男子エントリー!G125</f>
        <v/>
      </c>
      <c r="L31" s="1" t="str">
        <f t="shared" si="13"/>
        <v/>
      </c>
      <c r="M31" s="92" t="str">
        <f>男子エントリー!G123</f>
        <v/>
      </c>
      <c r="N31" s="92" t="e">
        <f>MID(男子エントリー!E125,FIND("(",男子エントリー!E125)+1,2)</f>
        <v>#VALUE!</v>
      </c>
      <c r="O31" s="1">
        <v>0</v>
      </c>
      <c r="P31" s="92" t="e">
        <f>VLOOKUP(男子エントリー!G124,競技会設定!$F$3:$I$50,2,0)</f>
        <v>#N/A</v>
      </c>
      <c r="R31" s="1" t="str" cm="1">
        <f t="array" ref="R31">_xlfn.IFNA(_xlfn.IFNA(INDEX(競技会設定!$X$2:$AC$24,MATCH(INDEX(男子エントリー!$J$7:$AH$406,MATCH($G31&amp;RIGHT(R$1,1),男子エントリー!$AH$7:$AH$406,0),1),競技会設定!$AC$2:$AC$24,0),1),INDEX(競技会設定!$X$2:$AC$24,MATCH(INDEX(男子エントリー!$R$6:$V$406,MATCH($G31&amp;RIGHT(R$1,1),男子エントリー!$V$6:$V$406,0)-MATCH($G31&amp;RIGHT(R$1,1),男子エントリー!$V$6:$V$406,0)+1,1),競技会設定!$AC$2:$AC$24,0),1)),"")</f>
        <v/>
      </c>
      <c r="S31" s="1" t="str">
        <f>IF(R31=14,リレーエントリー!$I$12,_xlfn.IFNA(INDEX(男子エントリー!$J$7:$AH$406,MATCH($G31&amp;RIGHT(T$1,1),男子エントリー!$AH$7:$AH$406,0),3),""))</f>
        <v/>
      </c>
      <c r="T31" s="1" t="str">
        <f t="shared" si="14"/>
        <v/>
      </c>
      <c r="U31" s="1" t="str">
        <f t="shared" si="17"/>
        <v/>
      </c>
      <c r="V31" s="1" t="str">
        <f t="shared" si="16"/>
        <v/>
      </c>
      <c r="W31" s="1" t="str" cm="1">
        <f t="array" ref="W31">_xlfn.IFNA(_xlfn.IFNA(INDEX(競技会設定!$X$2:$AC$24,MATCH(INDEX(男子エントリー!$J$7:$AH$406,MATCH($G31&amp;RIGHT(W$1,1),男子エントリー!$AH$7:$AH$406,0),1),競技会設定!$AC$2:$AC$24,0),1),INDEX(競技会設定!$X$2:$AC$24,MATCH(INDEX(男子エントリー!$R$6:$V$406,MATCH($G31&amp;RIGHT(W$1,1),男子エントリー!$V$6:$V$406,0)-MATCH($G31&amp;RIGHT(W$1,1),男子エントリー!$V$6:$V$406,0)+1,1),競技会設定!$AC$2:$AC$24,0),1)),"")</f>
        <v/>
      </c>
      <c r="X31" s="1" t="str">
        <f>IF(W31=14,リレーエントリー!$I$12,_xlfn.IFNA(INDEX(男子エントリー!$J$7:$AH$406,MATCH($G31&amp;RIGHT(Y$1,1),男子エントリー!$AH$7:$AH$406,0),3),""))</f>
        <v/>
      </c>
      <c r="Y31" s="1" t="str">
        <f t="shared" si="0"/>
        <v/>
      </c>
      <c r="Z31" s="1" t="str">
        <f t="shared" si="1"/>
        <v/>
      </c>
      <c r="AA31" s="1" t="str">
        <f t="shared" si="2"/>
        <v/>
      </c>
      <c r="AB31" s="1" t="str" cm="1">
        <f t="array" ref="AB31">_xlfn.IFNA(_xlfn.IFNA(INDEX(競技会設定!$X$2:$AC$24,MATCH(INDEX(男子エントリー!$J$7:$AH$406,MATCH($G31&amp;RIGHT(AB$1,1),男子エントリー!$AH$7:$AH$406,0),1),競技会設定!$AC$2:$AC$24,0),1),INDEX(競技会設定!$X$2:$AC$24,MATCH(INDEX(男子エントリー!$R$6:$V$406,MATCH($G31&amp;RIGHT(AB$1,1),男子エントリー!$V$6:$V$406,0)-MATCH($G31&amp;RIGHT(AB$1,1),男子エントリー!$V$6:$V$406,0)+1,1),競技会設定!$AC$2:$AC$24,0),1)),"")</f>
        <v/>
      </c>
      <c r="AC31" s="1" t="str">
        <f>IF(AB31=14,リレーエントリー!$I$12,_xlfn.IFNA(INDEX(男子エントリー!$J$7:$AH$406,MATCH($G31&amp;RIGHT(AD$1,1),男子エントリー!$AH$7:$AH$406,0),3),""))</f>
        <v/>
      </c>
      <c r="AD31" s="1" t="str">
        <f t="shared" si="3"/>
        <v/>
      </c>
      <c r="AE31" s="1" t="str">
        <f t="shared" si="4"/>
        <v/>
      </c>
      <c r="AF31" s="1" t="str">
        <f t="shared" si="5"/>
        <v/>
      </c>
      <c r="AG31" s="1" t="str" cm="1">
        <f t="array" ref="AG31">_xlfn.IFNA(_xlfn.IFNA(INDEX(競技会設定!$X$2:$AC$24,MATCH(INDEX(男子エントリー!$J$7:$AH$406,MATCH($G31&amp;RIGHT(AG$1,1),男子エントリー!$AH$7:$AH$406,0),1),競技会設定!$AC$2:$AC$24,0),1),INDEX(競技会設定!$X$2:$AC$24,MATCH(INDEX(男子エントリー!$R$6:$V$406,MATCH($G31&amp;RIGHT(AG$1,1),男子エントリー!$V$6:$V$406,0)-MATCH($G31&amp;RIGHT(AG$1,1),男子エントリー!$V$6:$V$406,0)+1,1),競技会設定!$AC$2:$AC$24,0),1)),"")</f>
        <v/>
      </c>
      <c r="AH31" s="1" t="str">
        <f>IF(AG31=14,リレーエントリー!$I$12,_xlfn.IFNA(INDEX(男子エントリー!$J$7:$AH$406,MATCH($G31&amp;RIGHT(AI$1,1),男子エントリー!$AH$7:$AH$406,0),3),""))</f>
        <v/>
      </c>
      <c r="AI31" s="1" t="str">
        <f t="shared" si="6"/>
        <v/>
      </c>
      <c r="AJ31" s="1" t="str">
        <f t="shared" si="7"/>
        <v/>
      </c>
      <c r="AK31" s="1" t="str">
        <f t="shared" si="8"/>
        <v/>
      </c>
      <c r="AL31" s="1" t="str" cm="1">
        <f t="array" ref="AL31">_xlfn.IFNA(_xlfn.IFNA(INDEX(競技会設定!$X$2:$AC$24,MATCH(INDEX(男子エントリー!$J$7:$AH$406,MATCH($G31&amp;RIGHT(AL$1,1),男子エントリー!$AH$7:$AH$406,0),1),競技会設定!$AC$2:$AC$24,0),1),INDEX(競技会設定!$X$2:$AC$24,MATCH(INDEX(男子エントリー!$R$6:$V$406,MATCH($G31&amp;RIGHT(AL$1,1),男子エントリー!$V$6:$V$406,0)-MATCH($G31&amp;RIGHT(AL$1,1),男子エントリー!$V$6:$V$406,0)+1,1),競技会設定!$AC$2:$AC$24,0),1)),"")</f>
        <v/>
      </c>
      <c r="AM31" s="1" t="str">
        <f>IF(AL31=14,リレーエントリー!$I$12,_xlfn.IFNA(INDEX(男子エントリー!$J$7:$AH$406,MATCH($G31&amp;RIGHT(AN$1,1),男子エントリー!$AH$7:$AH$406,0),3),""))</f>
        <v/>
      </c>
      <c r="AN31" s="1" t="str">
        <f t="shared" si="9"/>
        <v/>
      </c>
      <c r="AO31" s="1" t="str">
        <f t="shared" si="10"/>
        <v/>
      </c>
      <c r="AP31" s="1" t="str">
        <f t="shared" si="11"/>
        <v/>
      </c>
    </row>
    <row r="32" spans="1:42">
      <c r="A32" s="1">
        <v>31</v>
      </c>
      <c r="B32" s="92" t="str">
        <f>男子エントリー!D127</f>
        <v/>
      </c>
      <c r="C32" s="1" t="str">
        <f>基本情報!$E$6</f>
        <v/>
      </c>
      <c r="D32" s="1" t="str">
        <f>基本情報!$E$7</f>
        <v/>
      </c>
      <c r="F32" s="92">
        <f>男子エントリー!C127</f>
        <v>0</v>
      </c>
      <c r="G32" s="92" t="str">
        <f>男子エントリー!E127</f>
        <v/>
      </c>
      <c r="H32" s="92" t="str">
        <f>男子エントリー!F127</f>
        <v/>
      </c>
      <c r="I32" s="1" t="str">
        <f t="shared" si="12"/>
        <v/>
      </c>
      <c r="J32" s="1" t="e">
        <f>LEFT(男子エントリー!E129,FIND(",",LEFT(男子エントリー!E129,LEN(男子エントリー!E129)-5))-1)&amp;LEFT(RIGHT(男子エントリー!E129,LEN(男子エントリー!E129)-FIND(",",男子エントリー!E129)),LEN(RIGHT(男子エントリー!E129,LEN(男子エントリー!E129)-FIND(",",男子エントリー!E129)))-5)</f>
        <v>#VALUE!</v>
      </c>
      <c r="K32" s="1" t="str">
        <f>男子エントリー!G129</f>
        <v/>
      </c>
      <c r="L32" s="1" t="str">
        <f t="shared" si="13"/>
        <v/>
      </c>
      <c r="M32" s="92" t="str">
        <f>男子エントリー!G127</f>
        <v/>
      </c>
      <c r="N32" s="92" t="e">
        <f>MID(男子エントリー!E129,FIND("(",男子エントリー!E129)+1,2)</f>
        <v>#VALUE!</v>
      </c>
      <c r="O32" s="1">
        <v>0</v>
      </c>
      <c r="P32" s="92" t="e">
        <f>VLOOKUP(男子エントリー!G128,競技会設定!$F$3:$I$50,2,0)</f>
        <v>#N/A</v>
      </c>
      <c r="R32" s="1" t="str" cm="1">
        <f t="array" ref="R32">_xlfn.IFNA(_xlfn.IFNA(INDEX(競技会設定!$X$2:$AC$24,MATCH(INDEX(男子エントリー!$J$7:$AH$406,MATCH($G32&amp;RIGHT(R$1,1),男子エントリー!$AH$7:$AH$406,0),1),競技会設定!$AC$2:$AC$24,0),1),INDEX(競技会設定!$X$2:$AC$24,MATCH(INDEX(男子エントリー!$R$6:$V$406,MATCH($G32&amp;RIGHT(R$1,1),男子エントリー!$V$6:$V$406,0)-MATCH($G32&amp;RIGHT(R$1,1),男子エントリー!$V$6:$V$406,0)+1,1),競技会設定!$AC$2:$AC$24,0),1)),"")</f>
        <v/>
      </c>
      <c r="S32" s="1" t="str">
        <f>IF(R32=14,リレーエントリー!$I$12,_xlfn.IFNA(INDEX(男子エントリー!$J$7:$AH$406,MATCH($G32&amp;RIGHT(T$1,1),男子エントリー!$AH$7:$AH$406,0),3),""))</f>
        <v/>
      </c>
      <c r="T32" s="1" t="str">
        <f t="shared" si="14"/>
        <v/>
      </c>
      <c r="U32" s="1" t="str">
        <f t="shared" si="17"/>
        <v/>
      </c>
      <c r="V32" s="1" t="str">
        <f t="shared" si="16"/>
        <v/>
      </c>
      <c r="W32" s="1" t="str" cm="1">
        <f t="array" ref="W32">_xlfn.IFNA(_xlfn.IFNA(INDEX(競技会設定!$X$2:$AC$24,MATCH(INDEX(男子エントリー!$J$7:$AH$406,MATCH($G32&amp;RIGHT(W$1,1),男子エントリー!$AH$7:$AH$406,0),1),競技会設定!$AC$2:$AC$24,0),1),INDEX(競技会設定!$X$2:$AC$24,MATCH(INDEX(男子エントリー!$R$6:$V$406,MATCH($G32&amp;RIGHT(W$1,1),男子エントリー!$V$6:$V$406,0)-MATCH($G32&amp;RIGHT(W$1,1),男子エントリー!$V$6:$V$406,0)+1,1),競技会設定!$AC$2:$AC$24,0),1)),"")</f>
        <v/>
      </c>
      <c r="X32" s="1" t="str">
        <f>IF(W32=14,リレーエントリー!$I$12,_xlfn.IFNA(INDEX(男子エントリー!$J$7:$AH$406,MATCH($G32&amp;RIGHT(Y$1,1),男子エントリー!$AH$7:$AH$406,0),3),""))</f>
        <v/>
      </c>
      <c r="Y32" s="1" t="str">
        <f t="shared" si="0"/>
        <v/>
      </c>
      <c r="Z32" s="1" t="str">
        <f t="shared" si="1"/>
        <v/>
      </c>
      <c r="AA32" s="1" t="str">
        <f t="shared" si="2"/>
        <v/>
      </c>
      <c r="AB32" s="1" t="str" cm="1">
        <f t="array" ref="AB32">_xlfn.IFNA(_xlfn.IFNA(INDEX(競技会設定!$X$2:$AC$24,MATCH(INDEX(男子エントリー!$J$7:$AH$406,MATCH($G32&amp;RIGHT(AB$1,1),男子エントリー!$AH$7:$AH$406,0),1),競技会設定!$AC$2:$AC$24,0),1),INDEX(競技会設定!$X$2:$AC$24,MATCH(INDEX(男子エントリー!$R$6:$V$406,MATCH($G32&amp;RIGHT(AB$1,1),男子エントリー!$V$6:$V$406,0)-MATCH($G32&amp;RIGHT(AB$1,1),男子エントリー!$V$6:$V$406,0)+1,1),競技会設定!$AC$2:$AC$24,0),1)),"")</f>
        <v/>
      </c>
      <c r="AC32" s="1" t="str">
        <f>IF(AB32=14,リレーエントリー!$I$12,_xlfn.IFNA(INDEX(男子エントリー!$J$7:$AH$406,MATCH($G32&amp;RIGHT(AD$1,1),男子エントリー!$AH$7:$AH$406,0),3),""))</f>
        <v/>
      </c>
      <c r="AD32" s="1" t="str">
        <f t="shared" si="3"/>
        <v/>
      </c>
      <c r="AE32" s="1" t="str">
        <f t="shared" si="4"/>
        <v/>
      </c>
      <c r="AF32" s="1" t="str">
        <f t="shared" si="5"/>
        <v/>
      </c>
      <c r="AG32" s="1" t="str" cm="1">
        <f t="array" ref="AG32">_xlfn.IFNA(_xlfn.IFNA(INDEX(競技会設定!$X$2:$AC$24,MATCH(INDEX(男子エントリー!$J$7:$AH$406,MATCH($G32&amp;RIGHT(AG$1,1),男子エントリー!$AH$7:$AH$406,0),1),競技会設定!$AC$2:$AC$24,0),1),INDEX(競技会設定!$X$2:$AC$24,MATCH(INDEX(男子エントリー!$R$6:$V$406,MATCH($G32&amp;RIGHT(AG$1,1),男子エントリー!$V$6:$V$406,0)-MATCH($G32&amp;RIGHT(AG$1,1),男子エントリー!$V$6:$V$406,0)+1,1),競技会設定!$AC$2:$AC$24,0),1)),"")</f>
        <v/>
      </c>
      <c r="AH32" s="1" t="str">
        <f>IF(AG32=14,リレーエントリー!$I$12,_xlfn.IFNA(INDEX(男子エントリー!$J$7:$AH$406,MATCH($G32&amp;RIGHT(AI$1,1),男子エントリー!$AH$7:$AH$406,0),3),""))</f>
        <v/>
      </c>
      <c r="AI32" s="1" t="str">
        <f t="shared" si="6"/>
        <v/>
      </c>
      <c r="AJ32" s="1" t="str">
        <f t="shared" si="7"/>
        <v/>
      </c>
      <c r="AK32" s="1" t="str">
        <f t="shared" si="8"/>
        <v/>
      </c>
      <c r="AL32" s="1" t="str" cm="1">
        <f t="array" ref="AL32">_xlfn.IFNA(_xlfn.IFNA(INDEX(競技会設定!$X$2:$AC$24,MATCH(INDEX(男子エントリー!$J$7:$AH$406,MATCH($G32&amp;RIGHT(AL$1,1),男子エントリー!$AH$7:$AH$406,0),1),競技会設定!$AC$2:$AC$24,0),1),INDEX(競技会設定!$X$2:$AC$24,MATCH(INDEX(男子エントリー!$R$6:$V$406,MATCH($G32&amp;RIGHT(AL$1,1),男子エントリー!$V$6:$V$406,0)-MATCH($G32&amp;RIGHT(AL$1,1),男子エントリー!$V$6:$V$406,0)+1,1),競技会設定!$AC$2:$AC$24,0),1)),"")</f>
        <v/>
      </c>
      <c r="AM32" s="1" t="str">
        <f>IF(AL32=14,リレーエントリー!$I$12,_xlfn.IFNA(INDEX(男子エントリー!$J$7:$AH$406,MATCH($G32&amp;RIGHT(AN$1,1),男子エントリー!$AH$7:$AH$406,0),3),""))</f>
        <v/>
      </c>
      <c r="AN32" s="1" t="str">
        <f t="shared" si="9"/>
        <v/>
      </c>
      <c r="AO32" s="1" t="str">
        <f t="shared" si="10"/>
        <v/>
      </c>
      <c r="AP32" s="1" t="str">
        <f t="shared" si="11"/>
        <v/>
      </c>
    </row>
    <row r="33" spans="1:42">
      <c r="A33" s="1">
        <v>32</v>
      </c>
      <c r="B33" s="92" t="str">
        <f>男子エントリー!D131</f>
        <v/>
      </c>
      <c r="C33" s="1" t="str">
        <f>基本情報!$E$6</f>
        <v/>
      </c>
      <c r="D33" s="1" t="str">
        <f>基本情報!$E$7</f>
        <v/>
      </c>
      <c r="F33" s="92">
        <f>男子エントリー!C131</f>
        <v>0</v>
      </c>
      <c r="G33" s="92" t="str">
        <f>男子エントリー!E131</f>
        <v/>
      </c>
      <c r="H33" s="92" t="str">
        <f>男子エントリー!F131</f>
        <v/>
      </c>
      <c r="I33" s="1" t="str">
        <f t="shared" si="12"/>
        <v/>
      </c>
      <c r="J33" s="1" t="e">
        <f>LEFT(男子エントリー!E133,FIND(",",LEFT(男子エントリー!E133,LEN(男子エントリー!E133)-5))-1)&amp;LEFT(RIGHT(男子エントリー!E133,LEN(男子エントリー!E133)-FIND(",",男子エントリー!E133)),LEN(RIGHT(男子エントリー!E133,LEN(男子エントリー!E133)-FIND(",",男子エントリー!E133)))-5)</f>
        <v>#VALUE!</v>
      </c>
      <c r="K33" s="1" t="str">
        <f>男子エントリー!G133</f>
        <v/>
      </c>
      <c r="L33" s="1" t="str">
        <f t="shared" si="13"/>
        <v/>
      </c>
      <c r="M33" s="92" t="str">
        <f>男子エントリー!G131</f>
        <v/>
      </c>
      <c r="N33" s="92" t="e">
        <f>MID(男子エントリー!E133,FIND("(",男子エントリー!E133)+1,2)</f>
        <v>#VALUE!</v>
      </c>
      <c r="O33" s="1">
        <v>0</v>
      </c>
      <c r="P33" s="92" t="e">
        <f>VLOOKUP(男子エントリー!G132,競技会設定!$F$3:$I$50,2,0)</f>
        <v>#N/A</v>
      </c>
      <c r="R33" s="1" t="str" cm="1">
        <f t="array" ref="R33">_xlfn.IFNA(_xlfn.IFNA(INDEX(競技会設定!$X$2:$AC$24,MATCH(INDEX(男子エントリー!$J$7:$AH$406,MATCH($G33&amp;RIGHT(R$1,1),男子エントリー!$AH$7:$AH$406,0),1),競技会設定!$AC$2:$AC$24,0),1),INDEX(競技会設定!$X$2:$AC$24,MATCH(INDEX(男子エントリー!$R$6:$V$406,MATCH($G33&amp;RIGHT(R$1,1),男子エントリー!$V$6:$V$406,0)-MATCH($G33&amp;RIGHT(R$1,1),男子エントリー!$V$6:$V$406,0)+1,1),競技会設定!$AC$2:$AC$24,0),1)),"")</f>
        <v/>
      </c>
      <c r="S33" s="1" t="str">
        <f>IF(R33=14,リレーエントリー!$I$12,_xlfn.IFNA(INDEX(男子エントリー!$J$7:$AH$406,MATCH($G33&amp;RIGHT(T$1,1),男子エントリー!$AH$7:$AH$406,0),3),""))</f>
        <v/>
      </c>
      <c r="T33" s="1" t="str">
        <f t="shared" si="14"/>
        <v/>
      </c>
      <c r="U33" s="1" t="str">
        <f t="shared" si="17"/>
        <v/>
      </c>
      <c r="V33" s="1" t="str">
        <f t="shared" si="16"/>
        <v/>
      </c>
      <c r="W33" s="1" t="str" cm="1">
        <f t="array" ref="W33">_xlfn.IFNA(_xlfn.IFNA(INDEX(競技会設定!$X$2:$AC$24,MATCH(INDEX(男子エントリー!$J$7:$AH$406,MATCH($G33&amp;RIGHT(W$1,1),男子エントリー!$AH$7:$AH$406,0),1),競技会設定!$AC$2:$AC$24,0),1),INDEX(競技会設定!$X$2:$AC$24,MATCH(INDEX(男子エントリー!$R$6:$V$406,MATCH($G33&amp;RIGHT(W$1,1),男子エントリー!$V$6:$V$406,0)-MATCH($G33&amp;RIGHT(W$1,1),男子エントリー!$V$6:$V$406,0)+1,1),競技会設定!$AC$2:$AC$24,0),1)),"")</f>
        <v/>
      </c>
      <c r="X33" s="1" t="str">
        <f>IF(W33=14,リレーエントリー!$I$12,_xlfn.IFNA(INDEX(男子エントリー!$J$7:$AH$406,MATCH($G33&amp;RIGHT(Y$1,1),男子エントリー!$AH$7:$AH$406,0),3),""))</f>
        <v/>
      </c>
      <c r="Y33" s="1" t="str">
        <f t="shared" si="0"/>
        <v/>
      </c>
      <c r="Z33" s="1" t="str">
        <f t="shared" si="1"/>
        <v/>
      </c>
      <c r="AA33" s="1" t="str">
        <f t="shared" si="2"/>
        <v/>
      </c>
      <c r="AB33" s="1" t="str" cm="1">
        <f t="array" ref="AB33">_xlfn.IFNA(_xlfn.IFNA(INDEX(競技会設定!$X$2:$AC$24,MATCH(INDEX(男子エントリー!$J$7:$AH$406,MATCH($G33&amp;RIGHT(AB$1,1),男子エントリー!$AH$7:$AH$406,0),1),競技会設定!$AC$2:$AC$24,0),1),INDEX(競技会設定!$X$2:$AC$24,MATCH(INDEX(男子エントリー!$R$6:$V$406,MATCH($G33&amp;RIGHT(AB$1,1),男子エントリー!$V$6:$V$406,0)-MATCH($G33&amp;RIGHT(AB$1,1),男子エントリー!$V$6:$V$406,0)+1,1),競技会設定!$AC$2:$AC$24,0),1)),"")</f>
        <v/>
      </c>
      <c r="AC33" s="1" t="str">
        <f>IF(AB33=14,リレーエントリー!$I$12,_xlfn.IFNA(INDEX(男子エントリー!$J$7:$AH$406,MATCH($G33&amp;RIGHT(AD$1,1),男子エントリー!$AH$7:$AH$406,0),3),""))</f>
        <v/>
      </c>
      <c r="AD33" s="1" t="str">
        <f t="shared" si="3"/>
        <v/>
      </c>
      <c r="AE33" s="1" t="str">
        <f t="shared" si="4"/>
        <v/>
      </c>
      <c r="AF33" s="1" t="str">
        <f t="shared" si="5"/>
        <v/>
      </c>
      <c r="AG33" s="1" t="str" cm="1">
        <f t="array" ref="AG33">_xlfn.IFNA(_xlfn.IFNA(INDEX(競技会設定!$X$2:$AC$24,MATCH(INDEX(男子エントリー!$J$7:$AH$406,MATCH($G33&amp;RIGHT(AG$1,1),男子エントリー!$AH$7:$AH$406,0),1),競技会設定!$AC$2:$AC$24,0),1),INDEX(競技会設定!$X$2:$AC$24,MATCH(INDEX(男子エントリー!$R$6:$V$406,MATCH($G33&amp;RIGHT(AG$1,1),男子エントリー!$V$6:$V$406,0)-MATCH($G33&amp;RIGHT(AG$1,1),男子エントリー!$V$6:$V$406,0)+1,1),競技会設定!$AC$2:$AC$24,0),1)),"")</f>
        <v/>
      </c>
      <c r="AH33" s="1" t="str">
        <f>IF(AG33=14,リレーエントリー!$I$12,_xlfn.IFNA(INDEX(男子エントリー!$J$7:$AH$406,MATCH($G33&amp;RIGHT(AI$1,1),男子エントリー!$AH$7:$AH$406,0),3),""))</f>
        <v/>
      </c>
      <c r="AI33" s="1" t="str">
        <f t="shared" si="6"/>
        <v/>
      </c>
      <c r="AJ33" s="1" t="str">
        <f t="shared" si="7"/>
        <v/>
      </c>
      <c r="AK33" s="1" t="str">
        <f t="shared" si="8"/>
        <v/>
      </c>
      <c r="AL33" s="1" t="str" cm="1">
        <f t="array" ref="AL33">_xlfn.IFNA(_xlfn.IFNA(INDEX(競技会設定!$X$2:$AC$24,MATCH(INDEX(男子エントリー!$J$7:$AH$406,MATCH($G33&amp;RIGHT(AL$1,1),男子エントリー!$AH$7:$AH$406,0),1),競技会設定!$AC$2:$AC$24,0),1),INDEX(競技会設定!$X$2:$AC$24,MATCH(INDEX(男子エントリー!$R$6:$V$406,MATCH($G33&amp;RIGHT(AL$1,1),男子エントリー!$V$6:$V$406,0)-MATCH($G33&amp;RIGHT(AL$1,1),男子エントリー!$V$6:$V$406,0)+1,1),競技会設定!$AC$2:$AC$24,0),1)),"")</f>
        <v/>
      </c>
      <c r="AM33" s="1" t="str">
        <f>IF(AL33=14,リレーエントリー!$I$12,_xlfn.IFNA(INDEX(男子エントリー!$J$7:$AH$406,MATCH($G33&amp;RIGHT(AN$1,1),男子エントリー!$AH$7:$AH$406,0),3),""))</f>
        <v/>
      </c>
      <c r="AN33" s="1" t="str">
        <f t="shared" si="9"/>
        <v/>
      </c>
      <c r="AO33" s="1" t="str">
        <f t="shared" si="10"/>
        <v/>
      </c>
      <c r="AP33" s="1" t="str">
        <f t="shared" si="11"/>
        <v/>
      </c>
    </row>
    <row r="34" spans="1:42">
      <c r="A34" s="1">
        <v>33</v>
      </c>
      <c r="B34" s="92" t="str">
        <f>男子エントリー!D135</f>
        <v/>
      </c>
      <c r="C34" s="1" t="str">
        <f>基本情報!$E$6</f>
        <v/>
      </c>
      <c r="D34" s="1" t="str">
        <f>基本情報!$E$7</f>
        <v/>
      </c>
      <c r="F34" s="92">
        <f>男子エントリー!C135</f>
        <v>0</v>
      </c>
      <c r="G34" s="92" t="str">
        <f>男子エントリー!E135</f>
        <v/>
      </c>
      <c r="H34" s="92" t="str">
        <f>男子エントリー!F135</f>
        <v/>
      </c>
      <c r="I34" s="1" t="str">
        <f t="shared" si="12"/>
        <v/>
      </c>
      <c r="J34" s="1" t="e">
        <f>LEFT(男子エントリー!E137,FIND(",",LEFT(男子エントリー!E137,LEN(男子エントリー!E137)-5))-1)&amp;LEFT(RIGHT(男子エントリー!E137,LEN(男子エントリー!E137)-FIND(",",男子エントリー!E137)),LEN(RIGHT(男子エントリー!E137,LEN(男子エントリー!E137)-FIND(",",男子エントリー!E137)))-5)</f>
        <v>#VALUE!</v>
      </c>
      <c r="K34" s="1" t="str">
        <f>男子エントリー!G137</f>
        <v/>
      </c>
      <c r="L34" s="1" t="str">
        <f t="shared" si="13"/>
        <v/>
      </c>
      <c r="M34" s="92" t="str">
        <f>男子エントリー!G135</f>
        <v/>
      </c>
      <c r="N34" s="92" t="e">
        <f>MID(男子エントリー!E137,FIND("(",男子エントリー!E137)+1,2)</f>
        <v>#VALUE!</v>
      </c>
      <c r="O34" s="1">
        <v>0</v>
      </c>
      <c r="P34" s="92" t="e">
        <f>VLOOKUP(男子エントリー!G136,競技会設定!$F$3:$I$50,2,0)</f>
        <v>#N/A</v>
      </c>
      <c r="R34" s="1" t="str" cm="1">
        <f t="array" ref="R34">_xlfn.IFNA(_xlfn.IFNA(INDEX(競技会設定!$X$2:$AC$24,MATCH(INDEX(男子エントリー!$J$7:$AH$406,MATCH($G34&amp;RIGHT(R$1,1),男子エントリー!$AH$7:$AH$406,0),1),競技会設定!$AC$2:$AC$24,0),1),INDEX(競技会設定!$X$2:$AC$24,MATCH(INDEX(男子エントリー!$R$6:$V$406,MATCH($G34&amp;RIGHT(R$1,1),男子エントリー!$V$6:$V$406,0)-MATCH($G34&amp;RIGHT(R$1,1),男子エントリー!$V$6:$V$406,0)+1,1),競技会設定!$AC$2:$AC$24,0),1)),"")</f>
        <v/>
      </c>
      <c r="S34" s="1" t="str">
        <f>IF(R34=14,リレーエントリー!$I$12,_xlfn.IFNA(INDEX(男子エントリー!$J$7:$AH$406,MATCH($G34&amp;RIGHT(T$1,1),男子エントリー!$AH$7:$AH$406,0),3),""))</f>
        <v/>
      </c>
      <c r="T34" s="1" t="str">
        <f t="shared" si="14"/>
        <v/>
      </c>
      <c r="U34" s="1" t="str">
        <f t="shared" si="17"/>
        <v/>
      </c>
      <c r="V34" s="1" t="str">
        <f t="shared" si="16"/>
        <v/>
      </c>
      <c r="W34" s="1" t="str" cm="1">
        <f t="array" ref="W34">_xlfn.IFNA(_xlfn.IFNA(INDEX(競技会設定!$X$2:$AC$24,MATCH(INDEX(男子エントリー!$J$7:$AH$406,MATCH($G34&amp;RIGHT(W$1,1),男子エントリー!$AH$7:$AH$406,0),1),競技会設定!$AC$2:$AC$24,0),1),INDEX(競技会設定!$X$2:$AC$24,MATCH(INDEX(男子エントリー!$R$6:$V$406,MATCH($G34&amp;RIGHT(W$1,1),男子エントリー!$V$6:$V$406,0)-MATCH($G34&amp;RIGHT(W$1,1),男子エントリー!$V$6:$V$406,0)+1,1),競技会設定!$AC$2:$AC$24,0),1)),"")</f>
        <v/>
      </c>
      <c r="X34" s="1" t="str">
        <f>IF(W34=14,リレーエントリー!$I$12,_xlfn.IFNA(INDEX(男子エントリー!$J$7:$AH$406,MATCH($G34&amp;RIGHT(Y$1,1),男子エントリー!$AH$7:$AH$406,0),3),""))</f>
        <v/>
      </c>
      <c r="Y34" s="1" t="str">
        <f t="shared" si="0"/>
        <v/>
      </c>
      <c r="Z34" s="1" t="str">
        <f t="shared" si="1"/>
        <v/>
      </c>
      <c r="AA34" s="1" t="str">
        <f t="shared" si="2"/>
        <v/>
      </c>
      <c r="AB34" s="1" t="str" cm="1">
        <f t="array" ref="AB34">_xlfn.IFNA(_xlfn.IFNA(INDEX(競技会設定!$X$2:$AC$24,MATCH(INDEX(男子エントリー!$J$7:$AH$406,MATCH($G34&amp;RIGHT(AB$1,1),男子エントリー!$AH$7:$AH$406,0),1),競技会設定!$AC$2:$AC$24,0),1),INDEX(競技会設定!$X$2:$AC$24,MATCH(INDEX(男子エントリー!$R$6:$V$406,MATCH($G34&amp;RIGHT(AB$1,1),男子エントリー!$V$6:$V$406,0)-MATCH($G34&amp;RIGHT(AB$1,1),男子エントリー!$V$6:$V$406,0)+1,1),競技会設定!$AC$2:$AC$24,0),1)),"")</f>
        <v/>
      </c>
      <c r="AC34" s="1" t="str">
        <f>IF(AB34=14,リレーエントリー!$I$12,_xlfn.IFNA(INDEX(男子エントリー!$J$7:$AH$406,MATCH($G34&amp;RIGHT(AD$1,1),男子エントリー!$AH$7:$AH$406,0),3),""))</f>
        <v/>
      </c>
      <c r="AD34" s="1" t="str">
        <f t="shared" si="3"/>
        <v/>
      </c>
      <c r="AE34" s="1" t="str">
        <f t="shared" si="4"/>
        <v/>
      </c>
      <c r="AF34" s="1" t="str">
        <f t="shared" si="5"/>
        <v/>
      </c>
      <c r="AG34" s="1" t="str" cm="1">
        <f t="array" ref="AG34">_xlfn.IFNA(_xlfn.IFNA(INDEX(競技会設定!$X$2:$AC$24,MATCH(INDEX(男子エントリー!$J$7:$AH$406,MATCH($G34&amp;RIGHT(AG$1,1),男子エントリー!$AH$7:$AH$406,0),1),競技会設定!$AC$2:$AC$24,0),1),INDEX(競技会設定!$X$2:$AC$24,MATCH(INDEX(男子エントリー!$R$6:$V$406,MATCH($G34&amp;RIGHT(AG$1,1),男子エントリー!$V$6:$V$406,0)-MATCH($G34&amp;RIGHT(AG$1,1),男子エントリー!$V$6:$V$406,0)+1,1),競技会設定!$AC$2:$AC$24,0),1)),"")</f>
        <v/>
      </c>
      <c r="AH34" s="1" t="str">
        <f>IF(AG34=14,リレーエントリー!$I$12,_xlfn.IFNA(INDEX(男子エントリー!$J$7:$AH$406,MATCH($G34&amp;RIGHT(AI$1,1),男子エントリー!$AH$7:$AH$406,0),3),""))</f>
        <v/>
      </c>
      <c r="AI34" s="1" t="str">
        <f t="shared" si="6"/>
        <v/>
      </c>
      <c r="AJ34" s="1" t="str">
        <f t="shared" si="7"/>
        <v/>
      </c>
      <c r="AK34" s="1" t="str">
        <f t="shared" si="8"/>
        <v/>
      </c>
      <c r="AL34" s="1" t="str" cm="1">
        <f t="array" ref="AL34">_xlfn.IFNA(_xlfn.IFNA(INDEX(競技会設定!$X$2:$AC$24,MATCH(INDEX(男子エントリー!$J$7:$AH$406,MATCH($G34&amp;RIGHT(AL$1,1),男子エントリー!$AH$7:$AH$406,0),1),競技会設定!$AC$2:$AC$24,0),1),INDEX(競技会設定!$X$2:$AC$24,MATCH(INDEX(男子エントリー!$R$6:$V$406,MATCH($G34&amp;RIGHT(AL$1,1),男子エントリー!$V$6:$V$406,0)-MATCH($G34&amp;RIGHT(AL$1,1),男子エントリー!$V$6:$V$406,0)+1,1),競技会設定!$AC$2:$AC$24,0),1)),"")</f>
        <v/>
      </c>
      <c r="AM34" s="1" t="str">
        <f>IF(AL34=14,リレーエントリー!$I$12,_xlfn.IFNA(INDEX(男子エントリー!$J$7:$AH$406,MATCH($G34&amp;RIGHT(AN$1,1),男子エントリー!$AH$7:$AH$406,0),3),""))</f>
        <v/>
      </c>
      <c r="AN34" s="1" t="str">
        <f t="shared" si="9"/>
        <v/>
      </c>
      <c r="AO34" s="1" t="str">
        <f t="shared" si="10"/>
        <v/>
      </c>
      <c r="AP34" s="1" t="str">
        <f t="shared" si="11"/>
        <v/>
      </c>
    </row>
    <row r="35" spans="1:42">
      <c r="A35" s="1">
        <v>34</v>
      </c>
      <c r="B35" s="92" t="str">
        <f>男子エントリー!D139</f>
        <v/>
      </c>
      <c r="C35" s="1" t="str">
        <f>基本情報!$E$6</f>
        <v/>
      </c>
      <c r="D35" s="1" t="str">
        <f>基本情報!$E$7</f>
        <v/>
      </c>
      <c r="F35" s="92">
        <f>男子エントリー!C139</f>
        <v>0</v>
      </c>
      <c r="G35" s="92" t="str">
        <f>男子エントリー!E139</f>
        <v/>
      </c>
      <c r="H35" s="92" t="str">
        <f>男子エントリー!F139</f>
        <v/>
      </c>
      <c r="I35" s="1" t="str">
        <f t="shared" si="12"/>
        <v/>
      </c>
      <c r="J35" s="1" t="e">
        <f>LEFT(男子エントリー!E141,FIND(",",LEFT(男子エントリー!E141,LEN(男子エントリー!E141)-5))-1)&amp;LEFT(RIGHT(男子エントリー!E141,LEN(男子エントリー!E141)-FIND(",",男子エントリー!E141)),LEN(RIGHT(男子エントリー!E141,LEN(男子エントリー!E141)-FIND(",",男子エントリー!E141)))-5)</f>
        <v>#VALUE!</v>
      </c>
      <c r="K35" s="1" t="str">
        <f>男子エントリー!G141</f>
        <v/>
      </c>
      <c r="L35" s="1" t="str">
        <f t="shared" si="13"/>
        <v/>
      </c>
      <c r="M35" s="92" t="str">
        <f>男子エントリー!G139</f>
        <v/>
      </c>
      <c r="N35" s="92" t="e">
        <f>MID(男子エントリー!E141,FIND("(",男子エントリー!E141)+1,2)</f>
        <v>#VALUE!</v>
      </c>
      <c r="O35" s="1">
        <v>0</v>
      </c>
      <c r="P35" s="92" t="e">
        <f>VLOOKUP(男子エントリー!G140,競技会設定!$F$3:$I$50,2,0)</f>
        <v>#N/A</v>
      </c>
      <c r="R35" s="1" t="str" cm="1">
        <f t="array" ref="R35">_xlfn.IFNA(_xlfn.IFNA(INDEX(競技会設定!$X$2:$AC$24,MATCH(INDEX(男子エントリー!$J$7:$AH$406,MATCH($G35&amp;RIGHT(R$1,1),男子エントリー!$AH$7:$AH$406,0),1),競技会設定!$AC$2:$AC$24,0),1),INDEX(競技会設定!$X$2:$AC$24,MATCH(INDEX(男子エントリー!$R$6:$V$406,MATCH($G35&amp;RIGHT(R$1,1),男子エントリー!$V$6:$V$406,0)-MATCH($G35&amp;RIGHT(R$1,1),男子エントリー!$V$6:$V$406,0)+1,1),競技会設定!$AC$2:$AC$24,0),1)),"")</f>
        <v/>
      </c>
      <c r="S35" s="1" t="str">
        <f>IF(R35=14,リレーエントリー!$I$12,_xlfn.IFNA(INDEX(男子エントリー!$J$7:$AH$406,MATCH($G35&amp;RIGHT(T$1,1),男子エントリー!$AH$7:$AH$406,0),3),""))</f>
        <v/>
      </c>
      <c r="T35" s="1" t="str">
        <f t="shared" si="14"/>
        <v/>
      </c>
      <c r="U35" s="1" t="str">
        <f t="shared" si="17"/>
        <v/>
      </c>
      <c r="V35" s="1" t="str">
        <f t="shared" si="16"/>
        <v/>
      </c>
      <c r="W35" s="1" t="str" cm="1">
        <f t="array" ref="W35">_xlfn.IFNA(_xlfn.IFNA(INDEX(競技会設定!$X$2:$AC$24,MATCH(INDEX(男子エントリー!$J$7:$AH$406,MATCH($G35&amp;RIGHT(W$1,1),男子エントリー!$AH$7:$AH$406,0),1),競技会設定!$AC$2:$AC$24,0),1),INDEX(競技会設定!$X$2:$AC$24,MATCH(INDEX(男子エントリー!$R$6:$V$406,MATCH($G35&amp;RIGHT(W$1,1),男子エントリー!$V$6:$V$406,0)-MATCH($G35&amp;RIGHT(W$1,1),男子エントリー!$V$6:$V$406,0)+1,1),競技会設定!$AC$2:$AC$24,0),1)),"")</f>
        <v/>
      </c>
      <c r="X35" s="1" t="str">
        <f>IF(W35=14,リレーエントリー!$I$12,_xlfn.IFNA(INDEX(男子エントリー!$J$7:$AH$406,MATCH($G35&amp;RIGHT(Y$1,1),男子エントリー!$AH$7:$AH$406,0),3),""))</f>
        <v/>
      </c>
      <c r="Y35" s="1" t="str">
        <f t="shared" si="0"/>
        <v/>
      </c>
      <c r="Z35" s="1" t="str">
        <f t="shared" si="1"/>
        <v/>
      </c>
      <c r="AA35" s="1" t="str">
        <f t="shared" si="2"/>
        <v/>
      </c>
      <c r="AB35" s="1" t="str" cm="1">
        <f t="array" ref="AB35">_xlfn.IFNA(_xlfn.IFNA(INDEX(競技会設定!$X$2:$AC$24,MATCH(INDEX(男子エントリー!$J$7:$AH$406,MATCH($G35&amp;RIGHT(AB$1,1),男子エントリー!$AH$7:$AH$406,0),1),競技会設定!$AC$2:$AC$24,0),1),INDEX(競技会設定!$X$2:$AC$24,MATCH(INDEX(男子エントリー!$R$6:$V$406,MATCH($G35&amp;RIGHT(AB$1,1),男子エントリー!$V$6:$V$406,0)-MATCH($G35&amp;RIGHT(AB$1,1),男子エントリー!$V$6:$V$406,0)+1,1),競技会設定!$AC$2:$AC$24,0),1)),"")</f>
        <v/>
      </c>
      <c r="AC35" s="1" t="str">
        <f>IF(AB35=14,リレーエントリー!$I$12,_xlfn.IFNA(INDEX(男子エントリー!$J$7:$AH$406,MATCH($G35&amp;RIGHT(AD$1,1),男子エントリー!$AH$7:$AH$406,0),3),""))</f>
        <v/>
      </c>
      <c r="AD35" s="1" t="str">
        <f t="shared" si="3"/>
        <v/>
      </c>
      <c r="AE35" s="1" t="str">
        <f t="shared" si="4"/>
        <v/>
      </c>
      <c r="AF35" s="1" t="str">
        <f t="shared" si="5"/>
        <v/>
      </c>
      <c r="AG35" s="1" t="str" cm="1">
        <f t="array" ref="AG35">_xlfn.IFNA(_xlfn.IFNA(INDEX(競技会設定!$X$2:$AC$24,MATCH(INDEX(男子エントリー!$J$7:$AH$406,MATCH($G35&amp;RIGHT(AG$1,1),男子エントリー!$AH$7:$AH$406,0),1),競技会設定!$AC$2:$AC$24,0),1),INDEX(競技会設定!$X$2:$AC$24,MATCH(INDEX(男子エントリー!$R$6:$V$406,MATCH($G35&amp;RIGHT(AG$1,1),男子エントリー!$V$6:$V$406,0)-MATCH($G35&amp;RIGHT(AG$1,1),男子エントリー!$V$6:$V$406,0)+1,1),競技会設定!$AC$2:$AC$24,0),1)),"")</f>
        <v/>
      </c>
      <c r="AH35" s="1" t="str">
        <f>IF(AG35=14,リレーエントリー!$I$12,_xlfn.IFNA(INDEX(男子エントリー!$J$7:$AH$406,MATCH($G35&amp;RIGHT(AI$1,1),男子エントリー!$AH$7:$AH$406,0),3),""))</f>
        <v/>
      </c>
      <c r="AI35" s="1" t="str">
        <f t="shared" si="6"/>
        <v/>
      </c>
      <c r="AJ35" s="1" t="str">
        <f t="shared" si="7"/>
        <v/>
      </c>
      <c r="AK35" s="1" t="str">
        <f t="shared" si="8"/>
        <v/>
      </c>
      <c r="AL35" s="1" t="str" cm="1">
        <f t="array" ref="AL35">_xlfn.IFNA(_xlfn.IFNA(INDEX(競技会設定!$X$2:$AC$24,MATCH(INDEX(男子エントリー!$J$7:$AH$406,MATCH($G35&amp;RIGHT(AL$1,1),男子エントリー!$AH$7:$AH$406,0),1),競技会設定!$AC$2:$AC$24,0),1),INDEX(競技会設定!$X$2:$AC$24,MATCH(INDEX(男子エントリー!$R$6:$V$406,MATCH($G35&amp;RIGHT(AL$1,1),男子エントリー!$V$6:$V$406,0)-MATCH($G35&amp;RIGHT(AL$1,1),男子エントリー!$V$6:$V$406,0)+1,1),競技会設定!$AC$2:$AC$24,0),1)),"")</f>
        <v/>
      </c>
      <c r="AM35" s="1" t="str">
        <f>IF(AL35=14,リレーエントリー!$I$12,_xlfn.IFNA(INDEX(男子エントリー!$J$7:$AH$406,MATCH($G35&amp;RIGHT(AN$1,1),男子エントリー!$AH$7:$AH$406,0),3),""))</f>
        <v/>
      </c>
      <c r="AN35" s="1" t="str">
        <f t="shared" si="9"/>
        <v/>
      </c>
      <c r="AO35" s="1" t="str">
        <f t="shared" si="10"/>
        <v/>
      </c>
      <c r="AP35" s="1" t="str">
        <f t="shared" si="11"/>
        <v/>
      </c>
    </row>
    <row r="36" spans="1:42">
      <c r="A36" s="1">
        <v>35</v>
      </c>
      <c r="B36" s="92" t="str">
        <f>男子エントリー!D143</f>
        <v/>
      </c>
      <c r="C36" s="1" t="str">
        <f>基本情報!$E$6</f>
        <v/>
      </c>
      <c r="D36" s="1" t="str">
        <f>基本情報!$E$7</f>
        <v/>
      </c>
      <c r="F36" s="92">
        <f>男子エントリー!C143</f>
        <v>0</v>
      </c>
      <c r="G36" s="92" t="str">
        <f>男子エントリー!E143</f>
        <v/>
      </c>
      <c r="H36" s="92" t="str">
        <f>男子エントリー!F143</f>
        <v/>
      </c>
      <c r="I36" s="1" t="str">
        <f t="shared" si="12"/>
        <v/>
      </c>
      <c r="J36" s="1" t="e">
        <f>LEFT(男子エントリー!E145,FIND(",",LEFT(男子エントリー!E145,LEN(男子エントリー!E145)-5))-1)&amp;LEFT(RIGHT(男子エントリー!E145,LEN(男子エントリー!E145)-FIND(",",男子エントリー!E145)),LEN(RIGHT(男子エントリー!E145,LEN(男子エントリー!E145)-FIND(",",男子エントリー!E145)))-5)</f>
        <v>#VALUE!</v>
      </c>
      <c r="K36" s="1" t="str">
        <f>男子エントリー!G145</f>
        <v/>
      </c>
      <c r="L36" s="1" t="str">
        <f t="shared" si="13"/>
        <v/>
      </c>
      <c r="M36" s="92" t="str">
        <f>男子エントリー!G143</f>
        <v/>
      </c>
      <c r="N36" s="92" t="e">
        <f>MID(男子エントリー!E145,FIND("(",男子エントリー!E145)+1,2)</f>
        <v>#VALUE!</v>
      </c>
      <c r="O36" s="1">
        <v>0</v>
      </c>
      <c r="P36" s="92" t="e">
        <f>VLOOKUP(男子エントリー!G144,競技会設定!$F$3:$I$50,2,0)</f>
        <v>#N/A</v>
      </c>
      <c r="R36" s="1" t="str" cm="1">
        <f t="array" ref="R36">_xlfn.IFNA(_xlfn.IFNA(INDEX(競技会設定!$X$2:$AC$24,MATCH(INDEX(男子エントリー!$J$7:$AH$406,MATCH($G36&amp;RIGHT(R$1,1),男子エントリー!$AH$7:$AH$406,0),1),競技会設定!$AC$2:$AC$24,0),1),INDEX(競技会設定!$X$2:$AC$24,MATCH(INDEX(男子エントリー!$R$6:$V$406,MATCH($G36&amp;RIGHT(R$1,1),男子エントリー!$V$6:$V$406,0)-MATCH($G36&amp;RIGHT(R$1,1),男子エントリー!$V$6:$V$406,0)+1,1),競技会設定!$AC$2:$AC$24,0),1)),"")</f>
        <v/>
      </c>
      <c r="S36" s="1" t="str">
        <f>IF(R36=14,リレーエントリー!$I$12,_xlfn.IFNA(INDEX(男子エントリー!$J$7:$AH$406,MATCH($G36&amp;RIGHT(T$1,1),男子エントリー!$AH$7:$AH$406,0),3),""))</f>
        <v/>
      </c>
      <c r="T36" s="1" t="str">
        <f t="shared" si="14"/>
        <v/>
      </c>
      <c r="U36" s="1" t="str">
        <f t="shared" si="17"/>
        <v/>
      </c>
      <c r="V36" s="1" t="str">
        <f t="shared" si="16"/>
        <v/>
      </c>
      <c r="W36" s="1" t="str" cm="1">
        <f t="array" ref="W36">_xlfn.IFNA(_xlfn.IFNA(INDEX(競技会設定!$X$2:$AC$24,MATCH(INDEX(男子エントリー!$J$7:$AH$406,MATCH($G36&amp;RIGHT(W$1,1),男子エントリー!$AH$7:$AH$406,0),1),競技会設定!$AC$2:$AC$24,0),1),INDEX(競技会設定!$X$2:$AC$24,MATCH(INDEX(男子エントリー!$R$6:$V$406,MATCH($G36&amp;RIGHT(W$1,1),男子エントリー!$V$6:$V$406,0)-MATCH($G36&amp;RIGHT(W$1,1),男子エントリー!$V$6:$V$406,0)+1,1),競技会設定!$AC$2:$AC$24,0),1)),"")</f>
        <v/>
      </c>
      <c r="X36" s="1" t="str">
        <f>IF(W36=14,リレーエントリー!$I$12,_xlfn.IFNA(INDEX(男子エントリー!$J$7:$AH$406,MATCH($G36&amp;RIGHT(Y$1,1),男子エントリー!$AH$7:$AH$406,0),3),""))</f>
        <v/>
      </c>
      <c r="Y36" s="1" t="str">
        <f t="shared" si="0"/>
        <v/>
      </c>
      <c r="Z36" s="1" t="str">
        <f t="shared" si="1"/>
        <v/>
      </c>
      <c r="AA36" s="1" t="str">
        <f t="shared" si="2"/>
        <v/>
      </c>
      <c r="AB36" s="1" t="str" cm="1">
        <f t="array" ref="AB36">_xlfn.IFNA(_xlfn.IFNA(INDEX(競技会設定!$X$2:$AC$24,MATCH(INDEX(男子エントリー!$J$7:$AH$406,MATCH($G36&amp;RIGHT(AB$1,1),男子エントリー!$AH$7:$AH$406,0),1),競技会設定!$AC$2:$AC$24,0),1),INDEX(競技会設定!$X$2:$AC$24,MATCH(INDEX(男子エントリー!$R$6:$V$406,MATCH($G36&amp;RIGHT(AB$1,1),男子エントリー!$V$6:$V$406,0)-MATCH($G36&amp;RIGHT(AB$1,1),男子エントリー!$V$6:$V$406,0)+1,1),競技会設定!$AC$2:$AC$24,0),1)),"")</f>
        <v/>
      </c>
      <c r="AC36" s="1" t="str">
        <f>IF(AB36=14,リレーエントリー!$I$12,_xlfn.IFNA(INDEX(男子エントリー!$J$7:$AH$406,MATCH($G36&amp;RIGHT(AD$1,1),男子エントリー!$AH$7:$AH$406,0),3),""))</f>
        <v/>
      </c>
      <c r="AD36" s="1" t="str">
        <f t="shared" si="3"/>
        <v/>
      </c>
      <c r="AE36" s="1" t="str">
        <f t="shared" si="4"/>
        <v/>
      </c>
      <c r="AF36" s="1" t="str">
        <f t="shared" si="5"/>
        <v/>
      </c>
      <c r="AG36" s="1" t="str" cm="1">
        <f t="array" ref="AG36">_xlfn.IFNA(_xlfn.IFNA(INDEX(競技会設定!$X$2:$AC$24,MATCH(INDEX(男子エントリー!$J$7:$AH$406,MATCH($G36&amp;RIGHT(AG$1,1),男子エントリー!$AH$7:$AH$406,0),1),競技会設定!$AC$2:$AC$24,0),1),INDEX(競技会設定!$X$2:$AC$24,MATCH(INDEX(男子エントリー!$R$6:$V$406,MATCH($G36&amp;RIGHT(AG$1,1),男子エントリー!$V$6:$V$406,0)-MATCH($G36&amp;RIGHT(AG$1,1),男子エントリー!$V$6:$V$406,0)+1,1),競技会設定!$AC$2:$AC$24,0),1)),"")</f>
        <v/>
      </c>
      <c r="AH36" s="1" t="str">
        <f>IF(AG36=14,リレーエントリー!$I$12,_xlfn.IFNA(INDEX(男子エントリー!$J$7:$AH$406,MATCH($G36&amp;RIGHT(AI$1,1),男子エントリー!$AH$7:$AH$406,0),3),""))</f>
        <v/>
      </c>
      <c r="AI36" s="1" t="str">
        <f t="shared" si="6"/>
        <v/>
      </c>
      <c r="AJ36" s="1" t="str">
        <f t="shared" si="7"/>
        <v/>
      </c>
      <c r="AK36" s="1" t="str">
        <f t="shared" si="8"/>
        <v/>
      </c>
      <c r="AL36" s="1" t="str" cm="1">
        <f t="array" ref="AL36">_xlfn.IFNA(_xlfn.IFNA(INDEX(競技会設定!$X$2:$AC$24,MATCH(INDEX(男子エントリー!$J$7:$AH$406,MATCH($G36&amp;RIGHT(AL$1,1),男子エントリー!$AH$7:$AH$406,0),1),競技会設定!$AC$2:$AC$24,0),1),INDEX(競技会設定!$X$2:$AC$24,MATCH(INDEX(男子エントリー!$R$6:$V$406,MATCH($G36&amp;RIGHT(AL$1,1),男子エントリー!$V$6:$V$406,0)-MATCH($G36&amp;RIGHT(AL$1,1),男子エントリー!$V$6:$V$406,0)+1,1),競技会設定!$AC$2:$AC$24,0),1)),"")</f>
        <v/>
      </c>
      <c r="AM36" s="1" t="str">
        <f>IF(AL36=14,リレーエントリー!$I$12,_xlfn.IFNA(INDEX(男子エントリー!$J$7:$AH$406,MATCH($G36&amp;RIGHT(AN$1,1),男子エントリー!$AH$7:$AH$406,0),3),""))</f>
        <v/>
      </c>
      <c r="AN36" s="1" t="str">
        <f t="shared" si="9"/>
        <v/>
      </c>
      <c r="AO36" s="1" t="str">
        <f t="shared" si="10"/>
        <v/>
      </c>
      <c r="AP36" s="1" t="str">
        <f t="shared" si="11"/>
        <v/>
      </c>
    </row>
    <row r="37" spans="1:42">
      <c r="A37" s="1">
        <v>36</v>
      </c>
      <c r="B37" s="92" t="str">
        <f>男子エントリー!D147</f>
        <v/>
      </c>
      <c r="C37" s="1" t="str">
        <f>基本情報!$E$6</f>
        <v/>
      </c>
      <c r="D37" s="1" t="str">
        <f>基本情報!$E$7</f>
        <v/>
      </c>
      <c r="F37" s="92">
        <f>男子エントリー!C147</f>
        <v>0</v>
      </c>
      <c r="G37" s="92" t="str">
        <f>男子エントリー!E147</f>
        <v/>
      </c>
      <c r="H37" s="92" t="str">
        <f>男子エントリー!F147</f>
        <v/>
      </c>
      <c r="I37" s="1" t="str">
        <f t="shared" si="12"/>
        <v/>
      </c>
      <c r="J37" s="1" t="e">
        <f>LEFT(男子エントリー!E149,FIND(",",LEFT(男子エントリー!E149,LEN(男子エントリー!E149)-5))-1)&amp;LEFT(RIGHT(男子エントリー!E149,LEN(男子エントリー!E149)-FIND(",",男子エントリー!E149)),LEN(RIGHT(男子エントリー!E149,LEN(男子エントリー!E149)-FIND(",",男子エントリー!E149)))-5)</f>
        <v>#VALUE!</v>
      </c>
      <c r="K37" s="1" t="str">
        <f>男子エントリー!G149</f>
        <v/>
      </c>
      <c r="L37" s="1" t="str">
        <f t="shared" si="13"/>
        <v/>
      </c>
      <c r="M37" s="92" t="str">
        <f>男子エントリー!G147</f>
        <v/>
      </c>
      <c r="N37" s="92" t="e">
        <f>MID(男子エントリー!E149,FIND("(",男子エントリー!E149)+1,2)</f>
        <v>#VALUE!</v>
      </c>
      <c r="O37" s="1">
        <v>0</v>
      </c>
      <c r="P37" s="92" t="e">
        <f>VLOOKUP(男子エントリー!G148,競技会設定!$F$3:$I$50,2,0)</f>
        <v>#N/A</v>
      </c>
      <c r="R37" s="1" t="str" cm="1">
        <f t="array" ref="R37">_xlfn.IFNA(_xlfn.IFNA(INDEX(競技会設定!$X$2:$AC$24,MATCH(INDEX(男子エントリー!$J$7:$AH$406,MATCH($G37&amp;RIGHT(R$1,1),男子エントリー!$AH$7:$AH$406,0),1),競技会設定!$AC$2:$AC$24,0),1),INDEX(競技会設定!$X$2:$AC$24,MATCH(INDEX(男子エントリー!$R$6:$V$406,MATCH($G37&amp;RIGHT(R$1,1),男子エントリー!$V$6:$V$406,0)-MATCH($G37&amp;RIGHT(R$1,1),男子エントリー!$V$6:$V$406,0)+1,1),競技会設定!$AC$2:$AC$24,0),1)),"")</f>
        <v/>
      </c>
      <c r="S37" s="1" t="str">
        <f>IF(R37=14,リレーエントリー!$I$12,_xlfn.IFNA(INDEX(男子エントリー!$J$7:$AH$406,MATCH($G37&amp;RIGHT(T$1,1),男子エントリー!$AH$7:$AH$406,0),3),""))</f>
        <v/>
      </c>
      <c r="T37" s="1" t="str">
        <f t="shared" si="14"/>
        <v/>
      </c>
      <c r="U37" s="1" t="str">
        <f t="shared" si="17"/>
        <v/>
      </c>
      <c r="V37" s="1" t="str">
        <f t="shared" si="16"/>
        <v/>
      </c>
      <c r="W37" s="1" t="str" cm="1">
        <f t="array" ref="W37">_xlfn.IFNA(_xlfn.IFNA(INDEX(競技会設定!$X$2:$AC$24,MATCH(INDEX(男子エントリー!$J$7:$AH$406,MATCH($G37&amp;RIGHT(W$1,1),男子エントリー!$AH$7:$AH$406,0),1),競技会設定!$AC$2:$AC$24,0),1),INDEX(競技会設定!$X$2:$AC$24,MATCH(INDEX(男子エントリー!$R$6:$V$406,MATCH($G37&amp;RIGHT(W$1,1),男子エントリー!$V$6:$V$406,0)-MATCH($G37&amp;RIGHT(W$1,1),男子エントリー!$V$6:$V$406,0)+1,1),競技会設定!$AC$2:$AC$24,0),1)),"")</f>
        <v/>
      </c>
      <c r="X37" s="1" t="str">
        <f>IF(W37=14,リレーエントリー!$I$12,_xlfn.IFNA(INDEX(男子エントリー!$J$7:$AH$406,MATCH($G37&amp;RIGHT(Y$1,1),男子エントリー!$AH$7:$AH$406,0),3),""))</f>
        <v/>
      </c>
      <c r="Y37" s="1" t="str">
        <f t="shared" si="0"/>
        <v/>
      </c>
      <c r="Z37" s="1" t="str">
        <f t="shared" si="1"/>
        <v/>
      </c>
      <c r="AA37" s="1" t="str">
        <f t="shared" si="2"/>
        <v/>
      </c>
      <c r="AB37" s="1" t="str" cm="1">
        <f t="array" ref="AB37">_xlfn.IFNA(_xlfn.IFNA(INDEX(競技会設定!$X$2:$AC$24,MATCH(INDEX(男子エントリー!$J$7:$AH$406,MATCH($G37&amp;RIGHT(AB$1,1),男子エントリー!$AH$7:$AH$406,0),1),競技会設定!$AC$2:$AC$24,0),1),INDEX(競技会設定!$X$2:$AC$24,MATCH(INDEX(男子エントリー!$R$6:$V$406,MATCH($G37&amp;RIGHT(AB$1,1),男子エントリー!$V$6:$V$406,0)-MATCH($G37&amp;RIGHT(AB$1,1),男子エントリー!$V$6:$V$406,0)+1,1),競技会設定!$AC$2:$AC$24,0),1)),"")</f>
        <v/>
      </c>
      <c r="AC37" s="1" t="str">
        <f>IF(AB37=14,リレーエントリー!$I$12,_xlfn.IFNA(INDEX(男子エントリー!$J$7:$AH$406,MATCH($G37&amp;RIGHT(AD$1,1),男子エントリー!$AH$7:$AH$406,0),3),""))</f>
        <v/>
      </c>
      <c r="AD37" s="1" t="str">
        <f t="shared" si="3"/>
        <v/>
      </c>
      <c r="AE37" s="1" t="str">
        <f t="shared" si="4"/>
        <v/>
      </c>
      <c r="AF37" s="1" t="str">
        <f t="shared" si="5"/>
        <v/>
      </c>
      <c r="AG37" s="1" t="str" cm="1">
        <f t="array" ref="AG37">_xlfn.IFNA(_xlfn.IFNA(INDEX(競技会設定!$X$2:$AC$24,MATCH(INDEX(男子エントリー!$J$7:$AH$406,MATCH($G37&amp;RIGHT(AG$1,1),男子エントリー!$AH$7:$AH$406,0),1),競技会設定!$AC$2:$AC$24,0),1),INDEX(競技会設定!$X$2:$AC$24,MATCH(INDEX(男子エントリー!$R$6:$V$406,MATCH($G37&amp;RIGHT(AG$1,1),男子エントリー!$V$6:$V$406,0)-MATCH($G37&amp;RIGHT(AG$1,1),男子エントリー!$V$6:$V$406,0)+1,1),競技会設定!$AC$2:$AC$24,0),1)),"")</f>
        <v/>
      </c>
      <c r="AH37" s="1" t="str">
        <f>IF(AG37=14,リレーエントリー!$I$12,_xlfn.IFNA(INDEX(男子エントリー!$J$7:$AH$406,MATCH($G37&amp;RIGHT(AI$1,1),男子エントリー!$AH$7:$AH$406,0),3),""))</f>
        <v/>
      </c>
      <c r="AI37" s="1" t="str">
        <f t="shared" si="6"/>
        <v/>
      </c>
      <c r="AJ37" s="1" t="str">
        <f t="shared" si="7"/>
        <v/>
      </c>
      <c r="AK37" s="1" t="str">
        <f t="shared" si="8"/>
        <v/>
      </c>
      <c r="AL37" s="1" t="str" cm="1">
        <f t="array" ref="AL37">_xlfn.IFNA(_xlfn.IFNA(INDEX(競技会設定!$X$2:$AC$24,MATCH(INDEX(男子エントリー!$J$7:$AH$406,MATCH($G37&amp;RIGHT(AL$1,1),男子エントリー!$AH$7:$AH$406,0),1),競技会設定!$AC$2:$AC$24,0),1),INDEX(競技会設定!$X$2:$AC$24,MATCH(INDEX(男子エントリー!$R$6:$V$406,MATCH($G37&amp;RIGHT(AL$1,1),男子エントリー!$V$6:$V$406,0)-MATCH($G37&amp;RIGHT(AL$1,1),男子エントリー!$V$6:$V$406,0)+1,1),競技会設定!$AC$2:$AC$24,0),1)),"")</f>
        <v/>
      </c>
      <c r="AM37" s="1" t="str">
        <f>IF(AL37=14,リレーエントリー!$I$12,_xlfn.IFNA(INDEX(男子エントリー!$J$7:$AH$406,MATCH($G37&amp;RIGHT(AN$1,1),男子エントリー!$AH$7:$AH$406,0),3),""))</f>
        <v/>
      </c>
      <c r="AN37" s="1" t="str">
        <f t="shared" si="9"/>
        <v/>
      </c>
      <c r="AO37" s="1" t="str">
        <f t="shared" si="10"/>
        <v/>
      </c>
      <c r="AP37" s="1" t="str">
        <f t="shared" si="11"/>
        <v/>
      </c>
    </row>
    <row r="38" spans="1:42">
      <c r="A38" s="1">
        <v>37</v>
      </c>
      <c r="B38" s="92" t="str">
        <f>男子エントリー!D151</f>
        <v/>
      </c>
      <c r="C38" s="1" t="str">
        <f>基本情報!$E$6</f>
        <v/>
      </c>
      <c r="D38" s="1" t="str">
        <f>基本情報!$E$7</f>
        <v/>
      </c>
      <c r="F38" s="92">
        <f>男子エントリー!C151</f>
        <v>0</v>
      </c>
      <c r="G38" s="92" t="str">
        <f>男子エントリー!E151</f>
        <v/>
      </c>
      <c r="H38" s="92" t="str">
        <f>男子エントリー!F151</f>
        <v/>
      </c>
      <c r="I38" s="1" t="str">
        <f t="shared" si="12"/>
        <v/>
      </c>
      <c r="J38" s="1" t="e">
        <f>LEFT(男子エントリー!E153,FIND(",",LEFT(男子エントリー!E153,LEN(男子エントリー!E153)-5))-1)&amp;LEFT(RIGHT(男子エントリー!E153,LEN(男子エントリー!E153)-FIND(",",男子エントリー!E153)),LEN(RIGHT(男子エントリー!E153,LEN(男子エントリー!E153)-FIND(",",男子エントリー!E153)))-5)</f>
        <v>#VALUE!</v>
      </c>
      <c r="K38" s="1" t="str">
        <f>男子エントリー!G153</f>
        <v/>
      </c>
      <c r="L38" s="1" t="str">
        <f t="shared" si="13"/>
        <v/>
      </c>
      <c r="M38" s="92" t="str">
        <f>男子エントリー!G151</f>
        <v/>
      </c>
      <c r="N38" s="92" t="e">
        <f>MID(男子エントリー!E153,FIND("(",男子エントリー!E153)+1,2)</f>
        <v>#VALUE!</v>
      </c>
      <c r="O38" s="1">
        <v>0</v>
      </c>
      <c r="P38" s="92" t="e">
        <f>VLOOKUP(男子エントリー!G152,競技会設定!$F$3:$I$50,2,0)</f>
        <v>#N/A</v>
      </c>
      <c r="R38" s="1" t="str" cm="1">
        <f t="array" ref="R38">_xlfn.IFNA(_xlfn.IFNA(INDEX(競技会設定!$X$2:$AC$24,MATCH(INDEX(男子エントリー!$J$7:$AH$406,MATCH($G38&amp;RIGHT(R$1,1),男子エントリー!$AH$7:$AH$406,0),1),競技会設定!$AC$2:$AC$24,0),1),INDEX(競技会設定!$X$2:$AC$24,MATCH(INDEX(男子エントリー!$R$6:$V$406,MATCH($G38&amp;RIGHT(R$1,1),男子エントリー!$V$6:$V$406,0)-MATCH($G38&amp;RIGHT(R$1,1),男子エントリー!$V$6:$V$406,0)+1,1),競技会設定!$AC$2:$AC$24,0),1)),"")</f>
        <v/>
      </c>
      <c r="S38" s="1" t="str">
        <f>IF(R38=14,リレーエントリー!$I$12,_xlfn.IFNA(INDEX(男子エントリー!$J$7:$AH$406,MATCH($G38&amp;RIGHT(T$1,1),男子エントリー!$AH$7:$AH$406,0),3),""))</f>
        <v/>
      </c>
      <c r="T38" s="1" t="str">
        <f t="shared" si="14"/>
        <v/>
      </c>
      <c r="U38" s="1" t="str">
        <f t="shared" si="17"/>
        <v/>
      </c>
      <c r="V38" s="1" t="str">
        <f t="shared" si="16"/>
        <v/>
      </c>
      <c r="W38" s="1" t="str" cm="1">
        <f t="array" ref="W38">_xlfn.IFNA(_xlfn.IFNA(INDEX(競技会設定!$X$2:$AC$24,MATCH(INDEX(男子エントリー!$J$7:$AH$406,MATCH($G38&amp;RIGHT(W$1,1),男子エントリー!$AH$7:$AH$406,0),1),競技会設定!$AC$2:$AC$24,0),1),INDEX(競技会設定!$X$2:$AC$24,MATCH(INDEX(男子エントリー!$R$6:$V$406,MATCH($G38&amp;RIGHT(W$1,1),男子エントリー!$V$6:$V$406,0)-MATCH($G38&amp;RIGHT(W$1,1),男子エントリー!$V$6:$V$406,0)+1,1),競技会設定!$AC$2:$AC$24,0),1)),"")</f>
        <v/>
      </c>
      <c r="X38" s="1" t="str">
        <f>IF(W38=14,リレーエントリー!$I$12,_xlfn.IFNA(INDEX(男子エントリー!$J$7:$AH$406,MATCH($G38&amp;RIGHT(Y$1,1),男子エントリー!$AH$7:$AH$406,0),3),""))</f>
        <v/>
      </c>
      <c r="Y38" s="1" t="str">
        <f t="shared" si="0"/>
        <v/>
      </c>
      <c r="Z38" s="1" t="str">
        <f t="shared" si="1"/>
        <v/>
      </c>
      <c r="AA38" s="1" t="str">
        <f t="shared" si="2"/>
        <v/>
      </c>
      <c r="AB38" s="1" t="str" cm="1">
        <f t="array" ref="AB38">_xlfn.IFNA(_xlfn.IFNA(INDEX(競技会設定!$X$2:$AC$24,MATCH(INDEX(男子エントリー!$J$7:$AH$406,MATCH($G38&amp;RIGHT(AB$1,1),男子エントリー!$AH$7:$AH$406,0),1),競技会設定!$AC$2:$AC$24,0),1),INDEX(競技会設定!$X$2:$AC$24,MATCH(INDEX(男子エントリー!$R$6:$V$406,MATCH($G38&amp;RIGHT(AB$1,1),男子エントリー!$V$6:$V$406,0)-MATCH($G38&amp;RIGHT(AB$1,1),男子エントリー!$V$6:$V$406,0)+1,1),競技会設定!$AC$2:$AC$24,0),1)),"")</f>
        <v/>
      </c>
      <c r="AC38" s="1" t="str">
        <f>IF(AB38=14,リレーエントリー!$I$12,_xlfn.IFNA(INDEX(男子エントリー!$J$7:$AH$406,MATCH($G38&amp;RIGHT(AD$1,1),男子エントリー!$AH$7:$AH$406,0),3),""))</f>
        <v/>
      </c>
      <c r="AD38" s="1" t="str">
        <f t="shared" si="3"/>
        <v/>
      </c>
      <c r="AE38" s="1" t="str">
        <f t="shared" si="4"/>
        <v/>
      </c>
      <c r="AF38" s="1" t="str">
        <f t="shared" si="5"/>
        <v/>
      </c>
      <c r="AG38" s="1" t="str" cm="1">
        <f t="array" ref="AG38">_xlfn.IFNA(_xlfn.IFNA(INDEX(競技会設定!$X$2:$AC$24,MATCH(INDEX(男子エントリー!$J$7:$AH$406,MATCH($G38&amp;RIGHT(AG$1,1),男子エントリー!$AH$7:$AH$406,0),1),競技会設定!$AC$2:$AC$24,0),1),INDEX(競技会設定!$X$2:$AC$24,MATCH(INDEX(男子エントリー!$R$6:$V$406,MATCH($G38&amp;RIGHT(AG$1,1),男子エントリー!$V$6:$V$406,0)-MATCH($G38&amp;RIGHT(AG$1,1),男子エントリー!$V$6:$V$406,0)+1,1),競技会設定!$AC$2:$AC$24,0),1)),"")</f>
        <v/>
      </c>
      <c r="AH38" s="1" t="str">
        <f>IF(AG38=14,リレーエントリー!$I$12,_xlfn.IFNA(INDEX(男子エントリー!$J$7:$AH$406,MATCH($G38&amp;RIGHT(AI$1,1),男子エントリー!$AH$7:$AH$406,0),3),""))</f>
        <v/>
      </c>
      <c r="AI38" s="1" t="str">
        <f t="shared" si="6"/>
        <v/>
      </c>
      <c r="AJ38" s="1" t="str">
        <f t="shared" si="7"/>
        <v/>
      </c>
      <c r="AK38" s="1" t="str">
        <f t="shared" si="8"/>
        <v/>
      </c>
      <c r="AL38" s="1" t="str" cm="1">
        <f t="array" ref="AL38">_xlfn.IFNA(_xlfn.IFNA(INDEX(競技会設定!$X$2:$AC$24,MATCH(INDEX(男子エントリー!$J$7:$AH$406,MATCH($G38&amp;RIGHT(AL$1,1),男子エントリー!$AH$7:$AH$406,0),1),競技会設定!$AC$2:$AC$24,0),1),INDEX(競技会設定!$X$2:$AC$24,MATCH(INDEX(男子エントリー!$R$6:$V$406,MATCH($G38&amp;RIGHT(AL$1,1),男子エントリー!$V$6:$V$406,0)-MATCH($G38&amp;RIGHT(AL$1,1),男子エントリー!$V$6:$V$406,0)+1,1),競技会設定!$AC$2:$AC$24,0),1)),"")</f>
        <v/>
      </c>
      <c r="AM38" s="1" t="str">
        <f>IF(AL38=14,リレーエントリー!$I$12,_xlfn.IFNA(INDEX(男子エントリー!$J$7:$AH$406,MATCH($G38&amp;RIGHT(AN$1,1),男子エントリー!$AH$7:$AH$406,0),3),""))</f>
        <v/>
      </c>
      <c r="AN38" s="1" t="str">
        <f t="shared" si="9"/>
        <v/>
      </c>
      <c r="AO38" s="1" t="str">
        <f t="shared" si="10"/>
        <v/>
      </c>
      <c r="AP38" s="1" t="str">
        <f t="shared" si="11"/>
        <v/>
      </c>
    </row>
    <row r="39" spans="1:42">
      <c r="A39" s="1">
        <v>38</v>
      </c>
      <c r="B39" s="92" t="str">
        <f>男子エントリー!D155</f>
        <v/>
      </c>
      <c r="C39" s="1" t="str">
        <f>基本情報!$E$6</f>
        <v/>
      </c>
      <c r="D39" s="1" t="str">
        <f>基本情報!$E$7</f>
        <v/>
      </c>
      <c r="F39" s="92">
        <f>男子エントリー!C155</f>
        <v>0</v>
      </c>
      <c r="G39" s="92" t="str">
        <f>男子エントリー!E155</f>
        <v/>
      </c>
      <c r="H39" s="92" t="str">
        <f>男子エントリー!F155</f>
        <v/>
      </c>
      <c r="I39" s="1" t="str">
        <f t="shared" si="12"/>
        <v/>
      </c>
      <c r="J39" s="1" t="e">
        <f>LEFT(男子エントリー!E157,FIND(",",LEFT(男子エントリー!E157,LEN(男子エントリー!E157)-5))-1)&amp;LEFT(RIGHT(男子エントリー!E157,LEN(男子エントリー!E157)-FIND(",",男子エントリー!E157)),LEN(RIGHT(男子エントリー!E157,LEN(男子エントリー!E157)-FIND(",",男子エントリー!E157)))-5)</f>
        <v>#VALUE!</v>
      </c>
      <c r="K39" s="1" t="str">
        <f>男子エントリー!G157</f>
        <v/>
      </c>
      <c r="L39" s="1" t="str">
        <f t="shared" si="13"/>
        <v/>
      </c>
      <c r="M39" s="92" t="str">
        <f>男子エントリー!G155</f>
        <v/>
      </c>
      <c r="N39" s="92" t="e">
        <f>MID(男子エントリー!E157,FIND("(",男子エントリー!E157)+1,2)</f>
        <v>#VALUE!</v>
      </c>
      <c r="O39" s="1">
        <v>0</v>
      </c>
      <c r="P39" s="92" t="e">
        <f>VLOOKUP(男子エントリー!G156,競技会設定!$F$3:$I$50,2,0)</f>
        <v>#N/A</v>
      </c>
      <c r="R39" s="1" t="str" cm="1">
        <f t="array" ref="R39">_xlfn.IFNA(_xlfn.IFNA(INDEX(競技会設定!$X$2:$AC$24,MATCH(INDEX(男子エントリー!$J$7:$AH$406,MATCH($G39&amp;RIGHT(R$1,1),男子エントリー!$AH$7:$AH$406,0),1),競技会設定!$AC$2:$AC$24,0),1),INDEX(競技会設定!$X$2:$AC$24,MATCH(INDEX(男子エントリー!$R$6:$V$406,MATCH($G39&amp;RIGHT(R$1,1),男子エントリー!$V$6:$V$406,0)-MATCH($G39&amp;RIGHT(R$1,1),男子エントリー!$V$6:$V$406,0)+1,1),競技会設定!$AC$2:$AC$24,0),1)),"")</f>
        <v/>
      </c>
      <c r="S39" s="1" t="str">
        <f>IF(R39=14,リレーエントリー!$I$12,_xlfn.IFNA(INDEX(男子エントリー!$J$7:$AH$406,MATCH($G39&amp;RIGHT(T$1,1),男子エントリー!$AH$7:$AH$406,0),3),""))</f>
        <v/>
      </c>
      <c r="T39" s="1" t="str">
        <f t="shared" si="14"/>
        <v/>
      </c>
      <c r="U39" s="1" t="str">
        <f t="shared" si="17"/>
        <v/>
      </c>
      <c r="V39" s="1" t="str">
        <f t="shared" si="16"/>
        <v/>
      </c>
      <c r="W39" s="1" t="str" cm="1">
        <f t="array" ref="W39">_xlfn.IFNA(_xlfn.IFNA(INDEX(競技会設定!$X$2:$AC$24,MATCH(INDEX(男子エントリー!$J$7:$AH$406,MATCH($G39&amp;RIGHT(W$1,1),男子エントリー!$AH$7:$AH$406,0),1),競技会設定!$AC$2:$AC$24,0),1),INDEX(競技会設定!$X$2:$AC$24,MATCH(INDEX(男子エントリー!$R$6:$V$406,MATCH($G39&amp;RIGHT(W$1,1),男子エントリー!$V$6:$V$406,0)-MATCH($G39&amp;RIGHT(W$1,1),男子エントリー!$V$6:$V$406,0)+1,1),競技会設定!$AC$2:$AC$24,0),1)),"")</f>
        <v/>
      </c>
      <c r="X39" s="1" t="str">
        <f>IF(W39=14,リレーエントリー!$I$12,_xlfn.IFNA(INDEX(男子エントリー!$J$7:$AH$406,MATCH($G39&amp;RIGHT(Y$1,1),男子エントリー!$AH$7:$AH$406,0),3),""))</f>
        <v/>
      </c>
      <c r="Y39" s="1" t="str">
        <f t="shared" si="0"/>
        <v/>
      </c>
      <c r="Z39" s="1" t="str">
        <f t="shared" si="1"/>
        <v/>
      </c>
      <c r="AA39" s="1" t="str">
        <f t="shared" si="2"/>
        <v/>
      </c>
      <c r="AB39" s="1" t="str" cm="1">
        <f t="array" ref="AB39">_xlfn.IFNA(_xlfn.IFNA(INDEX(競技会設定!$X$2:$AC$24,MATCH(INDEX(男子エントリー!$J$7:$AH$406,MATCH($G39&amp;RIGHT(AB$1,1),男子エントリー!$AH$7:$AH$406,0),1),競技会設定!$AC$2:$AC$24,0),1),INDEX(競技会設定!$X$2:$AC$24,MATCH(INDEX(男子エントリー!$R$6:$V$406,MATCH($G39&amp;RIGHT(AB$1,1),男子エントリー!$V$6:$V$406,0)-MATCH($G39&amp;RIGHT(AB$1,1),男子エントリー!$V$6:$V$406,0)+1,1),競技会設定!$AC$2:$AC$24,0),1)),"")</f>
        <v/>
      </c>
      <c r="AC39" s="1" t="str">
        <f>IF(AB39=14,リレーエントリー!$I$12,_xlfn.IFNA(INDEX(男子エントリー!$J$7:$AH$406,MATCH($G39&amp;RIGHT(AD$1,1),男子エントリー!$AH$7:$AH$406,0),3),""))</f>
        <v/>
      </c>
      <c r="AD39" s="1" t="str">
        <f t="shared" si="3"/>
        <v/>
      </c>
      <c r="AE39" s="1" t="str">
        <f t="shared" si="4"/>
        <v/>
      </c>
      <c r="AF39" s="1" t="str">
        <f t="shared" si="5"/>
        <v/>
      </c>
      <c r="AG39" s="1" t="str" cm="1">
        <f t="array" ref="AG39">_xlfn.IFNA(_xlfn.IFNA(INDEX(競技会設定!$X$2:$AC$24,MATCH(INDEX(男子エントリー!$J$7:$AH$406,MATCH($G39&amp;RIGHT(AG$1,1),男子エントリー!$AH$7:$AH$406,0),1),競技会設定!$AC$2:$AC$24,0),1),INDEX(競技会設定!$X$2:$AC$24,MATCH(INDEX(男子エントリー!$R$6:$V$406,MATCH($G39&amp;RIGHT(AG$1,1),男子エントリー!$V$6:$V$406,0)-MATCH($G39&amp;RIGHT(AG$1,1),男子エントリー!$V$6:$V$406,0)+1,1),競技会設定!$AC$2:$AC$24,0),1)),"")</f>
        <v/>
      </c>
      <c r="AH39" s="1" t="str">
        <f>IF(AG39=14,リレーエントリー!$I$12,_xlfn.IFNA(INDEX(男子エントリー!$J$7:$AH$406,MATCH($G39&amp;RIGHT(AI$1,1),男子エントリー!$AH$7:$AH$406,0),3),""))</f>
        <v/>
      </c>
      <c r="AI39" s="1" t="str">
        <f t="shared" si="6"/>
        <v/>
      </c>
      <c r="AJ39" s="1" t="str">
        <f t="shared" si="7"/>
        <v/>
      </c>
      <c r="AK39" s="1" t="str">
        <f t="shared" si="8"/>
        <v/>
      </c>
      <c r="AL39" s="1" t="str" cm="1">
        <f t="array" ref="AL39">_xlfn.IFNA(_xlfn.IFNA(INDEX(競技会設定!$X$2:$AC$24,MATCH(INDEX(男子エントリー!$J$7:$AH$406,MATCH($G39&amp;RIGHT(AL$1,1),男子エントリー!$AH$7:$AH$406,0),1),競技会設定!$AC$2:$AC$24,0),1),INDEX(競技会設定!$X$2:$AC$24,MATCH(INDEX(男子エントリー!$R$6:$V$406,MATCH($G39&amp;RIGHT(AL$1,1),男子エントリー!$V$6:$V$406,0)-MATCH($G39&amp;RIGHT(AL$1,1),男子エントリー!$V$6:$V$406,0)+1,1),競技会設定!$AC$2:$AC$24,0),1)),"")</f>
        <v/>
      </c>
      <c r="AM39" s="1" t="str">
        <f>IF(AL39=14,リレーエントリー!$I$12,_xlfn.IFNA(INDEX(男子エントリー!$J$7:$AH$406,MATCH($G39&amp;RIGHT(AN$1,1),男子エントリー!$AH$7:$AH$406,0),3),""))</f>
        <v/>
      </c>
      <c r="AN39" s="1" t="str">
        <f t="shared" si="9"/>
        <v/>
      </c>
      <c r="AO39" s="1" t="str">
        <f t="shared" si="10"/>
        <v/>
      </c>
      <c r="AP39" s="1" t="str">
        <f t="shared" si="11"/>
        <v/>
      </c>
    </row>
    <row r="40" spans="1:42">
      <c r="A40" s="1">
        <v>39</v>
      </c>
      <c r="B40" s="92" t="str">
        <f>男子エントリー!D159</f>
        <v/>
      </c>
      <c r="C40" s="1" t="str">
        <f>基本情報!$E$6</f>
        <v/>
      </c>
      <c r="D40" s="1" t="str">
        <f>基本情報!$E$7</f>
        <v/>
      </c>
      <c r="F40" s="92">
        <f>男子エントリー!C159</f>
        <v>0</v>
      </c>
      <c r="G40" s="92" t="str">
        <f>男子エントリー!E159</f>
        <v/>
      </c>
      <c r="H40" s="92" t="str">
        <f>男子エントリー!F159</f>
        <v/>
      </c>
      <c r="I40" s="1" t="str">
        <f t="shared" si="12"/>
        <v/>
      </c>
      <c r="J40" s="1" t="e">
        <f>LEFT(男子エントリー!E161,FIND(",",LEFT(男子エントリー!E161,LEN(男子エントリー!E161)-5))-1)&amp;LEFT(RIGHT(男子エントリー!E161,LEN(男子エントリー!E161)-FIND(",",男子エントリー!E161)),LEN(RIGHT(男子エントリー!E161,LEN(男子エントリー!E161)-FIND(",",男子エントリー!E161)))-5)</f>
        <v>#VALUE!</v>
      </c>
      <c r="K40" s="1" t="str">
        <f>男子エントリー!G161</f>
        <v/>
      </c>
      <c r="L40" s="1" t="str">
        <f t="shared" si="13"/>
        <v/>
      </c>
      <c r="M40" s="92" t="str">
        <f>男子エントリー!G159</f>
        <v/>
      </c>
      <c r="N40" s="92" t="e">
        <f>MID(男子エントリー!E161,FIND("(",男子エントリー!E161)+1,2)</f>
        <v>#VALUE!</v>
      </c>
      <c r="O40" s="1">
        <v>0</v>
      </c>
      <c r="P40" s="92" t="e">
        <f>VLOOKUP(男子エントリー!G160,競技会設定!$F$3:$I$50,2,0)</f>
        <v>#N/A</v>
      </c>
      <c r="R40" s="1" t="str" cm="1">
        <f t="array" ref="R40">_xlfn.IFNA(_xlfn.IFNA(INDEX(競技会設定!$X$2:$AC$24,MATCH(INDEX(男子エントリー!$J$7:$AH$406,MATCH($G40&amp;RIGHT(R$1,1),男子エントリー!$AH$7:$AH$406,0),1),競技会設定!$AC$2:$AC$24,0),1),INDEX(競技会設定!$X$2:$AC$24,MATCH(INDEX(男子エントリー!$R$6:$V$406,MATCH($G40&amp;RIGHT(R$1,1),男子エントリー!$V$6:$V$406,0)-MATCH($G40&amp;RIGHT(R$1,1),男子エントリー!$V$6:$V$406,0)+1,1),競技会設定!$AC$2:$AC$24,0),1)),"")</f>
        <v/>
      </c>
      <c r="S40" s="1" t="str">
        <f>IF(R40=14,リレーエントリー!$I$12,_xlfn.IFNA(INDEX(男子エントリー!$J$7:$AH$406,MATCH($G40&amp;RIGHT(T$1,1),男子エントリー!$AH$7:$AH$406,0),3),""))</f>
        <v/>
      </c>
      <c r="T40" s="1" t="str">
        <f t="shared" si="14"/>
        <v/>
      </c>
      <c r="U40" s="1" t="str">
        <f t="shared" si="17"/>
        <v/>
      </c>
      <c r="V40" s="1" t="str">
        <f t="shared" si="16"/>
        <v/>
      </c>
      <c r="W40" s="1" t="str" cm="1">
        <f t="array" ref="W40">_xlfn.IFNA(_xlfn.IFNA(INDEX(競技会設定!$X$2:$AC$24,MATCH(INDEX(男子エントリー!$J$7:$AH$406,MATCH($G40&amp;RIGHT(W$1,1),男子エントリー!$AH$7:$AH$406,0),1),競技会設定!$AC$2:$AC$24,0),1),INDEX(競技会設定!$X$2:$AC$24,MATCH(INDEX(男子エントリー!$R$6:$V$406,MATCH($G40&amp;RIGHT(W$1,1),男子エントリー!$V$6:$V$406,0)-MATCH($G40&amp;RIGHT(W$1,1),男子エントリー!$V$6:$V$406,0)+1,1),競技会設定!$AC$2:$AC$24,0),1)),"")</f>
        <v/>
      </c>
      <c r="X40" s="1" t="str">
        <f>IF(W40=14,リレーエントリー!$I$12,_xlfn.IFNA(INDEX(男子エントリー!$J$7:$AH$406,MATCH($G40&amp;RIGHT(Y$1,1),男子エントリー!$AH$7:$AH$406,0),3),""))</f>
        <v/>
      </c>
      <c r="Y40" s="1" t="str">
        <f t="shared" si="0"/>
        <v/>
      </c>
      <c r="Z40" s="1" t="str">
        <f t="shared" si="1"/>
        <v/>
      </c>
      <c r="AA40" s="1" t="str">
        <f t="shared" si="2"/>
        <v/>
      </c>
      <c r="AB40" s="1" t="str" cm="1">
        <f t="array" ref="AB40">_xlfn.IFNA(_xlfn.IFNA(INDEX(競技会設定!$X$2:$AC$24,MATCH(INDEX(男子エントリー!$J$7:$AH$406,MATCH($G40&amp;RIGHT(AB$1,1),男子エントリー!$AH$7:$AH$406,0),1),競技会設定!$AC$2:$AC$24,0),1),INDEX(競技会設定!$X$2:$AC$24,MATCH(INDEX(男子エントリー!$R$6:$V$406,MATCH($G40&amp;RIGHT(AB$1,1),男子エントリー!$V$6:$V$406,0)-MATCH($G40&amp;RIGHT(AB$1,1),男子エントリー!$V$6:$V$406,0)+1,1),競技会設定!$AC$2:$AC$24,0),1)),"")</f>
        <v/>
      </c>
      <c r="AC40" s="1" t="str">
        <f>IF(AB40=14,リレーエントリー!$I$12,_xlfn.IFNA(INDEX(男子エントリー!$J$7:$AH$406,MATCH($G40&amp;RIGHT(AD$1,1),男子エントリー!$AH$7:$AH$406,0),3),""))</f>
        <v/>
      </c>
      <c r="AD40" s="1" t="str">
        <f t="shared" si="3"/>
        <v/>
      </c>
      <c r="AE40" s="1" t="str">
        <f t="shared" si="4"/>
        <v/>
      </c>
      <c r="AF40" s="1" t="str">
        <f t="shared" si="5"/>
        <v/>
      </c>
      <c r="AG40" s="1" t="str" cm="1">
        <f t="array" ref="AG40">_xlfn.IFNA(_xlfn.IFNA(INDEX(競技会設定!$X$2:$AC$24,MATCH(INDEX(男子エントリー!$J$7:$AH$406,MATCH($G40&amp;RIGHT(AG$1,1),男子エントリー!$AH$7:$AH$406,0),1),競技会設定!$AC$2:$AC$24,0),1),INDEX(競技会設定!$X$2:$AC$24,MATCH(INDEX(男子エントリー!$R$6:$V$406,MATCH($G40&amp;RIGHT(AG$1,1),男子エントリー!$V$6:$V$406,0)-MATCH($G40&amp;RIGHT(AG$1,1),男子エントリー!$V$6:$V$406,0)+1,1),競技会設定!$AC$2:$AC$24,0),1)),"")</f>
        <v/>
      </c>
      <c r="AH40" s="1" t="str">
        <f>IF(AG40=14,リレーエントリー!$I$12,_xlfn.IFNA(INDEX(男子エントリー!$J$7:$AH$406,MATCH($G40&amp;RIGHT(AI$1,1),男子エントリー!$AH$7:$AH$406,0),3),""))</f>
        <v/>
      </c>
      <c r="AI40" s="1" t="str">
        <f t="shared" si="6"/>
        <v/>
      </c>
      <c r="AJ40" s="1" t="str">
        <f t="shared" si="7"/>
        <v/>
      </c>
      <c r="AK40" s="1" t="str">
        <f t="shared" si="8"/>
        <v/>
      </c>
      <c r="AL40" s="1" t="str" cm="1">
        <f t="array" ref="AL40">_xlfn.IFNA(_xlfn.IFNA(INDEX(競技会設定!$X$2:$AC$24,MATCH(INDEX(男子エントリー!$J$7:$AH$406,MATCH($G40&amp;RIGHT(AL$1,1),男子エントリー!$AH$7:$AH$406,0),1),競技会設定!$AC$2:$AC$24,0),1),INDEX(競技会設定!$X$2:$AC$24,MATCH(INDEX(男子エントリー!$R$6:$V$406,MATCH($G40&amp;RIGHT(AL$1,1),男子エントリー!$V$6:$V$406,0)-MATCH($G40&amp;RIGHT(AL$1,1),男子エントリー!$V$6:$V$406,0)+1,1),競技会設定!$AC$2:$AC$24,0),1)),"")</f>
        <v/>
      </c>
      <c r="AM40" s="1" t="str">
        <f>IF(AL40=14,リレーエントリー!$I$12,_xlfn.IFNA(INDEX(男子エントリー!$J$7:$AH$406,MATCH($G40&amp;RIGHT(AN$1,1),男子エントリー!$AH$7:$AH$406,0),3),""))</f>
        <v/>
      </c>
      <c r="AN40" s="1" t="str">
        <f t="shared" si="9"/>
        <v/>
      </c>
      <c r="AO40" s="1" t="str">
        <f t="shared" si="10"/>
        <v/>
      </c>
      <c r="AP40" s="1" t="str">
        <f t="shared" si="11"/>
        <v/>
      </c>
    </row>
    <row r="41" spans="1:42">
      <c r="A41" s="1">
        <v>40</v>
      </c>
      <c r="B41" s="92" t="str">
        <f>男子エントリー!D163</f>
        <v/>
      </c>
      <c r="C41" s="1" t="str">
        <f>基本情報!$E$6</f>
        <v/>
      </c>
      <c r="D41" s="1" t="str">
        <f>基本情報!$E$7</f>
        <v/>
      </c>
      <c r="F41" s="92">
        <f>男子エントリー!C163</f>
        <v>0</v>
      </c>
      <c r="G41" s="92" t="str">
        <f>男子エントリー!E163</f>
        <v/>
      </c>
      <c r="H41" s="92" t="str">
        <f>男子エントリー!F163</f>
        <v/>
      </c>
      <c r="I41" s="1" t="str">
        <f t="shared" si="12"/>
        <v/>
      </c>
      <c r="J41" s="1" t="e">
        <f>LEFT(男子エントリー!E165,FIND(",",LEFT(男子エントリー!E165,LEN(男子エントリー!E165)-5))-1)&amp;LEFT(RIGHT(男子エントリー!E165,LEN(男子エントリー!E165)-FIND(",",男子エントリー!E165)),LEN(RIGHT(男子エントリー!E165,LEN(男子エントリー!E165)-FIND(",",男子エントリー!E165)))-5)</f>
        <v>#VALUE!</v>
      </c>
      <c r="K41" s="1" t="str">
        <f>男子エントリー!G165</f>
        <v/>
      </c>
      <c r="L41" s="1" t="str">
        <f t="shared" si="13"/>
        <v/>
      </c>
      <c r="M41" s="92" t="str">
        <f>男子エントリー!G163</f>
        <v/>
      </c>
      <c r="N41" s="92" t="e">
        <f>MID(男子エントリー!E165,FIND("(",男子エントリー!E165)+1,2)</f>
        <v>#VALUE!</v>
      </c>
      <c r="O41" s="1">
        <v>0</v>
      </c>
      <c r="P41" s="92" t="e">
        <f>VLOOKUP(男子エントリー!G164,競技会設定!$F$3:$I$50,2,0)</f>
        <v>#N/A</v>
      </c>
      <c r="R41" s="1" t="str" cm="1">
        <f t="array" ref="R41">_xlfn.IFNA(_xlfn.IFNA(INDEX(競技会設定!$X$2:$AC$24,MATCH(INDEX(男子エントリー!$J$7:$AH$406,MATCH($G41&amp;RIGHT(R$1,1),男子エントリー!$AH$7:$AH$406,0),1),競技会設定!$AC$2:$AC$24,0),1),INDEX(競技会設定!$X$2:$AC$24,MATCH(INDEX(男子エントリー!$R$6:$V$406,MATCH($G41&amp;RIGHT(R$1,1),男子エントリー!$V$6:$V$406,0)-MATCH($G41&amp;RIGHT(R$1,1),男子エントリー!$V$6:$V$406,0)+1,1),競技会設定!$AC$2:$AC$24,0),1)),"")</f>
        <v/>
      </c>
      <c r="S41" s="1" t="str">
        <f>IF(R41=14,リレーエントリー!$I$12,_xlfn.IFNA(INDEX(男子エントリー!$J$7:$AH$406,MATCH($G41&amp;RIGHT(T$1,1),男子エントリー!$AH$7:$AH$406,0),3),""))</f>
        <v/>
      </c>
      <c r="T41" s="1" t="str">
        <f t="shared" si="14"/>
        <v/>
      </c>
      <c r="U41" s="1" t="str">
        <f t="shared" si="17"/>
        <v/>
      </c>
      <c r="V41" s="1" t="str">
        <f t="shared" si="16"/>
        <v/>
      </c>
      <c r="W41" s="1" t="str" cm="1">
        <f t="array" ref="W41">_xlfn.IFNA(_xlfn.IFNA(INDEX(競技会設定!$X$2:$AC$24,MATCH(INDEX(男子エントリー!$J$7:$AH$406,MATCH($G41&amp;RIGHT(W$1,1),男子エントリー!$AH$7:$AH$406,0),1),競技会設定!$AC$2:$AC$24,0),1),INDEX(競技会設定!$X$2:$AC$24,MATCH(INDEX(男子エントリー!$R$6:$V$406,MATCH($G41&amp;RIGHT(W$1,1),男子エントリー!$V$6:$V$406,0)-MATCH($G41&amp;RIGHT(W$1,1),男子エントリー!$V$6:$V$406,0)+1,1),競技会設定!$AC$2:$AC$24,0),1)),"")</f>
        <v/>
      </c>
      <c r="X41" s="1" t="str">
        <f>IF(W41=14,リレーエントリー!$I$12,_xlfn.IFNA(INDEX(男子エントリー!$J$7:$AH$406,MATCH($G41&amp;RIGHT(Y$1,1),男子エントリー!$AH$7:$AH$406,0),3),""))</f>
        <v/>
      </c>
      <c r="Y41" s="1" t="str">
        <f t="shared" si="0"/>
        <v/>
      </c>
      <c r="Z41" s="1" t="str">
        <f t="shared" si="1"/>
        <v/>
      </c>
      <c r="AA41" s="1" t="str">
        <f t="shared" si="2"/>
        <v/>
      </c>
      <c r="AB41" s="1" t="str" cm="1">
        <f t="array" ref="AB41">_xlfn.IFNA(_xlfn.IFNA(INDEX(競技会設定!$X$2:$AC$24,MATCH(INDEX(男子エントリー!$J$7:$AH$406,MATCH($G41&amp;RIGHT(AB$1,1),男子エントリー!$AH$7:$AH$406,0),1),競技会設定!$AC$2:$AC$24,0),1),INDEX(競技会設定!$X$2:$AC$24,MATCH(INDEX(男子エントリー!$R$6:$V$406,MATCH($G41&amp;RIGHT(AB$1,1),男子エントリー!$V$6:$V$406,0)-MATCH($G41&amp;RIGHT(AB$1,1),男子エントリー!$V$6:$V$406,0)+1,1),競技会設定!$AC$2:$AC$24,0),1)),"")</f>
        <v/>
      </c>
      <c r="AC41" s="1" t="str">
        <f>IF(AB41=14,リレーエントリー!$I$12,_xlfn.IFNA(INDEX(男子エントリー!$J$7:$AH$406,MATCH($G41&amp;RIGHT(AD$1,1),男子エントリー!$AH$7:$AH$406,0),3),""))</f>
        <v/>
      </c>
      <c r="AD41" s="1" t="str">
        <f t="shared" si="3"/>
        <v/>
      </c>
      <c r="AE41" s="1" t="str">
        <f t="shared" si="4"/>
        <v/>
      </c>
      <c r="AF41" s="1" t="str">
        <f t="shared" si="5"/>
        <v/>
      </c>
      <c r="AG41" s="1" t="str" cm="1">
        <f t="array" ref="AG41">_xlfn.IFNA(_xlfn.IFNA(INDEX(競技会設定!$X$2:$AC$24,MATCH(INDEX(男子エントリー!$J$7:$AH$406,MATCH($G41&amp;RIGHT(AG$1,1),男子エントリー!$AH$7:$AH$406,0),1),競技会設定!$AC$2:$AC$24,0),1),INDEX(競技会設定!$X$2:$AC$24,MATCH(INDEX(男子エントリー!$R$6:$V$406,MATCH($G41&amp;RIGHT(AG$1,1),男子エントリー!$V$6:$V$406,0)-MATCH($G41&amp;RIGHT(AG$1,1),男子エントリー!$V$6:$V$406,0)+1,1),競技会設定!$AC$2:$AC$24,0),1)),"")</f>
        <v/>
      </c>
      <c r="AH41" s="1" t="str">
        <f>IF(AG41=14,リレーエントリー!$I$12,_xlfn.IFNA(INDEX(男子エントリー!$J$7:$AH$406,MATCH($G41&amp;RIGHT(AI$1,1),男子エントリー!$AH$7:$AH$406,0),3),""))</f>
        <v/>
      </c>
      <c r="AI41" s="1" t="str">
        <f t="shared" si="6"/>
        <v/>
      </c>
      <c r="AJ41" s="1" t="str">
        <f t="shared" si="7"/>
        <v/>
      </c>
      <c r="AK41" s="1" t="str">
        <f t="shared" si="8"/>
        <v/>
      </c>
      <c r="AL41" s="1" t="str" cm="1">
        <f t="array" ref="AL41">_xlfn.IFNA(_xlfn.IFNA(INDEX(競技会設定!$X$2:$AC$24,MATCH(INDEX(男子エントリー!$J$7:$AH$406,MATCH($G41&amp;RIGHT(AL$1,1),男子エントリー!$AH$7:$AH$406,0),1),競技会設定!$AC$2:$AC$24,0),1),INDEX(競技会設定!$X$2:$AC$24,MATCH(INDEX(男子エントリー!$R$6:$V$406,MATCH($G41&amp;RIGHT(AL$1,1),男子エントリー!$V$6:$V$406,0)-MATCH($G41&amp;RIGHT(AL$1,1),男子エントリー!$V$6:$V$406,0)+1,1),競技会設定!$AC$2:$AC$24,0),1)),"")</f>
        <v/>
      </c>
      <c r="AM41" s="1" t="str">
        <f>IF(AL41=14,リレーエントリー!$I$12,_xlfn.IFNA(INDEX(男子エントリー!$J$7:$AH$406,MATCH($G41&amp;RIGHT(AN$1,1),男子エントリー!$AH$7:$AH$406,0),3),""))</f>
        <v/>
      </c>
      <c r="AN41" s="1" t="str">
        <f t="shared" si="9"/>
        <v/>
      </c>
      <c r="AO41" s="1" t="str">
        <f t="shared" si="10"/>
        <v/>
      </c>
      <c r="AP41" s="1" t="str">
        <f t="shared" si="11"/>
        <v/>
      </c>
    </row>
    <row r="42" spans="1:42">
      <c r="A42" s="1">
        <v>41</v>
      </c>
      <c r="B42" s="92" t="str">
        <f>男子エントリー!D167</f>
        <v/>
      </c>
      <c r="C42" s="1" t="str">
        <f>基本情報!$E$6</f>
        <v/>
      </c>
      <c r="D42" s="1" t="str">
        <f>基本情報!$E$7</f>
        <v/>
      </c>
      <c r="F42" s="92">
        <f>男子エントリー!C167</f>
        <v>0</v>
      </c>
      <c r="G42" s="92" t="str">
        <f>男子エントリー!E167</f>
        <v/>
      </c>
      <c r="H42" s="92" t="str">
        <f>男子エントリー!F167</f>
        <v/>
      </c>
      <c r="I42" s="1" t="str">
        <f t="shared" si="12"/>
        <v/>
      </c>
      <c r="J42" s="1" t="e">
        <f>LEFT(男子エントリー!E169,FIND(",",LEFT(男子エントリー!E169,LEN(男子エントリー!E169)-5))-1)&amp;LEFT(RIGHT(男子エントリー!E169,LEN(男子エントリー!E169)-FIND(",",男子エントリー!E169)),LEN(RIGHT(男子エントリー!E169,LEN(男子エントリー!E169)-FIND(",",男子エントリー!E169)))-5)</f>
        <v>#VALUE!</v>
      </c>
      <c r="K42" s="1" t="str">
        <f>男子エントリー!G169</f>
        <v/>
      </c>
      <c r="L42" s="1" t="str">
        <f t="shared" si="13"/>
        <v/>
      </c>
      <c r="M42" s="92" t="str">
        <f>男子エントリー!G167</f>
        <v/>
      </c>
      <c r="N42" s="92" t="e">
        <f>MID(男子エントリー!E169,FIND("(",男子エントリー!E169)+1,2)</f>
        <v>#VALUE!</v>
      </c>
      <c r="O42" s="1">
        <v>0</v>
      </c>
      <c r="P42" s="92" t="e">
        <f>VLOOKUP(男子エントリー!G168,競技会設定!$F$3:$I$50,2,0)</f>
        <v>#N/A</v>
      </c>
      <c r="R42" s="1" t="str" cm="1">
        <f t="array" ref="R42">_xlfn.IFNA(_xlfn.IFNA(INDEX(競技会設定!$X$2:$AC$24,MATCH(INDEX(男子エントリー!$J$7:$AH$406,MATCH($G42&amp;RIGHT(R$1,1),男子エントリー!$AH$7:$AH$406,0),1),競技会設定!$AC$2:$AC$24,0),1),INDEX(競技会設定!$X$2:$AC$24,MATCH(INDEX(男子エントリー!$R$6:$V$406,MATCH($G42&amp;RIGHT(R$1,1),男子エントリー!$V$6:$V$406,0)-MATCH($G42&amp;RIGHT(R$1,1),男子エントリー!$V$6:$V$406,0)+1,1),競技会設定!$AC$2:$AC$24,0),1)),"")</f>
        <v/>
      </c>
      <c r="S42" s="1" t="str">
        <f>IF(R42=14,リレーエントリー!$I$12,_xlfn.IFNA(INDEX(男子エントリー!$J$7:$AH$406,MATCH($G42&amp;RIGHT(T$1,1),男子エントリー!$AH$7:$AH$406,0),3),""))</f>
        <v/>
      </c>
      <c r="T42" s="1" t="str">
        <f t="shared" si="14"/>
        <v/>
      </c>
      <c r="U42" s="1" t="str">
        <f t="shared" si="17"/>
        <v/>
      </c>
      <c r="V42" s="1" t="str">
        <f t="shared" si="16"/>
        <v/>
      </c>
      <c r="W42" s="1" t="str" cm="1">
        <f t="array" ref="W42">_xlfn.IFNA(_xlfn.IFNA(INDEX(競技会設定!$X$2:$AC$24,MATCH(INDEX(男子エントリー!$J$7:$AH$406,MATCH($G42&amp;RIGHT(W$1,1),男子エントリー!$AH$7:$AH$406,0),1),競技会設定!$AC$2:$AC$24,0),1),INDEX(競技会設定!$X$2:$AC$24,MATCH(INDEX(男子エントリー!$R$6:$V$406,MATCH($G42&amp;RIGHT(W$1,1),男子エントリー!$V$6:$V$406,0)-MATCH($G42&amp;RIGHT(W$1,1),男子エントリー!$V$6:$V$406,0)+1,1),競技会設定!$AC$2:$AC$24,0),1)),"")</f>
        <v/>
      </c>
      <c r="X42" s="1" t="str">
        <f>IF(W42=14,リレーエントリー!$I$12,_xlfn.IFNA(INDEX(男子エントリー!$J$7:$AH$406,MATCH($G42&amp;RIGHT(Y$1,1),男子エントリー!$AH$7:$AH$406,0),3),""))</f>
        <v/>
      </c>
      <c r="Y42" s="1" t="str">
        <f t="shared" si="0"/>
        <v/>
      </c>
      <c r="Z42" s="1" t="str">
        <f t="shared" si="1"/>
        <v/>
      </c>
      <c r="AA42" s="1" t="str">
        <f t="shared" si="2"/>
        <v/>
      </c>
      <c r="AB42" s="1" t="str" cm="1">
        <f t="array" ref="AB42">_xlfn.IFNA(_xlfn.IFNA(INDEX(競技会設定!$X$2:$AC$24,MATCH(INDEX(男子エントリー!$J$7:$AH$406,MATCH($G42&amp;RIGHT(AB$1,1),男子エントリー!$AH$7:$AH$406,0),1),競技会設定!$AC$2:$AC$24,0),1),INDEX(競技会設定!$X$2:$AC$24,MATCH(INDEX(男子エントリー!$R$6:$V$406,MATCH($G42&amp;RIGHT(AB$1,1),男子エントリー!$V$6:$V$406,0)-MATCH($G42&amp;RIGHT(AB$1,1),男子エントリー!$V$6:$V$406,0)+1,1),競技会設定!$AC$2:$AC$24,0),1)),"")</f>
        <v/>
      </c>
      <c r="AC42" s="1" t="str">
        <f>IF(AB42=14,リレーエントリー!$I$12,_xlfn.IFNA(INDEX(男子エントリー!$J$7:$AH$406,MATCH($G42&amp;RIGHT(AD$1,1),男子エントリー!$AH$7:$AH$406,0),3),""))</f>
        <v/>
      </c>
      <c r="AD42" s="1" t="str">
        <f t="shared" si="3"/>
        <v/>
      </c>
      <c r="AE42" s="1" t="str">
        <f t="shared" si="4"/>
        <v/>
      </c>
      <c r="AF42" s="1" t="str">
        <f t="shared" si="5"/>
        <v/>
      </c>
      <c r="AG42" s="1" t="str" cm="1">
        <f t="array" ref="AG42">_xlfn.IFNA(_xlfn.IFNA(INDEX(競技会設定!$X$2:$AC$24,MATCH(INDEX(男子エントリー!$J$7:$AH$406,MATCH($G42&amp;RIGHT(AG$1,1),男子エントリー!$AH$7:$AH$406,0),1),競技会設定!$AC$2:$AC$24,0),1),INDEX(競技会設定!$X$2:$AC$24,MATCH(INDEX(男子エントリー!$R$6:$V$406,MATCH($G42&amp;RIGHT(AG$1,1),男子エントリー!$V$6:$V$406,0)-MATCH($G42&amp;RIGHT(AG$1,1),男子エントリー!$V$6:$V$406,0)+1,1),競技会設定!$AC$2:$AC$24,0),1)),"")</f>
        <v/>
      </c>
      <c r="AH42" s="1" t="str">
        <f>IF(AG42=14,リレーエントリー!$I$12,_xlfn.IFNA(INDEX(男子エントリー!$J$7:$AH$406,MATCH($G42&amp;RIGHT(AI$1,1),男子エントリー!$AH$7:$AH$406,0),3),""))</f>
        <v/>
      </c>
      <c r="AI42" s="1" t="str">
        <f t="shared" si="6"/>
        <v/>
      </c>
      <c r="AJ42" s="1" t="str">
        <f t="shared" si="7"/>
        <v/>
      </c>
      <c r="AK42" s="1" t="str">
        <f t="shared" si="8"/>
        <v/>
      </c>
      <c r="AL42" s="1" t="str" cm="1">
        <f t="array" ref="AL42">_xlfn.IFNA(_xlfn.IFNA(INDEX(競技会設定!$X$2:$AC$24,MATCH(INDEX(男子エントリー!$J$7:$AH$406,MATCH($G42&amp;RIGHT(AL$1,1),男子エントリー!$AH$7:$AH$406,0),1),競技会設定!$AC$2:$AC$24,0),1),INDEX(競技会設定!$X$2:$AC$24,MATCH(INDEX(男子エントリー!$R$6:$V$406,MATCH($G42&amp;RIGHT(AL$1,1),男子エントリー!$V$6:$V$406,0)-MATCH($G42&amp;RIGHT(AL$1,1),男子エントリー!$V$6:$V$406,0)+1,1),競技会設定!$AC$2:$AC$24,0),1)),"")</f>
        <v/>
      </c>
      <c r="AM42" s="1" t="str">
        <f>IF(AL42=14,リレーエントリー!$I$12,_xlfn.IFNA(INDEX(男子エントリー!$J$7:$AH$406,MATCH($G42&amp;RIGHT(AN$1,1),男子エントリー!$AH$7:$AH$406,0),3),""))</f>
        <v/>
      </c>
      <c r="AN42" s="1" t="str">
        <f t="shared" si="9"/>
        <v/>
      </c>
      <c r="AO42" s="1" t="str">
        <f t="shared" si="10"/>
        <v/>
      </c>
      <c r="AP42" s="1" t="str">
        <f t="shared" si="11"/>
        <v/>
      </c>
    </row>
    <row r="43" spans="1:42">
      <c r="A43" s="1">
        <v>42</v>
      </c>
      <c r="B43" s="92" t="str">
        <f>男子エントリー!D171</f>
        <v/>
      </c>
      <c r="C43" s="1" t="str">
        <f>基本情報!$E$6</f>
        <v/>
      </c>
      <c r="D43" s="1" t="str">
        <f>基本情報!$E$7</f>
        <v/>
      </c>
      <c r="F43" s="92">
        <f>男子エントリー!C171</f>
        <v>0</v>
      </c>
      <c r="G43" s="92" t="str">
        <f>男子エントリー!E171</f>
        <v/>
      </c>
      <c r="H43" s="92" t="str">
        <f>男子エントリー!F171</f>
        <v/>
      </c>
      <c r="I43" s="1" t="str">
        <f t="shared" si="12"/>
        <v/>
      </c>
      <c r="J43" s="1" t="e">
        <f>LEFT(男子エントリー!E173,FIND(",",LEFT(男子エントリー!E173,LEN(男子エントリー!E173)-5))-1)&amp;LEFT(RIGHT(男子エントリー!E173,LEN(男子エントリー!E173)-FIND(",",男子エントリー!E173)),LEN(RIGHT(男子エントリー!E173,LEN(男子エントリー!E173)-FIND(",",男子エントリー!E173)))-5)</f>
        <v>#VALUE!</v>
      </c>
      <c r="K43" s="1" t="str">
        <f>男子エントリー!G173</f>
        <v/>
      </c>
      <c r="L43" s="1" t="str">
        <f t="shared" si="13"/>
        <v/>
      </c>
      <c r="M43" s="92" t="str">
        <f>男子エントリー!G171</f>
        <v/>
      </c>
      <c r="N43" s="92" t="e">
        <f>MID(男子エントリー!E173,FIND("(",男子エントリー!E173)+1,2)</f>
        <v>#VALUE!</v>
      </c>
      <c r="O43" s="1">
        <v>0</v>
      </c>
      <c r="P43" s="92" t="e">
        <f>VLOOKUP(男子エントリー!G172,競技会設定!$F$3:$I$50,2,0)</f>
        <v>#N/A</v>
      </c>
      <c r="R43" s="1" t="str" cm="1">
        <f t="array" ref="R43">_xlfn.IFNA(_xlfn.IFNA(INDEX(競技会設定!$X$2:$AC$24,MATCH(INDEX(男子エントリー!$J$7:$AH$406,MATCH($G43&amp;RIGHT(R$1,1),男子エントリー!$AH$7:$AH$406,0),1),競技会設定!$AC$2:$AC$24,0),1),INDEX(競技会設定!$X$2:$AC$24,MATCH(INDEX(男子エントリー!$R$6:$V$406,MATCH($G43&amp;RIGHT(R$1,1),男子エントリー!$V$6:$V$406,0)-MATCH($G43&amp;RIGHT(R$1,1),男子エントリー!$V$6:$V$406,0)+1,1),競技会設定!$AC$2:$AC$24,0),1)),"")</f>
        <v/>
      </c>
      <c r="S43" s="1" t="str">
        <f>IF(R43=14,リレーエントリー!$I$12,_xlfn.IFNA(INDEX(男子エントリー!$J$7:$AH$406,MATCH($G43&amp;RIGHT(T$1,1),男子エントリー!$AH$7:$AH$406,0),3),""))</f>
        <v/>
      </c>
      <c r="T43" s="1" t="str">
        <f t="shared" si="14"/>
        <v/>
      </c>
      <c r="U43" s="1" t="str">
        <f t="shared" si="17"/>
        <v/>
      </c>
      <c r="V43" s="1" t="str">
        <f t="shared" si="16"/>
        <v/>
      </c>
      <c r="W43" s="1" t="str" cm="1">
        <f t="array" ref="W43">_xlfn.IFNA(_xlfn.IFNA(INDEX(競技会設定!$X$2:$AC$24,MATCH(INDEX(男子エントリー!$J$7:$AH$406,MATCH($G43&amp;RIGHT(W$1,1),男子エントリー!$AH$7:$AH$406,0),1),競技会設定!$AC$2:$AC$24,0),1),INDEX(競技会設定!$X$2:$AC$24,MATCH(INDEX(男子エントリー!$R$6:$V$406,MATCH($G43&amp;RIGHT(W$1,1),男子エントリー!$V$6:$V$406,0)-MATCH($G43&amp;RIGHT(W$1,1),男子エントリー!$V$6:$V$406,0)+1,1),競技会設定!$AC$2:$AC$24,0),1)),"")</f>
        <v/>
      </c>
      <c r="X43" s="1" t="str">
        <f>IF(W43=14,リレーエントリー!$I$12,_xlfn.IFNA(INDEX(男子エントリー!$J$7:$AH$406,MATCH($G43&amp;RIGHT(Y$1,1),男子エントリー!$AH$7:$AH$406,0),3),""))</f>
        <v/>
      </c>
      <c r="Y43" s="1" t="str">
        <f t="shared" si="0"/>
        <v/>
      </c>
      <c r="Z43" s="1" t="str">
        <f t="shared" si="1"/>
        <v/>
      </c>
      <c r="AA43" s="1" t="str">
        <f t="shared" si="2"/>
        <v/>
      </c>
      <c r="AB43" s="1" t="str" cm="1">
        <f t="array" ref="AB43">_xlfn.IFNA(_xlfn.IFNA(INDEX(競技会設定!$X$2:$AC$24,MATCH(INDEX(男子エントリー!$J$7:$AH$406,MATCH($G43&amp;RIGHT(AB$1,1),男子エントリー!$AH$7:$AH$406,0),1),競技会設定!$AC$2:$AC$24,0),1),INDEX(競技会設定!$X$2:$AC$24,MATCH(INDEX(男子エントリー!$R$6:$V$406,MATCH($G43&amp;RIGHT(AB$1,1),男子エントリー!$V$6:$V$406,0)-MATCH($G43&amp;RIGHT(AB$1,1),男子エントリー!$V$6:$V$406,0)+1,1),競技会設定!$AC$2:$AC$24,0),1)),"")</f>
        <v/>
      </c>
      <c r="AC43" s="1" t="str">
        <f>IF(AB43=14,リレーエントリー!$I$12,_xlfn.IFNA(INDEX(男子エントリー!$J$7:$AH$406,MATCH($G43&amp;RIGHT(AD$1,1),男子エントリー!$AH$7:$AH$406,0),3),""))</f>
        <v/>
      </c>
      <c r="AD43" s="1" t="str">
        <f t="shared" si="3"/>
        <v/>
      </c>
      <c r="AE43" s="1" t="str">
        <f t="shared" si="4"/>
        <v/>
      </c>
      <c r="AF43" s="1" t="str">
        <f t="shared" si="5"/>
        <v/>
      </c>
      <c r="AG43" s="1" t="str" cm="1">
        <f t="array" ref="AG43">_xlfn.IFNA(_xlfn.IFNA(INDEX(競技会設定!$X$2:$AC$24,MATCH(INDEX(男子エントリー!$J$7:$AH$406,MATCH($G43&amp;RIGHT(AG$1,1),男子エントリー!$AH$7:$AH$406,0),1),競技会設定!$AC$2:$AC$24,0),1),INDEX(競技会設定!$X$2:$AC$24,MATCH(INDEX(男子エントリー!$R$6:$V$406,MATCH($G43&amp;RIGHT(AG$1,1),男子エントリー!$V$6:$V$406,0)-MATCH($G43&amp;RIGHT(AG$1,1),男子エントリー!$V$6:$V$406,0)+1,1),競技会設定!$AC$2:$AC$24,0),1)),"")</f>
        <v/>
      </c>
      <c r="AH43" s="1" t="str">
        <f>IF(AG43=14,リレーエントリー!$I$12,_xlfn.IFNA(INDEX(男子エントリー!$J$7:$AH$406,MATCH($G43&amp;RIGHT(AI$1,1),男子エントリー!$AH$7:$AH$406,0),3),""))</f>
        <v/>
      </c>
      <c r="AI43" s="1" t="str">
        <f t="shared" si="6"/>
        <v/>
      </c>
      <c r="AJ43" s="1" t="str">
        <f t="shared" si="7"/>
        <v/>
      </c>
      <c r="AK43" s="1" t="str">
        <f t="shared" si="8"/>
        <v/>
      </c>
      <c r="AL43" s="1" t="str" cm="1">
        <f t="array" ref="AL43">_xlfn.IFNA(_xlfn.IFNA(INDEX(競技会設定!$X$2:$AC$24,MATCH(INDEX(男子エントリー!$J$7:$AH$406,MATCH($G43&amp;RIGHT(AL$1,1),男子エントリー!$AH$7:$AH$406,0),1),競技会設定!$AC$2:$AC$24,0),1),INDEX(競技会設定!$X$2:$AC$24,MATCH(INDEX(男子エントリー!$R$6:$V$406,MATCH($G43&amp;RIGHT(AL$1,1),男子エントリー!$V$6:$V$406,0)-MATCH($G43&amp;RIGHT(AL$1,1),男子エントリー!$V$6:$V$406,0)+1,1),競技会設定!$AC$2:$AC$24,0),1)),"")</f>
        <v/>
      </c>
      <c r="AM43" s="1" t="str">
        <f>IF(AL43=14,リレーエントリー!$I$12,_xlfn.IFNA(INDEX(男子エントリー!$J$7:$AH$406,MATCH($G43&amp;RIGHT(AN$1,1),男子エントリー!$AH$7:$AH$406,0),3),""))</f>
        <v/>
      </c>
      <c r="AN43" s="1" t="str">
        <f t="shared" si="9"/>
        <v/>
      </c>
      <c r="AO43" s="1" t="str">
        <f t="shared" si="10"/>
        <v/>
      </c>
      <c r="AP43" s="1" t="str">
        <f t="shared" si="11"/>
        <v/>
      </c>
    </row>
    <row r="44" spans="1:42">
      <c r="A44" s="1">
        <v>43</v>
      </c>
      <c r="B44" s="92" t="str">
        <f>男子エントリー!D175</f>
        <v/>
      </c>
      <c r="C44" s="1" t="str">
        <f>基本情報!$E$6</f>
        <v/>
      </c>
      <c r="D44" s="1" t="str">
        <f>基本情報!$E$7</f>
        <v/>
      </c>
      <c r="F44" s="92">
        <f>男子エントリー!C175</f>
        <v>0</v>
      </c>
      <c r="G44" s="92" t="str">
        <f>男子エントリー!E175</f>
        <v/>
      </c>
      <c r="H44" s="92" t="str">
        <f>男子エントリー!F175</f>
        <v/>
      </c>
      <c r="I44" s="1" t="str">
        <f t="shared" si="12"/>
        <v/>
      </c>
      <c r="J44" s="1" t="e">
        <f>LEFT(男子エントリー!E177,FIND(",",LEFT(男子エントリー!E177,LEN(男子エントリー!E177)-5))-1)&amp;LEFT(RIGHT(男子エントリー!E177,LEN(男子エントリー!E177)-FIND(",",男子エントリー!E177)),LEN(RIGHT(男子エントリー!E177,LEN(男子エントリー!E177)-FIND(",",男子エントリー!E177)))-5)</f>
        <v>#VALUE!</v>
      </c>
      <c r="K44" s="1" t="str">
        <f>男子エントリー!G177</f>
        <v/>
      </c>
      <c r="L44" s="1" t="str">
        <f t="shared" si="13"/>
        <v/>
      </c>
      <c r="M44" s="92" t="str">
        <f>男子エントリー!G175</f>
        <v/>
      </c>
      <c r="N44" s="92" t="e">
        <f>MID(男子エントリー!E177,FIND("(",男子エントリー!E177)+1,2)</f>
        <v>#VALUE!</v>
      </c>
      <c r="O44" s="1">
        <v>0</v>
      </c>
      <c r="P44" s="92" t="e">
        <f>VLOOKUP(男子エントリー!G176,競技会設定!$F$3:$I$50,2,0)</f>
        <v>#N/A</v>
      </c>
      <c r="R44" s="1" t="str" cm="1">
        <f t="array" ref="R44">_xlfn.IFNA(_xlfn.IFNA(INDEX(競技会設定!$X$2:$AC$24,MATCH(INDEX(男子エントリー!$J$7:$AH$406,MATCH($G44&amp;RIGHT(R$1,1),男子エントリー!$AH$7:$AH$406,0),1),競技会設定!$AC$2:$AC$24,0),1),INDEX(競技会設定!$X$2:$AC$24,MATCH(INDEX(男子エントリー!$R$6:$V$406,MATCH($G44&amp;RIGHT(R$1,1),男子エントリー!$V$6:$V$406,0)-MATCH($G44&amp;RIGHT(R$1,1),男子エントリー!$V$6:$V$406,0)+1,1),競技会設定!$AC$2:$AC$24,0),1)),"")</f>
        <v/>
      </c>
      <c r="S44" s="1" t="str">
        <f>IF(R44=14,リレーエントリー!$I$12,_xlfn.IFNA(INDEX(男子エントリー!$J$7:$AH$406,MATCH($G44&amp;RIGHT(T$1,1),男子エントリー!$AH$7:$AH$406,0),3),""))</f>
        <v/>
      </c>
      <c r="T44" s="1" t="str">
        <f t="shared" si="14"/>
        <v/>
      </c>
      <c r="U44" s="1" t="str">
        <f t="shared" si="17"/>
        <v/>
      </c>
      <c r="V44" s="1" t="str">
        <f t="shared" si="16"/>
        <v/>
      </c>
      <c r="W44" s="1" t="str" cm="1">
        <f t="array" ref="W44">_xlfn.IFNA(_xlfn.IFNA(INDEX(競技会設定!$X$2:$AC$24,MATCH(INDEX(男子エントリー!$J$7:$AH$406,MATCH($G44&amp;RIGHT(W$1,1),男子エントリー!$AH$7:$AH$406,0),1),競技会設定!$AC$2:$AC$24,0),1),INDEX(競技会設定!$X$2:$AC$24,MATCH(INDEX(男子エントリー!$R$6:$V$406,MATCH($G44&amp;RIGHT(W$1,1),男子エントリー!$V$6:$V$406,0)-MATCH($G44&amp;RIGHT(W$1,1),男子エントリー!$V$6:$V$406,0)+1,1),競技会設定!$AC$2:$AC$24,0),1)),"")</f>
        <v/>
      </c>
      <c r="X44" s="1" t="str">
        <f>IF(W44=14,リレーエントリー!$I$12,_xlfn.IFNA(INDEX(男子エントリー!$J$7:$AH$406,MATCH($G44&amp;RIGHT(Y$1,1),男子エントリー!$AH$7:$AH$406,0),3),""))</f>
        <v/>
      </c>
      <c r="Y44" s="1" t="str">
        <f t="shared" si="0"/>
        <v/>
      </c>
      <c r="Z44" s="1" t="str">
        <f t="shared" si="1"/>
        <v/>
      </c>
      <c r="AA44" s="1" t="str">
        <f t="shared" si="2"/>
        <v/>
      </c>
      <c r="AB44" s="1" t="str" cm="1">
        <f t="array" ref="AB44">_xlfn.IFNA(_xlfn.IFNA(INDEX(競技会設定!$X$2:$AC$24,MATCH(INDEX(男子エントリー!$J$7:$AH$406,MATCH($G44&amp;RIGHT(AB$1,1),男子エントリー!$AH$7:$AH$406,0),1),競技会設定!$AC$2:$AC$24,0),1),INDEX(競技会設定!$X$2:$AC$24,MATCH(INDEX(男子エントリー!$R$6:$V$406,MATCH($G44&amp;RIGHT(AB$1,1),男子エントリー!$V$6:$V$406,0)-MATCH($G44&amp;RIGHT(AB$1,1),男子エントリー!$V$6:$V$406,0)+1,1),競技会設定!$AC$2:$AC$24,0),1)),"")</f>
        <v/>
      </c>
      <c r="AC44" s="1" t="str">
        <f>IF(AB44=14,リレーエントリー!$I$12,_xlfn.IFNA(INDEX(男子エントリー!$J$7:$AH$406,MATCH($G44&amp;RIGHT(AD$1,1),男子エントリー!$AH$7:$AH$406,0),3),""))</f>
        <v/>
      </c>
      <c r="AD44" s="1" t="str">
        <f t="shared" si="3"/>
        <v/>
      </c>
      <c r="AE44" s="1" t="str">
        <f t="shared" si="4"/>
        <v/>
      </c>
      <c r="AF44" s="1" t="str">
        <f t="shared" si="5"/>
        <v/>
      </c>
      <c r="AG44" s="1" t="str" cm="1">
        <f t="array" ref="AG44">_xlfn.IFNA(_xlfn.IFNA(INDEX(競技会設定!$X$2:$AC$24,MATCH(INDEX(男子エントリー!$J$7:$AH$406,MATCH($G44&amp;RIGHT(AG$1,1),男子エントリー!$AH$7:$AH$406,0),1),競技会設定!$AC$2:$AC$24,0),1),INDEX(競技会設定!$X$2:$AC$24,MATCH(INDEX(男子エントリー!$R$6:$V$406,MATCH($G44&amp;RIGHT(AG$1,1),男子エントリー!$V$6:$V$406,0)-MATCH($G44&amp;RIGHT(AG$1,1),男子エントリー!$V$6:$V$406,0)+1,1),競技会設定!$AC$2:$AC$24,0),1)),"")</f>
        <v/>
      </c>
      <c r="AH44" s="1" t="str">
        <f>IF(AG44=14,リレーエントリー!$I$12,_xlfn.IFNA(INDEX(男子エントリー!$J$7:$AH$406,MATCH($G44&amp;RIGHT(AI$1,1),男子エントリー!$AH$7:$AH$406,0),3),""))</f>
        <v/>
      </c>
      <c r="AI44" s="1" t="str">
        <f t="shared" si="6"/>
        <v/>
      </c>
      <c r="AJ44" s="1" t="str">
        <f t="shared" si="7"/>
        <v/>
      </c>
      <c r="AK44" s="1" t="str">
        <f t="shared" si="8"/>
        <v/>
      </c>
      <c r="AL44" s="1" t="str" cm="1">
        <f t="array" ref="AL44">_xlfn.IFNA(_xlfn.IFNA(INDEX(競技会設定!$X$2:$AC$24,MATCH(INDEX(男子エントリー!$J$7:$AH$406,MATCH($G44&amp;RIGHT(AL$1,1),男子エントリー!$AH$7:$AH$406,0),1),競技会設定!$AC$2:$AC$24,0),1),INDEX(競技会設定!$X$2:$AC$24,MATCH(INDEX(男子エントリー!$R$6:$V$406,MATCH($G44&amp;RIGHT(AL$1,1),男子エントリー!$V$6:$V$406,0)-MATCH($G44&amp;RIGHT(AL$1,1),男子エントリー!$V$6:$V$406,0)+1,1),競技会設定!$AC$2:$AC$24,0),1)),"")</f>
        <v/>
      </c>
      <c r="AM44" s="1" t="str">
        <f>IF(AL44=14,リレーエントリー!$I$12,_xlfn.IFNA(INDEX(男子エントリー!$J$7:$AH$406,MATCH($G44&amp;RIGHT(AN$1,1),男子エントリー!$AH$7:$AH$406,0),3),""))</f>
        <v/>
      </c>
      <c r="AN44" s="1" t="str">
        <f t="shared" si="9"/>
        <v/>
      </c>
      <c r="AO44" s="1" t="str">
        <f t="shared" si="10"/>
        <v/>
      </c>
      <c r="AP44" s="1" t="str">
        <f t="shared" si="11"/>
        <v/>
      </c>
    </row>
    <row r="45" spans="1:42">
      <c r="A45" s="1">
        <v>44</v>
      </c>
      <c r="B45" s="92" t="str">
        <f>男子エントリー!D179</f>
        <v/>
      </c>
      <c r="C45" s="1" t="str">
        <f>基本情報!$E$6</f>
        <v/>
      </c>
      <c r="D45" s="1" t="str">
        <f>基本情報!$E$7</f>
        <v/>
      </c>
      <c r="F45" s="92">
        <f>男子エントリー!C179</f>
        <v>0</v>
      </c>
      <c r="G45" s="92" t="str">
        <f>男子エントリー!E179</f>
        <v/>
      </c>
      <c r="H45" s="92" t="str">
        <f>男子エントリー!F179</f>
        <v/>
      </c>
      <c r="I45" s="1" t="str">
        <f t="shared" si="12"/>
        <v/>
      </c>
      <c r="J45" s="1" t="e">
        <f>LEFT(男子エントリー!E181,FIND(",",LEFT(男子エントリー!E181,LEN(男子エントリー!E181)-5))-1)&amp;LEFT(RIGHT(男子エントリー!E181,LEN(男子エントリー!E181)-FIND(",",男子エントリー!E181)),LEN(RIGHT(男子エントリー!E181,LEN(男子エントリー!E181)-FIND(",",男子エントリー!E181)))-5)</f>
        <v>#VALUE!</v>
      </c>
      <c r="K45" s="1" t="str">
        <f>男子エントリー!G181</f>
        <v/>
      </c>
      <c r="L45" s="1" t="str">
        <f t="shared" si="13"/>
        <v/>
      </c>
      <c r="M45" s="92" t="str">
        <f>男子エントリー!G179</f>
        <v/>
      </c>
      <c r="N45" s="92" t="e">
        <f>MID(男子エントリー!E181,FIND("(",男子エントリー!E181)+1,2)</f>
        <v>#VALUE!</v>
      </c>
      <c r="O45" s="1">
        <v>0</v>
      </c>
      <c r="P45" s="92" t="e">
        <f>VLOOKUP(男子エントリー!G180,競技会設定!$F$3:$I$50,2,0)</f>
        <v>#N/A</v>
      </c>
      <c r="R45" s="1" t="str" cm="1">
        <f t="array" ref="R45">_xlfn.IFNA(_xlfn.IFNA(INDEX(競技会設定!$X$2:$AC$24,MATCH(INDEX(男子エントリー!$J$7:$AH$406,MATCH($G45&amp;RIGHT(R$1,1),男子エントリー!$AH$7:$AH$406,0),1),競技会設定!$AC$2:$AC$24,0),1),INDEX(競技会設定!$X$2:$AC$24,MATCH(INDEX(男子エントリー!$R$6:$V$406,MATCH($G45&amp;RIGHT(R$1,1),男子エントリー!$V$6:$V$406,0)-MATCH($G45&amp;RIGHT(R$1,1),男子エントリー!$V$6:$V$406,0)+1,1),競技会設定!$AC$2:$AC$24,0),1)),"")</f>
        <v/>
      </c>
      <c r="S45" s="1" t="str">
        <f>IF(R45=14,リレーエントリー!$I$12,_xlfn.IFNA(INDEX(男子エントリー!$J$7:$AH$406,MATCH($G45&amp;RIGHT(T$1,1),男子エントリー!$AH$7:$AH$406,0),3),""))</f>
        <v/>
      </c>
      <c r="T45" s="1" t="str">
        <f t="shared" si="14"/>
        <v/>
      </c>
      <c r="U45" s="1" t="str">
        <f t="shared" si="17"/>
        <v/>
      </c>
      <c r="V45" s="1" t="str">
        <f t="shared" si="16"/>
        <v/>
      </c>
      <c r="W45" s="1" t="str" cm="1">
        <f t="array" ref="W45">_xlfn.IFNA(_xlfn.IFNA(INDEX(競技会設定!$X$2:$AC$24,MATCH(INDEX(男子エントリー!$J$7:$AH$406,MATCH($G45&amp;RIGHT(W$1,1),男子エントリー!$AH$7:$AH$406,0),1),競技会設定!$AC$2:$AC$24,0),1),INDEX(競技会設定!$X$2:$AC$24,MATCH(INDEX(男子エントリー!$R$6:$V$406,MATCH($G45&amp;RIGHT(W$1,1),男子エントリー!$V$6:$V$406,0)-MATCH($G45&amp;RIGHT(W$1,1),男子エントリー!$V$6:$V$406,0)+1,1),競技会設定!$AC$2:$AC$24,0),1)),"")</f>
        <v/>
      </c>
      <c r="X45" s="1" t="str">
        <f>IF(W45=14,リレーエントリー!$I$12,_xlfn.IFNA(INDEX(男子エントリー!$J$7:$AH$406,MATCH($G45&amp;RIGHT(Y$1,1),男子エントリー!$AH$7:$AH$406,0),3),""))</f>
        <v/>
      </c>
      <c r="Y45" s="1" t="str">
        <f t="shared" si="0"/>
        <v/>
      </c>
      <c r="Z45" s="1" t="str">
        <f t="shared" si="1"/>
        <v/>
      </c>
      <c r="AA45" s="1" t="str">
        <f t="shared" si="2"/>
        <v/>
      </c>
      <c r="AB45" s="1" t="str" cm="1">
        <f t="array" ref="AB45">_xlfn.IFNA(_xlfn.IFNA(INDEX(競技会設定!$X$2:$AC$24,MATCH(INDEX(男子エントリー!$J$7:$AH$406,MATCH($G45&amp;RIGHT(AB$1,1),男子エントリー!$AH$7:$AH$406,0),1),競技会設定!$AC$2:$AC$24,0),1),INDEX(競技会設定!$X$2:$AC$24,MATCH(INDEX(男子エントリー!$R$6:$V$406,MATCH($G45&amp;RIGHT(AB$1,1),男子エントリー!$V$6:$V$406,0)-MATCH($G45&amp;RIGHT(AB$1,1),男子エントリー!$V$6:$V$406,0)+1,1),競技会設定!$AC$2:$AC$24,0),1)),"")</f>
        <v/>
      </c>
      <c r="AC45" s="1" t="str">
        <f>IF(AB45=14,リレーエントリー!$I$12,_xlfn.IFNA(INDEX(男子エントリー!$J$7:$AH$406,MATCH($G45&amp;RIGHT(AD$1,1),男子エントリー!$AH$7:$AH$406,0),3),""))</f>
        <v/>
      </c>
      <c r="AD45" s="1" t="str">
        <f t="shared" si="3"/>
        <v/>
      </c>
      <c r="AE45" s="1" t="str">
        <f t="shared" si="4"/>
        <v/>
      </c>
      <c r="AF45" s="1" t="str">
        <f t="shared" si="5"/>
        <v/>
      </c>
      <c r="AG45" s="1" t="str" cm="1">
        <f t="array" ref="AG45">_xlfn.IFNA(_xlfn.IFNA(INDEX(競技会設定!$X$2:$AC$24,MATCH(INDEX(男子エントリー!$J$7:$AH$406,MATCH($G45&amp;RIGHT(AG$1,1),男子エントリー!$AH$7:$AH$406,0),1),競技会設定!$AC$2:$AC$24,0),1),INDEX(競技会設定!$X$2:$AC$24,MATCH(INDEX(男子エントリー!$R$6:$V$406,MATCH($G45&amp;RIGHT(AG$1,1),男子エントリー!$V$6:$V$406,0)-MATCH($G45&amp;RIGHT(AG$1,1),男子エントリー!$V$6:$V$406,0)+1,1),競技会設定!$AC$2:$AC$24,0),1)),"")</f>
        <v/>
      </c>
      <c r="AH45" s="1" t="str">
        <f>IF(AG45=14,リレーエントリー!$I$12,_xlfn.IFNA(INDEX(男子エントリー!$J$7:$AH$406,MATCH($G45&amp;RIGHT(AI$1,1),男子エントリー!$AH$7:$AH$406,0),3),""))</f>
        <v/>
      </c>
      <c r="AI45" s="1" t="str">
        <f t="shared" si="6"/>
        <v/>
      </c>
      <c r="AJ45" s="1" t="str">
        <f t="shared" si="7"/>
        <v/>
      </c>
      <c r="AK45" s="1" t="str">
        <f t="shared" si="8"/>
        <v/>
      </c>
      <c r="AL45" s="1" t="str" cm="1">
        <f t="array" ref="AL45">_xlfn.IFNA(_xlfn.IFNA(INDEX(競技会設定!$X$2:$AC$24,MATCH(INDEX(男子エントリー!$J$7:$AH$406,MATCH($G45&amp;RIGHT(AL$1,1),男子エントリー!$AH$7:$AH$406,0),1),競技会設定!$AC$2:$AC$24,0),1),INDEX(競技会設定!$X$2:$AC$24,MATCH(INDEX(男子エントリー!$R$6:$V$406,MATCH($G45&amp;RIGHT(AL$1,1),男子エントリー!$V$6:$V$406,0)-MATCH($G45&amp;RIGHT(AL$1,1),男子エントリー!$V$6:$V$406,0)+1,1),競技会設定!$AC$2:$AC$24,0),1)),"")</f>
        <v/>
      </c>
      <c r="AM45" s="1" t="str">
        <f>IF(AL45=14,リレーエントリー!$I$12,_xlfn.IFNA(INDEX(男子エントリー!$J$7:$AH$406,MATCH($G45&amp;RIGHT(AN$1,1),男子エントリー!$AH$7:$AH$406,0),3),""))</f>
        <v/>
      </c>
      <c r="AN45" s="1" t="str">
        <f t="shared" si="9"/>
        <v/>
      </c>
      <c r="AO45" s="1" t="str">
        <f t="shared" si="10"/>
        <v/>
      </c>
      <c r="AP45" s="1" t="str">
        <f t="shared" si="11"/>
        <v/>
      </c>
    </row>
    <row r="46" spans="1:42">
      <c r="A46" s="1">
        <v>45</v>
      </c>
      <c r="B46" s="92" t="str">
        <f>男子エントリー!D183</f>
        <v/>
      </c>
      <c r="C46" s="1" t="str">
        <f>基本情報!$E$6</f>
        <v/>
      </c>
      <c r="D46" s="1" t="str">
        <f>基本情報!$E$7</f>
        <v/>
      </c>
      <c r="F46" s="92">
        <f>男子エントリー!C183</f>
        <v>0</v>
      </c>
      <c r="G46" s="92" t="str">
        <f>男子エントリー!E183</f>
        <v/>
      </c>
      <c r="H46" s="92" t="str">
        <f>男子エントリー!F183</f>
        <v/>
      </c>
      <c r="I46" s="1" t="str">
        <f t="shared" si="12"/>
        <v/>
      </c>
      <c r="J46" s="1" t="e">
        <f>LEFT(男子エントリー!E185,FIND(",",LEFT(男子エントリー!E185,LEN(男子エントリー!E185)-5))-1)&amp;LEFT(RIGHT(男子エントリー!E185,LEN(男子エントリー!E185)-FIND(",",男子エントリー!E185)),LEN(RIGHT(男子エントリー!E185,LEN(男子エントリー!E185)-FIND(",",男子エントリー!E185)))-5)</f>
        <v>#VALUE!</v>
      </c>
      <c r="K46" s="1" t="str">
        <f>男子エントリー!G185</f>
        <v/>
      </c>
      <c r="L46" s="1" t="str">
        <f t="shared" si="13"/>
        <v/>
      </c>
      <c r="M46" s="92" t="str">
        <f>男子エントリー!G183</f>
        <v/>
      </c>
      <c r="N46" s="92" t="e">
        <f>MID(男子エントリー!E185,FIND("(",男子エントリー!E185)+1,2)</f>
        <v>#VALUE!</v>
      </c>
      <c r="O46" s="1">
        <v>0</v>
      </c>
      <c r="P46" s="92" t="e">
        <f>VLOOKUP(男子エントリー!G184,競技会設定!$F$3:$I$50,2,0)</f>
        <v>#N/A</v>
      </c>
      <c r="R46" s="1" t="str" cm="1">
        <f t="array" ref="R46">_xlfn.IFNA(_xlfn.IFNA(INDEX(競技会設定!$X$2:$AC$24,MATCH(INDEX(男子エントリー!$J$7:$AH$406,MATCH($G46&amp;RIGHT(R$1,1),男子エントリー!$AH$7:$AH$406,0),1),競技会設定!$AC$2:$AC$24,0),1),INDEX(競技会設定!$X$2:$AC$24,MATCH(INDEX(男子エントリー!$R$6:$V$406,MATCH($G46&amp;RIGHT(R$1,1),男子エントリー!$V$6:$V$406,0)-MATCH($G46&amp;RIGHT(R$1,1),男子エントリー!$V$6:$V$406,0)+1,1),競技会設定!$AC$2:$AC$24,0),1)),"")</f>
        <v/>
      </c>
      <c r="S46" s="1" t="str">
        <f>IF(R46=14,リレーエントリー!$I$12,_xlfn.IFNA(INDEX(男子エントリー!$J$7:$AH$406,MATCH($G46&amp;RIGHT(T$1,1),男子エントリー!$AH$7:$AH$406,0),3),""))</f>
        <v/>
      </c>
      <c r="T46" s="1" t="str">
        <f t="shared" si="14"/>
        <v/>
      </c>
      <c r="U46" s="1" t="str">
        <f t="shared" si="17"/>
        <v/>
      </c>
      <c r="V46" s="1" t="str">
        <f t="shared" si="16"/>
        <v/>
      </c>
      <c r="W46" s="1" t="str" cm="1">
        <f t="array" ref="W46">_xlfn.IFNA(_xlfn.IFNA(INDEX(競技会設定!$X$2:$AC$24,MATCH(INDEX(男子エントリー!$J$7:$AH$406,MATCH($G46&amp;RIGHT(W$1,1),男子エントリー!$AH$7:$AH$406,0),1),競技会設定!$AC$2:$AC$24,0),1),INDEX(競技会設定!$X$2:$AC$24,MATCH(INDEX(男子エントリー!$R$6:$V$406,MATCH($G46&amp;RIGHT(W$1,1),男子エントリー!$V$6:$V$406,0)-MATCH($G46&amp;RIGHT(W$1,1),男子エントリー!$V$6:$V$406,0)+1,1),競技会設定!$AC$2:$AC$24,0),1)),"")</f>
        <v/>
      </c>
      <c r="X46" s="1" t="str">
        <f>IF(W46=14,リレーエントリー!$I$12,_xlfn.IFNA(INDEX(男子エントリー!$J$7:$AH$406,MATCH($G46&amp;RIGHT(Y$1,1),男子エントリー!$AH$7:$AH$406,0),3),""))</f>
        <v/>
      </c>
      <c r="Y46" s="1" t="str">
        <f t="shared" si="0"/>
        <v/>
      </c>
      <c r="Z46" s="1" t="str">
        <f t="shared" si="1"/>
        <v/>
      </c>
      <c r="AA46" s="1" t="str">
        <f t="shared" si="2"/>
        <v/>
      </c>
      <c r="AB46" s="1" t="str" cm="1">
        <f t="array" ref="AB46">_xlfn.IFNA(_xlfn.IFNA(INDEX(競技会設定!$X$2:$AC$24,MATCH(INDEX(男子エントリー!$J$7:$AH$406,MATCH($G46&amp;RIGHT(AB$1,1),男子エントリー!$AH$7:$AH$406,0),1),競技会設定!$AC$2:$AC$24,0),1),INDEX(競技会設定!$X$2:$AC$24,MATCH(INDEX(男子エントリー!$R$6:$V$406,MATCH($G46&amp;RIGHT(AB$1,1),男子エントリー!$V$6:$V$406,0)-MATCH($G46&amp;RIGHT(AB$1,1),男子エントリー!$V$6:$V$406,0)+1,1),競技会設定!$AC$2:$AC$24,0),1)),"")</f>
        <v/>
      </c>
      <c r="AC46" s="1" t="str">
        <f>IF(AB46=14,リレーエントリー!$I$12,_xlfn.IFNA(INDEX(男子エントリー!$J$7:$AH$406,MATCH($G46&amp;RIGHT(AD$1,1),男子エントリー!$AH$7:$AH$406,0),3),""))</f>
        <v/>
      </c>
      <c r="AD46" s="1" t="str">
        <f t="shared" si="3"/>
        <v/>
      </c>
      <c r="AE46" s="1" t="str">
        <f t="shared" si="4"/>
        <v/>
      </c>
      <c r="AF46" s="1" t="str">
        <f t="shared" si="5"/>
        <v/>
      </c>
      <c r="AG46" s="1" t="str" cm="1">
        <f t="array" ref="AG46">_xlfn.IFNA(_xlfn.IFNA(INDEX(競技会設定!$X$2:$AC$24,MATCH(INDEX(男子エントリー!$J$7:$AH$406,MATCH($G46&amp;RIGHT(AG$1,1),男子エントリー!$AH$7:$AH$406,0),1),競技会設定!$AC$2:$AC$24,0),1),INDEX(競技会設定!$X$2:$AC$24,MATCH(INDEX(男子エントリー!$R$6:$V$406,MATCH($G46&amp;RIGHT(AG$1,1),男子エントリー!$V$6:$V$406,0)-MATCH($G46&amp;RIGHT(AG$1,1),男子エントリー!$V$6:$V$406,0)+1,1),競技会設定!$AC$2:$AC$24,0),1)),"")</f>
        <v/>
      </c>
      <c r="AH46" s="1" t="str">
        <f>IF(AG46=14,リレーエントリー!$I$12,_xlfn.IFNA(INDEX(男子エントリー!$J$7:$AH$406,MATCH($G46&amp;RIGHT(AI$1,1),男子エントリー!$AH$7:$AH$406,0),3),""))</f>
        <v/>
      </c>
      <c r="AI46" s="1" t="str">
        <f t="shared" si="6"/>
        <v/>
      </c>
      <c r="AJ46" s="1" t="str">
        <f t="shared" si="7"/>
        <v/>
      </c>
      <c r="AK46" s="1" t="str">
        <f t="shared" si="8"/>
        <v/>
      </c>
      <c r="AL46" s="1" t="str" cm="1">
        <f t="array" ref="AL46">_xlfn.IFNA(_xlfn.IFNA(INDEX(競技会設定!$X$2:$AC$24,MATCH(INDEX(男子エントリー!$J$7:$AH$406,MATCH($G46&amp;RIGHT(AL$1,1),男子エントリー!$AH$7:$AH$406,0),1),競技会設定!$AC$2:$AC$24,0),1),INDEX(競技会設定!$X$2:$AC$24,MATCH(INDEX(男子エントリー!$R$6:$V$406,MATCH($G46&amp;RIGHT(AL$1,1),男子エントリー!$V$6:$V$406,0)-MATCH($G46&amp;RIGHT(AL$1,1),男子エントリー!$V$6:$V$406,0)+1,1),競技会設定!$AC$2:$AC$24,0),1)),"")</f>
        <v/>
      </c>
      <c r="AM46" s="1" t="str">
        <f>IF(AL46=14,リレーエントリー!$I$12,_xlfn.IFNA(INDEX(男子エントリー!$J$7:$AH$406,MATCH($G46&amp;RIGHT(AN$1,1),男子エントリー!$AH$7:$AH$406,0),3),""))</f>
        <v/>
      </c>
      <c r="AN46" s="1" t="str">
        <f t="shared" si="9"/>
        <v/>
      </c>
      <c r="AO46" s="1" t="str">
        <f t="shared" si="10"/>
        <v/>
      </c>
      <c r="AP46" s="1" t="str">
        <f t="shared" si="11"/>
        <v/>
      </c>
    </row>
    <row r="47" spans="1:42">
      <c r="A47" s="1">
        <v>46</v>
      </c>
      <c r="B47" s="92" t="str">
        <f>男子エントリー!D187</f>
        <v/>
      </c>
      <c r="C47" s="1" t="str">
        <f>基本情報!$E$6</f>
        <v/>
      </c>
      <c r="D47" s="1" t="str">
        <f>基本情報!$E$7</f>
        <v/>
      </c>
      <c r="F47" s="92">
        <f>男子エントリー!C187</f>
        <v>0</v>
      </c>
      <c r="G47" s="92" t="str">
        <f>男子エントリー!E187</f>
        <v/>
      </c>
      <c r="H47" s="92" t="str">
        <f>男子エントリー!F187</f>
        <v/>
      </c>
      <c r="I47" s="1" t="str">
        <f t="shared" si="12"/>
        <v/>
      </c>
      <c r="J47" s="1" t="e">
        <f>LEFT(男子エントリー!E189,FIND(",",LEFT(男子エントリー!E189,LEN(男子エントリー!E189)-5))-1)&amp;LEFT(RIGHT(男子エントリー!E189,LEN(男子エントリー!E189)-FIND(",",男子エントリー!E189)),LEN(RIGHT(男子エントリー!E189,LEN(男子エントリー!E189)-FIND(",",男子エントリー!E189)))-5)</f>
        <v>#VALUE!</v>
      </c>
      <c r="K47" s="1" t="str">
        <f>男子エントリー!G189</f>
        <v/>
      </c>
      <c r="L47" s="1" t="str">
        <f t="shared" si="13"/>
        <v/>
      </c>
      <c r="M47" s="92" t="str">
        <f>男子エントリー!G187</f>
        <v/>
      </c>
      <c r="N47" s="92" t="e">
        <f>MID(男子エントリー!E189,FIND("(",男子エントリー!E189)+1,2)</f>
        <v>#VALUE!</v>
      </c>
      <c r="O47" s="1">
        <v>0</v>
      </c>
      <c r="P47" s="92" t="e">
        <f>VLOOKUP(男子エントリー!G188,競技会設定!$F$3:$I$50,2,0)</f>
        <v>#N/A</v>
      </c>
      <c r="R47" s="1" t="str" cm="1">
        <f t="array" ref="R47">_xlfn.IFNA(_xlfn.IFNA(INDEX(競技会設定!$X$2:$AC$24,MATCH(INDEX(男子エントリー!$J$7:$AH$406,MATCH($G47&amp;RIGHT(R$1,1),男子エントリー!$AH$7:$AH$406,0),1),競技会設定!$AC$2:$AC$24,0),1),INDEX(競技会設定!$X$2:$AC$24,MATCH(INDEX(男子エントリー!$R$6:$V$406,MATCH($G47&amp;RIGHT(R$1,1),男子エントリー!$V$6:$V$406,0)-MATCH($G47&amp;RIGHT(R$1,1),男子エントリー!$V$6:$V$406,0)+1,1),競技会設定!$AC$2:$AC$24,0),1)),"")</f>
        <v/>
      </c>
      <c r="S47" s="1" t="str">
        <f>IF(R47=14,リレーエントリー!$I$12,_xlfn.IFNA(INDEX(男子エントリー!$J$7:$AH$406,MATCH($G47&amp;RIGHT(T$1,1),男子エントリー!$AH$7:$AH$406,0),3),""))</f>
        <v/>
      </c>
      <c r="T47" s="1" t="str">
        <f t="shared" si="14"/>
        <v/>
      </c>
      <c r="U47" s="1" t="str">
        <f t="shared" si="17"/>
        <v/>
      </c>
      <c r="V47" s="1" t="str">
        <f t="shared" si="16"/>
        <v/>
      </c>
      <c r="W47" s="1" t="str" cm="1">
        <f t="array" ref="W47">_xlfn.IFNA(_xlfn.IFNA(INDEX(競技会設定!$X$2:$AC$24,MATCH(INDEX(男子エントリー!$J$7:$AH$406,MATCH($G47&amp;RIGHT(W$1,1),男子エントリー!$AH$7:$AH$406,0),1),競技会設定!$AC$2:$AC$24,0),1),INDEX(競技会設定!$X$2:$AC$24,MATCH(INDEX(男子エントリー!$R$6:$V$406,MATCH($G47&amp;RIGHT(W$1,1),男子エントリー!$V$6:$V$406,0)-MATCH($G47&amp;RIGHT(W$1,1),男子エントリー!$V$6:$V$406,0)+1,1),競技会設定!$AC$2:$AC$24,0),1)),"")</f>
        <v/>
      </c>
      <c r="X47" s="1" t="str">
        <f>IF(W47=14,リレーエントリー!$I$12,_xlfn.IFNA(INDEX(男子エントリー!$J$7:$AH$406,MATCH($G47&amp;RIGHT(Y$1,1),男子エントリー!$AH$7:$AH$406,0),3),""))</f>
        <v/>
      </c>
      <c r="Y47" s="1" t="str">
        <f t="shared" si="0"/>
        <v/>
      </c>
      <c r="Z47" s="1" t="str">
        <f t="shared" si="1"/>
        <v/>
      </c>
      <c r="AA47" s="1" t="str">
        <f t="shared" si="2"/>
        <v/>
      </c>
      <c r="AB47" s="1" t="str" cm="1">
        <f t="array" ref="AB47">_xlfn.IFNA(_xlfn.IFNA(INDEX(競技会設定!$X$2:$AC$24,MATCH(INDEX(男子エントリー!$J$7:$AH$406,MATCH($G47&amp;RIGHT(AB$1,1),男子エントリー!$AH$7:$AH$406,0),1),競技会設定!$AC$2:$AC$24,0),1),INDEX(競技会設定!$X$2:$AC$24,MATCH(INDEX(男子エントリー!$R$6:$V$406,MATCH($G47&amp;RIGHT(AB$1,1),男子エントリー!$V$6:$V$406,0)-MATCH($G47&amp;RIGHT(AB$1,1),男子エントリー!$V$6:$V$406,0)+1,1),競技会設定!$AC$2:$AC$24,0),1)),"")</f>
        <v/>
      </c>
      <c r="AC47" s="1" t="str">
        <f>IF(AB47=14,リレーエントリー!$I$12,_xlfn.IFNA(INDEX(男子エントリー!$J$7:$AH$406,MATCH($G47&amp;RIGHT(AD$1,1),男子エントリー!$AH$7:$AH$406,0),3),""))</f>
        <v/>
      </c>
      <c r="AD47" s="1" t="str">
        <f t="shared" si="3"/>
        <v/>
      </c>
      <c r="AE47" s="1" t="str">
        <f t="shared" si="4"/>
        <v/>
      </c>
      <c r="AF47" s="1" t="str">
        <f t="shared" si="5"/>
        <v/>
      </c>
      <c r="AG47" s="1" t="str" cm="1">
        <f t="array" ref="AG47">_xlfn.IFNA(_xlfn.IFNA(INDEX(競技会設定!$X$2:$AC$24,MATCH(INDEX(男子エントリー!$J$7:$AH$406,MATCH($G47&amp;RIGHT(AG$1,1),男子エントリー!$AH$7:$AH$406,0),1),競技会設定!$AC$2:$AC$24,0),1),INDEX(競技会設定!$X$2:$AC$24,MATCH(INDEX(男子エントリー!$R$6:$V$406,MATCH($G47&amp;RIGHT(AG$1,1),男子エントリー!$V$6:$V$406,0)-MATCH($G47&amp;RIGHT(AG$1,1),男子エントリー!$V$6:$V$406,0)+1,1),競技会設定!$AC$2:$AC$24,0),1)),"")</f>
        <v/>
      </c>
      <c r="AH47" s="1" t="str">
        <f>IF(AG47=14,リレーエントリー!$I$12,_xlfn.IFNA(INDEX(男子エントリー!$J$7:$AH$406,MATCH($G47&amp;RIGHT(AI$1,1),男子エントリー!$AH$7:$AH$406,0),3),""))</f>
        <v/>
      </c>
      <c r="AI47" s="1" t="str">
        <f t="shared" si="6"/>
        <v/>
      </c>
      <c r="AJ47" s="1" t="str">
        <f t="shared" si="7"/>
        <v/>
      </c>
      <c r="AK47" s="1" t="str">
        <f t="shared" si="8"/>
        <v/>
      </c>
      <c r="AL47" s="1" t="str" cm="1">
        <f t="array" ref="AL47">_xlfn.IFNA(_xlfn.IFNA(INDEX(競技会設定!$X$2:$AC$24,MATCH(INDEX(男子エントリー!$J$7:$AH$406,MATCH($G47&amp;RIGHT(AL$1,1),男子エントリー!$AH$7:$AH$406,0),1),競技会設定!$AC$2:$AC$24,0),1),INDEX(競技会設定!$X$2:$AC$24,MATCH(INDEX(男子エントリー!$R$6:$V$406,MATCH($G47&amp;RIGHT(AL$1,1),男子エントリー!$V$6:$V$406,0)-MATCH($G47&amp;RIGHT(AL$1,1),男子エントリー!$V$6:$V$406,0)+1,1),競技会設定!$AC$2:$AC$24,0),1)),"")</f>
        <v/>
      </c>
      <c r="AM47" s="1" t="str">
        <f>IF(AL47=14,リレーエントリー!$I$12,_xlfn.IFNA(INDEX(男子エントリー!$J$7:$AH$406,MATCH($G47&amp;RIGHT(AN$1,1),男子エントリー!$AH$7:$AH$406,0),3),""))</f>
        <v/>
      </c>
      <c r="AN47" s="1" t="str">
        <f t="shared" si="9"/>
        <v/>
      </c>
      <c r="AO47" s="1" t="str">
        <f t="shared" si="10"/>
        <v/>
      </c>
      <c r="AP47" s="1" t="str">
        <f t="shared" si="11"/>
        <v/>
      </c>
    </row>
    <row r="48" spans="1:42">
      <c r="A48" s="1">
        <v>47</v>
      </c>
      <c r="B48" s="92" t="str">
        <f>男子エントリー!D191</f>
        <v/>
      </c>
      <c r="C48" s="1" t="str">
        <f>基本情報!$E$6</f>
        <v/>
      </c>
      <c r="D48" s="1" t="str">
        <f>基本情報!$E$7</f>
        <v/>
      </c>
      <c r="F48" s="92">
        <f>男子エントリー!C191</f>
        <v>0</v>
      </c>
      <c r="G48" s="92" t="str">
        <f>男子エントリー!E191</f>
        <v/>
      </c>
      <c r="H48" s="92" t="str">
        <f>男子エントリー!F191</f>
        <v/>
      </c>
      <c r="I48" s="1" t="str">
        <f t="shared" si="12"/>
        <v/>
      </c>
      <c r="J48" s="1" t="e">
        <f>LEFT(男子エントリー!E193,FIND(",",LEFT(男子エントリー!E193,LEN(男子エントリー!E193)-5))-1)&amp;LEFT(RIGHT(男子エントリー!E193,LEN(男子エントリー!E193)-FIND(",",男子エントリー!E193)),LEN(RIGHT(男子エントリー!E193,LEN(男子エントリー!E193)-FIND(",",男子エントリー!E193)))-5)</f>
        <v>#VALUE!</v>
      </c>
      <c r="K48" s="1" t="str">
        <f>男子エントリー!G193</f>
        <v/>
      </c>
      <c r="L48" s="1" t="str">
        <f t="shared" si="13"/>
        <v/>
      </c>
      <c r="M48" s="92" t="str">
        <f>男子エントリー!G191</f>
        <v/>
      </c>
      <c r="N48" s="92" t="e">
        <f>MID(男子エントリー!E193,FIND("(",男子エントリー!E193)+1,2)</f>
        <v>#VALUE!</v>
      </c>
      <c r="O48" s="1">
        <v>0</v>
      </c>
      <c r="P48" s="92" t="e">
        <f>VLOOKUP(男子エントリー!G192,競技会設定!$F$3:$I$50,2,0)</f>
        <v>#N/A</v>
      </c>
      <c r="R48" s="1" t="str" cm="1">
        <f t="array" ref="R48">_xlfn.IFNA(_xlfn.IFNA(INDEX(競技会設定!$X$2:$AC$24,MATCH(INDEX(男子エントリー!$J$7:$AH$406,MATCH($G48&amp;RIGHT(R$1,1),男子エントリー!$AH$7:$AH$406,0),1),競技会設定!$AC$2:$AC$24,0),1),INDEX(競技会設定!$X$2:$AC$24,MATCH(INDEX(男子エントリー!$R$6:$V$406,MATCH($G48&amp;RIGHT(R$1,1),男子エントリー!$V$6:$V$406,0)-MATCH($G48&amp;RIGHT(R$1,1),男子エントリー!$V$6:$V$406,0)+1,1),競技会設定!$AC$2:$AC$24,0),1)),"")</f>
        <v/>
      </c>
      <c r="S48" s="1" t="str">
        <f>IF(R48=14,リレーエントリー!$I$12,_xlfn.IFNA(INDEX(男子エントリー!$J$7:$AH$406,MATCH($G48&amp;RIGHT(T$1,1),男子エントリー!$AH$7:$AH$406,0),3),""))</f>
        <v/>
      </c>
      <c r="T48" s="1" t="str">
        <f t="shared" si="14"/>
        <v/>
      </c>
      <c r="U48" s="1" t="str">
        <f t="shared" si="17"/>
        <v/>
      </c>
      <c r="V48" s="1" t="str">
        <f t="shared" si="16"/>
        <v/>
      </c>
      <c r="W48" s="1" t="str" cm="1">
        <f t="array" ref="W48">_xlfn.IFNA(_xlfn.IFNA(INDEX(競技会設定!$X$2:$AC$24,MATCH(INDEX(男子エントリー!$J$7:$AH$406,MATCH($G48&amp;RIGHT(W$1,1),男子エントリー!$AH$7:$AH$406,0),1),競技会設定!$AC$2:$AC$24,0),1),INDEX(競技会設定!$X$2:$AC$24,MATCH(INDEX(男子エントリー!$R$6:$V$406,MATCH($G48&amp;RIGHT(W$1,1),男子エントリー!$V$6:$V$406,0)-MATCH($G48&amp;RIGHT(W$1,1),男子エントリー!$V$6:$V$406,0)+1,1),競技会設定!$AC$2:$AC$24,0),1)),"")</f>
        <v/>
      </c>
      <c r="X48" s="1" t="str">
        <f>IF(W48=14,リレーエントリー!$I$12,_xlfn.IFNA(INDEX(男子エントリー!$J$7:$AH$406,MATCH($G48&amp;RIGHT(Y$1,1),男子エントリー!$AH$7:$AH$406,0),3),""))</f>
        <v/>
      </c>
      <c r="Y48" s="1" t="str">
        <f t="shared" si="0"/>
        <v/>
      </c>
      <c r="Z48" s="1" t="str">
        <f t="shared" si="1"/>
        <v/>
      </c>
      <c r="AA48" s="1" t="str">
        <f t="shared" si="2"/>
        <v/>
      </c>
      <c r="AB48" s="1" t="str" cm="1">
        <f t="array" ref="AB48">_xlfn.IFNA(_xlfn.IFNA(INDEX(競技会設定!$X$2:$AC$24,MATCH(INDEX(男子エントリー!$J$7:$AH$406,MATCH($G48&amp;RIGHT(AB$1,1),男子エントリー!$AH$7:$AH$406,0),1),競技会設定!$AC$2:$AC$24,0),1),INDEX(競技会設定!$X$2:$AC$24,MATCH(INDEX(男子エントリー!$R$6:$V$406,MATCH($G48&amp;RIGHT(AB$1,1),男子エントリー!$V$6:$V$406,0)-MATCH($G48&amp;RIGHT(AB$1,1),男子エントリー!$V$6:$V$406,0)+1,1),競技会設定!$AC$2:$AC$24,0),1)),"")</f>
        <v/>
      </c>
      <c r="AC48" s="1" t="str">
        <f>IF(AB48=14,リレーエントリー!$I$12,_xlfn.IFNA(INDEX(男子エントリー!$J$7:$AH$406,MATCH($G48&amp;RIGHT(AD$1,1),男子エントリー!$AH$7:$AH$406,0),3),""))</f>
        <v/>
      </c>
      <c r="AD48" s="1" t="str">
        <f t="shared" si="3"/>
        <v/>
      </c>
      <c r="AE48" s="1" t="str">
        <f t="shared" si="4"/>
        <v/>
      </c>
      <c r="AF48" s="1" t="str">
        <f t="shared" si="5"/>
        <v/>
      </c>
      <c r="AG48" s="1" t="str" cm="1">
        <f t="array" ref="AG48">_xlfn.IFNA(_xlfn.IFNA(INDEX(競技会設定!$X$2:$AC$24,MATCH(INDEX(男子エントリー!$J$7:$AH$406,MATCH($G48&amp;RIGHT(AG$1,1),男子エントリー!$AH$7:$AH$406,0),1),競技会設定!$AC$2:$AC$24,0),1),INDEX(競技会設定!$X$2:$AC$24,MATCH(INDEX(男子エントリー!$R$6:$V$406,MATCH($G48&amp;RIGHT(AG$1,1),男子エントリー!$V$6:$V$406,0)-MATCH($G48&amp;RIGHT(AG$1,1),男子エントリー!$V$6:$V$406,0)+1,1),競技会設定!$AC$2:$AC$24,0),1)),"")</f>
        <v/>
      </c>
      <c r="AH48" s="1" t="str">
        <f>IF(AG48=14,リレーエントリー!$I$12,_xlfn.IFNA(INDEX(男子エントリー!$J$7:$AH$406,MATCH($G48&amp;RIGHT(AI$1,1),男子エントリー!$AH$7:$AH$406,0),3),""))</f>
        <v/>
      </c>
      <c r="AI48" s="1" t="str">
        <f t="shared" si="6"/>
        <v/>
      </c>
      <c r="AJ48" s="1" t="str">
        <f t="shared" si="7"/>
        <v/>
      </c>
      <c r="AK48" s="1" t="str">
        <f t="shared" si="8"/>
        <v/>
      </c>
      <c r="AL48" s="1" t="str" cm="1">
        <f t="array" ref="AL48">_xlfn.IFNA(_xlfn.IFNA(INDEX(競技会設定!$X$2:$AC$24,MATCH(INDEX(男子エントリー!$J$7:$AH$406,MATCH($G48&amp;RIGHT(AL$1,1),男子エントリー!$AH$7:$AH$406,0),1),競技会設定!$AC$2:$AC$24,0),1),INDEX(競技会設定!$X$2:$AC$24,MATCH(INDEX(男子エントリー!$R$6:$V$406,MATCH($G48&amp;RIGHT(AL$1,1),男子エントリー!$V$6:$V$406,0)-MATCH($G48&amp;RIGHT(AL$1,1),男子エントリー!$V$6:$V$406,0)+1,1),競技会設定!$AC$2:$AC$24,0),1)),"")</f>
        <v/>
      </c>
      <c r="AM48" s="1" t="str">
        <f>IF(AL48=14,リレーエントリー!$I$12,_xlfn.IFNA(INDEX(男子エントリー!$J$7:$AH$406,MATCH($G48&amp;RIGHT(AN$1,1),男子エントリー!$AH$7:$AH$406,0),3),""))</f>
        <v/>
      </c>
      <c r="AN48" s="1" t="str">
        <f t="shared" si="9"/>
        <v/>
      </c>
      <c r="AO48" s="1" t="str">
        <f t="shared" si="10"/>
        <v/>
      </c>
      <c r="AP48" s="1" t="str">
        <f t="shared" si="11"/>
        <v/>
      </c>
    </row>
    <row r="49" spans="1:42">
      <c r="A49" s="1">
        <v>48</v>
      </c>
      <c r="B49" s="92" t="str">
        <f>男子エントリー!D195</f>
        <v/>
      </c>
      <c r="C49" s="1" t="str">
        <f>基本情報!$E$6</f>
        <v/>
      </c>
      <c r="D49" s="1" t="str">
        <f>基本情報!$E$7</f>
        <v/>
      </c>
      <c r="F49" s="92">
        <f>男子エントリー!C195</f>
        <v>0</v>
      </c>
      <c r="G49" s="92" t="str">
        <f>男子エントリー!E195</f>
        <v/>
      </c>
      <c r="H49" s="92" t="str">
        <f>男子エントリー!F195</f>
        <v/>
      </c>
      <c r="I49" s="1" t="str">
        <f t="shared" si="12"/>
        <v/>
      </c>
      <c r="J49" s="1" t="e">
        <f>LEFT(男子エントリー!E197,FIND(",",LEFT(男子エントリー!E197,LEN(男子エントリー!E197)-5))-1)&amp;LEFT(RIGHT(男子エントリー!E197,LEN(男子エントリー!E197)-FIND(",",男子エントリー!E197)),LEN(RIGHT(男子エントリー!E197,LEN(男子エントリー!E197)-FIND(",",男子エントリー!E197)))-5)</f>
        <v>#VALUE!</v>
      </c>
      <c r="K49" s="1" t="str">
        <f>男子エントリー!G197</f>
        <v/>
      </c>
      <c r="L49" s="1" t="str">
        <f t="shared" si="13"/>
        <v/>
      </c>
      <c r="M49" s="92" t="str">
        <f>男子エントリー!G195</f>
        <v/>
      </c>
      <c r="N49" s="92" t="e">
        <f>MID(男子エントリー!E197,FIND("(",男子エントリー!E197)+1,2)</f>
        <v>#VALUE!</v>
      </c>
      <c r="O49" s="1">
        <v>0</v>
      </c>
      <c r="P49" s="92" t="e">
        <f>VLOOKUP(男子エントリー!G196,競技会設定!$F$3:$I$50,2,0)</f>
        <v>#N/A</v>
      </c>
      <c r="R49" s="1" t="str" cm="1">
        <f t="array" ref="R49">_xlfn.IFNA(_xlfn.IFNA(INDEX(競技会設定!$X$2:$AC$24,MATCH(INDEX(男子エントリー!$J$7:$AH$406,MATCH($G49&amp;RIGHT(R$1,1),男子エントリー!$AH$7:$AH$406,0),1),競技会設定!$AC$2:$AC$24,0),1),INDEX(競技会設定!$X$2:$AC$24,MATCH(INDEX(男子エントリー!$R$6:$V$406,MATCH($G49&amp;RIGHT(R$1,1),男子エントリー!$V$6:$V$406,0)-MATCH($G49&amp;RIGHT(R$1,1),男子エントリー!$V$6:$V$406,0)+1,1),競技会設定!$AC$2:$AC$24,0),1)),"")</f>
        <v/>
      </c>
      <c r="S49" s="1" t="str">
        <f>IF(R49=14,リレーエントリー!$I$12,_xlfn.IFNA(INDEX(男子エントリー!$J$7:$AH$406,MATCH($G49&amp;RIGHT(T$1,1),男子エントリー!$AH$7:$AH$406,0),3),""))</f>
        <v/>
      </c>
      <c r="T49" s="1" t="str">
        <f t="shared" si="14"/>
        <v/>
      </c>
      <c r="U49" s="1" t="str">
        <f t="shared" si="17"/>
        <v/>
      </c>
      <c r="V49" s="1" t="str">
        <f t="shared" si="16"/>
        <v/>
      </c>
      <c r="W49" s="1" t="str" cm="1">
        <f t="array" ref="W49">_xlfn.IFNA(_xlfn.IFNA(INDEX(競技会設定!$X$2:$AC$24,MATCH(INDEX(男子エントリー!$J$7:$AH$406,MATCH($G49&amp;RIGHT(W$1,1),男子エントリー!$AH$7:$AH$406,0),1),競技会設定!$AC$2:$AC$24,0),1),INDEX(競技会設定!$X$2:$AC$24,MATCH(INDEX(男子エントリー!$R$6:$V$406,MATCH($G49&amp;RIGHT(W$1,1),男子エントリー!$V$6:$V$406,0)-MATCH($G49&amp;RIGHT(W$1,1),男子エントリー!$V$6:$V$406,0)+1,1),競技会設定!$AC$2:$AC$24,0),1)),"")</f>
        <v/>
      </c>
      <c r="X49" s="1" t="str">
        <f>IF(W49=14,リレーエントリー!$I$12,_xlfn.IFNA(INDEX(男子エントリー!$J$7:$AH$406,MATCH($G49&amp;RIGHT(Y$1,1),男子エントリー!$AH$7:$AH$406,0),3),""))</f>
        <v/>
      </c>
      <c r="Y49" s="1" t="str">
        <f t="shared" si="0"/>
        <v/>
      </c>
      <c r="Z49" s="1" t="str">
        <f t="shared" si="1"/>
        <v/>
      </c>
      <c r="AA49" s="1" t="str">
        <f t="shared" si="2"/>
        <v/>
      </c>
      <c r="AB49" s="1" t="str" cm="1">
        <f t="array" ref="AB49">_xlfn.IFNA(_xlfn.IFNA(INDEX(競技会設定!$X$2:$AC$24,MATCH(INDEX(男子エントリー!$J$7:$AH$406,MATCH($G49&amp;RIGHT(AB$1,1),男子エントリー!$AH$7:$AH$406,0),1),競技会設定!$AC$2:$AC$24,0),1),INDEX(競技会設定!$X$2:$AC$24,MATCH(INDEX(男子エントリー!$R$6:$V$406,MATCH($G49&amp;RIGHT(AB$1,1),男子エントリー!$V$6:$V$406,0)-MATCH($G49&amp;RIGHT(AB$1,1),男子エントリー!$V$6:$V$406,0)+1,1),競技会設定!$AC$2:$AC$24,0),1)),"")</f>
        <v/>
      </c>
      <c r="AC49" s="1" t="str">
        <f>IF(AB49=14,リレーエントリー!$I$12,_xlfn.IFNA(INDEX(男子エントリー!$J$7:$AH$406,MATCH($G49&amp;RIGHT(AD$1,1),男子エントリー!$AH$7:$AH$406,0),3),""))</f>
        <v/>
      </c>
      <c r="AD49" s="1" t="str">
        <f t="shared" si="3"/>
        <v/>
      </c>
      <c r="AE49" s="1" t="str">
        <f t="shared" si="4"/>
        <v/>
      </c>
      <c r="AF49" s="1" t="str">
        <f t="shared" si="5"/>
        <v/>
      </c>
      <c r="AG49" s="1" t="str" cm="1">
        <f t="array" ref="AG49">_xlfn.IFNA(_xlfn.IFNA(INDEX(競技会設定!$X$2:$AC$24,MATCH(INDEX(男子エントリー!$J$7:$AH$406,MATCH($G49&amp;RIGHT(AG$1,1),男子エントリー!$AH$7:$AH$406,0),1),競技会設定!$AC$2:$AC$24,0),1),INDEX(競技会設定!$X$2:$AC$24,MATCH(INDEX(男子エントリー!$R$6:$V$406,MATCH($G49&amp;RIGHT(AG$1,1),男子エントリー!$V$6:$V$406,0)-MATCH($G49&amp;RIGHT(AG$1,1),男子エントリー!$V$6:$V$406,0)+1,1),競技会設定!$AC$2:$AC$24,0),1)),"")</f>
        <v/>
      </c>
      <c r="AH49" s="1" t="str">
        <f>IF(AG49=14,リレーエントリー!$I$12,_xlfn.IFNA(INDEX(男子エントリー!$J$7:$AH$406,MATCH($G49&amp;RIGHT(AI$1,1),男子エントリー!$AH$7:$AH$406,0),3),""))</f>
        <v/>
      </c>
      <c r="AI49" s="1" t="str">
        <f t="shared" si="6"/>
        <v/>
      </c>
      <c r="AJ49" s="1" t="str">
        <f t="shared" si="7"/>
        <v/>
      </c>
      <c r="AK49" s="1" t="str">
        <f t="shared" si="8"/>
        <v/>
      </c>
      <c r="AL49" s="1" t="str" cm="1">
        <f t="array" ref="AL49">_xlfn.IFNA(_xlfn.IFNA(INDEX(競技会設定!$X$2:$AC$24,MATCH(INDEX(男子エントリー!$J$7:$AH$406,MATCH($G49&amp;RIGHT(AL$1,1),男子エントリー!$AH$7:$AH$406,0),1),競技会設定!$AC$2:$AC$24,0),1),INDEX(競技会設定!$X$2:$AC$24,MATCH(INDEX(男子エントリー!$R$6:$V$406,MATCH($G49&amp;RIGHT(AL$1,1),男子エントリー!$V$6:$V$406,0)-MATCH($G49&amp;RIGHT(AL$1,1),男子エントリー!$V$6:$V$406,0)+1,1),競技会設定!$AC$2:$AC$24,0),1)),"")</f>
        <v/>
      </c>
      <c r="AM49" s="1" t="str">
        <f>IF(AL49=14,リレーエントリー!$I$12,_xlfn.IFNA(INDEX(男子エントリー!$J$7:$AH$406,MATCH($G49&amp;RIGHT(AN$1,1),男子エントリー!$AH$7:$AH$406,0),3),""))</f>
        <v/>
      </c>
      <c r="AN49" s="1" t="str">
        <f t="shared" si="9"/>
        <v/>
      </c>
      <c r="AO49" s="1" t="str">
        <f t="shared" si="10"/>
        <v/>
      </c>
      <c r="AP49" s="1" t="str">
        <f t="shared" si="11"/>
        <v/>
      </c>
    </row>
    <row r="50" spans="1:42">
      <c r="A50" s="1">
        <v>49</v>
      </c>
      <c r="B50" s="92" t="str">
        <f>男子エントリー!D199</f>
        <v/>
      </c>
      <c r="C50" s="1" t="str">
        <f>基本情報!$E$6</f>
        <v/>
      </c>
      <c r="D50" s="1" t="str">
        <f>基本情報!$E$7</f>
        <v/>
      </c>
      <c r="F50" s="92">
        <f>男子エントリー!C199</f>
        <v>0</v>
      </c>
      <c r="G50" s="92" t="str">
        <f>男子エントリー!E199</f>
        <v/>
      </c>
      <c r="H50" s="92" t="str">
        <f>男子エントリー!F199</f>
        <v/>
      </c>
      <c r="I50" s="1" t="str">
        <f t="shared" si="12"/>
        <v/>
      </c>
      <c r="J50" s="1" t="e">
        <f>LEFT(男子エントリー!E201,FIND(",",LEFT(男子エントリー!E201,LEN(男子エントリー!E201)-5))-1)&amp;LEFT(RIGHT(男子エントリー!E201,LEN(男子エントリー!E201)-FIND(",",男子エントリー!E201)),LEN(RIGHT(男子エントリー!E201,LEN(男子エントリー!E201)-FIND(",",男子エントリー!E201)))-5)</f>
        <v>#VALUE!</v>
      </c>
      <c r="K50" s="1" t="str">
        <f>男子エントリー!G201</f>
        <v/>
      </c>
      <c r="L50" s="1" t="str">
        <f t="shared" si="13"/>
        <v/>
      </c>
      <c r="M50" s="92" t="str">
        <f>男子エントリー!G199</f>
        <v/>
      </c>
      <c r="N50" s="92" t="e">
        <f>MID(男子エントリー!E201,FIND("(",男子エントリー!E201)+1,2)</f>
        <v>#VALUE!</v>
      </c>
      <c r="O50" s="1">
        <v>0</v>
      </c>
      <c r="P50" s="92" t="e">
        <f>VLOOKUP(男子エントリー!G200,競技会設定!$F$3:$I$50,2,0)</f>
        <v>#N/A</v>
      </c>
      <c r="R50" s="1" t="str" cm="1">
        <f t="array" ref="R50">_xlfn.IFNA(_xlfn.IFNA(INDEX(競技会設定!$X$2:$AC$24,MATCH(INDEX(男子エントリー!$J$7:$AH$406,MATCH($G50&amp;RIGHT(R$1,1),男子エントリー!$AH$7:$AH$406,0),1),競技会設定!$AC$2:$AC$24,0),1),INDEX(競技会設定!$X$2:$AC$24,MATCH(INDEX(男子エントリー!$R$6:$V$406,MATCH($G50&amp;RIGHT(R$1,1),男子エントリー!$V$6:$V$406,0)-MATCH($G50&amp;RIGHT(R$1,1),男子エントリー!$V$6:$V$406,0)+1,1),競技会設定!$AC$2:$AC$24,0),1)),"")</f>
        <v/>
      </c>
      <c r="S50" s="1" t="str">
        <f>IF(R50=14,リレーエントリー!$I$12,_xlfn.IFNA(INDEX(男子エントリー!$J$7:$AH$406,MATCH($G50&amp;RIGHT(T$1,1),男子エントリー!$AH$7:$AH$406,0),3),""))</f>
        <v/>
      </c>
      <c r="T50" s="1" t="str">
        <f t="shared" si="14"/>
        <v/>
      </c>
      <c r="U50" s="1" t="str">
        <f t="shared" si="17"/>
        <v/>
      </c>
      <c r="V50" s="1" t="str">
        <f t="shared" si="16"/>
        <v/>
      </c>
      <c r="W50" s="1" t="str" cm="1">
        <f t="array" ref="W50">_xlfn.IFNA(_xlfn.IFNA(INDEX(競技会設定!$X$2:$AC$24,MATCH(INDEX(男子エントリー!$J$7:$AH$406,MATCH($G50&amp;RIGHT(W$1,1),男子エントリー!$AH$7:$AH$406,0),1),競技会設定!$AC$2:$AC$24,0),1),INDEX(競技会設定!$X$2:$AC$24,MATCH(INDEX(男子エントリー!$R$6:$V$406,MATCH($G50&amp;RIGHT(W$1,1),男子エントリー!$V$6:$V$406,0)-MATCH($G50&amp;RIGHT(W$1,1),男子エントリー!$V$6:$V$406,0)+1,1),競技会設定!$AC$2:$AC$24,0),1)),"")</f>
        <v/>
      </c>
      <c r="X50" s="1" t="str">
        <f>IF(W50=14,リレーエントリー!$I$12,_xlfn.IFNA(INDEX(男子エントリー!$J$7:$AH$406,MATCH($G50&amp;RIGHT(Y$1,1),男子エントリー!$AH$7:$AH$406,0),3),""))</f>
        <v/>
      </c>
      <c r="Y50" s="1" t="str">
        <f t="shared" si="0"/>
        <v/>
      </c>
      <c r="Z50" s="1" t="str">
        <f t="shared" si="1"/>
        <v/>
      </c>
      <c r="AA50" s="1" t="str">
        <f t="shared" si="2"/>
        <v/>
      </c>
      <c r="AB50" s="1" t="str" cm="1">
        <f t="array" ref="AB50">_xlfn.IFNA(_xlfn.IFNA(INDEX(競技会設定!$X$2:$AC$24,MATCH(INDEX(男子エントリー!$J$7:$AH$406,MATCH($G50&amp;RIGHT(AB$1,1),男子エントリー!$AH$7:$AH$406,0),1),競技会設定!$AC$2:$AC$24,0),1),INDEX(競技会設定!$X$2:$AC$24,MATCH(INDEX(男子エントリー!$R$6:$V$406,MATCH($G50&amp;RIGHT(AB$1,1),男子エントリー!$V$6:$V$406,0)-MATCH($G50&amp;RIGHT(AB$1,1),男子エントリー!$V$6:$V$406,0)+1,1),競技会設定!$AC$2:$AC$24,0),1)),"")</f>
        <v/>
      </c>
      <c r="AC50" s="1" t="str">
        <f>IF(AB50=14,リレーエントリー!$I$12,_xlfn.IFNA(INDEX(男子エントリー!$J$7:$AH$406,MATCH($G50&amp;RIGHT(AD$1,1),男子エントリー!$AH$7:$AH$406,0),3),""))</f>
        <v/>
      </c>
      <c r="AD50" s="1" t="str">
        <f t="shared" si="3"/>
        <v/>
      </c>
      <c r="AE50" s="1" t="str">
        <f t="shared" si="4"/>
        <v/>
      </c>
      <c r="AF50" s="1" t="str">
        <f t="shared" si="5"/>
        <v/>
      </c>
      <c r="AG50" s="1" t="str" cm="1">
        <f t="array" ref="AG50">_xlfn.IFNA(_xlfn.IFNA(INDEX(競技会設定!$X$2:$AC$24,MATCH(INDEX(男子エントリー!$J$7:$AH$406,MATCH($G50&amp;RIGHT(AG$1,1),男子エントリー!$AH$7:$AH$406,0),1),競技会設定!$AC$2:$AC$24,0),1),INDEX(競技会設定!$X$2:$AC$24,MATCH(INDEX(男子エントリー!$R$6:$V$406,MATCH($G50&amp;RIGHT(AG$1,1),男子エントリー!$V$6:$V$406,0)-MATCH($G50&amp;RIGHT(AG$1,1),男子エントリー!$V$6:$V$406,0)+1,1),競技会設定!$AC$2:$AC$24,0),1)),"")</f>
        <v/>
      </c>
      <c r="AH50" s="1" t="str">
        <f>IF(AG50=14,リレーエントリー!$I$12,_xlfn.IFNA(INDEX(男子エントリー!$J$7:$AH$406,MATCH($G50&amp;RIGHT(AI$1,1),男子エントリー!$AH$7:$AH$406,0),3),""))</f>
        <v/>
      </c>
      <c r="AI50" s="1" t="str">
        <f t="shared" si="6"/>
        <v/>
      </c>
      <c r="AJ50" s="1" t="str">
        <f t="shared" si="7"/>
        <v/>
      </c>
      <c r="AK50" s="1" t="str">
        <f t="shared" si="8"/>
        <v/>
      </c>
      <c r="AL50" s="1" t="str" cm="1">
        <f t="array" ref="AL50">_xlfn.IFNA(_xlfn.IFNA(INDEX(競技会設定!$X$2:$AC$24,MATCH(INDEX(男子エントリー!$J$7:$AH$406,MATCH($G50&amp;RIGHT(AL$1,1),男子エントリー!$AH$7:$AH$406,0),1),競技会設定!$AC$2:$AC$24,0),1),INDEX(競技会設定!$X$2:$AC$24,MATCH(INDEX(男子エントリー!$R$6:$V$406,MATCH($G50&amp;RIGHT(AL$1,1),男子エントリー!$V$6:$V$406,0)-MATCH($G50&amp;RIGHT(AL$1,1),男子エントリー!$V$6:$V$406,0)+1,1),競技会設定!$AC$2:$AC$24,0),1)),"")</f>
        <v/>
      </c>
      <c r="AM50" s="1" t="str">
        <f>IF(AL50=14,リレーエントリー!$I$12,_xlfn.IFNA(INDEX(男子エントリー!$J$7:$AH$406,MATCH($G50&amp;RIGHT(AN$1,1),男子エントリー!$AH$7:$AH$406,0),3),""))</f>
        <v/>
      </c>
      <c r="AN50" s="1" t="str">
        <f t="shared" si="9"/>
        <v/>
      </c>
      <c r="AO50" s="1" t="str">
        <f t="shared" si="10"/>
        <v/>
      </c>
      <c r="AP50" s="1" t="str">
        <f t="shared" si="11"/>
        <v/>
      </c>
    </row>
    <row r="51" spans="1:42">
      <c r="A51" s="1">
        <v>50</v>
      </c>
      <c r="B51" s="92" t="str">
        <f>男子エントリー!D203</f>
        <v/>
      </c>
      <c r="C51" s="1" t="str">
        <f>基本情報!$E$6</f>
        <v/>
      </c>
      <c r="D51" s="1" t="str">
        <f>基本情報!$E$7</f>
        <v/>
      </c>
      <c r="F51" s="92">
        <f>男子エントリー!C203</f>
        <v>0</v>
      </c>
      <c r="G51" s="92" t="str">
        <f>男子エントリー!E203</f>
        <v/>
      </c>
      <c r="H51" s="92" t="str">
        <f>男子エントリー!F203</f>
        <v/>
      </c>
      <c r="I51" s="1" t="str">
        <f t="shared" si="12"/>
        <v/>
      </c>
      <c r="J51" s="1" t="e">
        <f>LEFT(男子エントリー!E205,FIND(",",LEFT(男子エントリー!E205,LEN(男子エントリー!E205)-5))-1)&amp;LEFT(RIGHT(男子エントリー!E205,LEN(男子エントリー!E205)-FIND(",",男子エントリー!E205)),LEN(RIGHT(男子エントリー!E205,LEN(男子エントリー!E205)-FIND(",",男子エントリー!E205)))-5)</f>
        <v>#VALUE!</v>
      </c>
      <c r="K51" s="1" t="str">
        <f>男子エントリー!G205</f>
        <v/>
      </c>
      <c r="L51" s="1" t="str">
        <f t="shared" si="13"/>
        <v/>
      </c>
      <c r="M51" s="92" t="str">
        <f>男子エントリー!G203</f>
        <v/>
      </c>
      <c r="N51" s="92" t="e">
        <f>MID(男子エントリー!E205,FIND("(",男子エントリー!E205)+1,2)</f>
        <v>#VALUE!</v>
      </c>
      <c r="O51" s="1">
        <v>0</v>
      </c>
      <c r="P51" s="92" t="e">
        <f>VLOOKUP(男子エントリー!G204,競技会設定!$F$3:$I$50,2,0)</f>
        <v>#N/A</v>
      </c>
      <c r="R51" s="1" t="str" cm="1">
        <f t="array" ref="R51">_xlfn.IFNA(_xlfn.IFNA(INDEX(競技会設定!$X$2:$AC$24,MATCH(INDEX(男子エントリー!$J$7:$AH$406,MATCH($G51&amp;RIGHT(R$1,1),男子エントリー!$AH$7:$AH$406,0),1),競技会設定!$AC$2:$AC$24,0),1),INDEX(競技会設定!$X$2:$AC$24,MATCH(INDEX(男子エントリー!$R$6:$V$406,MATCH($G51&amp;RIGHT(R$1,1),男子エントリー!$V$6:$V$406,0)-MATCH($G51&amp;RIGHT(R$1,1),男子エントリー!$V$6:$V$406,0)+1,1),競技会設定!$AC$2:$AC$24,0),1)),"")</f>
        <v/>
      </c>
      <c r="S51" s="1" t="str">
        <f>IF(R51=14,リレーエントリー!$I$12,_xlfn.IFNA(INDEX(男子エントリー!$J$7:$AH$406,MATCH($G51&amp;RIGHT(T$1,1),男子エントリー!$AH$7:$AH$406,0),3),""))</f>
        <v/>
      </c>
      <c r="T51" s="1" t="str">
        <f t="shared" si="14"/>
        <v/>
      </c>
      <c r="U51" s="1" t="str">
        <f t="shared" si="17"/>
        <v/>
      </c>
      <c r="V51" s="1" t="str">
        <f t="shared" si="16"/>
        <v/>
      </c>
      <c r="W51" s="1" t="str" cm="1">
        <f t="array" ref="W51">_xlfn.IFNA(_xlfn.IFNA(INDEX(競技会設定!$X$2:$AC$24,MATCH(INDEX(男子エントリー!$J$7:$AH$406,MATCH($G51&amp;RIGHT(W$1,1),男子エントリー!$AH$7:$AH$406,0),1),競技会設定!$AC$2:$AC$24,0),1),INDEX(競技会設定!$X$2:$AC$24,MATCH(INDEX(男子エントリー!$R$6:$V$406,MATCH($G51&amp;RIGHT(W$1,1),男子エントリー!$V$6:$V$406,0)-MATCH($G51&amp;RIGHT(W$1,1),男子エントリー!$V$6:$V$406,0)+1,1),競技会設定!$AC$2:$AC$24,0),1)),"")</f>
        <v/>
      </c>
      <c r="X51" s="1" t="str">
        <f>IF(W51=14,リレーエントリー!$I$12,_xlfn.IFNA(INDEX(男子エントリー!$J$7:$AH$406,MATCH($G51&amp;RIGHT(Y$1,1),男子エントリー!$AH$7:$AH$406,0),3),""))</f>
        <v/>
      </c>
      <c r="Y51" s="1" t="str">
        <f t="shared" si="0"/>
        <v/>
      </c>
      <c r="Z51" s="1" t="str">
        <f t="shared" si="1"/>
        <v/>
      </c>
      <c r="AA51" s="1" t="str">
        <f t="shared" si="2"/>
        <v/>
      </c>
      <c r="AB51" s="1" t="str" cm="1">
        <f t="array" ref="AB51">_xlfn.IFNA(_xlfn.IFNA(INDEX(競技会設定!$X$2:$AC$24,MATCH(INDEX(男子エントリー!$J$7:$AH$406,MATCH($G51&amp;RIGHT(AB$1,1),男子エントリー!$AH$7:$AH$406,0),1),競技会設定!$AC$2:$AC$24,0),1),INDEX(競技会設定!$X$2:$AC$24,MATCH(INDEX(男子エントリー!$R$6:$V$406,MATCH($G51&amp;RIGHT(AB$1,1),男子エントリー!$V$6:$V$406,0)-MATCH($G51&amp;RIGHT(AB$1,1),男子エントリー!$V$6:$V$406,0)+1,1),競技会設定!$AC$2:$AC$24,0),1)),"")</f>
        <v/>
      </c>
      <c r="AC51" s="1" t="str">
        <f>IF(AB51=14,リレーエントリー!$I$12,_xlfn.IFNA(INDEX(男子エントリー!$J$7:$AH$406,MATCH($G51&amp;RIGHT(AD$1,1),男子エントリー!$AH$7:$AH$406,0),3),""))</f>
        <v/>
      </c>
      <c r="AD51" s="1" t="str">
        <f t="shared" si="3"/>
        <v/>
      </c>
      <c r="AE51" s="1" t="str">
        <f t="shared" si="4"/>
        <v/>
      </c>
      <c r="AF51" s="1" t="str">
        <f t="shared" si="5"/>
        <v/>
      </c>
      <c r="AG51" s="1" t="str" cm="1">
        <f t="array" ref="AG51">_xlfn.IFNA(_xlfn.IFNA(INDEX(競技会設定!$X$2:$AC$24,MATCH(INDEX(男子エントリー!$J$7:$AH$406,MATCH($G51&amp;RIGHT(AG$1,1),男子エントリー!$AH$7:$AH$406,0),1),競技会設定!$AC$2:$AC$24,0),1),INDEX(競技会設定!$X$2:$AC$24,MATCH(INDEX(男子エントリー!$R$6:$V$406,MATCH($G51&amp;RIGHT(AG$1,1),男子エントリー!$V$6:$V$406,0)-MATCH($G51&amp;RIGHT(AG$1,1),男子エントリー!$V$6:$V$406,0)+1,1),競技会設定!$AC$2:$AC$24,0),1)),"")</f>
        <v/>
      </c>
      <c r="AH51" s="1" t="str">
        <f>IF(AG51=14,リレーエントリー!$I$12,_xlfn.IFNA(INDEX(男子エントリー!$J$7:$AH$406,MATCH($G51&amp;RIGHT(AI$1,1),男子エントリー!$AH$7:$AH$406,0),3),""))</f>
        <v/>
      </c>
      <c r="AI51" s="1" t="str">
        <f t="shared" si="6"/>
        <v/>
      </c>
      <c r="AJ51" s="1" t="str">
        <f t="shared" si="7"/>
        <v/>
      </c>
      <c r="AK51" s="1" t="str">
        <f t="shared" si="8"/>
        <v/>
      </c>
      <c r="AL51" s="1" t="str" cm="1">
        <f t="array" ref="AL51">_xlfn.IFNA(_xlfn.IFNA(INDEX(競技会設定!$X$2:$AC$24,MATCH(INDEX(男子エントリー!$J$7:$AH$406,MATCH($G51&amp;RIGHT(AL$1,1),男子エントリー!$AH$7:$AH$406,0),1),競技会設定!$AC$2:$AC$24,0),1),INDEX(競技会設定!$X$2:$AC$24,MATCH(INDEX(男子エントリー!$R$6:$V$406,MATCH($G51&amp;RIGHT(AL$1,1),男子エントリー!$V$6:$V$406,0)-MATCH($G51&amp;RIGHT(AL$1,1),男子エントリー!$V$6:$V$406,0)+1,1),競技会設定!$AC$2:$AC$24,0),1)),"")</f>
        <v/>
      </c>
      <c r="AM51" s="1" t="str">
        <f>IF(AL51=14,リレーエントリー!$I$12,_xlfn.IFNA(INDEX(男子エントリー!$J$7:$AH$406,MATCH($G51&amp;RIGHT(AN$1,1),男子エントリー!$AH$7:$AH$406,0),3),""))</f>
        <v/>
      </c>
      <c r="AN51" s="1" t="str">
        <f t="shared" si="9"/>
        <v/>
      </c>
      <c r="AO51" s="1" t="str">
        <f t="shared" si="10"/>
        <v/>
      </c>
      <c r="AP51" s="1" t="str">
        <f t="shared" si="11"/>
        <v/>
      </c>
    </row>
    <row r="52" spans="1:42">
      <c r="A52" s="1">
        <v>51</v>
      </c>
      <c r="B52" s="92" t="str">
        <f>男子エントリー!D207</f>
        <v/>
      </c>
      <c r="C52" s="1" t="str">
        <f>基本情報!$E$6</f>
        <v/>
      </c>
      <c r="D52" s="1" t="str">
        <f>基本情報!$E$7</f>
        <v/>
      </c>
      <c r="F52" s="92">
        <f>男子エントリー!C207</f>
        <v>0</v>
      </c>
      <c r="G52" s="92" t="str">
        <f>男子エントリー!E207</f>
        <v/>
      </c>
      <c r="H52" s="92" t="str">
        <f>男子エントリー!F207</f>
        <v/>
      </c>
      <c r="I52" s="1" t="str">
        <f t="shared" si="12"/>
        <v/>
      </c>
      <c r="J52" s="1" t="e">
        <f>LEFT(男子エントリー!E209,FIND(",",LEFT(男子エントリー!E209,LEN(男子エントリー!E209)-5))-1)&amp;LEFT(RIGHT(男子エントリー!E209,LEN(男子エントリー!E209)-FIND(",",男子エントリー!E209)),LEN(RIGHT(男子エントリー!E209,LEN(男子エントリー!E209)-FIND(",",男子エントリー!E209)))-5)</f>
        <v>#VALUE!</v>
      </c>
      <c r="K52" s="1" t="str">
        <f>男子エントリー!G209</f>
        <v/>
      </c>
      <c r="L52" s="1" t="str">
        <f t="shared" si="13"/>
        <v/>
      </c>
      <c r="M52" s="92" t="str">
        <f>男子エントリー!G207</f>
        <v/>
      </c>
      <c r="N52" s="92" t="e">
        <f>MID(男子エントリー!E209,FIND("(",男子エントリー!E209)+1,2)</f>
        <v>#VALUE!</v>
      </c>
      <c r="O52" s="1">
        <v>0</v>
      </c>
      <c r="P52" s="92" t="e">
        <f>VLOOKUP(男子エントリー!G208,競技会設定!$F$3:$I$50,2,0)</f>
        <v>#N/A</v>
      </c>
      <c r="R52" s="1" t="str" cm="1">
        <f t="array" ref="R52">_xlfn.IFNA(_xlfn.IFNA(INDEX(競技会設定!$X$2:$AC$24,MATCH(INDEX(男子エントリー!$J$7:$AH$406,MATCH($G52&amp;RIGHT(R$1,1),男子エントリー!$AH$7:$AH$406,0),1),競技会設定!$AC$2:$AC$24,0),1),INDEX(競技会設定!$X$2:$AC$24,MATCH(INDEX(男子エントリー!$R$6:$V$406,MATCH($G52&amp;RIGHT(R$1,1),男子エントリー!$V$6:$V$406,0)-MATCH($G52&amp;RIGHT(R$1,1),男子エントリー!$V$6:$V$406,0)+1,1),競技会設定!$AC$2:$AC$24,0),1)),"")</f>
        <v/>
      </c>
      <c r="S52" s="1" t="str">
        <f>IF(R52=14,リレーエントリー!$I$12,_xlfn.IFNA(INDEX(男子エントリー!$J$7:$AH$406,MATCH($G52&amp;RIGHT(T$1,1),男子エントリー!$AH$7:$AH$406,0),3),""))</f>
        <v/>
      </c>
      <c r="T52" s="1" t="str">
        <f t="shared" si="14"/>
        <v/>
      </c>
      <c r="U52" s="1" t="str">
        <f t="shared" si="17"/>
        <v/>
      </c>
      <c r="V52" s="1" t="str">
        <f t="shared" si="16"/>
        <v/>
      </c>
      <c r="W52" s="1" t="str" cm="1">
        <f t="array" ref="W52">_xlfn.IFNA(_xlfn.IFNA(INDEX(競技会設定!$X$2:$AC$24,MATCH(INDEX(男子エントリー!$J$7:$AH$406,MATCH($G52&amp;RIGHT(W$1,1),男子エントリー!$AH$7:$AH$406,0),1),競技会設定!$AC$2:$AC$24,0),1),INDEX(競技会設定!$X$2:$AC$24,MATCH(INDEX(男子エントリー!$R$6:$V$406,MATCH($G52&amp;RIGHT(W$1,1),男子エントリー!$V$6:$V$406,0)-MATCH($G52&amp;RIGHT(W$1,1),男子エントリー!$V$6:$V$406,0)+1,1),競技会設定!$AC$2:$AC$24,0),1)),"")</f>
        <v/>
      </c>
      <c r="X52" s="1" t="str">
        <f>IF(W52=14,リレーエントリー!$I$12,_xlfn.IFNA(INDEX(男子エントリー!$J$7:$AH$406,MATCH($G52&amp;RIGHT(Y$1,1),男子エントリー!$AH$7:$AH$406,0),3),""))</f>
        <v/>
      </c>
      <c r="Y52" s="1" t="str">
        <f t="shared" si="0"/>
        <v/>
      </c>
      <c r="Z52" s="1" t="str">
        <f t="shared" si="1"/>
        <v/>
      </c>
      <c r="AA52" s="1" t="str">
        <f t="shared" si="2"/>
        <v/>
      </c>
      <c r="AB52" s="1" t="str" cm="1">
        <f t="array" ref="AB52">_xlfn.IFNA(_xlfn.IFNA(INDEX(競技会設定!$X$2:$AC$24,MATCH(INDEX(男子エントリー!$J$7:$AH$406,MATCH($G52&amp;RIGHT(AB$1,1),男子エントリー!$AH$7:$AH$406,0),1),競技会設定!$AC$2:$AC$24,0),1),INDEX(競技会設定!$X$2:$AC$24,MATCH(INDEX(男子エントリー!$R$6:$V$406,MATCH($G52&amp;RIGHT(AB$1,1),男子エントリー!$V$6:$V$406,0)-MATCH($G52&amp;RIGHT(AB$1,1),男子エントリー!$V$6:$V$406,0)+1,1),競技会設定!$AC$2:$AC$24,0),1)),"")</f>
        <v/>
      </c>
      <c r="AC52" s="1" t="str">
        <f>IF(AB52=14,リレーエントリー!$I$12,_xlfn.IFNA(INDEX(男子エントリー!$J$7:$AH$406,MATCH($G52&amp;RIGHT(AD$1,1),男子エントリー!$AH$7:$AH$406,0),3),""))</f>
        <v/>
      </c>
      <c r="AD52" s="1" t="str">
        <f t="shared" si="3"/>
        <v/>
      </c>
      <c r="AE52" s="1" t="str">
        <f t="shared" si="4"/>
        <v/>
      </c>
      <c r="AF52" s="1" t="str">
        <f t="shared" si="5"/>
        <v/>
      </c>
      <c r="AG52" s="1" t="str" cm="1">
        <f t="array" ref="AG52">_xlfn.IFNA(_xlfn.IFNA(INDEX(競技会設定!$X$2:$AC$24,MATCH(INDEX(男子エントリー!$J$7:$AH$406,MATCH($G52&amp;RIGHT(AG$1,1),男子エントリー!$AH$7:$AH$406,0),1),競技会設定!$AC$2:$AC$24,0),1),INDEX(競技会設定!$X$2:$AC$24,MATCH(INDEX(男子エントリー!$R$6:$V$406,MATCH($G52&amp;RIGHT(AG$1,1),男子エントリー!$V$6:$V$406,0)-MATCH($G52&amp;RIGHT(AG$1,1),男子エントリー!$V$6:$V$406,0)+1,1),競技会設定!$AC$2:$AC$24,0),1)),"")</f>
        <v/>
      </c>
      <c r="AH52" s="1" t="str">
        <f>IF(AG52=14,リレーエントリー!$I$12,_xlfn.IFNA(INDEX(男子エントリー!$J$7:$AH$406,MATCH($G52&amp;RIGHT(AI$1,1),男子エントリー!$AH$7:$AH$406,0),3),""))</f>
        <v/>
      </c>
      <c r="AI52" s="1" t="str">
        <f t="shared" si="6"/>
        <v/>
      </c>
      <c r="AJ52" s="1" t="str">
        <f t="shared" si="7"/>
        <v/>
      </c>
      <c r="AK52" s="1" t="str">
        <f t="shared" si="8"/>
        <v/>
      </c>
      <c r="AL52" s="1" t="str" cm="1">
        <f t="array" ref="AL52">_xlfn.IFNA(_xlfn.IFNA(INDEX(競技会設定!$X$2:$AC$24,MATCH(INDEX(男子エントリー!$J$7:$AH$406,MATCH($G52&amp;RIGHT(AL$1,1),男子エントリー!$AH$7:$AH$406,0),1),競技会設定!$AC$2:$AC$24,0),1),INDEX(競技会設定!$X$2:$AC$24,MATCH(INDEX(男子エントリー!$R$6:$V$406,MATCH($G52&amp;RIGHT(AL$1,1),男子エントリー!$V$6:$V$406,0)-MATCH($G52&amp;RIGHT(AL$1,1),男子エントリー!$V$6:$V$406,0)+1,1),競技会設定!$AC$2:$AC$24,0),1)),"")</f>
        <v/>
      </c>
      <c r="AM52" s="1" t="str">
        <f>IF(AL52=14,リレーエントリー!$I$12,_xlfn.IFNA(INDEX(男子エントリー!$J$7:$AH$406,MATCH($G52&amp;RIGHT(AN$1,1),男子エントリー!$AH$7:$AH$406,0),3),""))</f>
        <v/>
      </c>
      <c r="AN52" s="1" t="str">
        <f t="shared" si="9"/>
        <v/>
      </c>
      <c r="AO52" s="1" t="str">
        <f t="shared" si="10"/>
        <v/>
      </c>
      <c r="AP52" s="1" t="str">
        <f t="shared" si="11"/>
        <v/>
      </c>
    </row>
    <row r="53" spans="1:42">
      <c r="A53" s="1">
        <v>52</v>
      </c>
      <c r="B53" s="92" t="str">
        <f>男子エントリー!D211</f>
        <v/>
      </c>
      <c r="C53" s="1" t="str">
        <f>基本情報!$E$6</f>
        <v/>
      </c>
      <c r="D53" s="1" t="str">
        <f>基本情報!$E$7</f>
        <v/>
      </c>
      <c r="F53" s="92">
        <f>男子エントリー!C211</f>
        <v>0</v>
      </c>
      <c r="G53" s="92" t="str">
        <f>男子エントリー!E211</f>
        <v/>
      </c>
      <c r="H53" s="92" t="str">
        <f>男子エントリー!F211</f>
        <v/>
      </c>
      <c r="I53" s="1" t="str">
        <f t="shared" si="12"/>
        <v/>
      </c>
      <c r="J53" s="1" t="e">
        <f>LEFT(男子エントリー!E213,FIND(",",LEFT(男子エントリー!E213,LEN(男子エントリー!E213)-5))-1)&amp;LEFT(RIGHT(男子エントリー!E213,LEN(男子エントリー!E213)-FIND(",",男子エントリー!E213)),LEN(RIGHT(男子エントリー!E213,LEN(男子エントリー!E213)-FIND(",",男子エントリー!E213)))-5)</f>
        <v>#VALUE!</v>
      </c>
      <c r="K53" s="1" t="str">
        <f>男子エントリー!G213</f>
        <v/>
      </c>
      <c r="L53" s="1" t="str">
        <f t="shared" si="13"/>
        <v/>
      </c>
      <c r="M53" s="92" t="str">
        <f>男子エントリー!G211</f>
        <v/>
      </c>
      <c r="N53" s="92" t="e">
        <f>MID(男子エントリー!E213,FIND("(",男子エントリー!E213)+1,2)</f>
        <v>#VALUE!</v>
      </c>
      <c r="O53" s="1">
        <v>0</v>
      </c>
      <c r="P53" s="92" t="e">
        <f>VLOOKUP(男子エントリー!G212,競技会設定!$F$3:$I$50,2,0)</f>
        <v>#N/A</v>
      </c>
      <c r="R53" s="1" t="str" cm="1">
        <f t="array" ref="R53">_xlfn.IFNA(_xlfn.IFNA(INDEX(競技会設定!$X$2:$AC$24,MATCH(INDEX(男子エントリー!$J$7:$AH$406,MATCH($G53&amp;RIGHT(R$1,1),男子エントリー!$AH$7:$AH$406,0),1),競技会設定!$AC$2:$AC$24,0),1),INDEX(競技会設定!$X$2:$AC$24,MATCH(INDEX(男子エントリー!$R$6:$V$406,MATCH($G53&amp;RIGHT(R$1,1),男子エントリー!$V$6:$V$406,0)-MATCH($G53&amp;RIGHT(R$1,1),男子エントリー!$V$6:$V$406,0)+1,1),競技会設定!$AC$2:$AC$24,0),1)),"")</f>
        <v/>
      </c>
      <c r="S53" s="1" t="str">
        <f>IF(R53=14,リレーエントリー!$I$12,_xlfn.IFNA(INDEX(男子エントリー!$J$7:$AH$406,MATCH($G53&amp;RIGHT(T$1,1),男子エントリー!$AH$7:$AH$406,0),3),""))</f>
        <v/>
      </c>
      <c r="T53" s="1" t="str">
        <f t="shared" si="14"/>
        <v/>
      </c>
      <c r="U53" s="1" t="str">
        <f t="shared" si="17"/>
        <v/>
      </c>
      <c r="V53" s="1" t="str">
        <f t="shared" si="16"/>
        <v/>
      </c>
      <c r="W53" s="1" t="str" cm="1">
        <f t="array" ref="W53">_xlfn.IFNA(_xlfn.IFNA(INDEX(競技会設定!$X$2:$AC$24,MATCH(INDEX(男子エントリー!$J$7:$AH$406,MATCH($G53&amp;RIGHT(W$1,1),男子エントリー!$AH$7:$AH$406,0),1),競技会設定!$AC$2:$AC$24,0),1),INDEX(競技会設定!$X$2:$AC$24,MATCH(INDEX(男子エントリー!$R$6:$V$406,MATCH($G53&amp;RIGHT(W$1,1),男子エントリー!$V$6:$V$406,0)-MATCH($G53&amp;RIGHT(W$1,1),男子エントリー!$V$6:$V$406,0)+1,1),競技会設定!$AC$2:$AC$24,0),1)),"")</f>
        <v/>
      </c>
      <c r="X53" s="1" t="str">
        <f>IF(W53=14,リレーエントリー!$I$12,_xlfn.IFNA(INDEX(男子エントリー!$J$7:$AH$406,MATCH($G53&amp;RIGHT(Y$1,1),男子エントリー!$AH$7:$AH$406,0),3),""))</f>
        <v/>
      </c>
      <c r="Y53" s="1" t="str">
        <f t="shared" si="0"/>
        <v/>
      </c>
      <c r="Z53" s="1" t="str">
        <f t="shared" si="1"/>
        <v/>
      </c>
      <c r="AA53" s="1" t="str">
        <f t="shared" si="2"/>
        <v/>
      </c>
      <c r="AB53" s="1" t="str" cm="1">
        <f t="array" ref="AB53">_xlfn.IFNA(_xlfn.IFNA(INDEX(競技会設定!$X$2:$AC$24,MATCH(INDEX(男子エントリー!$J$7:$AH$406,MATCH($G53&amp;RIGHT(AB$1,1),男子エントリー!$AH$7:$AH$406,0),1),競技会設定!$AC$2:$AC$24,0),1),INDEX(競技会設定!$X$2:$AC$24,MATCH(INDEX(男子エントリー!$R$6:$V$406,MATCH($G53&amp;RIGHT(AB$1,1),男子エントリー!$V$6:$V$406,0)-MATCH($G53&amp;RIGHT(AB$1,1),男子エントリー!$V$6:$V$406,0)+1,1),競技会設定!$AC$2:$AC$24,0),1)),"")</f>
        <v/>
      </c>
      <c r="AC53" s="1" t="str">
        <f>IF(AB53=14,リレーエントリー!$I$12,_xlfn.IFNA(INDEX(男子エントリー!$J$7:$AH$406,MATCH($G53&amp;RIGHT(AD$1,1),男子エントリー!$AH$7:$AH$406,0),3),""))</f>
        <v/>
      </c>
      <c r="AD53" s="1" t="str">
        <f t="shared" si="3"/>
        <v/>
      </c>
      <c r="AE53" s="1" t="str">
        <f t="shared" si="4"/>
        <v/>
      </c>
      <c r="AF53" s="1" t="str">
        <f t="shared" si="5"/>
        <v/>
      </c>
      <c r="AG53" s="1" t="str" cm="1">
        <f t="array" ref="AG53">_xlfn.IFNA(_xlfn.IFNA(INDEX(競技会設定!$X$2:$AC$24,MATCH(INDEX(男子エントリー!$J$7:$AH$406,MATCH($G53&amp;RIGHT(AG$1,1),男子エントリー!$AH$7:$AH$406,0),1),競技会設定!$AC$2:$AC$24,0),1),INDEX(競技会設定!$X$2:$AC$24,MATCH(INDEX(男子エントリー!$R$6:$V$406,MATCH($G53&amp;RIGHT(AG$1,1),男子エントリー!$V$6:$V$406,0)-MATCH($G53&amp;RIGHT(AG$1,1),男子エントリー!$V$6:$V$406,0)+1,1),競技会設定!$AC$2:$AC$24,0),1)),"")</f>
        <v/>
      </c>
      <c r="AH53" s="1" t="str">
        <f>IF(AG53=14,リレーエントリー!$I$12,_xlfn.IFNA(INDEX(男子エントリー!$J$7:$AH$406,MATCH($G53&amp;RIGHT(AI$1,1),男子エントリー!$AH$7:$AH$406,0),3),""))</f>
        <v/>
      </c>
      <c r="AI53" s="1" t="str">
        <f t="shared" si="6"/>
        <v/>
      </c>
      <c r="AJ53" s="1" t="str">
        <f t="shared" si="7"/>
        <v/>
      </c>
      <c r="AK53" s="1" t="str">
        <f t="shared" si="8"/>
        <v/>
      </c>
      <c r="AL53" s="1" t="str" cm="1">
        <f t="array" ref="AL53">_xlfn.IFNA(_xlfn.IFNA(INDEX(競技会設定!$X$2:$AC$24,MATCH(INDEX(男子エントリー!$J$7:$AH$406,MATCH($G53&amp;RIGHT(AL$1,1),男子エントリー!$AH$7:$AH$406,0),1),競技会設定!$AC$2:$AC$24,0),1),INDEX(競技会設定!$X$2:$AC$24,MATCH(INDEX(男子エントリー!$R$6:$V$406,MATCH($G53&amp;RIGHT(AL$1,1),男子エントリー!$V$6:$V$406,0)-MATCH($G53&amp;RIGHT(AL$1,1),男子エントリー!$V$6:$V$406,0)+1,1),競技会設定!$AC$2:$AC$24,0),1)),"")</f>
        <v/>
      </c>
      <c r="AM53" s="1" t="str">
        <f>IF(AL53=14,リレーエントリー!$I$12,_xlfn.IFNA(INDEX(男子エントリー!$J$7:$AH$406,MATCH($G53&amp;RIGHT(AN$1,1),男子エントリー!$AH$7:$AH$406,0),3),""))</f>
        <v/>
      </c>
      <c r="AN53" s="1" t="str">
        <f t="shared" si="9"/>
        <v/>
      </c>
      <c r="AO53" s="1" t="str">
        <f t="shared" si="10"/>
        <v/>
      </c>
      <c r="AP53" s="1" t="str">
        <f t="shared" si="11"/>
        <v/>
      </c>
    </row>
    <row r="54" spans="1:42">
      <c r="A54" s="1">
        <v>53</v>
      </c>
      <c r="B54" s="92" t="str">
        <f>男子エントリー!D215</f>
        <v/>
      </c>
      <c r="C54" s="1" t="str">
        <f>基本情報!$E$6</f>
        <v/>
      </c>
      <c r="D54" s="1" t="str">
        <f>基本情報!$E$7</f>
        <v/>
      </c>
      <c r="F54" s="92">
        <f>男子エントリー!C215</f>
        <v>0</v>
      </c>
      <c r="G54" s="92" t="str">
        <f>男子エントリー!E215</f>
        <v/>
      </c>
      <c r="H54" s="92" t="str">
        <f>男子エントリー!F215</f>
        <v/>
      </c>
      <c r="I54" s="1" t="str">
        <f t="shared" si="12"/>
        <v/>
      </c>
      <c r="J54" s="1" t="e">
        <f>LEFT(男子エントリー!E217,FIND(",",LEFT(男子エントリー!E217,LEN(男子エントリー!E217)-5))-1)&amp;LEFT(RIGHT(男子エントリー!E217,LEN(男子エントリー!E217)-FIND(",",男子エントリー!E217)),LEN(RIGHT(男子エントリー!E217,LEN(男子エントリー!E217)-FIND(",",男子エントリー!E217)))-5)</f>
        <v>#VALUE!</v>
      </c>
      <c r="K54" s="1" t="str">
        <f>男子エントリー!G217</f>
        <v/>
      </c>
      <c r="L54" s="1" t="str">
        <f t="shared" si="13"/>
        <v/>
      </c>
      <c r="M54" s="92" t="str">
        <f>男子エントリー!G215</f>
        <v/>
      </c>
      <c r="N54" s="92" t="e">
        <f>MID(男子エントリー!E217,FIND("(",男子エントリー!E217)+1,2)</f>
        <v>#VALUE!</v>
      </c>
      <c r="O54" s="1">
        <v>0</v>
      </c>
      <c r="P54" s="92" t="e">
        <f>VLOOKUP(男子エントリー!G216,競技会設定!$F$3:$I$50,2,0)</f>
        <v>#N/A</v>
      </c>
      <c r="R54" s="1" t="str" cm="1">
        <f t="array" ref="R54">_xlfn.IFNA(_xlfn.IFNA(INDEX(競技会設定!$X$2:$AC$24,MATCH(INDEX(男子エントリー!$J$7:$AH$406,MATCH($G54&amp;RIGHT(R$1,1),男子エントリー!$AH$7:$AH$406,0),1),競技会設定!$AC$2:$AC$24,0),1),INDEX(競技会設定!$X$2:$AC$24,MATCH(INDEX(男子エントリー!$R$6:$V$406,MATCH($G54&amp;RIGHT(R$1,1),男子エントリー!$V$6:$V$406,0)-MATCH($G54&amp;RIGHT(R$1,1),男子エントリー!$V$6:$V$406,0)+1,1),競技会設定!$AC$2:$AC$24,0),1)),"")</f>
        <v/>
      </c>
      <c r="S54" s="1" t="str">
        <f>IF(R54=14,リレーエントリー!$I$12,_xlfn.IFNA(INDEX(男子エントリー!$J$7:$AH$406,MATCH($G54&amp;RIGHT(T$1,1),男子エントリー!$AH$7:$AH$406,0),3),""))</f>
        <v/>
      </c>
      <c r="T54" s="1" t="str">
        <f t="shared" si="14"/>
        <v/>
      </c>
      <c r="U54" s="1" t="str">
        <f t="shared" si="17"/>
        <v/>
      </c>
      <c r="V54" s="1" t="str">
        <f t="shared" si="16"/>
        <v/>
      </c>
      <c r="W54" s="1" t="str" cm="1">
        <f t="array" ref="W54">_xlfn.IFNA(_xlfn.IFNA(INDEX(競技会設定!$X$2:$AC$24,MATCH(INDEX(男子エントリー!$J$7:$AH$406,MATCH($G54&amp;RIGHT(W$1,1),男子エントリー!$AH$7:$AH$406,0),1),競技会設定!$AC$2:$AC$24,0),1),INDEX(競技会設定!$X$2:$AC$24,MATCH(INDEX(男子エントリー!$R$6:$V$406,MATCH($G54&amp;RIGHT(W$1,1),男子エントリー!$V$6:$V$406,0)-MATCH($G54&amp;RIGHT(W$1,1),男子エントリー!$V$6:$V$406,0)+1,1),競技会設定!$AC$2:$AC$24,0),1)),"")</f>
        <v/>
      </c>
      <c r="X54" s="1" t="str">
        <f>IF(W54=14,リレーエントリー!$I$12,_xlfn.IFNA(INDEX(男子エントリー!$J$7:$AH$406,MATCH($G54&amp;RIGHT(Y$1,1),男子エントリー!$AH$7:$AH$406,0),3),""))</f>
        <v/>
      </c>
      <c r="Y54" s="1" t="str">
        <f t="shared" si="0"/>
        <v/>
      </c>
      <c r="Z54" s="1" t="str">
        <f t="shared" si="1"/>
        <v/>
      </c>
      <c r="AA54" s="1" t="str">
        <f t="shared" si="2"/>
        <v/>
      </c>
      <c r="AB54" s="1" t="str" cm="1">
        <f t="array" ref="AB54">_xlfn.IFNA(_xlfn.IFNA(INDEX(競技会設定!$X$2:$AC$24,MATCH(INDEX(男子エントリー!$J$7:$AH$406,MATCH($G54&amp;RIGHT(AB$1,1),男子エントリー!$AH$7:$AH$406,0),1),競技会設定!$AC$2:$AC$24,0),1),INDEX(競技会設定!$X$2:$AC$24,MATCH(INDEX(男子エントリー!$R$6:$V$406,MATCH($G54&amp;RIGHT(AB$1,1),男子エントリー!$V$6:$V$406,0)-MATCH($G54&amp;RIGHT(AB$1,1),男子エントリー!$V$6:$V$406,0)+1,1),競技会設定!$AC$2:$AC$24,0),1)),"")</f>
        <v/>
      </c>
      <c r="AC54" s="1" t="str">
        <f>IF(AB54=14,リレーエントリー!$I$12,_xlfn.IFNA(INDEX(男子エントリー!$J$7:$AH$406,MATCH($G54&amp;RIGHT(AD$1,1),男子エントリー!$AH$7:$AH$406,0),3),""))</f>
        <v/>
      </c>
      <c r="AD54" s="1" t="str">
        <f t="shared" si="3"/>
        <v/>
      </c>
      <c r="AE54" s="1" t="str">
        <f t="shared" si="4"/>
        <v/>
      </c>
      <c r="AF54" s="1" t="str">
        <f t="shared" si="5"/>
        <v/>
      </c>
      <c r="AG54" s="1" t="str" cm="1">
        <f t="array" ref="AG54">_xlfn.IFNA(_xlfn.IFNA(INDEX(競技会設定!$X$2:$AC$24,MATCH(INDEX(男子エントリー!$J$7:$AH$406,MATCH($G54&amp;RIGHT(AG$1,1),男子エントリー!$AH$7:$AH$406,0),1),競技会設定!$AC$2:$AC$24,0),1),INDEX(競技会設定!$X$2:$AC$24,MATCH(INDEX(男子エントリー!$R$6:$V$406,MATCH($G54&amp;RIGHT(AG$1,1),男子エントリー!$V$6:$V$406,0)-MATCH($G54&amp;RIGHT(AG$1,1),男子エントリー!$V$6:$V$406,0)+1,1),競技会設定!$AC$2:$AC$24,0),1)),"")</f>
        <v/>
      </c>
      <c r="AH54" s="1" t="str">
        <f>IF(AG54=14,リレーエントリー!$I$12,_xlfn.IFNA(INDEX(男子エントリー!$J$7:$AH$406,MATCH($G54&amp;RIGHT(AI$1,1),男子エントリー!$AH$7:$AH$406,0),3),""))</f>
        <v/>
      </c>
      <c r="AI54" s="1" t="str">
        <f t="shared" si="6"/>
        <v/>
      </c>
      <c r="AJ54" s="1" t="str">
        <f t="shared" si="7"/>
        <v/>
      </c>
      <c r="AK54" s="1" t="str">
        <f t="shared" si="8"/>
        <v/>
      </c>
      <c r="AL54" s="1" t="str" cm="1">
        <f t="array" ref="AL54">_xlfn.IFNA(_xlfn.IFNA(INDEX(競技会設定!$X$2:$AC$24,MATCH(INDEX(男子エントリー!$J$7:$AH$406,MATCH($G54&amp;RIGHT(AL$1,1),男子エントリー!$AH$7:$AH$406,0),1),競技会設定!$AC$2:$AC$24,0),1),INDEX(競技会設定!$X$2:$AC$24,MATCH(INDEX(男子エントリー!$R$6:$V$406,MATCH($G54&amp;RIGHT(AL$1,1),男子エントリー!$V$6:$V$406,0)-MATCH($G54&amp;RIGHT(AL$1,1),男子エントリー!$V$6:$V$406,0)+1,1),競技会設定!$AC$2:$AC$24,0),1)),"")</f>
        <v/>
      </c>
      <c r="AM54" s="1" t="str">
        <f>IF(AL54=14,リレーエントリー!$I$12,_xlfn.IFNA(INDEX(男子エントリー!$J$7:$AH$406,MATCH($G54&amp;RIGHT(AN$1,1),男子エントリー!$AH$7:$AH$406,0),3),""))</f>
        <v/>
      </c>
      <c r="AN54" s="1" t="str">
        <f t="shared" si="9"/>
        <v/>
      </c>
      <c r="AO54" s="1" t="str">
        <f t="shared" si="10"/>
        <v/>
      </c>
      <c r="AP54" s="1" t="str">
        <f t="shared" si="11"/>
        <v/>
      </c>
    </row>
    <row r="55" spans="1:42">
      <c r="A55" s="1">
        <v>54</v>
      </c>
      <c r="B55" s="92" t="str">
        <f>男子エントリー!D219</f>
        <v/>
      </c>
      <c r="C55" s="1" t="str">
        <f>基本情報!$E$6</f>
        <v/>
      </c>
      <c r="D55" s="1" t="str">
        <f>基本情報!$E$7</f>
        <v/>
      </c>
      <c r="F55" s="92">
        <f>男子エントリー!C219</f>
        <v>0</v>
      </c>
      <c r="G55" s="92" t="str">
        <f>男子エントリー!E219</f>
        <v/>
      </c>
      <c r="H55" s="92" t="str">
        <f>男子エントリー!F219</f>
        <v/>
      </c>
      <c r="I55" s="1" t="str">
        <f t="shared" si="12"/>
        <v/>
      </c>
      <c r="J55" s="1" t="e">
        <f>LEFT(男子エントリー!E221,FIND(",",LEFT(男子エントリー!E221,LEN(男子エントリー!E221)-5))-1)&amp;LEFT(RIGHT(男子エントリー!E221,LEN(男子エントリー!E221)-FIND(",",男子エントリー!E221)),LEN(RIGHT(男子エントリー!E221,LEN(男子エントリー!E221)-FIND(",",男子エントリー!E221)))-5)</f>
        <v>#VALUE!</v>
      </c>
      <c r="K55" s="1" t="str">
        <f>男子エントリー!G221</f>
        <v/>
      </c>
      <c r="L55" s="1" t="str">
        <f t="shared" si="13"/>
        <v/>
      </c>
      <c r="M55" s="92" t="str">
        <f>男子エントリー!G219</f>
        <v/>
      </c>
      <c r="N55" s="92" t="e">
        <f>MID(男子エントリー!E221,FIND("(",男子エントリー!E221)+1,2)</f>
        <v>#VALUE!</v>
      </c>
      <c r="O55" s="1">
        <v>0</v>
      </c>
      <c r="P55" s="92" t="e">
        <f>VLOOKUP(男子エントリー!G220,競技会設定!$F$3:$I$50,2,0)</f>
        <v>#N/A</v>
      </c>
      <c r="R55" s="1" t="str" cm="1">
        <f t="array" ref="R55">_xlfn.IFNA(_xlfn.IFNA(INDEX(競技会設定!$X$2:$AC$24,MATCH(INDEX(男子エントリー!$J$7:$AH$406,MATCH($G55&amp;RIGHT(R$1,1),男子エントリー!$AH$7:$AH$406,0),1),競技会設定!$AC$2:$AC$24,0),1),INDEX(競技会設定!$X$2:$AC$24,MATCH(INDEX(男子エントリー!$R$6:$V$406,MATCH($G55&amp;RIGHT(R$1,1),男子エントリー!$V$6:$V$406,0)-MATCH($G55&amp;RIGHT(R$1,1),男子エントリー!$V$6:$V$406,0)+1,1),競技会設定!$AC$2:$AC$24,0),1)),"")</f>
        <v/>
      </c>
      <c r="S55" s="1" t="str">
        <f>IF(R55=14,リレーエントリー!$I$12,_xlfn.IFNA(INDEX(男子エントリー!$J$7:$AH$406,MATCH($G55&amp;RIGHT(T$1,1),男子エントリー!$AH$7:$AH$406,0),3),""))</f>
        <v/>
      </c>
      <c r="T55" s="1" t="str">
        <f t="shared" si="14"/>
        <v/>
      </c>
      <c r="U55" s="1" t="str">
        <f t="shared" si="17"/>
        <v/>
      </c>
      <c r="V55" s="1" t="str">
        <f t="shared" si="16"/>
        <v/>
      </c>
      <c r="W55" s="1" t="str" cm="1">
        <f t="array" ref="W55">_xlfn.IFNA(_xlfn.IFNA(INDEX(競技会設定!$X$2:$AC$24,MATCH(INDEX(男子エントリー!$J$7:$AH$406,MATCH($G55&amp;RIGHT(W$1,1),男子エントリー!$AH$7:$AH$406,0),1),競技会設定!$AC$2:$AC$24,0),1),INDEX(競技会設定!$X$2:$AC$24,MATCH(INDEX(男子エントリー!$R$6:$V$406,MATCH($G55&amp;RIGHT(W$1,1),男子エントリー!$V$6:$V$406,0)-MATCH($G55&amp;RIGHT(W$1,1),男子エントリー!$V$6:$V$406,0)+1,1),競技会設定!$AC$2:$AC$24,0),1)),"")</f>
        <v/>
      </c>
      <c r="X55" s="1" t="str">
        <f>IF(W55=14,リレーエントリー!$I$12,_xlfn.IFNA(INDEX(男子エントリー!$J$7:$AH$406,MATCH($G55&amp;RIGHT(Y$1,1),男子エントリー!$AH$7:$AH$406,0),3),""))</f>
        <v/>
      </c>
      <c r="Y55" s="1" t="str">
        <f t="shared" si="0"/>
        <v/>
      </c>
      <c r="Z55" s="1" t="str">
        <f t="shared" si="1"/>
        <v/>
      </c>
      <c r="AA55" s="1" t="str">
        <f t="shared" si="2"/>
        <v/>
      </c>
      <c r="AB55" s="1" t="str" cm="1">
        <f t="array" ref="AB55">_xlfn.IFNA(_xlfn.IFNA(INDEX(競技会設定!$X$2:$AC$24,MATCH(INDEX(男子エントリー!$J$7:$AH$406,MATCH($G55&amp;RIGHT(AB$1,1),男子エントリー!$AH$7:$AH$406,0),1),競技会設定!$AC$2:$AC$24,0),1),INDEX(競技会設定!$X$2:$AC$24,MATCH(INDEX(男子エントリー!$R$6:$V$406,MATCH($G55&amp;RIGHT(AB$1,1),男子エントリー!$V$6:$V$406,0)-MATCH($G55&amp;RIGHT(AB$1,1),男子エントリー!$V$6:$V$406,0)+1,1),競技会設定!$AC$2:$AC$24,0),1)),"")</f>
        <v/>
      </c>
      <c r="AC55" s="1" t="str">
        <f>IF(AB55=14,リレーエントリー!$I$12,_xlfn.IFNA(INDEX(男子エントリー!$J$7:$AH$406,MATCH($G55&amp;RIGHT(AD$1,1),男子エントリー!$AH$7:$AH$406,0),3),""))</f>
        <v/>
      </c>
      <c r="AD55" s="1" t="str">
        <f t="shared" si="3"/>
        <v/>
      </c>
      <c r="AE55" s="1" t="str">
        <f t="shared" si="4"/>
        <v/>
      </c>
      <c r="AF55" s="1" t="str">
        <f t="shared" si="5"/>
        <v/>
      </c>
      <c r="AG55" s="1" t="str" cm="1">
        <f t="array" ref="AG55">_xlfn.IFNA(_xlfn.IFNA(INDEX(競技会設定!$X$2:$AC$24,MATCH(INDEX(男子エントリー!$J$7:$AH$406,MATCH($G55&amp;RIGHT(AG$1,1),男子エントリー!$AH$7:$AH$406,0),1),競技会設定!$AC$2:$AC$24,0),1),INDEX(競技会設定!$X$2:$AC$24,MATCH(INDEX(男子エントリー!$R$6:$V$406,MATCH($G55&amp;RIGHT(AG$1,1),男子エントリー!$V$6:$V$406,0)-MATCH($G55&amp;RIGHT(AG$1,1),男子エントリー!$V$6:$V$406,0)+1,1),競技会設定!$AC$2:$AC$24,0),1)),"")</f>
        <v/>
      </c>
      <c r="AH55" s="1" t="str">
        <f>IF(AG55=14,リレーエントリー!$I$12,_xlfn.IFNA(INDEX(男子エントリー!$J$7:$AH$406,MATCH($G55&amp;RIGHT(AI$1,1),男子エントリー!$AH$7:$AH$406,0),3),""))</f>
        <v/>
      </c>
      <c r="AI55" s="1" t="str">
        <f t="shared" si="6"/>
        <v/>
      </c>
      <c r="AJ55" s="1" t="str">
        <f t="shared" si="7"/>
        <v/>
      </c>
      <c r="AK55" s="1" t="str">
        <f t="shared" si="8"/>
        <v/>
      </c>
      <c r="AL55" s="1" t="str" cm="1">
        <f t="array" ref="AL55">_xlfn.IFNA(_xlfn.IFNA(INDEX(競技会設定!$X$2:$AC$24,MATCH(INDEX(男子エントリー!$J$7:$AH$406,MATCH($G55&amp;RIGHT(AL$1,1),男子エントリー!$AH$7:$AH$406,0),1),競技会設定!$AC$2:$AC$24,0),1),INDEX(競技会設定!$X$2:$AC$24,MATCH(INDEX(男子エントリー!$R$6:$V$406,MATCH($G55&amp;RIGHT(AL$1,1),男子エントリー!$V$6:$V$406,0)-MATCH($G55&amp;RIGHT(AL$1,1),男子エントリー!$V$6:$V$406,0)+1,1),競技会設定!$AC$2:$AC$24,0),1)),"")</f>
        <v/>
      </c>
      <c r="AM55" s="1" t="str">
        <f>IF(AL55=14,リレーエントリー!$I$12,_xlfn.IFNA(INDEX(男子エントリー!$J$7:$AH$406,MATCH($G55&amp;RIGHT(AN$1,1),男子エントリー!$AH$7:$AH$406,0),3),""))</f>
        <v/>
      </c>
      <c r="AN55" s="1" t="str">
        <f t="shared" si="9"/>
        <v/>
      </c>
      <c r="AO55" s="1" t="str">
        <f t="shared" si="10"/>
        <v/>
      </c>
      <c r="AP55" s="1" t="str">
        <f t="shared" si="11"/>
        <v/>
      </c>
    </row>
    <row r="56" spans="1:42">
      <c r="A56" s="1">
        <v>55</v>
      </c>
      <c r="B56" s="92" t="str">
        <f>男子エントリー!D223</f>
        <v/>
      </c>
      <c r="C56" s="1" t="str">
        <f>基本情報!$E$6</f>
        <v/>
      </c>
      <c r="D56" s="1" t="str">
        <f>基本情報!$E$7</f>
        <v/>
      </c>
      <c r="F56" s="92">
        <f>男子エントリー!C223</f>
        <v>0</v>
      </c>
      <c r="G56" s="92" t="str">
        <f>男子エントリー!E223</f>
        <v/>
      </c>
      <c r="H56" s="92" t="str">
        <f>男子エントリー!F223</f>
        <v/>
      </c>
      <c r="I56" s="1" t="str">
        <f t="shared" si="12"/>
        <v/>
      </c>
      <c r="J56" s="1" t="e">
        <f>LEFT(男子エントリー!E225,FIND(",",LEFT(男子エントリー!E225,LEN(男子エントリー!E225)-5))-1)&amp;LEFT(RIGHT(男子エントリー!E225,LEN(男子エントリー!E225)-FIND(",",男子エントリー!E225)),LEN(RIGHT(男子エントリー!E225,LEN(男子エントリー!E225)-FIND(",",男子エントリー!E225)))-5)</f>
        <v>#VALUE!</v>
      </c>
      <c r="K56" s="1" t="str">
        <f>男子エントリー!G225</f>
        <v/>
      </c>
      <c r="L56" s="1" t="str">
        <f t="shared" si="13"/>
        <v/>
      </c>
      <c r="M56" s="92" t="str">
        <f>男子エントリー!G223</f>
        <v/>
      </c>
      <c r="N56" s="92" t="e">
        <f>MID(男子エントリー!E225,FIND("(",男子エントリー!E225)+1,2)</f>
        <v>#VALUE!</v>
      </c>
      <c r="O56" s="1">
        <v>0</v>
      </c>
      <c r="P56" s="92" t="e">
        <f>VLOOKUP(男子エントリー!G224,競技会設定!$F$3:$I$50,2,0)</f>
        <v>#N/A</v>
      </c>
      <c r="R56" s="1" t="str" cm="1">
        <f t="array" ref="R56">_xlfn.IFNA(_xlfn.IFNA(INDEX(競技会設定!$X$2:$AC$24,MATCH(INDEX(男子エントリー!$J$7:$AH$406,MATCH($G56&amp;RIGHT(R$1,1),男子エントリー!$AH$7:$AH$406,0),1),競技会設定!$AC$2:$AC$24,0),1),INDEX(競技会設定!$X$2:$AC$24,MATCH(INDEX(男子エントリー!$R$6:$V$406,MATCH($G56&amp;RIGHT(R$1,1),男子エントリー!$V$6:$V$406,0)-MATCH($G56&amp;RIGHT(R$1,1),男子エントリー!$V$6:$V$406,0)+1,1),競技会設定!$AC$2:$AC$24,0),1)),"")</f>
        <v/>
      </c>
      <c r="S56" s="1" t="str">
        <f>IF(R56=14,リレーエントリー!$I$12,_xlfn.IFNA(INDEX(男子エントリー!$J$7:$AH$406,MATCH($G56&amp;RIGHT(T$1,1),男子エントリー!$AH$7:$AH$406,0),3),""))</f>
        <v/>
      </c>
      <c r="T56" s="1" t="str">
        <f t="shared" si="14"/>
        <v/>
      </c>
      <c r="U56" s="1" t="str">
        <f t="shared" si="17"/>
        <v/>
      </c>
      <c r="V56" s="1" t="str">
        <f t="shared" si="16"/>
        <v/>
      </c>
      <c r="W56" s="1" t="str" cm="1">
        <f t="array" ref="W56">_xlfn.IFNA(_xlfn.IFNA(INDEX(競技会設定!$X$2:$AC$24,MATCH(INDEX(男子エントリー!$J$7:$AH$406,MATCH($G56&amp;RIGHT(W$1,1),男子エントリー!$AH$7:$AH$406,0),1),競技会設定!$AC$2:$AC$24,0),1),INDEX(競技会設定!$X$2:$AC$24,MATCH(INDEX(男子エントリー!$R$6:$V$406,MATCH($G56&amp;RIGHT(W$1,1),男子エントリー!$V$6:$V$406,0)-MATCH($G56&amp;RIGHT(W$1,1),男子エントリー!$V$6:$V$406,0)+1,1),競技会設定!$AC$2:$AC$24,0),1)),"")</f>
        <v/>
      </c>
      <c r="X56" s="1" t="str">
        <f>IF(W56=14,リレーエントリー!$I$12,_xlfn.IFNA(INDEX(男子エントリー!$J$7:$AH$406,MATCH($G56&amp;RIGHT(Y$1,1),男子エントリー!$AH$7:$AH$406,0),3),""))</f>
        <v/>
      </c>
      <c r="Y56" s="1" t="str">
        <f t="shared" si="0"/>
        <v/>
      </c>
      <c r="Z56" s="1" t="str">
        <f t="shared" si="1"/>
        <v/>
      </c>
      <c r="AA56" s="1" t="str">
        <f t="shared" si="2"/>
        <v/>
      </c>
      <c r="AB56" s="1" t="str" cm="1">
        <f t="array" ref="AB56">_xlfn.IFNA(_xlfn.IFNA(INDEX(競技会設定!$X$2:$AC$24,MATCH(INDEX(男子エントリー!$J$7:$AH$406,MATCH($G56&amp;RIGHT(AB$1,1),男子エントリー!$AH$7:$AH$406,0),1),競技会設定!$AC$2:$AC$24,0),1),INDEX(競技会設定!$X$2:$AC$24,MATCH(INDEX(男子エントリー!$R$6:$V$406,MATCH($G56&amp;RIGHT(AB$1,1),男子エントリー!$V$6:$V$406,0)-MATCH($G56&amp;RIGHT(AB$1,1),男子エントリー!$V$6:$V$406,0)+1,1),競技会設定!$AC$2:$AC$24,0),1)),"")</f>
        <v/>
      </c>
      <c r="AC56" s="1" t="str">
        <f>IF(AB56=14,リレーエントリー!$I$12,_xlfn.IFNA(INDEX(男子エントリー!$J$7:$AH$406,MATCH($G56&amp;RIGHT(AD$1,1),男子エントリー!$AH$7:$AH$406,0),3),""))</f>
        <v/>
      </c>
      <c r="AD56" s="1" t="str">
        <f t="shared" si="3"/>
        <v/>
      </c>
      <c r="AE56" s="1" t="str">
        <f t="shared" si="4"/>
        <v/>
      </c>
      <c r="AF56" s="1" t="str">
        <f t="shared" si="5"/>
        <v/>
      </c>
      <c r="AG56" s="1" t="str" cm="1">
        <f t="array" ref="AG56">_xlfn.IFNA(_xlfn.IFNA(INDEX(競技会設定!$X$2:$AC$24,MATCH(INDEX(男子エントリー!$J$7:$AH$406,MATCH($G56&amp;RIGHT(AG$1,1),男子エントリー!$AH$7:$AH$406,0),1),競技会設定!$AC$2:$AC$24,0),1),INDEX(競技会設定!$X$2:$AC$24,MATCH(INDEX(男子エントリー!$R$6:$V$406,MATCH($G56&amp;RIGHT(AG$1,1),男子エントリー!$V$6:$V$406,0)-MATCH($G56&amp;RIGHT(AG$1,1),男子エントリー!$V$6:$V$406,0)+1,1),競技会設定!$AC$2:$AC$24,0),1)),"")</f>
        <v/>
      </c>
      <c r="AH56" s="1" t="str">
        <f>IF(AG56=14,リレーエントリー!$I$12,_xlfn.IFNA(INDEX(男子エントリー!$J$7:$AH$406,MATCH($G56&amp;RIGHT(AI$1,1),男子エントリー!$AH$7:$AH$406,0),3),""))</f>
        <v/>
      </c>
      <c r="AI56" s="1" t="str">
        <f t="shared" si="6"/>
        <v/>
      </c>
      <c r="AJ56" s="1" t="str">
        <f t="shared" si="7"/>
        <v/>
      </c>
      <c r="AK56" s="1" t="str">
        <f t="shared" si="8"/>
        <v/>
      </c>
      <c r="AL56" s="1" t="str" cm="1">
        <f t="array" ref="AL56">_xlfn.IFNA(_xlfn.IFNA(INDEX(競技会設定!$X$2:$AC$24,MATCH(INDEX(男子エントリー!$J$7:$AH$406,MATCH($G56&amp;RIGHT(AL$1,1),男子エントリー!$AH$7:$AH$406,0),1),競技会設定!$AC$2:$AC$24,0),1),INDEX(競技会設定!$X$2:$AC$24,MATCH(INDEX(男子エントリー!$R$6:$V$406,MATCH($G56&amp;RIGHT(AL$1,1),男子エントリー!$V$6:$V$406,0)-MATCH($G56&amp;RIGHT(AL$1,1),男子エントリー!$V$6:$V$406,0)+1,1),競技会設定!$AC$2:$AC$24,0),1)),"")</f>
        <v/>
      </c>
      <c r="AM56" s="1" t="str">
        <f>IF(AL56=14,リレーエントリー!$I$12,_xlfn.IFNA(INDEX(男子エントリー!$J$7:$AH$406,MATCH($G56&amp;RIGHT(AN$1,1),男子エントリー!$AH$7:$AH$406,0),3),""))</f>
        <v/>
      </c>
      <c r="AN56" s="1" t="str">
        <f t="shared" si="9"/>
        <v/>
      </c>
      <c r="AO56" s="1" t="str">
        <f t="shared" si="10"/>
        <v/>
      </c>
      <c r="AP56" s="1" t="str">
        <f t="shared" si="11"/>
        <v/>
      </c>
    </row>
    <row r="57" spans="1:42">
      <c r="A57" s="1">
        <v>56</v>
      </c>
      <c r="B57" s="92" t="str">
        <f>男子エントリー!D227</f>
        <v/>
      </c>
      <c r="C57" s="1" t="str">
        <f>基本情報!$E$6</f>
        <v/>
      </c>
      <c r="D57" s="1" t="str">
        <f>基本情報!$E$7</f>
        <v/>
      </c>
      <c r="F57" s="92">
        <f>男子エントリー!C227</f>
        <v>0</v>
      </c>
      <c r="G57" s="92" t="str">
        <f>男子エントリー!E227</f>
        <v/>
      </c>
      <c r="H57" s="92" t="str">
        <f>男子エントリー!F227</f>
        <v/>
      </c>
      <c r="I57" s="1" t="str">
        <f t="shared" si="12"/>
        <v/>
      </c>
      <c r="J57" s="1" t="e">
        <f>LEFT(男子エントリー!E229,FIND(",",LEFT(男子エントリー!E229,LEN(男子エントリー!E229)-5))-1)&amp;LEFT(RIGHT(男子エントリー!E229,LEN(男子エントリー!E229)-FIND(",",男子エントリー!E229)),LEN(RIGHT(男子エントリー!E229,LEN(男子エントリー!E229)-FIND(",",男子エントリー!E229)))-5)</f>
        <v>#VALUE!</v>
      </c>
      <c r="K57" s="1" t="str">
        <f>男子エントリー!G229</f>
        <v/>
      </c>
      <c r="L57" s="1" t="str">
        <f t="shared" si="13"/>
        <v/>
      </c>
      <c r="M57" s="92" t="str">
        <f>男子エントリー!G227</f>
        <v/>
      </c>
      <c r="N57" s="92" t="e">
        <f>MID(男子エントリー!E229,FIND("(",男子エントリー!E229)+1,2)</f>
        <v>#VALUE!</v>
      </c>
      <c r="O57" s="1">
        <v>0</v>
      </c>
      <c r="P57" s="92" t="e">
        <f>VLOOKUP(男子エントリー!G228,競技会設定!$F$3:$I$50,2,0)</f>
        <v>#N/A</v>
      </c>
      <c r="R57" s="1" t="str" cm="1">
        <f t="array" ref="R57">_xlfn.IFNA(_xlfn.IFNA(INDEX(競技会設定!$X$2:$AC$24,MATCH(INDEX(男子エントリー!$J$7:$AH$406,MATCH($G57&amp;RIGHT(R$1,1),男子エントリー!$AH$7:$AH$406,0),1),競技会設定!$AC$2:$AC$24,0),1),INDEX(競技会設定!$X$2:$AC$24,MATCH(INDEX(男子エントリー!$R$6:$V$406,MATCH($G57&amp;RIGHT(R$1,1),男子エントリー!$V$6:$V$406,0)-MATCH($G57&amp;RIGHT(R$1,1),男子エントリー!$V$6:$V$406,0)+1,1),競技会設定!$AC$2:$AC$24,0),1)),"")</f>
        <v/>
      </c>
      <c r="S57" s="1" t="str">
        <f>IF(R57=14,リレーエントリー!$I$12,_xlfn.IFNA(INDEX(男子エントリー!$J$7:$AH$406,MATCH($G57&amp;RIGHT(T$1,1),男子エントリー!$AH$7:$AH$406,0),3),""))</f>
        <v/>
      </c>
      <c r="T57" s="1" t="str">
        <f t="shared" si="14"/>
        <v/>
      </c>
      <c r="U57" s="1" t="str">
        <f t="shared" si="17"/>
        <v/>
      </c>
      <c r="V57" s="1" t="str">
        <f t="shared" si="16"/>
        <v/>
      </c>
      <c r="W57" s="1" t="str" cm="1">
        <f t="array" ref="W57">_xlfn.IFNA(_xlfn.IFNA(INDEX(競技会設定!$X$2:$AC$24,MATCH(INDEX(男子エントリー!$J$7:$AH$406,MATCH($G57&amp;RIGHT(W$1,1),男子エントリー!$AH$7:$AH$406,0),1),競技会設定!$AC$2:$AC$24,0),1),INDEX(競技会設定!$X$2:$AC$24,MATCH(INDEX(男子エントリー!$R$6:$V$406,MATCH($G57&amp;RIGHT(W$1,1),男子エントリー!$V$6:$V$406,0)-MATCH($G57&amp;RIGHT(W$1,1),男子エントリー!$V$6:$V$406,0)+1,1),競技会設定!$AC$2:$AC$24,0),1)),"")</f>
        <v/>
      </c>
      <c r="X57" s="1" t="str">
        <f>IF(W57=14,リレーエントリー!$I$12,_xlfn.IFNA(INDEX(男子エントリー!$J$7:$AH$406,MATCH($G57&amp;RIGHT(Y$1,1),男子エントリー!$AH$7:$AH$406,0),3),""))</f>
        <v/>
      </c>
      <c r="Y57" s="1" t="str">
        <f t="shared" si="0"/>
        <v/>
      </c>
      <c r="Z57" s="1" t="str">
        <f t="shared" si="1"/>
        <v/>
      </c>
      <c r="AA57" s="1" t="str">
        <f t="shared" si="2"/>
        <v/>
      </c>
      <c r="AB57" s="1" t="str" cm="1">
        <f t="array" ref="AB57">_xlfn.IFNA(_xlfn.IFNA(INDEX(競技会設定!$X$2:$AC$24,MATCH(INDEX(男子エントリー!$J$7:$AH$406,MATCH($G57&amp;RIGHT(AB$1,1),男子エントリー!$AH$7:$AH$406,0),1),競技会設定!$AC$2:$AC$24,0),1),INDEX(競技会設定!$X$2:$AC$24,MATCH(INDEX(男子エントリー!$R$6:$V$406,MATCH($G57&amp;RIGHT(AB$1,1),男子エントリー!$V$6:$V$406,0)-MATCH($G57&amp;RIGHT(AB$1,1),男子エントリー!$V$6:$V$406,0)+1,1),競技会設定!$AC$2:$AC$24,0),1)),"")</f>
        <v/>
      </c>
      <c r="AC57" s="1" t="str">
        <f>IF(AB57=14,リレーエントリー!$I$12,_xlfn.IFNA(INDEX(男子エントリー!$J$7:$AH$406,MATCH($G57&amp;RIGHT(AD$1,1),男子エントリー!$AH$7:$AH$406,0),3),""))</f>
        <v/>
      </c>
      <c r="AD57" s="1" t="str">
        <f t="shared" si="3"/>
        <v/>
      </c>
      <c r="AE57" s="1" t="str">
        <f t="shared" si="4"/>
        <v/>
      </c>
      <c r="AF57" s="1" t="str">
        <f t="shared" si="5"/>
        <v/>
      </c>
      <c r="AG57" s="1" t="str" cm="1">
        <f t="array" ref="AG57">_xlfn.IFNA(_xlfn.IFNA(INDEX(競技会設定!$X$2:$AC$24,MATCH(INDEX(男子エントリー!$J$7:$AH$406,MATCH($G57&amp;RIGHT(AG$1,1),男子エントリー!$AH$7:$AH$406,0),1),競技会設定!$AC$2:$AC$24,0),1),INDEX(競技会設定!$X$2:$AC$24,MATCH(INDEX(男子エントリー!$R$6:$V$406,MATCH($G57&amp;RIGHT(AG$1,1),男子エントリー!$V$6:$V$406,0)-MATCH($G57&amp;RIGHT(AG$1,1),男子エントリー!$V$6:$V$406,0)+1,1),競技会設定!$AC$2:$AC$24,0),1)),"")</f>
        <v/>
      </c>
      <c r="AH57" s="1" t="str">
        <f>IF(AG57=14,リレーエントリー!$I$12,_xlfn.IFNA(INDEX(男子エントリー!$J$7:$AH$406,MATCH($G57&amp;RIGHT(AI$1,1),男子エントリー!$AH$7:$AH$406,0),3),""))</f>
        <v/>
      </c>
      <c r="AI57" s="1" t="str">
        <f t="shared" si="6"/>
        <v/>
      </c>
      <c r="AJ57" s="1" t="str">
        <f t="shared" si="7"/>
        <v/>
      </c>
      <c r="AK57" s="1" t="str">
        <f t="shared" si="8"/>
        <v/>
      </c>
      <c r="AL57" s="1" t="str" cm="1">
        <f t="array" ref="AL57">_xlfn.IFNA(_xlfn.IFNA(INDEX(競技会設定!$X$2:$AC$24,MATCH(INDEX(男子エントリー!$J$7:$AH$406,MATCH($G57&amp;RIGHT(AL$1,1),男子エントリー!$AH$7:$AH$406,0),1),競技会設定!$AC$2:$AC$24,0),1),INDEX(競技会設定!$X$2:$AC$24,MATCH(INDEX(男子エントリー!$R$6:$V$406,MATCH($G57&amp;RIGHT(AL$1,1),男子エントリー!$V$6:$V$406,0)-MATCH($G57&amp;RIGHT(AL$1,1),男子エントリー!$V$6:$V$406,0)+1,1),競技会設定!$AC$2:$AC$24,0),1)),"")</f>
        <v/>
      </c>
      <c r="AM57" s="1" t="str">
        <f>IF(AL57=14,リレーエントリー!$I$12,_xlfn.IFNA(INDEX(男子エントリー!$J$7:$AH$406,MATCH($G57&amp;RIGHT(AN$1,1),男子エントリー!$AH$7:$AH$406,0),3),""))</f>
        <v/>
      </c>
      <c r="AN57" s="1" t="str">
        <f t="shared" si="9"/>
        <v/>
      </c>
      <c r="AO57" s="1" t="str">
        <f t="shared" si="10"/>
        <v/>
      </c>
      <c r="AP57" s="1" t="str">
        <f t="shared" si="11"/>
        <v/>
      </c>
    </row>
    <row r="58" spans="1:42">
      <c r="A58" s="1">
        <v>57</v>
      </c>
      <c r="B58" s="92" t="str">
        <f>男子エントリー!D231</f>
        <v/>
      </c>
      <c r="C58" s="1" t="str">
        <f>基本情報!$E$6</f>
        <v/>
      </c>
      <c r="D58" s="1" t="str">
        <f>基本情報!$E$7</f>
        <v/>
      </c>
      <c r="F58" s="92">
        <f>男子エントリー!C231</f>
        <v>0</v>
      </c>
      <c r="G58" s="92" t="str">
        <f>男子エントリー!E231</f>
        <v/>
      </c>
      <c r="H58" s="92" t="str">
        <f>男子エントリー!F231</f>
        <v/>
      </c>
      <c r="I58" s="1" t="str">
        <f t="shared" si="12"/>
        <v/>
      </c>
      <c r="J58" s="1" t="e">
        <f>LEFT(男子エントリー!E233,FIND(",",LEFT(男子エントリー!E233,LEN(男子エントリー!E233)-5))-1)&amp;LEFT(RIGHT(男子エントリー!E233,LEN(男子エントリー!E233)-FIND(",",男子エントリー!E233)),LEN(RIGHT(男子エントリー!E233,LEN(男子エントリー!E233)-FIND(",",男子エントリー!E233)))-5)</f>
        <v>#VALUE!</v>
      </c>
      <c r="K58" s="1" t="str">
        <f>男子エントリー!G233</f>
        <v/>
      </c>
      <c r="L58" s="1" t="str">
        <f t="shared" si="13"/>
        <v/>
      </c>
      <c r="M58" s="92" t="str">
        <f>男子エントリー!G231</f>
        <v/>
      </c>
      <c r="N58" s="92" t="e">
        <f>MID(男子エントリー!E233,FIND("(",男子エントリー!E233)+1,2)</f>
        <v>#VALUE!</v>
      </c>
      <c r="O58" s="1">
        <v>0</v>
      </c>
      <c r="P58" s="92" t="e">
        <f>VLOOKUP(男子エントリー!G232,競技会設定!$F$3:$I$50,2,0)</f>
        <v>#N/A</v>
      </c>
      <c r="R58" s="1" t="str" cm="1">
        <f t="array" ref="R58">_xlfn.IFNA(_xlfn.IFNA(INDEX(競技会設定!$X$2:$AC$24,MATCH(INDEX(男子エントリー!$J$7:$AH$406,MATCH($G58&amp;RIGHT(R$1,1),男子エントリー!$AH$7:$AH$406,0),1),競技会設定!$AC$2:$AC$24,0),1),INDEX(競技会設定!$X$2:$AC$24,MATCH(INDEX(男子エントリー!$R$6:$V$406,MATCH($G58&amp;RIGHT(R$1,1),男子エントリー!$V$6:$V$406,0)-MATCH($G58&amp;RIGHT(R$1,1),男子エントリー!$V$6:$V$406,0)+1,1),競技会設定!$AC$2:$AC$24,0),1)),"")</f>
        <v/>
      </c>
      <c r="S58" s="1" t="str">
        <f>IF(R58=14,リレーエントリー!$I$12,_xlfn.IFNA(INDEX(男子エントリー!$J$7:$AH$406,MATCH($G58&amp;RIGHT(T$1,1),男子エントリー!$AH$7:$AH$406,0),3),""))</f>
        <v/>
      </c>
      <c r="T58" s="1" t="str">
        <f t="shared" si="14"/>
        <v/>
      </c>
      <c r="U58" s="1" t="str">
        <f t="shared" si="17"/>
        <v/>
      </c>
      <c r="V58" s="1" t="str">
        <f t="shared" si="16"/>
        <v/>
      </c>
      <c r="W58" s="1" t="str" cm="1">
        <f t="array" ref="W58">_xlfn.IFNA(_xlfn.IFNA(INDEX(競技会設定!$X$2:$AC$24,MATCH(INDEX(男子エントリー!$J$7:$AH$406,MATCH($G58&amp;RIGHT(W$1,1),男子エントリー!$AH$7:$AH$406,0),1),競技会設定!$AC$2:$AC$24,0),1),INDEX(競技会設定!$X$2:$AC$24,MATCH(INDEX(男子エントリー!$R$6:$V$406,MATCH($G58&amp;RIGHT(W$1,1),男子エントリー!$V$6:$V$406,0)-MATCH($G58&amp;RIGHT(W$1,1),男子エントリー!$V$6:$V$406,0)+1,1),競技会設定!$AC$2:$AC$24,0),1)),"")</f>
        <v/>
      </c>
      <c r="X58" s="1" t="str">
        <f>IF(W58=14,リレーエントリー!$I$12,_xlfn.IFNA(INDEX(男子エントリー!$J$7:$AH$406,MATCH($G58&amp;RIGHT(Y$1,1),男子エントリー!$AH$7:$AH$406,0),3),""))</f>
        <v/>
      </c>
      <c r="Y58" s="1" t="str">
        <f t="shared" si="0"/>
        <v/>
      </c>
      <c r="Z58" s="1" t="str">
        <f t="shared" si="1"/>
        <v/>
      </c>
      <c r="AA58" s="1" t="str">
        <f t="shared" si="2"/>
        <v/>
      </c>
      <c r="AB58" s="1" t="str" cm="1">
        <f t="array" ref="AB58">_xlfn.IFNA(_xlfn.IFNA(INDEX(競技会設定!$X$2:$AC$24,MATCH(INDEX(男子エントリー!$J$7:$AH$406,MATCH($G58&amp;RIGHT(AB$1,1),男子エントリー!$AH$7:$AH$406,0),1),競技会設定!$AC$2:$AC$24,0),1),INDEX(競技会設定!$X$2:$AC$24,MATCH(INDEX(男子エントリー!$R$6:$V$406,MATCH($G58&amp;RIGHT(AB$1,1),男子エントリー!$V$6:$V$406,0)-MATCH($G58&amp;RIGHT(AB$1,1),男子エントリー!$V$6:$V$406,0)+1,1),競技会設定!$AC$2:$AC$24,0),1)),"")</f>
        <v/>
      </c>
      <c r="AC58" s="1" t="str">
        <f>IF(AB58=14,リレーエントリー!$I$12,_xlfn.IFNA(INDEX(男子エントリー!$J$7:$AH$406,MATCH($G58&amp;RIGHT(AD$1,1),男子エントリー!$AH$7:$AH$406,0),3),""))</f>
        <v/>
      </c>
      <c r="AD58" s="1" t="str">
        <f t="shared" si="3"/>
        <v/>
      </c>
      <c r="AE58" s="1" t="str">
        <f t="shared" si="4"/>
        <v/>
      </c>
      <c r="AF58" s="1" t="str">
        <f t="shared" si="5"/>
        <v/>
      </c>
      <c r="AG58" s="1" t="str" cm="1">
        <f t="array" ref="AG58">_xlfn.IFNA(_xlfn.IFNA(INDEX(競技会設定!$X$2:$AC$24,MATCH(INDEX(男子エントリー!$J$7:$AH$406,MATCH($G58&amp;RIGHT(AG$1,1),男子エントリー!$AH$7:$AH$406,0),1),競技会設定!$AC$2:$AC$24,0),1),INDEX(競技会設定!$X$2:$AC$24,MATCH(INDEX(男子エントリー!$R$6:$V$406,MATCH($G58&amp;RIGHT(AG$1,1),男子エントリー!$V$6:$V$406,0)-MATCH($G58&amp;RIGHT(AG$1,1),男子エントリー!$V$6:$V$406,0)+1,1),競技会設定!$AC$2:$AC$24,0),1)),"")</f>
        <v/>
      </c>
      <c r="AH58" s="1" t="str">
        <f>IF(AG58=14,リレーエントリー!$I$12,_xlfn.IFNA(INDEX(男子エントリー!$J$7:$AH$406,MATCH($G58&amp;RIGHT(AI$1,1),男子エントリー!$AH$7:$AH$406,0),3),""))</f>
        <v/>
      </c>
      <c r="AI58" s="1" t="str">
        <f t="shared" si="6"/>
        <v/>
      </c>
      <c r="AJ58" s="1" t="str">
        <f t="shared" si="7"/>
        <v/>
      </c>
      <c r="AK58" s="1" t="str">
        <f t="shared" si="8"/>
        <v/>
      </c>
      <c r="AL58" s="1" t="str" cm="1">
        <f t="array" ref="AL58">_xlfn.IFNA(_xlfn.IFNA(INDEX(競技会設定!$X$2:$AC$24,MATCH(INDEX(男子エントリー!$J$7:$AH$406,MATCH($G58&amp;RIGHT(AL$1,1),男子エントリー!$AH$7:$AH$406,0),1),競技会設定!$AC$2:$AC$24,0),1),INDEX(競技会設定!$X$2:$AC$24,MATCH(INDEX(男子エントリー!$R$6:$V$406,MATCH($G58&amp;RIGHT(AL$1,1),男子エントリー!$V$6:$V$406,0)-MATCH($G58&amp;RIGHT(AL$1,1),男子エントリー!$V$6:$V$406,0)+1,1),競技会設定!$AC$2:$AC$24,0),1)),"")</f>
        <v/>
      </c>
      <c r="AM58" s="1" t="str">
        <f>IF(AL58=14,リレーエントリー!$I$12,_xlfn.IFNA(INDEX(男子エントリー!$J$7:$AH$406,MATCH($G58&amp;RIGHT(AN$1,1),男子エントリー!$AH$7:$AH$406,0),3),""))</f>
        <v/>
      </c>
      <c r="AN58" s="1" t="str">
        <f t="shared" si="9"/>
        <v/>
      </c>
      <c r="AO58" s="1" t="str">
        <f t="shared" si="10"/>
        <v/>
      </c>
      <c r="AP58" s="1" t="str">
        <f t="shared" si="11"/>
        <v/>
      </c>
    </row>
    <row r="59" spans="1:42">
      <c r="A59" s="1">
        <v>58</v>
      </c>
      <c r="B59" s="92" t="str">
        <f>男子エントリー!D235</f>
        <v/>
      </c>
      <c r="C59" s="1" t="str">
        <f>基本情報!$E$6</f>
        <v/>
      </c>
      <c r="D59" s="1" t="str">
        <f>基本情報!$E$7</f>
        <v/>
      </c>
      <c r="F59" s="92">
        <f>男子エントリー!C235</f>
        <v>0</v>
      </c>
      <c r="G59" s="92" t="str">
        <f>男子エントリー!E235</f>
        <v/>
      </c>
      <c r="H59" s="92" t="str">
        <f>男子エントリー!F235</f>
        <v/>
      </c>
      <c r="I59" s="1" t="str">
        <f t="shared" si="12"/>
        <v/>
      </c>
      <c r="J59" s="1" t="e">
        <f>LEFT(男子エントリー!E237,FIND(",",LEFT(男子エントリー!E237,LEN(男子エントリー!E237)-5))-1)&amp;LEFT(RIGHT(男子エントリー!E237,LEN(男子エントリー!E237)-FIND(",",男子エントリー!E237)),LEN(RIGHT(男子エントリー!E237,LEN(男子エントリー!E237)-FIND(",",男子エントリー!E237)))-5)</f>
        <v>#VALUE!</v>
      </c>
      <c r="K59" s="1" t="str">
        <f>男子エントリー!G237</f>
        <v/>
      </c>
      <c r="L59" s="1" t="str">
        <f t="shared" si="13"/>
        <v/>
      </c>
      <c r="M59" s="92" t="str">
        <f>男子エントリー!G235</f>
        <v/>
      </c>
      <c r="N59" s="92" t="e">
        <f>MID(男子エントリー!E237,FIND("(",男子エントリー!E237)+1,2)</f>
        <v>#VALUE!</v>
      </c>
      <c r="O59" s="1">
        <v>0</v>
      </c>
      <c r="P59" s="92" t="e">
        <f>VLOOKUP(男子エントリー!G236,競技会設定!$F$3:$I$50,2,0)</f>
        <v>#N/A</v>
      </c>
      <c r="R59" s="1" t="str" cm="1">
        <f t="array" ref="R59">_xlfn.IFNA(_xlfn.IFNA(INDEX(競技会設定!$X$2:$AC$24,MATCH(INDEX(男子エントリー!$J$7:$AH$406,MATCH($G59&amp;RIGHT(R$1,1),男子エントリー!$AH$7:$AH$406,0),1),競技会設定!$AC$2:$AC$24,0),1),INDEX(競技会設定!$X$2:$AC$24,MATCH(INDEX(男子エントリー!$R$6:$V$406,MATCH($G59&amp;RIGHT(R$1,1),男子エントリー!$V$6:$V$406,0)-MATCH($G59&amp;RIGHT(R$1,1),男子エントリー!$V$6:$V$406,0)+1,1),競技会設定!$AC$2:$AC$24,0),1)),"")</f>
        <v/>
      </c>
      <c r="S59" s="1" t="str">
        <f>IF(R59=14,リレーエントリー!$I$12,_xlfn.IFNA(INDEX(男子エントリー!$J$7:$AH$406,MATCH($G59&amp;RIGHT(T$1,1),男子エントリー!$AH$7:$AH$406,0),3),""))</f>
        <v/>
      </c>
      <c r="T59" s="1" t="str">
        <f t="shared" si="14"/>
        <v/>
      </c>
      <c r="U59" s="1" t="str">
        <f t="shared" si="17"/>
        <v/>
      </c>
      <c r="V59" s="1" t="str">
        <f t="shared" si="16"/>
        <v/>
      </c>
      <c r="W59" s="1" t="str" cm="1">
        <f t="array" ref="W59">_xlfn.IFNA(_xlfn.IFNA(INDEX(競技会設定!$X$2:$AC$24,MATCH(INDEX(男子エントリー!$J$7:$AH$406,MATCH($G59&amp;RIGHT(W$1,1),男子エントリー!$AH$7:$AH$406,0),1),競技会設定!$AC$2:$AC$24,0),1),INDEX(競技会設定!$X$2:$AC$24,MATCH(INDEX(男子エントリー!$R$6:$V$406,MATCH($G59&amp;RIGHT(W$1,1),男子エントリー!$V$6:$V$406,0)-MATCH($G59&amp;RIGHT(W$1,1),男子エントリー!$V$6:$V$406,0)+1,1),競技会設定!$AC$2:$AC$24,0),1)),"")</f>
        <v/>
      </c>
      <c r="X59" s="1" t="str">
        <f>IF(W59=14,リレーエントリー!$I$12,_xlfn.IFNA(INDEX(男子エントリー!$J$7:$AH$406,MATCH($G59&amp;RIGHT(Y$1,1),男子エントリー!$AH$7:$AH$406,0),3),""))</f>
        <v/>
      </c>
      <c r="Y59" s="1" t="str">
        <f t="shared" si="0"/>
        <v/>
      </c>
      <c r="Z59" s="1" t="str">
        <f t="shared" si="1"/>
        <v/>
      </c>
      <c r="AA59" s="1" t="str">
        <f t="shared" si="2"/>
        <v/>
      </c>
      <c r="AB59" s="1" t="str" cm="1">
        <f t="array" ref="AB59">_xlfn.IFNA(_xlfn.IFNA(INDEX(競技会設定!$X$2:$AC$24,MATCH(INDEX(男子エントリー!$J$7:$AH$406,MATCH($G59&amp;RIGHT(AB$1,1),男子エントリー!$AH$7:$AH$406,0),1),競技会設定!$AC$2:$AC$24,0),1),INDEX(競技会設定!$X$2:$AC$24,MATCH(INDEX(男子エントリー!$R$6:$V$406,MATCH($G59&amp;RIGHT(AB$1,1),男子エントリー!$V$6:$V$406,0)-MATCH($G59&amp;RIGHT(AB$1,1),男子エントリー!$V$6:$V$406,0)+1,1),競技会設定!$AC$2:$AC$24,0),1)),"")</f>
        <v/>
      </c>
      <c r="AC59" s="1" t="str">
        <f>IF(AB59=14,リレーエントリー!$I$12,_xlfn.IFNA(INDEX(男子エントリー!$J$7:$AH$406,MATCH($G59&amp;RIGHT(AD$1,1),男子エントリー!$AH$7:$AH$406,0),3),""))</f>
        <v/>
      </c>
      <c r="AD59" s="1" t="str">
        <f t="shared" si="3"/>
        <v/>
      </c>
      <c r="AE59" s="1" t="str">
        <f t="shared" si="4"/>
        <v/>
      </c>
      <c r="AF59" s="1" t="str">
        <f t="shared" si="5"/>
        <v/>
      </c>
      <c r="AG59" s="1" t="str" cm="1">
        <f t="array" ref="AG59">_xlfn.IFNA(_xlfn.IFNA(INDEX(競技会設定!$X$2:$AC$24,MATCH(INDEX(男子エントリー!$J$7:$AH$406,MATCH($G59&amp;RIGHT(AG$1,1),男子エントリー!$AH$7:$AH$406,0),1),競技会設定!$AC$2:$AC$24,0),1),INDEX(競技会設定!$X$2:$AC$24,MATCH(INDEX(男子エントリー!$R$6:$V$406,MATCH($G59&amp;RIGHT(AG$1,1),男子エントリー!$V$6:$V$406,0)-MATCH($G59&amp;RIGHT(AG$1,1),男子エントリー!$V$6:$V$406,0)+1,1),競技会設定!$AC$2:$AC$24,0),1)),"")</f>
        <v/>
      </c>
      <c r="AH59" s="1" t="str">
        <f>IF(AG59=14,リレーエントリー!$I$12,_xlfn.IFNA(INDEX(男子エントリー!$J$7:$AH$406,MATCH($G59&amp;RIGHT(AI$1,1),男子エントリー!$AH$7:$AH$406,0),3),""))</f>
        <v/>
      </c>
      <c r="AI59" s="1" t="str">
        <f t="shared" si="6"/>
        <v/>
      </c>
      <c r="AJ59" s="1" t="str">
        <f t="shared" si="7"/>
        <v/>
      </c>
      <c r="AK59" s="1" t="str">
        <f t="shared" si="8"/>
        <v/>
      </c>
      <c r="AL59" s="1" t="str" cm="1">
        <f t="array" ref="AL59">_xlfn.IFNA(_xlfn.IFNA(INDEX(競技会設定!$X$2:$AC$24,MATCH(INDEX(男子エントリー!$J$7:$AH$406,MATCH($G59&amp;RIGHT(AL$1,1),男子エントリー!$AH$7:$AH$406,0),1),競技会設定!$AC$2:$AC$24,0),1),INDEX(競技会設定!$X$2:$AC$24,MATCH(INDEX(男子エントリー!$R$6:$V$406,MATCH($G59&amp;RIGHT(AL$1,1),男子エントリー!$V$6:$V$406,0)-MATCH($G59&amp;RIGHT(AL$1,1),男子エントリー!$V$6:$V$406,0)+1,1),競技会設定!$AC$2:$AC$24,0),1)),"")</f>
        <v/>
      </c>
      <c r="AM59" s="1" t="str">
        <f>IF(AL59=14,リレーエントリー!$I$12,_xlfn.IFNA(INDEX(男子エントリー!$J$7:$AH$406,MATCH($G59&amp;RIGHT(AN$1,1),男子エントリー!$AH$7:$AH$406,0),3),""))</f>
        <v/>
      </c>
      <c r="AN59" s="1" t="str">
        <f t="shared" si="9"/>
        <v/>
      </c>
      <c r="AO59" s="1" t="str">
        <f t="shared" si="10"/>
        <v/>
      </c>
      <c r="AP59" s="1" t="str">
        <f t="shared" si="11"/>
        <v/>
      </c>
    </row>
    <row r="60" spans="1:42">
      <c r="A60" s="1">
        <v>59</v>
      </c>
      <c r="B60" s="92" t="str">
        <f>男子エントリー!D239</f>
        <v/>
      </c>
      <c r="C60" s="1" t="str">
        <f>基本情報!$E$6</f>
        <v/>
      </c>
      <c r="D60" s="1" t="str">
        <f>基本情報!$E$7</f>
        <v/>
      </c>
      <c r="F60" s="92">
        <f>男子エントリー!C239</f>
        <v>0</v>
      </c>
      <c r="G60" s="92" t="str">
        <f>男子エントリー!E239</f>
        <v/>
      </c>
      <c r="H60" s="92" t="str">
        <f>男子エントリー!F239</f>
        <v/>
      </c>
      <c r="I60" s="1" t="str">
        <f t="shared" si="12"/>
        <v/>
      </c>
      <c r="J60" s="1" t="e">
        <f>LEFT(男子エントリー!E241,FIND(",",LEFT(男子エントリー!E241,LEN(男子エントリー!E241)-5))-1)&amp;LEFT(RIGHT(男子エントリー!E241,LEN(男子エントリー!E241)-FIND(",",男子エントリー!E241)),LEN(RIGHT(男子エントリー!E241,LEN(男子エントリー!E241)-FIND(",",男子エントリー!E241)))-5)</f>
        <v>#VALUE!</v>
      </c>
      <c r="K60" s="1" t="str">
        <f>男子エントリー!G241</f>
        <v/>
      </c>
      <c r="L60" s="1" t="str">
        <f t="shared" si="13"/>
        <v/>
      </c>
      <c r="M60" s="92" t="str">
        <f>男子エントリー!G239</f>
        <v/>
      </c>
      <c r="N60" s="92" t="e">
        <f>MID(男子エントリー!E241,FIND("(",男子エントリー!E241)+1,2)</f>
        <v>#VALUE!</v>
      </c>
      <c r="O60" s="1">
        <v>0</v>
      </c>
      <c r="P60" s="92" t="e">
        <f>VLOOKUP(男子エントリー!G240,競技会設定!$F$3:$I$50,2,0)</f>
        <v>#N/A</v>
      </c>
      <c r="R60" s="1" t="str" cm="1">
        <f t="array" ref="R60">_xlfn.IFNA(_xlfn.IFNA(INDEX(競技会設定!$X$2:$AC$24,MATCH(INDEX(男子エントリー!$J$7:$AH$406,MATCH($G60&amp;RIGHT(R$1,1),男子エントリー!$AH$7:$AH$406,0),1),競技会設定!$AC$2:$AC$24,0),1),INDEX(競技会設定!$X$2:$AC$24,MATCH(INDEX(男子エントリー!$R$6:$V$406,MATCH($G60&amp;RIGHT(R$1,1),男子エントリー!$V$6:$V$406,0)-MATCH($G60&amp;RIGHT(R$1,1),男子エントリー!$V$6:$V$406,0)+1,1),競技会設定!$AC$2:$AC$24,0),1)),"")</f>
        <v/>
      </c>
      <c r="S60" s="1" t="str">
        <f>IF(R60=14,リレーエントリー!$I$12,_xlfn.IFNA(INDEX(男子エントリー!$J$7:$AH$406,MATCH($G60&amp;RIGHT(T$1,1),男子エントリー!$AH$7:$AH$406,0),3),""))</f>
        <v/>
      </c>
      <c r="T60" s="1" t="str">
        <f t="shared" si="14"/>
        <v/>
      </c>
      <c r="U60" s="1" t="str">
        <f t="shared" si="17"/>
        <v/>
      </c>
      <c r="V60" s="1" t="str">
        <f t="shared" si="16"/>
        <v/>
      </c>
      <c r="W60" s="1" t="str" cm="1">
        <f t="array" ref="W60">_xlfn.IFNA(_xlfn.IFNA(INDEX(競技会設定!$X$2:$AC$24,MATCH(INDEX(男子エントリー!$J$7:$AH$406,MATCH($G60&amp;RIGHT(W$1,1),男子エントリー!$AH$7:$AH$406,0),1),競技会設定!$AC$2:$AC$24,0),1),INDEX(競技会設定!$X$2:$AC$24,MATCH(INDEX(男子エントリー!$R$6:$V$406,MATCH($G60&amp;RIGHT(W$1,1),男子エントリー!$V$6:$V$406,0)-MATCH($G60&amp;RIGHT(W$1,1),男子エントリー!$V$6:$V$406,0)+1,1),競技会設定!$AC$2:$AC$24,0),1)),"")</f>
        <v/>
      </c>
      <c r="X60" s="1" t="str">
        <f>IF(W60=14,リレーエントリー!$I$12,_xlfn.IFNA(INDEX(男子エントリー!$J$7:$AH$406,MATCH($G60&amp;RIGHT(Y$1,1),男子エントリー!$AH$7:$AH$406,0),3),""))</f>
        <v/>
      </c>
      <c r="Y60" s="1" t="str">
        <f t="shared" si="0"/>
        <v/>
      </c>
      <c r="Z60" s="1" t="str">
        <f t="shared" si="1"/>
        <v/>
      </c>
      <c r="AA60" s="1" t="str">
        <f t="shared" si="2"/>
        <v/>
      </c>
      <c r="AB60" s="1" t="str" cm="1">
        <f t="array" ref="AB60">_xlfn.IFNA(_xlfn.IFNA(INDEX(競技会設定!$X$2:$AC$24,MATCH(INDEX(男子エントリー!$J$7:$AH$406,MATCH($G60&amp;RIGHT(AB$1,1),男子エントリー!$AH$7:$AH$406,0),1),競技会設定!$AC$2:$AC$24,0),1),INDEX(競技会設定!$X$2:$AC$24,MATCH(INDEX(男子エントリー!$R$6:$V$406,MATCH($G60&amp;RIGHT(AB$1,1),男子エントリー!$V$6:$V$406,0)-MATCH($G60&amp;RIGHT(AB$1,1),男子エントリー!$V$6:$V$406,0)+1,1),競技会設定!$AC$2:$AC$24,0),1)),"")</f>
        <v/>
      </c>
      <c r="AC60" s="1" t="str">
        <f>IF(AB60=14,リレーエントリー!$I$12,_xlfn.IFNA(INDEX(男子エントリー!$J$7:$AH$406,MATCH($G60&amp;RIGHT(AD$1,1),男子エントリー!$AH$7:$AH$406,0),3),""))</f>
        <v/>
      </c>
      <c r="AD60" s="1" t="str">
        <f t="shared" si="3"/>
        <v/>
      </c>
      <c r="AE60" s="1" t="str">
        <f t="shared" si="4"/>
        <v/>
      </c>
      <c r="AF60" s="1" t="str">
        <f t="shared" si="5"/>
        <v/>
      </c>
      <c r="AG60" s="1" t="str" cm="1">
        <f t="array" ref="AG60">_xlfn.IFNA(_xlfn.IFNA(INDEX(競技会設定!$X$2:$AC$24,MATCH(INDEX(男子エントリー!$J$7:$AH$406,MATCH($G60&amp;RIGHT(AG$1,1),男子エントリー!$AH$7:$AH$406,0),1),競技会設定!$AC$2:$AC$24,0),1),INDEX(競技会設定!$X$2:$AC$24,MATCH(INDEX(男子エントリー!$R$6:$V$406,MATCH($G60&amp;RIGHT(AG$1,1),男子エントリー!$V$6:$V$406,0)-MATCH($G60&amp;RIGHT(AG$1,1),男子エントリー!$V$6:$V$406,0)+1,1),競技会設定!$AC$2:$AC$24,0),1)),"")</f>
        <v/>
      </c>
      <c r="AH60" s="1" t="str">
        <f>IF(AG60=14,リレーエントリー!$I$12,_xlfn.IFNA(INDEX(男子エントリー!$J$7:$AH$406,MATCH($G60&amp;RIGHT(AI$1,1),男子エントリー!$AH$7:$AH$406,0),3),""))</f>
        <v/>
      </c>
      <c r="AI60" s="1" t="str">
        <f t="shared" si="6"/>
        <v/>
      </c>
      <c r="AJ60" s="1" t="str">
        <f t="shared" si="7"/>
        <v/>
      </c>
      <c r="AK60" s="1" t="str">
        <f t="shared" si="8"/>
        <v/>
      </c>
      <c r="AL60" s="1" t="str" cm="1">
        <f t="array" ref="AL60">_xlfn.IFNA(_xlfn.IFNA(INDEX(競技会設定!$X$2:$AC$24,MATCH(INDEX(男子エントリー!$J$7:$AH$406,MATCH($G60&amp;RIGHT(AL$1,1),男子エントリー!$AH$7:$AH$406,0),1),競技会設定!$AC$2:$AC$24,0),1),INDEX(競技会設定!$X$2:$AC$24,MATCH(INDEX(男子エントリー!$R$6:$V$406,MATCH($G60&amp;RIGHT(AL$1,1),男子エントリー!$V$6:$V$406,0)-MATCH($G60&amp;RIGHT(AL$1,1),男子エントリー!$V$6:$V$406,0)+1,1),競技会設定!$AC$2:$AC$24,0),1)),"")</f>
        <v/>
      </c>
      <c r="AM60" s="1" t="str">
        <f>IF(AL60=14,リレーエントリー!$I$12,_xlfn.IFNA(INDEX(男子エントリー!$J$7:$AH$406,MATCH($G60&amp;RIGHT(AN$1,1),男子エントリー!$AH$7:$AH$406,0),3),""))</f>
        <v/>
      </c>
      <c r="AN60" s="1" t="str">
        <f t="shared" si="9"/>
        <v/>
      </c>
      <c r="AO60" s="1" t="str">
        <f t="shared" si="10"/>
        <v/>
      </c>
      <c r="AP60" s="1" t="str">
        <f t="shared" si="11"/>
        <v/>
      </c>
    </row>
    <row r="61" spans="1:42">
      <c r="A61" s="1">
        <v>60</v>
      </c>
      <c r="B61" s="92" t="str">
        <f>男子エントリー!D243</f>
        <v/>
      </c>
      <c r="C61" s="1" t="str">
        <f>基本情報!$E$6</f>
        <v/>
      </c>
      <c r="D61" s="1" t="str">
        <f>基本情報!$E$7</f>
        <v/>
      </c>
      <c r="F61" s="92">
        <f>男子エントリー!C243</f>
        <v>0</v>
      </c>
      <c r="G61" s="92" t="str">
        <f>男子エントリー!E243</f>
        <v/>
      </c>
      <c r="H61" s="92" t="str">
        <f>男子エントリー!F243</f>
        <v/>
      </c>
      <c r="I61" s="1" t="str">
        <f t="shared" si="12"/>
        <v/>
      </c>
      <c r="J61" s="1" t="e">
        <f>LEFT(男子エントリー!E245,FIND(",",LEFT(男子エントリー!E245,LEN(男子エントリー!E245)-5))-1)&amp;LEFT(RIGHT(男子エントリー!E245,LEN(男子エントリー!E245)-FIND(",",男子エントリー!E245)),LEN(RIGHT(男子エントリー!E245,LEN(男子エントリー!E245)-FIND(",",男子エントリー!E245)))-5)</f>
        <v>#VALUE!</v>
      </c>
      <c r="K61" s="1" t="str">
        <f>男子エントリー!G245</f>
        <v/>
      </c>
      <c r="L61" s="1" t="str">
        <f t="shared" si="13"/>
        <v/>
      </c>
      <c r="M61" s="92" t="str">
        <f>男子エントリー!G243</f>
        <v/>
      </c>
      <c r="N61" s="92" t="e">
        <f>MID(男子エントリー!E245,FIND("(",男子エントリー!E245)+1,2)</f>
        <v>#VALUE!</v>
      </c>
      <c r="O61" s="1">
        <v>0</v>
      </c>
      <c r="P61" s="92" t="e">
        <f>VLOOKUP(男子エントリー!G244,競技会設定!$F$3:$I$50,2,0)</f>
        <v>#N/A</v>
      </c>
      <c r="R61" s="1" t="str" cm="1">
        <f t="array" ref="R61">_xlfn.IFNA(_xlfn.IFNA(INDEX(競技会設定!$X$2:$AC$24,MATCH(INDEX(男子エントリー!$J$7:$AH$406,MATCH($G61&amp;RIGHT(R$1,1),男子エントリー!$AH$7:$AH$406,0),1),競技会設定!$AC$2:$AC$24,0),1),INDEX(競技会設定!$X$2:$AC$24,MATCH(INDEX(男子エントリー!$R$6:$V$406,MATCH($G61&amp;RIGHT(R$1,1),男子エントリー!$V$6:$V$406,0)-MATCH($G61&amp;RIGHT(R$1,1),男子エントリー!$V$6:$V$406,0)+1,1),競技会設定!$AC$2:$AC$24,0),1)),"")</f>
        <v/>
      </c>
      <c r="S61" s="1" t="str">
        <f>IF(R61=14,リレーエントリー!$I$12,_xlfn.IFNA(INDEX(男子エントリー!$J$7:$AH$406,MATCH($G61&amp;RIGHT(T$1,1),男子エントリー!$AH$7:$AH$406,0),3),""))</f>
        <v/>
      </c>
      <c r="T61" s="1" t="str">
        <f t="shared" si="14"/>
        <v/>
      </c>
      <c r="U61" s="1" t="str">
        <f t="shared" si="17"/>
        <v/>
      </c>
      <c r="V61" s="1" t="str">
        <f t="shared" si="16"/>
        <v/>
      </c>
      <c r="W61" s="1" t="str" cm="1">
        <f t="array" ref="W61">_xlfn.IFNA(_xlfn.IFNA(INDEX(競技会設定!$X$2:$AC$24,MATCH(INDEX(男子エントリー!$J$7:$AH$406,MATCH($G61&amp;RIGHT(W$1,1),男子エントリー!$AH$7:$AH$406,0),1),競技会設定!$AC$2:$AC$24,0),1),INDEX(競技会設定!$X$2:$AC$24,MATCH(INDEX(男子エントリー!$R$6:$V$406,MATCH($G61&amp;RIGHT(W$1,1),男子エントリー!$V$6:$V$406,0)-MATCH($G61&amp;RIGHT(W$1,1),男子エントリー!$V$6:$V$406,0)+1,1),競技会設定!$AC$2:$AC$24,0),1)),"")</f>
        <v/>
      </c>
      <c r="X61" s="1" t="str">
        <f>IF(W61=14,リレーエントリー!$I$12,_xlfn.IFNA(INDEX(男子エントリー!$J$7:$AH$406,MATCH($G61&amp;RIGHT(Y$1,1),男子エントリー!$AH$7:$AH$406,0),3),""))</f>
        <v/>
      </c>
      <c r="Y61" s="1" t="str">
        <f t="shared" si="0"/>
        <v/>
      </c>
      <c r="Z61" s="1" t="str">
        <f t="shared" si="1"/>
        <v/>
      </c>
      <c r="AA61" s="1" t="str">
        <f t="shared" si="2"/>
        <v/>
      </c>
      <c r="AB61" s="1" t="str" cm="1">
        <f t="array" ref="AB61">_xlfn.IFNA(_xlfn.IFNA(INDEX(競技会設定!$X$2:$AC$24,MATCH(INDEX(男子エントリー!$J$7:$AH$406,MATCH($G61&amp;RIGHT(AB$1,1),男子エントリー!$AH$7:$AH$406,0),1),競技会設定!$AC$2:$AC$24,0),1),INDEX(競技会設定!$X$2:$AC$24,MATCH(INDEX(男子エントリー!$R$6:$V$406,MATCH($G61&amp;RIGHT(AB$1,1),男子エントリー!$V$6:$V$406,0)-MATCH($G61&amp;RIGHT(AB$1,1),男子エントリー!$V$6:$V$406,0)+1,1),競技会設定!$AC$2:$AC$24,0),1)),"")</f>
        <v/>
      </c>
      <c r="AC61" s="1" t="str">
        <f>IF(AB61=14,リレーエントリー!$I$12,_xlfn.IFNA(INDEX(男子エントリー!$J$7:$AH$406,MATCH($G61&amp;RIGHT(AD$1,1),男子エントリー!$AH$7:$AH$406,0),3),""))</f>
        <v/>
      </c>
      <c r="AD61" s="1" t="str">
        <f t="shared" si="3"/>
        <v/>
      </c>
      <c r="AE61" s="1" t="str">
        <f t="shared" si="4"/>
        <v/>
      </c>
      <c r="AF61" s="1" t="str">
        <f t="shared" si="5"/>
        <v/>
      </c>
      <c r="AG61" s="1" t="str" cm="1">
        <f t="array" ref="AG61">_xlfn.IFNA(_xlfn.IFNA(INDEX(競技会設定!$X$2:$AC$24,MATCH(INDEX(男子エントリー!$J$7:$AH$406,MATCH($G61&amp;RIGHT(AG$1,1),男子エントリー!$AH$7:$AH$406,0),1),競技会設定!$AC$2:$AC$24,0),1),INDEX(競技会設定!$X$2:$AC$24,MATCH(INDEX(男子エントリー!$R$6:$V$406,MATCH($G61&amp;RIGHT(AG$1,1),男子エントリー!$V$6:$V$406,0)-MATCH($G61&amp;RIGHT(AG$1,1),男子エントリー!$V$6:$V$406,0)+1,1),競技会設定!$AC$2:$AC$24,0),1)),"")</f>
        <v/>
      </c>
      <c r="AH61" s="1" t="str">
        <f>IF(AG61=14,リレーエントリー!$I$12,_xlfn.IFNA(INDEX(男子エントリー!$J$7:$AH$406,MATCH($G61&amp;RIGHT(AI$1,1),男子エントリー!$AH$7:$AH$406,0),3),""))</f>
        <v/>
      </c>
      <c r="AI61" s="1" t="str">
        <f t="shared" si="6"/>
        <v/>
      </c>
      <c r="AJ61" s="1" t="str">
        <f t="shared" si="7"/>
        <v/>
      </c>
      <c r="AK61" s="1" t="str">
        <f t="shared" si="8"/>
        <v/>
      </c>
      <c r="AL61" s="1" t="str" cm="1">
        <f t="array" ref="AL61">_xlfn.IFNA(_xlfn.IFNA(INDEX(競技会設定!$X$2:$AC$24,MATCH(INDEX(男子エントリー!$J$7:$AH$406,MATCH($G61&amp;RIGHT(AL$1,1),男子エントリー!$AH$7:$AH$406,0),1),競技会設定!$AC$2:$AC$24,0),1),INDEX(競技会設定!$X$2:$AC$24,MATCH(INDEX(男子エントリー!$R$6:$V$406,MATCH($G61&amp;RIGHT(AL$1,1),男子エントリー!$V$6:$V$406,0)-MATCH($G61&amp;RIGHT(AL$1,1),男子エントリー!$V$6:$V$406,0)+1,1),競技会設定!$AC$2:$AC$24,0),1)),"")</f>
        <v/>
      </c>
      <c r="AM61" s="1" t="str">
        <f>IF(AL61=14,リレーエントリー!$I$12,_xlfn.IFNA(INDEX(男子エントリー!$J$7:$AH$406,MATCH($G61&amp;RIGHT(AN$1,1),男子エントリー!$AH$7:$AH$406,0),3),""))</f>
        <v/>
      </c>
      <c r="AN61" s="1" t="str">
        <f t="shared" si="9"/>
        <v/>
      </c>
      <c r="AO61" s="1" t="str">
        <f t="shared" si="10"/>
        <v/>
      </c>
      <c r="AP61" s="1" t="str">
        <f t="shared" si="11"/>
        <v/>
      </c>
    </row>
    <row r="62" spans="1:42">
      <c r="A62" s="1">
        <v>61</v>
      </c>
      <c r="B62" s="92" t="str">
        <f>男子エントリー!D247</f>
        <v/>
      </c>
      <c r="C62" s="1" t="str">
        <f>基本情報!$E$6</f>
        <v/>
      </c>
      <c r="D62" s="1" t="str">
        <f>基本情報!$E$7</f>
        <v/>
      </c>
      <c r="F62" s="92">
        <f>男子エントリー!C247</f>
        <v>0</v>
      </c>
      <c r="G62" s="92" t="str">
        <f>男子エントリー!E247</f>
        <v/>
      </c>
      <c r="H62" s="92" t="str">
        <f>男子エントリー!F247</f>
        <v/>
      </c>
      <c r="I62" s="1" t="str">
        <f t="shared" si="12"/>
        <v/>
      </c>
      <c r="J62" s="1" t="e">
        <f>LEFT(男子エントリー!E249,FIND(",",LEFT(男子エントリー!E249,LEN(男子エントリー!E249)-5))-1)&amp;LEFT(RIGHT(男子エントリー!E249,LEN(男子エントリー!E249)-FIND(",",男子エントリー!E249)),LEN(RIGHT(男子エントリー!E249,LEN(男子エントリー!E249)-FIND(",",男子エントリー!E249)))-5)</f>
        <v>#VALUE!</v>
      </c>
      <c r="K62" s="1" t="str">
        <f>男子エントリー!G249</f>
        <v/>
      </c>
      <c r="L62" s="1" t="str">
        <f t="shared" si="13"/>
        <v/>
      </c>
      <c r="M62" s="92" t="str">
        <f>男子エントリー!G247</f>
        <v/>
      </c>
      <c r="N62" s="92" t="e">
        <f>MID(男子エントリー!E249,FIND("(",男子エントリー!E249)+1,2)</f>
        <v>#VALUE!</v>
      </c>
      <c r="O62" s="1">
        <v>0</v>
      </c>
      <c r="P62" s="92" t="e">
        <f>VLOOKUP(男子エントリー!G248,競技会設定!$F$3:$I$50,2,0)</f>
        <v>#N/A</v>
      </c>
      <c r="R62" s="1" t="str" cm="1">
        <f t="array" ref="R62">_xlfn.IFNA(_xlfn.IFNA(INDEX(競技会設定!$X$2:$AC$24,MATCH(INDEX(男子エントリー!$J$7:$AH$406,MATCH($G62&amp;RIGHT(R$1,1),男子エントリー!$AH$7:$AH$406,0),1),競技会設定!$AC$2:$AC$24,0),1),INDEX(競技会設定!$X$2:$AC$24,MATCH(INDEX(男子エントリー!$R$6:$V$406,MATCH($G62&amp;RIGHT(R$1,1),男子エントリー!$V$6:$V$406,0)-MATCH($G62&amp;RIGHT(R$1,1),男子エントリー!$V$6:$V$406,0)+1,1),競技会設定!$AC$2:$AC$24,0),1)),"")</f>
        <v/>
      </c>
      <c r="S62" s="1" t="str">
        <f>IF(R62=14,リレーエントリー!$I$12,_xlfn.IFNA(INDEX(男子エントリー!$J$7:$AH$406,MATCH($G62&amp;RIGHT(T$1,1),男子エントリー!$AH$7:$AH$406,0),3),""))</f>
        <v/>
      </c>
      <c r="T62" s="1" t="str">
        <f t="shared" si="14"/>
        <v/>
      </c>
      <c r="U62" s="1" t="str">
        <f t="shared" si="17"/>
        <v/>
      </c>
      <c r="V62" s="1" t="str">
        <f t="shared" si="16"/>
        <v/>
      </c>
      <c r="W62" s="1" t="str" cm="1">
        <f t="array" ref="W62">_xlfn.IFNA(_xlfn.IFNA(INDEX(競技会設定!$X$2:$AC$24,MATCH(INDEX(男子エントリー!$J$7:$AH$406,MATCH($G62&amp;RIGHT(W$1,1),男子エントリー!$AH$7:$AH$406,0),1),競技会設定!$AC$2:$AC$24,0),1),INDEX(競技会設定!$X$2:$AC$24,MATCH(INDEX(男子エントリー!$R$6:$V$406,MATCH($G62&amp;RIGHT(W$1,1),男子エントリー!$V$6:$V$406,0)-MATCH($G62&amp;RIGHT(W$1,1),男子エントリー!$V$6:$V$406,0)+1,1),競技会設定!$AC$2:$AC$24,0),1)),"")</f>
        <v/>
      </c>
      <c r="X62" s="1" t="str">
        <f>IF(W62=14,リレーエントリー!$I$12,_xlfn.IFNA(INDEX(男子エントリー!$J$7:$AH$406,MATCH($G62&amp;RIGHT(Y$1,1),男子エントリー!$AH$7:$AH$406,0),3),""))</f>
        <v/>
      </c>
      <c r="Y62" s="1" t="str">
        <f t="shared" si="0"/>
        <v/>
      </c>
      <c r="Z62" s="1" t="str">
        <f t="shared" si="1"/>
        <v/>
      </c>
      <c r="AA62" s="1" t="str">
        <f t="shared" si="2"/>
        <v/>
      </c>
      <c r="AB62" s="1" t="str" cm="1">
        <f t="array" ref="AB62">_xlfn.IFNA(_xlfn.IFNA(INDEX(競技会設定!$X$2:$AC$24,MATCH(INDEX(男子エントリー!$J$7:$AH$406,MATCH($G62&amp;RIGHT(AB$1,1),男子エントリー!$AH$7:$AH$406,0),1),競技会設定!$AC$2:$AC$24,0),1),INDEX(競技会設定!$X$2:$AC$24,MATCH(INDEX(男子エントリー!$R$6:$V$406,MATCH($G62&amp;RIGHT(AB$1,1),男子エントリー!$V$6:$V$406,0)-MATCH($G62&amp;RIGHT(AB$1,1),男子エントリー!$V$6:$V$406,0)+1,1),競技会設定!$AC$2:$AC$24,0),1)),"")</f>
        <v/>
      </c>
      <c r="AC62" s="1" t="str">
        <f>IF(AB62=14,リレーエントリー!$I$12,_xlfn.IFNA(INDEX(男子エントリー!$J$7:$AH$406,MATCH($G62&amp;RIGHT(AD$1,1),男子エントリー!$AH$7:$AH$406,0),3),""))</f>
        <v/>
      </c>
      <c r="AD62" s="1" t="str">
        <f t="shared" si="3"/>
        <v/>
      </c>
      <c r="AE62" s="1" t="str">
        <f t="shared" si="4"/>
        <v/>
      </c>
      <c r="AF62" s="1" t="str">
        <f t="shared" si="5"/>
        <v/>
      </c>
      <c r="AG62" s="1" t="str" cm="1">
        <f t="array" ref="AG62">_xlfn.IFNA(_xlfn.IFNA(INDEX(競技会設定!$X$2:$AC$24,MATCH(INDEX(男子エントリー!$J$7:$AH$406,MATCH($G62&amp;RIGHT(AG$1,1),男子エントリー!$AH$7:$AH$406,0),1),競技会設定!$AC$2:$AC$24,0),1),INDEX(競技会設定!$X$2:$AC$24,MATCH(INDEX(男子エントリー!$R$6:$V$406,MATCH($G62&amp;RIGHT(AG$1,1),男子エントリー!$V$6:$V$406,0)-MATCH($G62&amp;RIGHT(AG$1,1),男子エントリー!$V$6:$V$406,0)+1,1),競技会設定!$AC$2:$AC$24,0),1)),"")</f>
        <v/>
      </c>
      <c r="AH62" s="1" t="str">
        <f>IF(AG62=14,リレーエントリー!$I$12,_xlfn.IFNA(INDEX(男子エントリー!$J$7:$AH$406,MATCH($G62&amp;RIGHT(AI$1,1),男子エントリー!$AH$7:$AH$406,0),3),""))</f>
        <v/>
      </c>
      <c r="AI62" s="1" t="str">
        <f t="shared" si="6"/>
        <v/>
      </c>
      <c r="AJ62" s="1" t="str">
        <f t="shared" si="7"/>
        <v/>
      </c>
      <c r="AK62" s="1" t="str">
        <f t="shared" si="8"/>
        <v/>
      </c>
      <c r="AL62" s="1" t="str" cm="1">
        <f t="array" ref="AL62">_xlfn.IFNA(_xlfn.IFNA(INDEX(競技会設定!$X$2:$AC$24,MATCH(INDEX(男子エントリー!$J$7:$AH$406,MATCH($G62&amp;RIGHT(AL$1,1),男子エントリー!$AH$7:$AH$406,0),1),競技会設定!$AC$2:$AC$24,0),1),INDEX(競技会設定!$X$2:$AC$24,MATCH(INDEX(男子エントリー!$R$6:$V$406,MATCH($G62&amp;RIGHT(AL$1,1),男子エントリー!$V$6:$V$406,0)-MATCH($G62&amp;RIGHT(AL$1,1),男子エントリー!$V$6:$V$406,0)+1,1),競技会設定!$AC$2:$AC$24,0),1)),"")</f>
        <v/>
      </c>
      <c r="AM62" s="1" t="str">
        <f>IF(AL62=14,リレーエントリー!$I$12,_xlfn.IFNA(INDEX(男子エントリー!$J$7:$AH$406,MATCH($G62&amp;RIGHT(AN$1,1),男子エントリー!$AH$7:$AH$406,0),3),""))</f>
        <v/>
      </c>
      <c r="AN62" s="1" t="str">
        <f t="shared" si="9"/>
        <v/>
      </c>
      <c r="AO62" s="1" t="str">
        <f t="shared" si="10"/>
        <v/>
      </c>
      <c r="AP62" s="1" t="str">
        <f t="shared" si="11"/>
        <v/>
      </c>
    </row>
    <row r="63" spans="1:42">
      <c r="A63" s="1">
        <v>62</v>
      </c>
      <c r="B63" s="92" t="str">
        <f>男子エントリー!D251</f>
        <v/>
      </c>
      <c r="C63" s="1" t="str">
        <f>基本情報!$E$6</f>
        <v/>
      </c>
      <c r="D63" s="1" t="str">
        <f>基本情報!$E$7</f>
        <v/>
      </c>
      <c r="F63" s="92">
        <f>男子エントリー!C251</f>
        <v>0</v>
      </c>
      <c r="G63" s="92" t="str">
        <f>男子エントリー!E251</f>
        <v/>
      </c>
      <c r="H63" s="92" t="str">
        <f>男子エントリー!F251</f>
        <v/>
      </c>
      <c r="I63" s="1" t="str">
        <f t="shared" si="12"/>
        <v/>
      </c>
      <c r="J63" s="1" t="e">
        <f>LEFT(男子エントリー!E253,FIND(",",LEFT(男子エントリー!E253,LEN(男子エントリー!E253)-5))-1)&amp;LEFT(RIGHT(男子エントリー!E253,LEN(男子エントリー!E253)-FIND(",",男子エントリー!E253)),LEN(RIGHT(男子エントリー!E253,LEN(男子エントリー!E253)-FIND(",",男子エントリー!E253)))-5)</f>
        <v>#VALUE!</v>
      </c>
      <c r="K63" s="1" t="str">
        <f>男子エントリー!G253</f>
        <v/>
      </c>
      <c r="L63" s="1" t="str">
        <f t="shared" si="13"/>
        <v/>
      </c>
      <c r="M63" s="92" t="str">
        <f>男子エントリー!G251</f>
        <v/>
      </c>
      <c r="N63" s="92" t="e">
        <f>MID(男子エントリー!E253,FIND("(",男子エントリー!E253)+1,2)</f>
        <v>#VALUE!</v>
      </c>
      <c r="O63" s="1">
        <v>0</v>
      </c>
      <c r="P63" s="92" t="e">
        <f>VLOOKUP(男子エントリー!G252,競技会設定!$F$3:$I$50,2,0)</f>
        <v>#N/A</v>
      </c>
      <c r="R63" s="1" t="str" cm="1">
        <f t="array" ref="R63">_xlfn.IFNA(_xlfn.IFNA(INDEX(競技会設定!$X$2:$AC$24,MATCH(INDEX(男子エントリー!$J$7:$AH$406,MATCH($G63&amp;RIGHT(R$1,1),男子エントリー!$AH$7:$AH$406,0),1),競技会設定!$AC$2:$AC$24,0),1),INDEX(競技会設定!$X$2:$AC$24,MATCH(INDEX(男子エントリー!$R$6:$V$406,MATCH($G63&amp;RIGHT(R$1,1),男子エントリー!$V$6:$V$406,0)-MATCH($G63&amp;RIGHT(R$1,1),男子エントリー!$V$6:$V$406,0)+1,1),競技会設定!$AC$2:$AC$24,0),1)),"")</f>
        <v/>
      </c>
      <c r="S63" s="1" t="str">
        <f>IF(R63=14,リレーエントリー!$I$12,_xlfn.IFNA(INDEX(男子エントリー!$J$7:$AH$406,MATCH($G63&amp;RIGHT(T$1,1),男子エントリー!$AH$7:$AH$406,0),3),""))</f>
        <v/>
      </c>
      <c r="T63" s="1" t="str">
        <f t="shared" si="14"/>
        <v/>
      </c>
      <c r="U63" s="1" t="str">
        <f t="shared" si="17"/>
        <v/>
      </c>
      <c r="V63" s="1" t="str">
        <f t="shared" si="16"/>
        <v/>
      </c>
      <c r="W63" s="1" t="str" cm="1">
        <f t="array" ref="W63">_xlfn.IFNA(_xlfn.IFNA(INDEX(競技会設定!$X$2:$AC$24,MATCH(INDEX(男子エントリー!$J$7:$AH$406,MATCH($G63&amp;RIGHT(W$1,1),男子エントリー!$AH$7:$AH$406,0),1),競技会設定!$AC$2:$AC$24,0),1),INDEX(競技会設定!$X$2:$AC$24,MATCH(INDEX(男子エントリー!$R$6:$V$406,MATCH($G63&amp;RIGHT(W$1,1),男子エントリー!$V$6:$V$406,0)-MATCH($G63&amp;RIGHT(W$1,1),男子エントリー!$V$6:$V$406,0)+1,1),競技会設定!$AC$2:$AC$24,0),1)),"")</f>
        <v/>
      </c>
      <c r="X63" s="1" t="str">
        <f>IF(W63=14,リレーエントリー!$I$12,_xlfn.IFNA(INDEX(男子エントリー!$J$7:$AH$406,MATCH($G63&amp;RIGHT(Y$1,1),男子エントリー!$AH$7:$AH$406,0),3),""))</f>
        <v/>
      </c>
      <c r="Y63" s="1" t="str">
        <f t="shared" si="0"/>
        <v/>
      </c>
      <c r="Z63" s="1" t="str">
        <f t="shared" si="1"/>
        <v/>
      </c>
      <c r="AA63" s="1" t="str">
        <f t="shared" si="2"/>
        <v/>
      </c>
      <c r="AB63" s="1" t="str" cm="1">
        <f t="array" ref="AB63">_xlfn.IFNA(_xlfn.IFNA(INDEX(競技会設定!$X$2:$AC$24,MATCH(INDEX(男子エントリー!$J$7:$AH$406,MATCH($G63&amp;RIGHT(AB$1,1),男子エントリー!$AH$7:$AH$406,0),1),競技会設定!$AC$2:$AC$24,0),1),INDEX(競技会設定!$X$2:$AC$24,MATCH(INDEX(男子エントリー!$R$6:$V$406,MATCH($G63&amp;RIGHT(AB$1,1),男子エントリー!$V$6:$V$406,0)-MATCH($G63&amp;RIGHT(AB$1,1),男子エントリー!$V$6:$V$406,0)+1,1),競技会設定!$AC$2:$AC$24,0),1)),"")</f>
        <v/>
      </c>
      <c r="AC63" s="1" t="str">
        <f>IF(AB63=14,リレーエントリー!$I$12,_xlfn.IFNA(INDEX(男子エントリー!$J$7:$AH$406,MATCH($G63&amp;RIGHT(AD$1,1),男子エントリー!$AH$7:$AH$406,0),3),""))</f>
        <v/>
      </c>
      <c r="AD63" s="1" t="str">
        <f t="shared" si="3"/>
        <v/>
      </c>
      <c r="AE63" s="1" t="str">
        <f t="shared" si="4"/>
        <v/>
      </c>
      <c r="AF63" s="1" t="str">
        <f t="shared" si="5"/>
        <v/>
      </c>
      <c r="AG63" s="1" t="str" cm="1">
        <f t="array" ref="AG63">_xlfn.IFNA(_xlfn.IFNA(INDEX(競技会設定!$X$2:$AC$24,MATCH(INDEX(男子エントリー!$J$7:$AH$406,MATCH($G63&amp;RIGHT(AG$1,1),男子エントリー!$AH$7:$AH$406,0),1),競技会設定!$AC$2:$AC$24,0),1),INDEX(競技会設定!$X$2:$AC$24,MATCH(INDEX(男子エントリー!$R$6:$V$406,MATCH($G63&amp;RIGHT(AG$1,1),男子エントリー!$V$6:$V$406,0)-MATCH($G63&amp;RIGHT(AG$1,1),男子エントリー!$V$6:$V$406,0)+1,1),競技会設定!$AC$2:$AC$24,0),1)),"")</f>
        <v/>
      </c>
      <c r="AH63" s="1" t="str">
        <f>IF(AG63=14,リレーエントリー!$I$12,_xlfn.IFNA(INDEX(男子エントリー!$J$7:$AH$406,MATCH($G63&amp;RIGHT(AI$1,1),男子エントリー!$AH$7:$AH$406,0),3),""))</f>
        <v/>
      </c>
      <c r="AI63" s="1" t="str">
        <f t="shared" si="6"/>
        <v/>
      </c>
      <c r="AJ63" s="1" t="str">
        <f t="shared" si="7"/>
        <v/>
      </c>
      <c r="AK63" s="1" t="str">
        <f t="shared" si="8"/>
        <v/>
      </c>
      <c r="AL63" s="1" t="str" cm="1">
        <f t="array" ref="AL63">_xlfn.IFNA(_xlfn.IFNA(INDEX(競技会設定!$X$2:$AC$24,MATCH(INDEX(男子エントリー!$J$7:$AH$406,MATCH($G63&amp;RIGHT(AL$1,1),男子エントリー!$AH$7:$AH$406,0),1),競技会設定!$AC$2:$AC$24,0),1),INDEX(競技会設定!$X$2:$AC$24,MATCH(INDEX(男子エントリー!$R$6:$V$406,MATCH($G63&amp;RIGHT(AL$1,1),男子エントリー!$V$6:$V$406,0)-MATCH($G63&amp;RIGHT(AL$1,1),男子エントリー!$V$6:$V$406,0)+1,1),競技会設定!$AC$2:$AC$24,0),1)),"")</f>
        <v/>
      </c>
      <c r="AM63" s="1" t="str">
        <f>IF(AL63=14,リレーエントリー!$I$12,_xlfn.IFNA(INDEX(男子エントリー!$J$7:$AH$406,MATCH($G63&amp;RIGHT(AN$1,1),男子エントリー!$AH$7:$AH$406,0),3),""))</f>
        <v/>
      </c>
      <c r="AN63" s="1" t="str">
        <f t="shared" si="9"/>
        <v/>
      </c>
      <c r="AO63" s="1" t="str">
        <f t="shared" si="10"/>
        <v/>
      </c>
      <c r="AP63" s="1" t="str">
        <f t="shared" si="11"/>
        <v/>
      </c>
    </row>
    <row r="64" spans="1:42">
      <c r="A64" s="1">
        <v>63</v>
      </c>
      <c r="B64" s="92" t="str">
        <f>男子エントリー!D255</f>
        <v/>
      </c>
      <c r="C64" s="1" t="str">
        <f>基本情報!$E$6</f>
        <v/>
      </c>
      <c r="D64" s="1" t="str">
        <f>基本情報!$E$7</f>
        <v/>
      </c>
      <c r="F64" s="92">
        <f>男子エントリー!C255</f>
        <v>0</v>
      </c>
      <c r="G64" s="92" t="str">
        <f>男子エントリー!E255</f>
        <v/>
      </c>
      <c r="H64" s="92" t="str">
        <f>男子エントリー!F255</f>
        <v/>
      </c>
      <c r="I64" s="1" t="str">
        <f t="shared" si="12"/>
        <v/>
      </c>
      <c r="J64" s="1" t="e">
        <f>LEFT(男子エントリー!E257,FIND(",",LEFT(男子エントリー!E257,LEN(男子エントリー!E257)-5))-1)&amp;LEFT(RIGHT(男子エントリー!E257,LEN(男子エントリー!E257)-FIND(",",男子エントリー!E257)),LEN(RIGHT(男子エントリー!E257,LEN(男子エントリー!E257)-FIND(",",男子エントリー!E257)))-5)</f>
        <v>#VALUE!</v>
      </c>
      <c r="K64" s="1" t="str">
        <f>男子エントリー!G257</f>
        <v/>
      </c>
      <c r="L64" s="1" t="str">
        <f t="shared" si="13"/>
        <v/>
      </c>
      <c r="M64" s="92" t="str">
        <f>男子エントリー!G255</f>
        <v/>
      </c>
      <c r="N64" s="92" t="e">
        <f>MID(男子エントリー!E257,FIND("(",男子エントリー!E257)+1,2)</f>
        <v>#VALUE!</v>
      </c>
      <c r="O64" s="1">
        <v>0</v>
      </c>
      <c r="P64" s="92" t="e">
        <f>VLOOKUP(男子エントリー!G256,競技会設定!$F$3:$I$50,2,0)</f>
        <v>#N/A</v>
      </c>
      <c r="R64" s="1" t="str" cm="1">
        <f t="array" ref="R64">_xlfn.IFNA(_xlfn.IFNA(INDEX(競技会設定!$X$2:$AC$24,MATCH(INDEX(男子エントリー!$J$7:$AH$406,MATCH($G64&amp;RIGHT(R$1,1),男子エントリー!$AH$7:$AH$406,0),1),競技会設定!$AC$2:$AC$24,0),1),INDEX(競技会設定!$X$2:$AC$24,MATCH(INDEX(男子エントリー!$R$6:$V$406,MATCH($G64&amp;RIGHT(R$1,1),男子エントリー!$V$6:$V$406,0)-MATCH($G64&amp;RIGHT(R$1,1),男子エントリー!$V$6:$V$406,0)+1,1),競技会設定!$AC$2:$AC$24,0),1)),"")</f>
        <v/>
      </c>
      <c r="S64" s="1" t="str">
        <f>IF(R64=14,リレーエントリー!$I$12,_xlfn.IFNA(INDEX(男子エントリー!$J$7:$AH$406,MATCH($G64&amp;RIGHT(T$1,1),男子エントリー!$AH$7:$AH$406,0),3),""))</f>
        <v/>
      </c>
      <c r="T64" s="1" t="str">
        <f t="shared" si="14"/>
        <v/>
      </c>
      <c r="U64" s="1" t="str">
        <f t="shared" si="17"/>
        <v/>
      </c>
      <c r="V64" s="1" t="str">
        <f t="shared" si="16"/>
        <v/>
      </c>
      <c r="W64" s="1" t="str" cm="1">
        <f t="array" ref="W64">_xlfn.IFNA(_xlfn.IFNA(INDEX(競技会設定!$X$2:$AC$24,MATCH(INDEX(男子エントリー!$J$7:$AH$406,MATCH($G64&amp;RIGHT(W$1,1),男子エントリー!$AH$7:$AH$406,0),1),競技会設定!$AC$2:$AC$24,0),1),INDEX(競技会設定!$X$2:$AC$24,MATCH(INDEX(男子エントリー!$R$6:$V$406,MATCH($G64&amp;RIGHT(W$1,1),男子エントリー!$V$6:$V$406,0)-MATCH($G64&amp;RIGHT(W$1,1),男子エントリー!$V$6:$V$406,0)+1,1),競技会設定!$AC$2:$AC$24,0),1)),"")</f>
        <v/>
      </c>
      <c r="X64" s="1" t="str">
        <f>IF(W64=14,リレーエントリー!$I$12,_xlfn.IFNA(INDEX(男子エントリー!$J$7:$AH$406,MATCH($G64&amp;RIGHT(Y$1,1),男子エントリー!$AH$7:$AH$406,0),3),""))</f>
        <v/>
      </c>
      <c r="Y64" s="1" t="str">
        <f t="shared" si="0"/>
        <v/>
      </c>
      <c r="Z64" s="1" t="str">
        <f t="shared" si="1"/>
        <v/>
      </c>
      <c r="AA64" s="1" t="str">
        <f t="shared" si="2"/>
        <v/>
      </c>
      <c r="AB64" s="1" t="str" cm="1">
        <f t="array" ref="AB64">_xlfn.IFNA(_xlfn.IFNA(INDEX(競技会設定!$X$2:$AC$24,MATCH(INDEX(男子エントリー!$J$7:$AH$406,MATCH($G64&amp;RIGHT(AB$1,1),男子エントリー!$AH$7:$AH$406,0),1),競技会設定!$AC$2:$AC$24,0),1),INDEX(競技会設定!$X$2:$AC$24,MATCH(INDEX(男子エントリー!$R$6:$V$406,MATCH($G64&amp;RIGHT(AB$1,1),男子エントリー!$V$6:$V$406,0)-MATCH($G64&amp;RIGHT(AB$1,1),男子エントリー!$V$6:$V$406,0)+1,1),競技会設定!$AC$2:$AC$24,0),1)),"")</f>
        <v/>
      </c>
      <c r="AC64" s="1" t="str">
        <f>IF(AB64=14,リレーエントリー!$I$12,_xlfn.IFNA(INDEX(男子エントリー!$J$7:$AH$406,MATCH($G64&amp;RIGHT(AD$1,1),男子エントリー!$AH$7:$AH$406,0),3),""))</f>
        <v/>
      </c>
      <c r="AD64" s="1" t="str">
        <f t="shared" si="3"/>
        <v/>
      </c>
      <c r="AE64" s="1" t="str">
        <f t="shared" si="4"/>
        <v/>
      </c>
      <c r="AF64" s="1" t="str">
        <f t="shared" si="5"/>
        <v/>
      </c>
      <c r="AG64" s="1" t="str" cm="1">
        <f t="array" ref="AG64">_xlfn.IFNA(_xlfn.IFNA(INDEX(競技会設定!$X$2:$AC$24,MATCH(INDEX(男子エントリー!$J$7:$AH$406,MATCH($G64&amp;RIGHT(AG$1,1),男子エントリー!$AH$7:$AH$406,0),1),競技会設定!$AC$2:$AC$24,0),1),INDEX(競技会設定!$X$2:$AC$24,MATCH(INDEX(男子エントリー!$R$6:$V$406,MATCH($G64&amp;RIGHT(AG$1,1),男子エントリー!$V$6:$V$406,0)-MATCH($G64&amp;RIGHT(AG$1,1),男子エントリー!$V$6:$V$406,0)+1,1),競技会設定!$AC$2:$AC$24,0),1)),"")</f>
        <v/>
      </c>
      <c r="AH64" s="1" t="str">
        <f>IF(AG64=14,リレーエントリー!$I$12,_xlfn.IFNA(INDEX(男子エントリー!$J$7:$AH$406,MATCH($G64&amp;RIGHT(AI$1,1),男子エントリー!$AH$7:$AH$406,0),3),""))</f>
        <v/>
      </c>
      <c r="AI64" s="1" t="str">
        <f t="shared" si="6"/>
        <v/>
      </c>
      <c r="AJ64" s="1" t="str">
        <f t="shared" si="7"/>
        <v/>
      </c>
      <c r="AK64" s="1" t="str">
        <f t="shared" si="8"/>
        <v/>
      </c>
      <c r="AL64" s="1" t="str" cm="1">
        <f t="array" ref="AL64">_xlfn.IFNA(_xlfn.IFNA(INDEX(競技会設定!$X$2:$AC$24,MATCH(INDEX(男子エントリー!$J$7:$AH$406,MATCH($G64&amp;RIGHT(AL$1,1),男子エントリー!$AH$7:$AH$406,0),1),競技会設定!$AC$2:$AC$24,0),1),INDEX(競技会設定!$X$2:$AC$24,MATCH(INDEX(男子エントリー!$R$6:$V$406,MATCH($G64&amp;RIGHT(AL$1,1),男子エントリー!$V$6:$V$406,0)-MATCH($G64&amp;RIGHT(AL$1,1),男子エントリー!$V$6:$V$406,0)+1,1),競技会設定!$AC$2:$AC$24,0),1)),"")</f>
        <v/>
      </c>
      <c r="AM64" s="1" t="str">
        <f>IF(AL64=14,リレーエントリー!$I$12,_xlfn.IFNA(INDEX(男子エントリー!$J$7:$AH$406,MATCH($G64&amp;RIGHT(AN$1,1),男子エントリー!$AH$7:$AH$406,0),3),""))</f>
        <v/>
      </c>
      <c r="AN64" s="1" t="str">
        <f t="shared" si="9"/>
        <v/>
      </c>
      <c r="AO64" s="1" t="str">
        <f t="shared" si="10"/>
        <v/>
      </c>
      <c r="AP64" s="1" t="str">
        <f t="shared" si="11"/>
        <v/>
      </c>
    </row>
    <row r="65" spans="1:42">
      <c r="A65" s="1">
        <v>64</v>
      </c>
      <c r="B65" s="92" t="str">
        <f>男子エントリー!D259</f>
        <v/>
      </c>
      <c r="C65" s="1" t="str">
        <f>基本情報!$E$6</f>
        <v/>
      </c>
      <c r="D65" s="1" t="str">
        <f>基本情報!$E$7</f>
        <v/>
      </c>
      <c r="F65" s="92">
        <f>男子エントリー!C259</f>
        <v>0</v>
      </c>
      <c r="G65" s="92" t="str">
        <f>男子エントリー!E259</f>
        <v/>
      </c>
      <c r="H65" s="92" t="str">
        <f>男子エントリー!F259</f>
        <v/>
      </c>
      <c r="I65" s="1" t="str">
        <f t="shared" si="12"/>
        <v/>
      </c>
      <c r="J65" s="1" t="e">
        <f>LEFT(男子エントリー!E261,FIND(",",LEFT(男子エントリー!E261,LEN(男子エントリー!E261)-5))-1)&amp;LEFT(RIGHT(男子エントリー!E261,LEN(男子エントリー!E261)-FIND(",",男子エントリー!E261)),LEN(RIGHT(男子エントリー!E261,LEN(男子エントリー!E261)-FIND(",",男子エントリー!E261)))-5)</f>
        <v>#VALUE!</v>
      </c>
      <c r="K65" s="1" t="str">
        <f>男子エントリー!G261</f>
        <v/>
      </c>
      <c r="L65" s="1" t="str">
        <f t="shared" si="13"/>
        <v/>
      </c>
      <c r="M65" s="92" t="str">
        <f>男子エントリー!G259</f>
        <v/>
      </c>
      <c r="N65" s="92" t="e">
        <f>MID(男子エントリー!E261,FIND("(",男子エントリー!E261)+1,2)</f>
        <v>#VALUE!</v>
      </c>
      <c r="O65" s="1">
        <v>0</v>
      </c>
      <c r="P65" s="92" t="e">
        <f>VLOOKUP(男子エントリー!G260,競技会設定!$F$3:$I$50,2,0)</f>
        <v>#N/A</v>
      </c>
      <c r="R65" s="1" t="str" cm="1">
        <f t="array" ref="R65">_xlfn.IFNA(_xlfn.IFNA(INDEX(競技会設定!$X$2:$AC$24,MATCH(INDEX(男子エントリー!$J$7:$AH$406,MATCH($G65&amp;RIGHT(R$1,1),男子エントリー!$AH$7:$AH$406,0),1),競技会設定!$AC$2:$AC$24,0),1),INDEX(競技会設定!$X$2:$AC$24,MATCH(INDEX(男子エントリー!$R$6:$V$406,MATCH($G65&amp;RIGHT(R$1,1),男子エントリー!$V$6:$V$406,0)-MATCH($G65&amp;RIGHT(R$1,1),男子エントリー!$V$6:$V$406,0)+1,1),競技会設定!$AC$2:$AC$24,0),1)),"")</f>
        <v/>
      </c>
      <c r="S65" s="1" t="str">
        <f>IF(R65=14,リレーエントリー!$I$12,_xlfn.IFNA(INDEX(男子エントリー!$J$7:$AH$406,MATCH($G65&amp;RIGHT(T$1,1),男子エントリー!$AH$7:$AH$406,0),3),""))</f>
        <v/>
      </c>
      <c r="T65" s="1" t="str">
        <f t="shared" si="14"/>
        <v/>
      </c>
      <c r="U65" s="1" t="str">
        <f t="shared" si="17"/>
        <v/>
      </c>
      <c r="V65" s="1" t="str">
        <f t="shared" si="16"/>
        <v/>
      </c>
      <c r="W65" s="1" t="str" cm="1">
        <f t="array" ref="W65">_xlfn.IFNA(_xlfn.IFNA(INDEX(競技会設定!$X$2:$AC$24,MATCH(INDEX(男子エントリー!$J$7:$AH$406,MATCH($G65&amp;RIGHT(W$1,1),男子エントリー!$AH$7:$AH$406,0),1),競技会設定!$AC$2:$AC$24,0),1),INDEX(競技会設定!$X$2:$AC$24,MATCH(INDEX(男子エントリー!$R$6:$V$406,MATCH($G65&amp;RIGHT(W$1,1),男子エントリー!$V$6:$V$406,0)-MATCH($G65&amp;RIGHT(W$1,1),男子エントリー!$V$6:$V$406,0)+1,1),競技会設定!$AC$2:$AC$24,0),1)),"")</f>
        <v/>
      </c>
      <c r="X65" s="1" t="str">
        <f>IF(W65=14,リレーエントリー!$I$12,_xlfn.IFNA(INDEX(男子エントリー!$J$7:$AH$406,MATCH($G65&amp;RIGHT(Y$1,1),男子エントリー!$AH$7:$AH$406,0),3),""))</f>
        <v/>
      </c>
      <c r="Y65" s="1" t="str">
        <f t="shared" si="0"/>
        <v/>
      </c>
      <c r="Z65" s="1" t="str">
        <f t="shared" si="1"/>
        <v/>
      </c>
      <c r="AA65" s="1" t="str">
        <f t="shared" si="2"/>
        <v/>
      </c>
      <c r="AB65" s="1" t="str" cm="1">
        <f t="array" ref="AB65">_xlfn.IFNA(_xlfn.IFNA(INDEX(競技会設定!$X$2:$AC$24,MATCH(INDEX(男子エントリー!$J$7:$AH$406,MATCH($G65&amp;RIGHT(AB$1,1),男子エントリー!$AH$7:$AH$406,0),1),競技会設定!$AC$2:$AC$24,0),1),INDEX(競技会設定!$X$2:$AC$24,MATCH(INDEX(男子エントリー!$R$6:$V$406,MATCH($G65&amp;RIGHT(AB$1,1),男子エントリー!$V$6:$V$406,0)-MATCH($G65&amp;RIGHT(AB$1,1),男子エントリー!$V$6:$V$406,0)+1,1),競技会設定!$AC$2:$AC$24,0),1)),"")</f>
        <v/>
      </c>
      <c r="AC65" s="1" t="str">
        <f>IF(AB65=14,リレーエントリー!$I$12,_xlfn.IFNA(INDEX(男子エントリー!$J$7:$AH$406,MATCH($G65&amp;RIGHT(AD$1,1),男子エントリー!$AH$7:$AH$406,0),3),""))</f>
        <v/>
      </c>
      <c r="AD65" s="1" t="str">
        <f t="shared" si="3"/>
        <v/>
      </c>
      <c r="AE65" s="1" t="str">
        <f t="shared" si="4"/>
        <v/>
      </c>
      <c r="AF65" s="1" t="str">
        <f t="shared" si="5"/>
        <v/>
      </c>
      <c r="AG65" s="1" t="str" cm="1">
        <f t="array" ref="AG65">_xlfn.IFNA(_xlfn.IFNA(INDEX(競技会設定!$X$2:$AC$24,MATCH(INDEX(男子エントリー!$J$7:$AH$406,MATCH($G65&amp;RIGHT(AG$1,1),男子エントリー!$AH$7:$AH$406,0),1),競技会設定!$AC$2:$AC$24,0),1),INDEX(競技会設定!$X$2:$AC$24,MATCH(INDEX(男子エントリー!$R$6:$V$406,MATCH($G65&amp;RIGHT(AG$1,1),男子エントリー!$V$6:$V$406,0)-MATCH($G65&amp;RIGHT(AG$1,1),男子エントリー!$V$6:$V$406,0)+1,1),競技会設定!$AC$2:$AC$24,0),1)),"")</f>
        <v/>
      </c>
      <c r="AH65" s="1" t="str">
        <f>IF(AG65=14,リレーエントリー!$I$12,_xlfn.IFNA(INDEX(男子エントリー!$J$7:$AH$406,MATCH($G65&amp;RIGHT(AI$1,1),男子エントリー!$AH$7:$AH$406,0),3),""))</f>
        <v/>
      </c>
      <c r="AI65" s="1" t="str">
        <f t="shared" si="6"/>
        <v/>
      </c>
      <c r="AJ65" s="1" t="str">
        <f t="shared" si="7"/>
        <v/>
      </c>
      <c r="AK65" s="1" t="str">
        <f t="shared" si="8"/>
        <v/>
      </c>
      <c r="AL65" s="1" t="str" cm="1">
        <f t="array" ref="AL65">_xlfn.IFNA(_xlfn.IFNA(INDEX(競技会設定!$X$2:$AC$24,MATCH(INDEX(男子エントリー!$J$7:$AH$406,MATCH($G65&amp;RIGHT(AL$1,1),男子エントリー!$AH$7:$AH$406,0),1),競技会設定!$AC$2:$AC$24,0),1),INDEX(競技会設定!$X$2:$AC$24,MATCH(INDEX(男子エントリー!$R$6:$V$406,MATCH($G65&amp;RIGHT(AL$1,1),男子エントリー!$V$6:$V$406,0)-MATCH($G65&amp;RIGHT(AL$1,1),男子エントリー!$V$6:$V$406,0)+1,1),競技会設定!$AC$2:$AC$24,0),1)),"")</f>
        <v/>
      </c>
      <c r="AM65" s="1" t="str">
        <f>IF(AL65=14,リレーエントリー!$I$12,_xlfn.IFNA(INDEX(男子エントリー!$J$7:$AH$406,MATCH($G65&amp;RIGHT(AN$1,1),男子エントリー!$AH$7:$AH$406,0),3),""))</f>
        <v/>
      </c>
      <c r="AN65" s="1" t="str">
        <f t="shared" si="9"/>
        <v/>
      </c>
      <c r="AO65" s="1" t="str">
        <f t="shared" si="10"/>
        <v/>
      </c>
      <c r="AP65" s="1" t="str">
        <f t="shared" si="11"/>
        <v/>
      </c>
    </row>
    <row r="66" spans="1:42">
      <c r="A66" s="1">
        <v>65</v>
      </c>
      <c r="B66" s="92" t="str">
        <f>男子エントリー!D263</f>
        <v/>
      </c>
      <c r="C66" s="1" t="str">
        <f>基本情報!$E$6</f>
        <v/>
      </c>
      <c r="D66" s="1" t="str">
        <f>基本情報!$E$7</f>
        <v/>
      </c>
      <c r="F66" s="92">
        <f>男子エントリー!C263</f>
        <v>0</v>
      </c>
      <c r="G66" s="92" t="str">
        <f>男子エントリー!E263</f>
        <v/>
      </c>
      <c r="H66" s="92" t="str">
        <f>男子エントリー!F263</f>
        <v/>
      </c>
      <c r="I66" s="1" t="str">
        <f t="shared" si="12"/>
        <v/>
      </c>
      <c r="J66" s="1" t="e">
        <f>LEFT(男子エントリー!E265,FIND(",",LEFT(男子エントリー!E265,LEN(男子エントリー!E265)-5))-1)&amp;LEFT(RIGHT(男子エントリー!E265,LEN(男子エントリー!E265)-FIND(",",男子エントリー!E265)),LEN(RIGHT(男子エントリー!E265,LEN(男子エントリー!E265)-FIND(",",男子エントリー!E265)))-5)</f>
        <v>#VALUE!</v>
      </c>
      <c r="K66" s="1" t="str">
        <f>男子エントリー!G265</f>
        <v/>
      </c>
      <c r="L66" s="1" t="str">
        <f t="shared" si="13"/>
        <v/>
      </c>
      <c r="M66" s="92" t="str">
        <f>男子エントリー!G263</f>
        <v/>
      </c>
      <c r="N66" s="92" t="e">
        <f>MID(男子エントリー!E265,FIND("(",男子エントリー!E265)+1,2)</f>
        <v>#VALUE!</v>
      </c>
      <c r="O66" s="1">
        <v>0</v>
      </c>
      <c r="P66" s="92" t="e">
        <f>VLOOKUP(男子エントリー!G264,競技会設定!$F$3:$I$50,2,0)</f>
        <v>#N/A</v>
      </c>
      <c r="R66" s="1" t="str" cm="1">
        <f t="array" ref="R66">_xlfn.IFNA(_xlfn.IFNA(INDEX(競技会設定!$X$2:$AC$24,MATCH(INDEX(男子エントリー!$J$7:$AH$406,MATCH($G66&amp;RIGHT(R$1,1),男子エントリー!$AH$7:$AH$406,0),1),競技会設定!$AC$2:$AC$24,0),1),INDEX(競技会設定!$X$2:$AC$24,MATCH(INDEX(男子エントリー!$R$6:$V$406,MATCH($G66&amp;RIGHT(R$1,1),男子エントリー!$V$6:$V$406,0)-MATCH($G66&amp;RIGHT(R$1,1),男子エントリー!$V$6:$V$406,0)+1,1),競技会設定!$AC$2:$AC$24,0),1)),"")</f>
        <v/>
      </c>
      <c r="S66" s="1" t="str">
        <f>IF(R66=14,リレーエントリー!$I$12,_xlfn.IFNA(INDEX(男子エントリー!$J$7:$AH$406,MATCH($G66&amp;RIGHT(T$1,1),男子エントリー!$AH$7:$AH$406,0),3),""))</f>
        <v/>
      </c>
      <c r="T66" s="1" t="str">
        <f t="shared" si="14"/>
        <v/>
      </c>
      <c r="U66" s="1" t="str">
        <f t="shared" si="17"/>
        <v/>
      </c>
      <c r="V66" s="1" t="str">
        <f t="shared" si="16"/>
        <v/>
      </c>
      <c r="W66" s="1" t="str" cm="1">
        <f t="array" ref="W66">_xlfn.IFNA(_xlfn.IFNA(INDEX(競技会設定!$X$2:$AC$24,MATCH(INDEX(男子エントリー!$J$7:$AH$406,MATCH($G66&amp;RIGHT(W$1,1),男子エントリー!$AH$7:$AH$406,0),1),競技会設定!$AC$2:$AC$24,0),1),INDEX(競技会設定!$X$2:$AC$24,MATCH(INDEX(男子エントリー!$R$6:$V$406,MATCH($G66&amp;RIGHT(W$1,1),男子エントリー!$V$6:$V$406,0)-MATCH($G66&amp;RIGHT(W$1,1),男子エントリー!$V$6:$V$406,0)+1,1),競技会設定!$AC$2:$AC$24,0),1)),"")</f>
        <v/>
      </c>
      <c r="X66" s="1" t="str">
        <f>IF(W66=14,リレーエントリー!$I$12,_xlfn.IFNA(INDEX(男子エントリー!$J$7:$AH$406,MATCH($G66&amp;RIGHT(Y$1,1),男子エントリー!$AH$7:$AH$406,0),3),""))</f>
        <v/>
      </c>
      <c r="Y66" s="1" t="str">
        <f t="shared" ref="Y66:Y101" si="18">IFERROR(IF(X66=0,"",IF(W66=23,X66,IF(W66&gt;14,INT(X66/100)&amp;"m"&amp;TEXT(RIGHT(X66,2),"00"),IF(X66&gt;5999,INT(X66/10000)&amp;"."&amp;TEXT(INT(MOD(X66,10000)/100),"00")&amp;"."&amp;TEXT(MOD(X66,100),"00")&amp;"0",INT(X66/100)&amp;"."&amp;TEXT(MOD(X66,100),"00"))))),"")</f>
        <v/>
      </c>
      <c r="Z66" s="1" t="str">
        <f t="shared" ref="Z66:Z101" si="19">IF(W66="","",0)</f>
        <v/>
      </c>
      <c r="AA66" s="1" t="str">
        <f t="shared" ref="AA66:AA101" si="20">_xlfn.IFNA(IF(X66="","",IF(X66&gt;0,2,"")),"")</f>
        <v/>
      </c>
      <c r="AB66" s="1" t="str" cm="1">
        <f t="array" ref="AB66">_xlfn.IFNA(_xlfn.IFNA(INDEX(競技会設定!$X$2:$AC$24,MATCH(INDEX(男子エントリー!$J$7:$AH$406,MATCH($G66&amp;RIGHT(AB$1,1),男子エントリー!$AH$7:$AH$406,0),1),競技会設定!$AC$2:$AC$24,0),1),INDEX(競技会設定!$X$2:$AC$24,MATCH(INDEX(男子エントリー!$R$6:$V$406,MATCH($G66&amp;RIGHT(AB$1,1),男子エントリー!$V$6:$V$406,0)-MATCH($G66&amp;RIGHT(AB$1,1),男子エントリー!$V$6:$V$406,0)+1,1),競技会設定!$AC$2:$AC$24,0),1)),"")</f>
        <v/>
      </c>
      <c r="AC66" s="1" t="str">
        <f>IF(AB66=14,リレーエントリー!$I$12,_xlfn.IFNA(INDEX(男子エントリー!$J$7:$AH$406,MATCH($G66&amp;RIGHT(AD$1,1),男子エントリー!$AH$7:$AH$406,0),3),""))</f>
        <v/>
      </c>
      <c r="AD66" s="1" t="str">
        <f t="shared" ref="AD66:AD101" si="21">IFERROR(IF(AC66=0,"",IF(AB66=23,AC66,IF(AB66&gt;14,INT(AC66/100)&amp;"m"&amp;TEXT(RIGHT(AC66,2),"00"),IF(AC66&gt;5999,INT(AC66/10000)&amp;"."&amp;TEXT(INT(MOD(AC66,10000)/100),"00")&amp;"."&amp;TEXT(MOD(AC66,100),"00")&amp;"0",INT(AC66/100)&amp;"."&amp;TEXT(MOD(AC66,100),"00"))))),"")</f>
        <v/>
      </c>
      <c r="AE66" s="1" t="str">
        <f t="shared" ref="AE66:AE101" si="22">IF(AB66="","",0)</f>
        <v/>
      </c>
      <c r="AF66" s="1" t="str">
        <f t="shared" ref="AF66:AF101" si="23">_xlfn.IFNA(IF(AC66="","",IF(AC66&gt;0,2,"")),"")</f>
        <v/>
      </c>
      <c r="AG66" s="1" t="str" cm="1">
        <f t="array" ref="AG66">_xlfn.IFNA(_xlfn.IFNA(INDEX(競技会設定!$X$2:$AC$24,MATCH(INDEX(男子エントリー!$J$7:$AH$406,MATCH($G66&amp;RIGHT(AG$1,1),男子エントリー!$AH$7:$AH$406,0),1),競技会設定!$AC$2:$AC$24,0),1),INDEX(競技会設定!$X$2:$AC$24,MATCH(INDEX(男子エントリー!$R$6:$V$406,MATCH($G66&amp;RIGHT(AG$1,1),男子エントリー!$V$6:$V$406,0)-MATCH($G66&amp;RIGHT(AG$1,1),男子エントリー!$V$6:$V$406,0)+1,1),競技会設定!$AC$2:$AC$24,0),1)),"")</f>
        <v/>
      </c>
      <c r="AH66" s="1" t="str">
        <f>IF(AG66=14,リレーエントリー!$I$12,_xlfn.IFNA(INDEX(男子エントリー!$J$7:$AH$406,MATCH($G66&amp;RIGHT(AI$1,1),男子エントリー!$AH$7:$AH$406,0),3),""))</f>
        <v/>
      </c>
      <c r="AI66" s="1" t="str">
        <f t="shared" ref="AI66:AI101" si="24">IFERROR(IF(AH66=0,"",IF(AG66=23,AH66,IF(AG66&gt;14,INT(AH66/100)&amp;"m"&amp;TEXT(RIGHT(AH66,2),"00"),IF(AH66&gt;5999,INT(AH66/10000)&amp;"."&amp;TEXT(INT(MOD(AH66,10000)/100),"00")&amp;"."&amp;TEXT(MOD(AH66,100),"00")&amp;"0",INT(AH66/100)&amp;"."&amp;TEXT(MOD(AH66,100),"00"))))),"")</f>
        <v/>
      </c>
      <c r="AJ66" s="1" t="str">
        <f t="shared" ref="AJ66:AJ101" si="25">IF(AG66="","",0)</f>
        <v/>
      </c>
      <c r="AK66" s="1" t="str">
        <f t="shared" ref="AK66:AK101" si="26">_xlfn.IFNA(IF(AH66="","",IF(AH66&gt;0,2,"")),"")</f>
        <v/>
      </c>
      <c r="AL66" s="1" t="str" cm="1">
        <f t="array" ref="AL66">_xlfn.IFNA(_xlfn.IFNA(INDEX(競技会設定!$X$2:$AC$24,MATCH(INDEX(男子エントリー!$J$7:$AH$406,MATCH($G66&amp;RIGHT(AL$1,1),男子エントリー!$AH$7:$AH$406,0),1),競技会設定!$AC$2:$AC$24,0),1),INDEX(競技会設定!$X$2:$AC$24,MATCH(INDEX(男子エントリー!$R$6:$V$406,MATCH($G66&amp;RIGHT(AL$1,1),男子エントリー!$V$6:$V$406,0)-MATCH($G66&amp;RIGHT(AL$1,1),男子エントリー!$V$6:$V$406,0)+1,1),競技会設定!$AC$2:$AC$24,0),1)),"")</f>
        <v/>
      </c>
      <c r="AM66" s="1" t="str">
        <f>IF(AL66=14,リレーエントリー!$I$12,_xlfn.IFNA(INDEX(男子エントリー!$J$7:$AH$406,MATCH($G66&amp;RIGHT(AN$1,1),男子エントリー!$AH$7:$AH$406,0),3),""))</f>
        <v/>
      </c>
      <c r="AN66" s="1" t="str">
        <f t="shared" ref="AN66:AN101" si="27">IFERROR(IF(AM66=0,"",IF(AL66=23,AM66,IF(AL66&gt;14,INT(AM66/100)&amp;"m"&amp;TEXT(RIGHT(AM66,2),"00"),IF(AM66&gt;5999,INT(AM66/10000)&amp;"."&amp;TEXT(INT(MOD(AM66,10000)/100),"00")&amp;"."&amp;TEXT(MOD(AM66,100),"00")&amp;"0",INT(AM66/100)&amp;"."&amp;TEXT(MOD(AM66,100),"00"))))),"")</f>
        <v/>
      </c>
      <c r="AO66" s="1" t="str">
        <f t="shared" ref="AO66:AO101" si="28">IF(AL66="","",0)</f>
        <v/>
      </c>
      <c r="AP66" s="1" t="str">
        <f t="shared" ref="AP66:AP101" si="29">_xlfn.IFNA(IF(AM66="","",IF(AM66&gt;0,2,"")),"")</f>
        <v/>
      </c>
    </row>
    <row r="67" spans="1:42">
      <c r="A67" s="1">
        <v>66</v>
      </c>
      <c r="B67" s="92" t="str">
        <f>男子エントリー!D267</f>
        <v/>
      </c>
      <c r="C67" s="1" t="str">
        <f>基本情報!$E$6</f>
        <v/>
      </c>
      <c r="D67" s="1" t="str">
        <f>基本情報!$E$7</f>
        <v/>
      </c>
      <c r="F67" s="92">
        <f>男子エントリー!C267</f>
        <v>0</v>
      </c>
      <c r="G67" s="92" t="str">
        <f>男子エントリー!E267</f>
        <v/>
      </c>
      <c r="H67" s="92" t="str">
        <f>男子エントリー!F267</f>
        <v/>
      </c>
      <c r="I67" s="1" t="str">
        <f t="shared" ref="I67:I101" si="30">G67</f>
        <v/>
      </c>
      <c r="J67" s="1" t="e">
        <f>LEFT(男子エントリー!E269,FIND(",",LEFT(男子エントリー!E269,LEN(男子エントリー!E269)-5))-1)&amp;LEFT(RIGHT(男子エントリー!E269,LEN(男子エントリー!E269)-FIND(",",男子エントリー!E269)),LEN(RIGHT(男子エントリー!E269,LEN(男子エントリー!E269)-FIND(",",男子エントリー!E269)))-5)</f>
        <v>#VALUE!</v>
      </c>
      <c r="K67" s="1" t="str">
        <f>男子エントリー!G269</f>
        <v/>
      </c>
      <c r="L67" s="1" t="str">
        <f t="shared" ref="L67:L101" si="31">IF(G67="","",IF(G67=0,"",1))</f>
        <v/>
      </c>
      <c r="M67" s="92" t="str">
        <f>男子エントリー!G267</f>
        <v/>
      </c>
      <c r="N67" s="92" t="e">
        <f>MID(男子エントリー!E269,FIND("(",男子エントリー!E269)+1,2)</f>
        <v>#VALUE!</v>
      </c>
      <c r="O67" s="1">
        <v>0</v>
      </c>
      <c r="P67" s="92" t="e">
        <f>VLOOKUP(男子エントリー!G268,競技会設定!$F$3:$I$50,2,0)</f>
        <v>#N/A</v>
      </c>
      <c r="R67" s="1" t="str" cm="1">
        <f t="array" ref="R67">_xlfn.IFNA(_xlfn.IFNA(INDEX(競技会設定!$X$2:$AC$24,MATCH(INDEX(男子エントリー!$J$7:$AH$406,MATCH($G67&amp;RIGHT(R$1,1),男子エントリー!$AH$7:$AH$406,0),1),競技会設定!$AC$2:$AC$24,0),1),INDEX(競技会設定!$X$2:$AC$24,MATCH(INDEX(男子エントリー!$R$6:$V$406,MATCH($G67&amp;RIGHT(R$1,1),男子エントリー!$V$6:$V$406,0)-MATCH($G67&amp;RIGHT(R$1,1),男子エントリー!$V$6:$V$406,0)+1,1),競技会設定!$AC$2:$AC$24,0),1)),"")</f>
        <v/>
      </c>
      <c r="S67" s="1" t="str">
        <f>IF(R67=14,リレーエントリー!$I$12,_xlfn.IFNA(INDEX(男子エントリー!$J$7:$AH$406,MATCH($G67&amp;RIGHT(T$1,1),男子エントリー!$AH$7:$AH$406,0),3),""))</f>
        <v/>
      </c>
      <c r="T67" s="1" t="str">
        <f t="shared" ref="T67:T101" si="32">IFERROR(IF(S67=0,"",IF(R67=23,S67,IF(R67&gt;14,INT(S67/100)&amp;"m"&amp;TEXT(RIGHT(S67,2),"00"),IF(S67&gt;5999,INT(S67/10000)&amp;"."&amp;TEXT(INT(MOD(S67,10000)/100),"00")&amp;"."&amp;TEXT(MOD(S67,100),"00")&amp;"0",INT(S67/100)&amp;"."&amp;TEXT(MOD(S67,100),"00"))))),"")</f>
        <v/>
      </c>
      <c r="U67" s="1" t="str">
        <f t="shared" si="17"/>
        <v/>
      </c>
      <c r="V67" s="1" t="str">
        <f t="shared" si="16"/>
        <v/>
      </c>
      <c r="W67" s="1" t="str" cm="1">
        <f t="array" ref="W67">_xlfn.IFNA(_xlfn.IFNA(INDEX(競技会設定!$X$2:$AC$24,MATCH(INDEX(男子エントリー!$J$7:$AH$406,MATCH($G67&amp;RIGHT(W$1,1),男子エントリー!$AH$7:$AH$406,0),1),競技会設定!$AC$2:$AC$24,0),1),INDEX(競技会設定!$X$2:$AC$24,MATCH(INDEX(男子エントリー!$R$6:$V$406,MATCH($G67&amp;RIGHT(W$1,1),男子エントリー!$V$6:$V$406,0)-MATCH($G67&amp;RIGHT(W$1,1),男子エントリー!$V$6:$V$406,0)+1,1),競技会設定!$AC$2:$AC$24,0),1)),"")</f>
        <v/>
      </c>
      <c r="X67" s="1" t="str">
        <f>IF(W67=14,リレーエントリー!$I$12,_xlfn.IFNA(INDEX(男子エントリー!$J$7:$AH$406,MATCH($G67&amp;RIGHT(Y$1,1),男子エントリー!$AH$7:$AH$406,0),3),""))</f>
        <v/>
      </c>
      <c r="Y67" s="1" t="str">
        <f t="shared" si="18"/>
        <v/>
      </c>
      <c r="Z67" s="1" t="str">
        <f t="shared" si="19"/>
        <v/>
      </c>
      <c r="AA67" s="1" t="str">
        <f t="shared" si="20"/>
        <v/>
      </c>
      <c r="AB67" s="1" t="str" cm="1">
        <f t="array" ref="AB67">_xlfn.IFNA(_xlfn.IFNA(INDEX(競技会設定!$X$2:$AC$24,MATCH(INDEX(男子エントリー!$J$7:$AH$406,MATCH($G67&amp;RIGHT(AB$1,1),男子エントリー!$AH$7:$AH$406,0),1),競技会設定!$AC$2:$AC$24,0),1),INDEX(競技会設定!$X$2:$AC$24,MATCH(INDEX(男子エントリー!$R$6:$V$406,MATCH($G67&amp;RIGHT(AB$1,1),男子エントリー!$V$6:$V$406,0)-MATCH($G67&amp;RIGHT(AB$1,1),男子エントリー!$V$6:$V$406,0)+1,1),競技会設定!$AC$2:$AC$24,0),1)),"")</f>
        <v/>
      </c>
      <c r="AC67" s="1" t="str">
        <f>IF(AB67=14,リレーエントリー!$I$12,_xlfn.IFNA(INDEX(男子エントリー!$J$7:$AH$406,MATCH($G67&amp;RIGHT(AD$1,1),男子エントリー!$AH$7:$AH$406,0),3),""))</f>
        <v/>
      </c>
      <c r="AD67" s="1" t="str">
        <f t="shared" si="21"/>
        <v/>
      </c>
      <c r="AE67" s="1" t="str">
        <f t="shared" si="22"/>
        <v/>
      </c>
      <c r="AF67" s="1" t="str">
        <f t="shared" si="23"/>
        <v/>
      </c>
      <c r="AG67" s="1" t="str" cm="1">
        <f t="array" ref="AG67">_xlfn.IFNA(_xlfn.IFNA(INDEX(競技会設定!$X$2:$AC$24,MATCH(INDEX(男子エントリー!$J$7:$AH$406,MATCH($G67&amp;RIGHT(AG$1,1),男子エントリー!$AH$7:$AH$406,0),1),競技会設定!$AC$2:$AC$24,0),1),INDEX(競技会設定!$X$2:$AC$24,MATCH(INDEX(男子エントリー!$R$6:$V$406,MATCH($G67&amp;RIGHT(AG$1,1),男子エントリー!$V$6:$V$406,0)-MATCH($G67&amp;RIGHT(AG$1,1),男子エントリー!$V$6:$V$406,0)+1,1),競技会設定!$AC$2:$AC$24,0),1)),"")</f>
        <v/>
      </c>
      <c r="AH67" s="1" t="str">
        <f>IF(AG67=14,リレーエントリー!$I$12,_xlfn.IFNA(INDEX(男子エントリー!$J$7:$AH$406,MATCH($G67&amp;RIGHT(AI$1,1),男子エントリー!$AH$7:$AH$406,0),3),""))</f>
        <v/>
      </c>
      <c r="AI67" s="1" t="str">
        <f t="shared" si="24"/>
        <v/>
      </c>
      <c r="AJ67" s="1" t="str">
        <f t="shared" si="25"/>
        <v/>
      </c>
      <c r="AK67" s="1" t="str">
        <f t="shared" si="26"/>
        <v/>
      </c>
      <c r="AL67" s="1" t="str" cm="1">
        <f t="array" ref="AL67">_xlfn.IFNA(_xlfn.IFNA(INDEX(競技会設定!$X$2:$AC$24,MATCH(INDEX(男子エントリー!$J$7:$AH$406,MATCH($G67&amp;RIGHT(AL$1,1),男子エントリー!$AH$7:$AH$406,0),1),競技会設定!$AC$2:$AC$24,0),1),INDEX(競技会設定!$X$2:$AC$24,MATCH(INDEX(男子エントリー!$R$6:$V$406,MATCH($G67&amp;RIGHT(AL$1,1),男子エントリー!$V$6:$V$406,0)-MATCH($G67&amp;RIGHT(AL$1,1),男子エントリー!$V$6:$V$406,0)+1,1),競技会設定!$AC$2:$AC$24,0),1)),"")</f>
        <v/>
      </c>
      <c r="AM67" s="1" t="str">
        <f>IF(AL67=14,リレーエントリー!$I$12,_xlfn.IFNA(INDEX(男子エントリー!$J$7:$AH$406,MATCH($G67&amp;RIGHT(AN$1,1),男子エントリー!$AH$7:$AH$406,0),3),""))</f>
        <v/>
      </c>
      <c r="AN67" s="1" t="str">
        <f t="shared" si="27"/>
        <v/>
      </c>
      <c r="AO67" s="1" t="str">
        <f t="shared" si="28"/>
        <v/>
      </c>
      <c r="AP67" s="1" t="str">
        <f t="shared" si="29"/>
        <v/>
      </c>
    </row>
    <row r="68" spans="1:42">
      <c r="A68" s="1">
        <v>67</v>
      </c>
      <c r="B68" s="92" t="str">
        <f>男子エントリー!D271</f>
        <v/>
      </c>
      <c r="C68" s="1" t="str">
        <f>基本情報!$E$6</f>
        <v/>
      </c>
      <c r="D68" s="1" t="str">
        <f>基本情報!$E$7</f>
        <v/>
      </c>
      <c r="F68" s="92">
        <f>男子エントリー!C271</f>
        <v>0</v>
      </c>
      <c r="G68" s="92" t="str">
        <f>男子エントリー!E271</f>
        <v/>
      </c>
      <c r="H68" s="92" t="str">
        <f>男子エントリー!F271</f>
        <v/>
      </c>
      <c r="I68" s="1" t="str">
        <f t="shared" si="30"/>
        <v/>
      </c>
      <c r="J68" s="1" t="e">
        <f>LEFT(男子エントリー!E273,FIND(",",LEFT(男子エントリー!E273,LEN(男子エントリー!E273)-5))-1)&amp;LEFT(RIGHT(男子エントリー!E273,LEN(男子エントリー!E273)-FIND(",",男子エントリー!E273)),LEN(RIGHT(男子エントリー!E273,LEN(男子エントリー!E273)-FIND(",",男子エントリー!E273)))-5)</f>
        <v>#VALUE!</v>
      </c>
      <c r="K68" s="1" t="str">
        <f>男子エントリー!G273</f>
        <v/>
      </c>
      <c r="L68" s="1" t="str">
        <f t="shared" si="31"/>
        <v/>
      </c>
      <c r="M68" s="92" t="str">
        <f>男子エントリー!G271</f>
        <v/>
      </c>
      <c r="N68" s="92" t="e">
        <f>MID(男子エントリー!E273,FIND("(",男子エントリー!E273)+1,2)</f>
        <v>#VALUE!</v>
      </c>
      <c r="O68" s="1">
        <v>0</v>
      </c>
      <c r="P68" s="92" t="e">
        <f>VLOOKUP(男子エントリー!G272,競技会設定!$F$3:$I$50,2,0)</f>
        <v>#N/A</v>
      </c>
      <c r="R68" s="1" t="str" cm="1">
        <f t="array" ref="R68">_xlfn.IFNA(_xlfn.IFNA(INDEX(競技会設定!$X$2:$AC$24,MATCH(INDEX(男子エントリー!$J$7:$AH$406,MATCH($G68&amp;RIGHT(R$1,1),男子エントリー!$AH$7:$AH$406,0),1),競技会設定!$AC$2:$AC$24,0),1),INDEX(競技会設定!$X$2:$AC$24,MATCH(INDEX(男子エントリー!$R$6:$V$406,MATCH($G68&amp;RIGHT(R$1,1),男子エントリー!$V$6:$V$406,0)-MATCH($G68&amp;RIGHT(R$1,1),男子エントリー!$V$6:$V$406,0)+1,1),競技会設定!$AC$2:$AC$24,0),1)),"")</f>
        <v/>
      </c>
      <c r="S68" s="1" t="str">
        <f>IF(R68=14,リレーエントリー!$I$12,_xlfn.IFNA(INDEX(男子エントリー!$J$7:$AH$406,MATCH($G68&amp;RIGHT(T$1,1),男子エントリー!$AH$7:$AH$406,0),3),""))</f>
        <v/>
      </c>
      <c r="T68" s="1" t="str">
        <f t="shared" si="32"/>
        <v/>
      </c>
      <c r="U68" s="1" t="str">
        <f t="shared" si="17"/>
        <v/>
      </c>
      <c r="V68" s="1" t="str">
        <f t="shared" ref="V68:V101" si="33">_xlfn.IFNA(IF(S68="","",IF(S68&gt;0,2,"")),"")</f>
        <v/>
      </c>
      <c r="W68" s="1" t="str" cm="1">
        <f t="array" ref="W68">_xlfn.IFNA(_xlfn.IFNA(INDEX(競技会設定!$X$2:$AC$24,MATCH(INDEX(男子エントリー!$J$7:$AH$406,MATCH($G68&amp;RIGHT(W$1,1),男子エントリー!$AH$7:$AH$406,0),1),競技会設定!$AC$2:$AC$24,0),1),INDEX(競技会設定!$X$2:$AC$24,MATCH(INDEX(男子エントリー!$R$6:$V$406,MATCH($G68&amp;RIGHT(W$1,1),男子エントリー!$V$6:$V$406,0)-MATCH($G68&amp;RIGHT(W$1,1),男子エントリー!$V$6:$V$406,0)+1,1),競技会設定!$AC$2:$AC$24,0),1)),"")</f>
        <v/>
      </c>
      <c r="X68" s="1" t="str">
        <f>IF(W68=14,リレーエントリー!$I$12,_xlfn.IFNA(INDEX(男子エントリー!$J$7:$AH$406,MATCH($G68&amp;RIGHT(Y$1,1),男子エントリー!$AH$7:$AH$406,0),3),""))</f>
        <v/>
      </c>
      <c r="Y68" s="1" t="str">
        <f t="shared" si="18"/>
        <v/>
      </c>
      <c r="Z68" s="1" t="str">
        <f t="shared" si="19"/>
        <v/>
      </c>
      <c r="AA68" s="1" t="str">
        <f t="shared" si="20"/>
        <v/>
      </c>
      <c r="AB68" s="1" t="str" cm="1">
        <f t="array" ref="AB68">_xlfn.IFNA(_xlfn.IFNA(INDEX(競技会設定!$X$2:$AC$24,MATCH(INDEX(男子エントリー!$J$7:$AH$406,MATCH($G68&amp;RIGHT(AB$1,1),男子エントリー!$AH$7:$AH$406,0),1),競技会設定!$AC$2:$AC$24,0),1),INDEX(競技会設定!$X$2:$AC$24,MATCH(INDEX(男子エントリー!$R$6:$V$406,MATCH($G68&amp;RIGHT(AB$1,1),男子エントリー!$V$6:$V$406,0)-MATCH($G68&amp;RIGHT(AB$1,1),男子エントリー!$V$6:$V$406,0)+1,1),競技会設定!$AC$2:$AC$24,0),1)),"")</f>
        <v/>
      </c>
      <c r="AC68" s="1" t="str">
        <f>IF(AB68=14,リレーエントリー!$I$12,_xlfn.IFNA(INDEX(男子エントリー!$J$7:$AH$406,MATCH($G68&amp;RIGHT(AD$1,1),男子エントリー!$AH$7:$AH$406,0),3),""))</f>
        <v/>
      </c>
      <c r="AD68" s="1" t="str">
        <f t="shared" si="21"/>
        <v/>
      </c>
      <c r="AE68" s="1" t="str">
        <f t="shared" si="22"/>
        <v/>
      </c>
      <c r="AF68" s="1" t="str">
        <f t="shared" si="23"/>
        <v/>
      </c>
      <c r="AG68" s="1" t="str" cm="1">
        <f t="array" ref="AG68">_xlfn.IFNA(_xlfn.IFNA(INDEX(競技会設定!$X$2:$AC$24,MATCH(INDEX(男子エントリー!$J$7:$AH$406,MATCH($G68&amp;RIGHT(AG$1,1),男子エントリー!$AH$7:$AH$406,0),1),競技会設定!$AC$2:$AC$24,0),1),INDEX(競技会設定!$X$2:$AC$24,MATCH(INDEX(男子エントリー!$R$6:$V$406,MATCH($G68&amp;RIGHT(AG$1,1),男子エントリー!$V$6:$V$406,0)-MATCH($G68&amp;RIGHT(AG$1,1),男子エントリー!$V$6:$V$406,0)+1,1),競技会設定!$AC$2:$AC$24,0),1)),"")</f>
        <v/>
      </c>
      <c r="AH68" s="1" t="str">
        <f>IF(AG68=14,リレーエントリー!$I$12,_xlfn.IFNA(INDEX(男子エントリー!$J$7:$AH$406,MATCH($G68&amp;RIGHT(AI$1,1),男子エントリー!$AH$7:$AH$406,0),3),""))</f>
        <v/>
      </c>
      <c r="AI68" s="1" t="str">
        <f t="shared" si="24"/>
        <v/>
      </c>
      <c r="AJ68" s="1" t="str">
        <f t="shared" si="25"/>
        <v/>
      </c>
      <c r="AK68" s="1" t="str">
        <f t="shared" si="26"/>
        <v/>
      </c>
      <c r="AL68" s="1" t="str" cm="1">
        <f t="array" ref="AL68">_xlfn.IFNA(_xlfn.IFNA(INDEX(競技会設定!$X$2:$AC$24,MATCH(INDEX(男子エントリー!$J$7:$AH$406,MATCH($G68&amp;RIGHT(AL$1,1),男子エントリー!$AH$7:$AH$406,0),1),競技会設定!$AC$2:$AC$24,0),1),INDEX(競技会設定!$X$2:$AC$24,MATCH(INDEX(男子エントリー!$R$6:$V$406,MATCH($G68&amp;RIGHT(AL$1,1),男子エントリー!$V$6:$V$406,0)-MATCH($G68&amp;RIGHT(AL$1,1),男子エントリー!$V$6:$V$406,0)+1,1),競技会設定!$AC$2:$AC$24,0),1)),"")</f>
        <v/>
      </c>
      <c r="AM68" s="1" t="str">
        <f>IF(AL68=14,リレーエントリー!$I$12,_xlfn.IFNA(INDEX(男子エントリー!$J$7:$AH$406,MATCH($G68&amp;RIGHT(AN$1,1),男子エントリー!$AH$7:$AH$406,0),3),""))</f>
        <v/>
      </c>
      <c r="AN68" s="1" t="str">
        <f t="shared" si="27"/>
        <v/>
      </c>
      <c r="AO68" s="1" t="str">
        <f t="shared" si="28"/>
        <v/>
      </c>
      <c r="AP68" s="1" t="str">
        <f t="shared" si="29"/>
        <v/>
      </c>
    </row>
    <row r="69" spans="1:42">
      <c r="A69" s="1">
        <v>68</v>
      </c>
      <c r="B69" s="92" t="str">
        <f>男子エントリー!D275</f>
        <v/>
      </c>
      <c r="C69" s="1" t="str">
        <f>基本情報!$E$6</f>
        <v/>
      </c>
      <c r="D69" s="1" t="str">
        <f>基本情報!$E$7</f>
        <v/>
      </c>
      <c r="F69" s="92">
        <f>男子エントリー!C275</f>
        <v>0</v>
      </c>
      <c r="G69" s="92" t="str">
        <f>男子エントリー!E275</f>
        <v/>
      </c>
      <c r="H69" s="92" t="str">
        <f>男子エントリー!F275</f>
        <v/>
      </c>
      <c r="I69" s="1" t="str">
        <f t="shared" si="30"/>
        <v/>
      </c>
      <c r="J69" s="1" t="e">
        <f>LEFT(男子エントリー!E277,FIND(",",LEFT(男子エントリー!E277,LEN(男子エントリー!E277)-5))-1)&amp;LEFT(RIGHT(男子エントリー!E277,LEN(男子エントリー!E277)-FIND(",",男子エントリー!E277)),LEN(RIGHT(男子エントリー!E277,LEN(男子エントリー!E277)-FIND(",",男子エントリー!E277)))-5)</f>
        <v>#VALUE!</v>
      </c>
      <c r="K69" s="1" t="str">
        <f>男子エントリー!G277</f>
        <v/>
      </c>
      <c r="L69" s="1" t="str">
        <f t="shared" si="31"/>
        <v/>
      </c>
      <c r="M69" s="92" t="str">
        <f>男子エントリー!G275</f>
        <v/>
      </c>
      <c r="N69" s="92" t="e">
        <f>MID(男子エントリー!E277,FIND("(",男子エントリー!E277)+1,2)</f>
        <v>#VALUE!</v>
      </c>
      <c r="O69" s="1">
        <v>0</v>
      </c>
      <c r="P69" s="92" t="e">
        <f>VLOOKUP(男子エントリー!G276,競技会設定!$F$3:$I$50,2,0)</f>
        <v>#N/A</v>
      </c>
      <c r="R69" s="1" t="str" cm="1">
        <f t="array" ref="R69">_xlfn.IFNA(_xlfn.IFNA(INDEX(競技会設定!$X$2:$AC$24,MATCH(INDEX(男子エントリー!$J$7:$AH$406,MATCH($G69&amp;RIGHT(R$1,1),男子エントリー!$AH$7:$AH$406,0),1),競技会設定!$AC$2:$AC$24,0),1),INDEX(競技会設定!$X$2:$AC$24,MATCH(INDEX(男子エントリー!$R$6:$V$406,MATCH($G69&amp;RIGHT(R$1,1),男子エントリー!$V$6:$V$406,0)-MATCH($G69&amp;RIGHT(R$1,1),男子エントリー!$V$6:$V$406,0)+1,1),競技会設定!$AC$2:$AC$24,0),1)),"")</f>
        <v/>
      </c>
      <c r="S69" s="1" t="str">
        <f>IF(R69=14,リレーエントリー!$I$12,_xlfn.IFNA(INDEX(男子エントリー!$J$7:$AH$406,MATCH($G69&amp;RIGHT(T$1,1),男子エントリー!$AH$7:$AH$406,0),3),""))</f>
        <v/>
      </c>
      <c r="T69" s="1" t="str">
        <f t="shared" si="32"/>
        <v/>
      </c>
      <c r="U69" s="1" t="str">
        <f t="shared" ref="U69:U101" si="34">IF(R69="","",0)</f>
        <v/>
      </c>
      <c r="V69" s="1" t="str">
        <f t="shared" si="33"/>
        <v/>
      </c>
      <c r="W69" s="1" t="str" cm="1">
        <f t="array" ref="W69">_xlfn.IFNA(_xlfn.IFNA(INDEX(競技会設定!$X$2:$AC$24,MATCH(INDEX(男子エントリー!$J$7:$AH$406,MATCH($G69&amp;RIGHT(W$1,1),男子エントリー!$AH$7:$AH$406,0),1),競技会設定!$AC$2:$AC$24,0),1),INDEX(競技会設定!$X$2:$AC$24,MATCH(INDEX(男子エントリー!$R$6:$V$406,MATCH($G69&amp;RIGHT(W$1,1),男子エントリー!$V$6:$V$406,0)-MATCH($G69&amp;RIGHT(W$1,1),男子エントリー!$V$6:$V$406,0)+1,1),競技会設定!$AC$2:$AC$24,0),1)),"")</f>
        <v/>
      </c>
      <c r="X69" s="1" t="str">
        <f>IF(W69=14,リレーエントリー!$I$12,_xlfn.IFNA(INDEX(男子エントリー!$J$7:$AH$406,MATCH($G69&amp;RIGHT(Y$1,1),男子エントリー!$AH$7:$AH$406,0),3),""))</f>
        <v/>
      </c>
      <c r="Y69" s="1" t="str">
        <f t="shared" si="18"/>
        <v/>
      </c>
      <c r="Z69" s="1" t="str">
        <f t="shared" si="19"/>
        <v/>
      </c>
      <c r="AA69" s="1" t="str">
        <f t="shared" si="20"/>
        <v/>
      </c>
      <c r="AB69" s="1" t="str" cm="1">
        <f t="array" ref="AB69">_xlfn.IFNA(_xlfn.IFNA(INDEX(競技会設定!$X$2:$AC$24,MATCH(INDEX(男子エントリー!$J$7:$AH$406,MATCH($G69&amp;RIGHT(AB$1,1),男子エントリー!$AH$7:$AH$406,0),1),競技会設定!$AC$2:$AC$24,0),1),INDEX(競技会設定!$X$2:$AC$24,MATCH(INDEX(男子エントリー!$R$6:$V$406,MATCH($G69&amp;RIGHT(AB$1,1),男子エントリー!$V$6:$V$406,0)-MATCH($G69&amp;RIGHT(AB$1,1),男子エントリー!$V$6:$V$406,0)+1,1),競技会設定!$AC$2:$AC$24,0),1)),"")</f>
        <v/>
      </c>
      <c r="AC69" s="1" t="str">
        <f>IF(AB69=14,リレーエントリー!$I$12,_xlfn.IFNA(INDEX(男子エントリー!$J$7:$AH$406,MATCH($G69&amp;RIGHT(AD$1,1),男子エントリー!$AH$7:$AH$406,0),3),""))</f>
        <v/>
      </c>
      <c r="AD69" s="1" t="str">
        <f t="shared" si="21"/>
        <v/>
      </c>
      <c r="AE69" s="1" t="str">
        <f t="shared" si="22"/>
        <v/>
      </c>
      <c r="AF69" s="1" t="str">
        <f t="shared" si="23"/>
        <v/>
      </c>
      <c r="AG69" s="1" t="str" cm="1">
        <f t="array" ref="AG69">_xlfn.IFNA(_xlfn.IFNA(INDEX(競技会設定!$X$2:$AC$24,MATCH(INDEX(男子エントリー!$J$7:$AH$406,MATCH($G69&amp;RIGHT(AG$1,1),男子エントリー!$AH$7:$AH$406,0),1),競技会設定!$AC$2:$AC$24,0),1),INDEX(競技会設定!$X$2:$AC$24,MATCH(INDEX(男子エントリー!$R$6:$V$406,MATCH($G69&amp;RIGHT(AG$1,1),男子エントリー!$V$6:$V$406,0)-MATCH($G69&amp;RIGHT(AG$1,1),男子エントリー!$V$6:$V$406,0)+1,1),競技会設定!$AC$2:$AC$24,0),1)),"")</f>
        <v/>
      </c>
      <c r="AH69" s="1" t="str">
        <f>IF(AG69=14,リレーエントリー!$I$12,_xlfn.IFNA(INDEX(男子エントリー!$J$7:$AH$406,MATCH($G69&amp;RIGHT(AI$1,1),男子エントリー!$AH$7:$AH$406,0),3),""))</f>
        <v/>
      </c>
      <c r="AI69" s="1" t="str">
        <f t="shared" si="24"/>
        <v/>
      </c>
      <c r="AJ69" s="1" t="str">
        <f t="shared" si="25"/>
        <v/>
      </c>
      <c r="AK69" s="1" t="str">
        <f t="shared" si="26"/>
        <v/>
      </c>
      <c r="AL69" s="1" t="str" cm="1">
        <f t="array" ref="AL69">_xlfn.IFNA(_xlfn.IFNA(INDEX(競技会設定!$X$2:$AC$24,MATCH(INDEX(男子エントリー!$J$7:$AH$406,MATCH($G69&amp;RIGHT(AL$1,1),男子エントリー!$AH$7:$AH$406,0),1),競技会設定!$AC$2:$AC$24,0),1),INDEX(競技会設定!$X$2:$AC$24,MATCH(INDEX(男子エントリー!$R$6:$V$406,MATCH($G69&amp;RIGHT(AL$1,1),男子エントリー!$V$6:$V$406,0)-MATCH($G69&amp;RIGHT(AL$1,1),男子エントリー!$V$6:$V$406,0)+1,1),競技会設定!$AC$2:$AC$24,0),1)),"")</f>
        <v/>
      </c>
      <c r="AM69" s="1" t="str">
        <f>IF(AL69=14,リレーエントリー!$I$12,_xlfn.IFNA(INDEX(男子エントリー!$J$7:$AH$406,MATCH($G69&amp;RIGHT(AN$1,1),男子エントリー!$AH$7:$AH$406,0),3),""))</f>
        <v/>
      </c>
      <c r="AN69" s="1" t="str">
        <f t="shared" si="27"/>
        <v/>
      </c>
      <c r="AO69" s="1" t="str">
        <f t="shared" si="28"/>
        <v/>
      </c>
      <c r="AP69" s="1" t="str">
        <f t="shared" si="29"/>
        <v/>
      </c>
    </row>
    <row r="70" spans="1:42">
      <c r="A70" s="1">
        <v>69</v>
      </c>
      <c r="B70" s="92" t="str">
        <f>男子エントリー!D279</f>
        <v/>
      </c>
      <c r="C70" s="1" t="str">
        <f>基本情報!$E$6</f>
        <v/>
      </c>
      <c r="D70" s="1" t="str">
        <f>基本情報!$E$7</f>
        <v/>
      </c>
      <c r="F70" s="92">
        <f>男子エントリー!C279</f>
        <v>0</v>
      </c>
      <c r="G70" s="92" t="str">
        <f>男子エントリー!E279</f>
        <v/>
      </c>
      <c r="H70" s="92" t="str">
        <f>男子エントリー!F279</f>
        <v/>
      </c>
      <c r="I70" s="1" t="str">
        <f t="shared" si="30"/>
        <v/>
      </c>
      <c r="J70" s="1" t="e">
        <f>LEFT(男子エントリー!E281,FIND(",",LEFT(男子エントリー!E281,LEN(男子エントリー!E281)-5))-1)&amp;LEFT(RIGHT(男子エントリー!E281,LEN(男子エントリー!E281)-FIND(",",男子エントリー!E281)),LEN(RIGHT(男子エントリー!E281,LEN(男子エントリー!E281)-FIND(",",男子エントリー!E281)))-5)</f>
        <v>#VALUE!</v>
      </c>
      <c r="K70" s="1" t="str">
        <f>男子エントリー!G281</f>
        <v/>
      </c>
      <c r="L70" s="1" t="str">
        <f t="shared" si="31"/>
        <v/>
      </c>
      <c r="M70" s="92" t="str">
        <f>男子エントリー!G279</f>
        <v/>
      </c>
      <c r="N70" s="92" t="e">
        <f>MID(男子エントリー!E281,FIND("(",男子エントリー!E281)+1,2)</f>
        <v>#VALUE!</v>
      </c>
      <c r="O70" s="1">
        <v>0</v>
      </c>
      <c r="P70" s="92" t="e">
        <f>VLOOKUP(男子エントリー!G280,競技会設定!$F$3:$I$50,2,0)</f>
        <v>#N/A</v>
      </c>
      <c r="R70" s="1" t="str" cm="1">
        <f t="array" ref="R70">_xlfn.IFNA(_xlfn.IFNA(INDEX(競技会設定!$X$2:$AC$24,MATCH(INDEX(男子エントリー!$J$7:$AH$406,MATCH($G70&amp;RIGHT(R$1,1),男子エントリー!$AH$7:$AH$406,0),1),競技会設定!$AC$2:$AC$24,0),1),INDEX(競技会設定!$X$2:$AC$24,MATCH(INDEX(男子エントリー!$R$6:$V$406,MATCH($G70&amp;RIGHT(R$1,1),男子エントリー!$V$6:$V$406,0)-MATCH($G70&amp;RIGHT(R$1,1),男子エントリー!$V$6:$V$406,0)+1,1),競技会設定!$AC$2:$AC$24,0),1)),"")</f>
        <v/>
      </c>
      <c r="S70" s="1" t="str">
        <f>IF(R70=14,リレーエントリー!$I$12,_xlfn.IFNA(INDEX(男子エントリー!$J$7:$AH$406,MATCH($G70&amp;RIGHT(T$1,1),男子エントリー!$AH$7:$AH$406,0),3),""))</f>
        <v/>
      </c>
      <c r="T70" s="1" t="str">
        <f t="shared" si="32"/>
        <v/>
      </c>
      <c r="U70" s="1" t="str">
        <f t="shared" si="34"/>
        <v/>
      </c>
      <c r="V70" s="1" t="str">
        <f t="shared" si="33"/>
        <v/>
      </c>
      <c r="W70" s="1" t="str" cm="1">
        <f t="array" ref="W70">_xlfn.IFNA(_xlfn.IFNA(INDEX(競技会設定!$X$2:$AC$24,MATCH(INDEX(男子エントリー!$J$7:$AH$406,MATCH($G70&amp;RIGHT(W$1,1),男子エントリー!$AH$7:$AH$406,0),1),競技会設定!$AC$2:$AC$24,0),1),INDEX(競技会設定!$X$2:$AC$24,MATCH(INDEX(男子エントリー!$R$6:$V$406,MATCH($G70&amp;RIGHT(W$1,1),男子エントリー!$V$6:$V$406,0)-MATCH($G70&amp;RIGHT(W$1,1),男子エントリー!$V$6:$V$406,0)+1,1),競技会設定!$AC$2:$AC$24,0),1)),"")</f>
        <v/>
      </c>
      <c r="X70" s="1" t="str">
        <f>IF(W70=14,リレーエントリー!$I$12,_xlfn.IFNA(INDEX(男子エントリー!$J$7:$AH$406,MATCH($G70&amp;RIGHT(Y$1,1),男子エントリー!$AH$7:$AH$406,0),3),""))</f>
        <v/>
      </c>
      <c r="Y70" s="1" t="str">
        <f t="shared" si="18"/>
        <v/>
      </c>
      <c r="Z70" s="1" t="str">
        <f t="shared" si="19"/>
        <v/>
      </c>
      <c r="AA70" s="1" t="str">
        <f t="shared" si="20"/>
        <v/>
      </c>
      <c r="AB70" s="1" t="str" cm="1">
        <f t="array" ref="AB70">_xlfn.IFNA(_xlfn.IFNA(INDEX(競技会設定!$X$2:$AC$24,MATCH(INDEX(男子エントリー!$J$7:$AH$406,MATCH($G70&amp;RIGHT(AB$1,1),男子エントリー!$AH$7:$AH$406,0),1),競技会設定!$AC$2:$AC$24,0),1),INDEX(競技会設定!$X$2:$AC$24,MATCH(INDEX(男子エントリー!$R$6:$V$406,MATCH($G70&amp;RIGHT(AB$1,1),男子エントリー!$V$6:$V$406,0)-MATCH($G70&amp;RIGHT(AB$1,1),男子エントリー!$V$6:$V$406,0)+1,1),競技会設定!$AC$2:$AC$24,0),1)),"")</f>
        <v/>
      </c>
      <c r="AC70" s="1" t="str">
        <f>IF(AB70=14,リレーエントリー!$I$12,_xlfn.IFNA(INDEX(男子エントリー!$J$7:$AH$406,MATCH($G70&amp;RIGHT(AD$1,1),男子エントリー!$AH$7:$AH$406,0),3),""))</f>
        <v/>
      </c>
      <c r="AD70" s="1" t="str">
        <f t="shared" si="21"/>
        <v/>
      </c>
      <c r="AE70" s="1" t="str">
        <f t="shared" si="22"/>
        <v/>
      </c>
      <c r="AF70" s="1" t="str">
        <f t="shared" si="23"/>
        <v/>
      </c>
      <c r="AG70" s="1" t="str" cm="1">
        <f t="array" ref="AG70">_xlfn.IFNA(_xlfn.IFNA(INDEX(競技会設定!$X$2:$AC$24,MATCH(INDEX(男子エントリー!$J$7:$AH$406,MATCH($G70&amp;RIGHT(AG$1,1),男子エントリー!$AH$7:$AH$406,0),1),競技会設定!$AC$2:$AC$24,0),1),INDEX(競技会設定!$X$2:$AC$24,MATCH(INDEX(男子エントリー!$R$6:$V$406,MATCH($G70&amp;RIGHT(AG$1,1),男子エントリー!$V$6:$V$406,0)-MATCH($G70&amp;RIGHT(AG$1,1),男子エントリー!$V$6:$V$406,0)+1,1),競技会設定!$AC$2:$AC$24,0),1)),"")</f>
        <v/>
      </c>
      <c r="AH70" s="1" t="str">
        <f>IF(AG70=14,リレーエントリー!$I$12,_xlfn.IFNA(INDEX(男子エントリー!$J$7:$AH$406,MATCH($G70&amp;RIGHT(AI$1,1),男子エントリー!$AH$7:$AH$406,0),3),""))</f>
        <v/>
      </c>
      <c r="AI70" s="1" t="str">
        <f t="shared" si="24"/>
        <v/>
      </c>
      <c r="AJ70" s="1" t="str">
        <f t="shared" si="25"/>
        <v/>
      </c>
      <c r="AK70" s="1" t="str">
        <f t="shared" si="26"/>
        <v/>
      </c>
      <c r="AL70" s="1" t="str" cm="1">
        <f t="array" ref="AL70">_xlfn.IFNA(_xlfn.IFNA(INDEX(競技会設定!$X$2:$AC$24,MATCH(INDEX(男子エントリー!$J$7:$AH$406,MATCH($G70&amp;RIGHT(AL$1,1),男子エントリー!$AH$7:$AH$406,0),1),競技会設定!$AC$2:$AC$24,0),1),INDEX(競技会設定!$X$2:$AC$24,MATCH(INDEX(男子エントリー!$R$6:$V$406,MATCH($G70&amp;RIGHT(AL$1,1),男子エントリー!$V$6:$V$406,0)-MATCH($G70&amp;RIGHT(AL$1,1),男子エントリー!$V$6:$V$406,0)+1,1),競技会設定!$AC$2:$AC$24,0),1)),"")</f>
        <v/>
      </c>
      <c r="AM70" s="1" t="str">
        <f>IF(AL70=14,リレーエントリー!$I$12,_xlfn.IFNA(INDEX(男子エントリー!$J$7:$AH$406,MATCH($G70&amp;RIGHT(AN$1,1),男子エントリー!$AH$7:$AH$406,0),3),""))</f>
        <v/>
      </c>
      <c r="AN70" s="1" t="str">
        <f t="shared" si="27"/>
        <v/>
      </c>
      <c r="AO70" s="1" t="str">
        <f t="shared" si="28"/>
        <v/>
      </c>
      <c r="AP70" s="1" t="str">
        <f t="shared" si="29"/>
        <v/>
      </c>
    </row>
    <row r="71" spans="1:42">
      <c r="A71" s="1">
        <v>70</v>
      </c>
      <c r="B71" s="92" t="str">
        <f>男子エントリー!D283</f>
        <v/>
      </c>
      <c r="C71" s="1" t="str">
        <f>基本情報!$E$6</f>
        <v/>
      </c>
      <c r="D71" s="1" t="str">
        <f>基本情報!$E$7</f>
        <v/>
      </c>
      <c r="F71" s="92">
        <f>男子エントリー!C283</f>
        <v>0</v>
      </c>
      <c r="G71" s="92" t="str">
        <f>男子エントリー!E283</f>
        <v/>
      </c>
      <c r="H71" s="92" t="str">
        <f>男子エントリー!F283</f>
        <v/>
      </c>
      <c r="I71" s="1" t="str">
        <f t="shared" si="30"/>
        <v/>
      </c>
      <c r="J71" s="1" t="e">
        <f>LEFT(男子エントリー!E285,FIND(",",LEFT(男子エントリー!E285,LEN(男子エントリー!E285)-5))-1)&amp;LEFT(RIGHT(男子エントリー!E285,LEN(男子エントリー!E285)-FIND(",",男子エントリー!E285)),LEN(RIGHT(男子エントリー!E285,LEN(男子エントリー!E285)-FIND(",",男子エントリー!E285)))-5)</f>
        <v>#VALUE!</v>
      </c>
      <c r="K71" s="1" t="str">
        <f>男子エントリー!G285</f>
        <v/>
      </c>
      <c r="L71" s="1" t="str">
        <f t="shared" si="31"/>
        <v/>
      </c>
      <c r="M71" s="92" t="str">
        <f>男子エントリー!G283</f>
        <v/>
      </c>
      <c r="N71" s="92" t="e">
        <f>MID(男子エントリー!E285,FIND("(",男子エントリー!E285)+1,2)</f>
        <v>#VALUE!</v>
      </c>
      <c r="O71" s="1">
        <v>0</v>
      </c>
      <c r="P71" s="92" t="e">
        <f>VLOOKUP(男子エントリー!G284,競技会設定!$F$3:$I$50,2,0)</f>
        <v>#N/A</v>
      </c>
      <c r="R71" s="1" t="str" cm="1">
        <f t="array" ref="R71">_xlfn.IFNA(_xlfn.IFNA(INDEX(競技会設定!$X$2:$AC$24,MATCH(INDEX(男子エントリー!$J$7:$AH$406,MATCH($G71&amp;RIGHT(R$1,1),男子エントリー!$AH$7:$AH$406,0),1),競技会設定!$AC$2:$AC$24,0),1),INDEX(競技会設定!$X$2:$AC$24,MATCH(INDEX(男子エントリー!$R$6:$V$406,MATCH($G71&amp;RIGHT(R$1,1),男子エントリー!$V$6:$V$406,0)-MATCH($G71&amp;RIGHT(R$1,1),男子エントリー!$V$6:$V$406,0)+1,1),競技会設定!$AC$2:$AC$24,0),1)),"")</f>
        <v/>
      </c>
      <c r="S71" s="1" t="str">
        <f>IF(R71=14,リレーエントリー!$I$12,_xlfn.IFNA(INDEX(男子エントリー!$J$7:$AH$406,MATCH($G71&amp;RIGHT(T$1,1),男子エントリー!$AH$7:$AH$406,0),3),""))</f>
        <v/>
      </c>
      <c r="T71" s="1" t="str">
        <f t="shared" si="32"/>
        <v/>
      </c>
      <c r="U71" s="1" t="str">
        <f t="shared" si="34"/>
        <v/>
      </c>
      <c r="V71" s="1" t="str">
        <f t="shared" si="33"/>
        <v/>
      </c>
      <c r="W71" s="1" t="str" cm="1">
        <f t="array" ref="W71">_xlfn.IFNA(_xlfn.IFNA(INDEX(競技会設定!$X$2:$AC$24,MATCH(INDEX(男子エントリー!$J$7:$AH$406,MATCH($G71&amp;RIGHT(W$1,1),男子エントリー!$AH$7:$AH$406,0),1),競技会設定!$AC$2:$AC$24,0),1),INDEX(競技会設定!$X$2:$AC$24,MATCH(INDEX(男子エントリー!$R$6:$V$406,MATCH($G71&amp;RIGHT(W$1,1),男子エントリー!$V$6:$V$406,0)-MATCH($G71&amp;RIGHT(W$1,1),男子エントリー!$V$6:$V$406,0)+1,1),競技会設定!$AC$2:$AC$24,0),1)),"")</f>
        <v/>
      </c>
      <c r="X71" s="1" t="str">
        <f>IF(W71=14,リレーエントリー!$I$12,_xlfn.IFNA(INDEX(男子エントリー!$J$7:$AH$406,MATCH($G71&amp;RIGHT(Y$1,1),男子エントリー!$AH$7:$AH$406,0),3),""))</f>
        <v/>
      </c>
      <c r="Y71" s="1" t="str">
        <f t="shared" si="18"/>
        <v/>
      </c>
      <c r="Z71" s="1" t="str">
        <f t="shared" si="19"/>
        <v/>
      </c>
      <c r="AA71" s="1" t="str">
        <f t="shared" si="20"/>
        <v/>
      </c>
      <c r="AB71" s="1" t="str" cm="1">
        <f t="array" ref="AB71">_xlfn.IFNA(_xlfn.IFNA(INDEX(競技会設定!$X$2:$AC$24,MATCH(INDEX(男子エントリー!$J$7:$AH$406,MATCH($G71&amp;RIGHT(AB$1,1),男子エントリー!$AH$7:$AH$406,0),1),競技会設定!$AC$2:$AC$24,0),1),INDEX(競技会設定!$X$2:$AC$24,MATCH(INDEX(男子エントリー!$R$6:$V$406,MATCH($G71&amp;RIGHT(AB$1,1),男子エントリー!$V$6:$V$406,0)-MATCH($G71&amp;RIGHT(AB$1,1),男子エントリー!$V$6:$V$406,0)+1,1),競技会設定!$AC$2:$AC$24,0),1)),"")</f>
        <v/>
      </c>
      <c r="AC71" s="1" t="str">
        <f>IF(AB71=14,リレーエントリー!$I$12,_xlfn.IFNA(INDEX(男子エントリー!$J$7:$AH$406,MATCH($G71&amp;RIGHT(AD$1,1),男子エントリー!$AH$7:$AH$406,0),3),""))</f>
        <v/>
      </c>
      <c r="AD71" s="1" t="str">
        <f t="shared" si="21"/>
        <v/>
      </c>
      <c r="AE71" s="1" t="str">
        <f t="shared" si="22"/>
        <v/>
      </c>
      <c r="AF71" s="1" t="str">
        <f t="shared" si="23"/>
        <v/>
      </c>
      <c r="AG71" s="1" t="str" cm="1">
        <f t="array" ref="AG71">_xlfn.IFNA(_xlfn.IFNA(INDEX(競技会設定!$X$2:$AC$24,MATCH(INDEX(男子エントリー!$J$7:$AH$406,MATCH($G71&amp;RIGHT(AG$1,1),男子エントリー!$AH$7:$AH$406,0),1),競技会設定!$AC$2:$AC$24,0),1),INDEX(競技会設定!$X$2:$AC$24,MATCH(INDEX(男子エントリー!$R$6:$V$406,MATCH($G71&amp;RIGHT(AG$1,1),男子エントリー!$V$6:$V$406,0)-MATCH($G71&amp;RIGHT(AG$1,1),男子エントリー!$V$6:$V$406,0)+1,1),競技会設定!$AC$2:$AC$24,0),1)),"")</f>
        <v/>
      </c>
      <c r="AH71" s="1" t="str">
        <f>IF(AG71=14,リレーエントリー!$I$12,_xlfn.IFNA(INDEX(男子エントリー!$J$7:$AH$406,MATCH($G71&amp;RIGHT(AI$1,1),男子エントリー!$AH$7:$AH$406,0),3),""))</f>
        <v/>
      </c>
      <c r="AI71" s="1" t="str">
        <f t="shared" si="24"/>
        <v/>
      </c>
      <c r="AJ71" s="1" t="str">
        <f t="shared" si="25"/>
        <v/>
      </c>
      <c r="AK71" s="1" t="str">
        <f t="shared" si="26"/>
        <v/>
      </c>
      <c r="AL71" s="1" t="str" cm="1">
        <f t="array" ref="AL71">_xlfn.IFNA(_xlfn.IFNA(INDEX(競技会設定!$X$2:$AC$24,MATCH(INDEX(男子エントリー!$J$7:$AH$406,MATCH($G71&amp;RIGHT(AL$1,1),男子エントリー!$AH$7:$AH$406,0),1),競技会設定!$AC$2:$AC$24,0),1),INDEX(競技会設定!$X$2:$AC$24,MATCH(INDEX(男子エントリー!$R$6:$V$406,MATCH($G71&amp;RIGHT(AL$1,1),男子エントリー!$V$6:$V$406,0)-MATCH($G71&amp;RIGHT(AL$1,1),男子エントリー!$V$6:$V$406,0)+1,1),競技会設定!$AC$2:$AC$24,0),1)),"")</f>
        <v/>
      </c>
      <c r="AM71" s="1" t="str">
        <f>IF(AL71=14,リレーエントリー!$I$12,_xlfn.IFNA(INDEX(男子エントリー!$J$7:$AH$406,MATCH($G71&amp;RIGHT(AN$1,1),男子エントリー!$AH$7:$AH$406,0),3),""))</f>
        <v/>
      </c>
      <c r="AN71" s="1" t="str">
        <f t="shared" si="27"/>
        <v/>
      </c>
      <c r="AO71" s="1" t="str">
        <f t="shared" si="28"/>
        <v/>
      </c>
      <c r="AP71" s="1" t="str">
        <f t="shared" si="29"/>
        <v/>
      </c>
    </row>
    <row r="72" spans="1:42">
      <c r="A72" s="1">
        <v>71</v>
      </c>
      <c r="B72" s="92" t="str">
        <f>男子エントリー!D287</f>
        <v/>
      </c>
      <c r="C72" s="1" t="str">
        <f>基本情報!$E$6</f>
        <v/>
      </c>
      <c r="D72" s="1" t="str">
        <f>基本情報!$E$7</f>
        <v/>
      </c>
      <c r="F72" s="92">
        <f>男子エントリー!C287</f>
        <v>0</v>
      </c>
      <c r="G72" s="92" t="str">
        <f>男子エントリー!E287</f>
        <v/>
      </c>
      <c r="H72" s="92" t="str">
        <f>男子エントリー!F287</f>
        <v/>
      </c>
      <c r="I72" s="1" t="str">
        <f t="shared" si="30"/>
        <v/>
      </c>
      <c r="J72" s="1" t="e">
        <f>LEFT(男子エントリー!E289,FIND(",",LEFT(男子エントリー!E289,LEN(男子エントリー!E289)-5))-1)&amp;LEFT(RIGHT(男子エントリー!E289,LEN(男子エントリー!E289)-FIND(",",男子エントリー!E289)),LEN(RIGHT(男子エントリー!E289,LEN(男子エントリー!E289)-FIND(",",男子エントリー!E289)))-5)</f>
        <v>#VALUE!</v>
      </c>
      <c r="K72" s="1" t="str">
        <f>男子エントリー!G289</f>
        <v/>
      </c>
      <c r="L72" s="1" t="str">
        <f t="shared" si="31"/>
        <v/>
      </c>
      <c r="M72" s="92" t="str">
        <f>男子エントリー!G287</f>
        <v/>
      </c>
      <c r="N72" s="92" t="e">
        <f>MID(男子エントリー!E289,FIND("(",男子エントリー!E289)+1,2)</f>
        <v>#VALUE!</v>
      </c>
      <c r="O72" s="1">
        <v>0</v>
      </c>
      <c r="P72" s="92" t="e">
        <f>VLOOKUP(男子エントリー!G288,競技会設定!$F$3:$I$50,2,0)</f>
        <v>#N/A</v>
      </c>
      <c r="R72" s="1" t="str" cm="1">
        <f t="array" ref="R72">_xlfn.IFNA(_xlfn.IFNA(INDEX(競技会設定!$X$2:$AC$24,MATCH(INDEX(男子エントリー!$J$7:$AH$406,MATCH($G72&amp;RIGHT(R$1,1),男子エントリー!$AH$7:$AH$406,0),1),競技会設定!$AC$2:$AC$24,0),1),INDEX(競技会設定!$X$2:$AC$24,MATCH(INDEX(男子エントリー!$R$6:$V$406,MATCH($G72&amp;RIGHT(R$1,1),男子エントリー!$V$6:$V$406,0)-MATCH($G72&amp;RIGHT(R$1,1),男子エントリー!$V$6:$V$406,0)+1,1),競技会設定!$AC$2:$AC$24,0),1)),"")</f>
        <v/>
      </c>
      <c r="S72" s="1" t="str">
        <f>IF(R72=14,リレーエントリー!$I$12,_xlfn.IFNA(INDEX(男子エントリー!$J$7:$AH$406,MATCH($G72&amp;RIGHT(T$1,1),男子エントリー!$AH$7:$AH$406,0),3),""))</f>
        <v/>
      </c>
      <c r="T72" s="1" t="str">
        <f t="shared" si="32"/>
        <v/>
      </c>
      <c r="U72" s="1" t="str">
        <f t="shared" si="34"/>
        <v/>
      </c>
      <c r="V72" s="1" t="str">
        <f t="shared" si="33"/>
        <v/>
      </c>
      <c r="W72" s="1" t="str" cm="1">
        <f t="array" ref="W72">_xlfn.IFNA(_xlfn.IFNA(INDEX(競技会設定!$X$2:$AC$24,MATCH(INDEX(男子エントリー!$J$7:$AH$406,MATCH($G72&amp;RIGHT(W$1,1),男子エントリー!$AH$7:$AH$406,0),1),競技会設定!$AC$2:$AC$24,0),1),INDEX(競技会設定!$X$2:$AC$24,MATCH(INDEX(男子エントリー!$R$6:$V$406,MATCH($G72&amp;RIGHT(W$1,1),男子エントリー!$V$6:$V$406,0)-MATCH($G72&amp;RIGHT(W$1,1),男子エントリー!$V$6:$V$406,0)+1,1),競技会設定!$AC$2:$AC$24,0),1)),"")</f>
        <v/>
      </c>
      <c r="X72" s="1" t="str">
        <f>IF(W72=14,リレーエントリー!$I$12,_xlfn.IFNA(INDEX(男子エントリー!$J$7:$AH$406,MATCH($G72&amp;RIGHT(Y$1,1),男子エントリー!$AH$7:$AH$406,0),3),""))</f>
        <v/>
      </c>
      <c r="Y72" s="1" t="str">
        <f t="shared" si="18"/>
        <v/>
      </c>
      <c r="Z72" s="1" t="str">
        <f t="shared" si="19"/>
        <v/>
      </c>
      <c r="AA72" s="1" t="str">
        <f t="shared" si="20"/>
        <v/>
      </c>
      <c r="AB72" s="1" t="str" cm="1">
        <f t="array" ref="AB72">_xlfn.IFNA(_xlfn.IFNA(INDEX(競技会設定!$X$2:$AC$24,MATCH(INDEX(男子エントリー!$J$7:$AH$406,MATCH($G72&amp;RIGHT(AB$1,1),男子エントリー!$AH$7:$AH$406,0),1),競技会設定!$AC$2:$AC$24,0),1),INDEX(競技会設定!$X$2:$AC$24,MATCH(INDEX(男子エントリー!$R$6:$V$406,MATCH($G72&amp;RIGHT(AB$1,1),男子エントリー!$V$6:$V$406,0)-MATCH($G72&amp;RIGHT(AB$1,1),男子エントリー!$V$6:$V$406,0)+1,1),競技会設定!$AC$2:$AC$24,0),1)),"")</f>
        <v/>
      </c>
      <c r="AC72" s="1" t="str">
        <f>IF(AB72=14,リレーエントリー!$I$12,_xlfn.IFNA(INDEX(男子エントリー!$J$7:$AH$406,MATCH($G72&amp;RIGHT(AD$1,1),男子エントリー!$AH$7:$AH$406,0),3),""))</f>
        <v/>
      </c>
      <c r="AD72" s="1" t="str">
        <f t="shared" si="21"/>
        <v/>
      </c>
      <c r="AE72" s="1" t="str">
        <f t="shared" si="22"/>
        <v/>
      </c>
      <c r="AF72" s="1" t="str">
        <f t="shared" si="23"/>
        <v/>
      </c>
      <c r="AG72" s="1" t="str" cm="1">
        <f t="array" ref="AG72">_xlfn.IFNA(_xlfn.IFNA(INDEX(競技会設定!$X$2:$AC$24,MATCH(INDEX(男子エントリー!$J$7:$AH$406,MATCH($G72&amp;RIGHT(AG$1,1),男子エントリー!$AH$7:$AH$406,0),1),競技会設定!$AC$2:$AC$24,0),1),INDEX(競技会設定!$X$2:$AC$24,MATCH(INDEX(男子エントリー!$R$6:$V$406,MATCH($G72&amp;RIGHT(AG$1,1),男子エントリー!$V$6:$V$406,0)-MATCH($G72&amp;RIGHT(AG$1,1),男子エントリー!$V$6:$V$406,0)+1,1),競技会設定!$AC$2:$AC$24,0),1)),"")</f>
        <v/>
      </c>
      <c r="AH72" s="1" t="str">
        <f>IF(AG72=14,リレーエントリー!$I$12,_xlfn.IFNA(INDEX(男子エントリー!$J$7:$AH$406,MATCH($G72&amp;RIGHT(AI$1,1),男子エントリー!$AH$7:$AH$406,0),3),""))</f>
        <v/>
      </c>
      <c r="AI72" s="1" t="str">
        <f t="shared" si="24"/>
        <v/>
      </c>
      <c r="AJ72" s="1" t="str">
        <f t="shared" si="25"/>
        <v/>
      </c>
      <c r="AK72" s="1" t="str">
        <f t="shared" si="26"/>
        <v/>
      </c>
      <c r="AL72" s="1" t="str" cm="1">
        <f t="array" ref="AL72">_xlfn.IFNA(_xlfn.IFNA(INDEX(競技会設定!$X$2:$AC$24,MATCH(INDEX(男子エントリー!$J$7:$AH$406,MATCH($G72&amp;RIGHT(AL$1,1),男子エントリー!$AH$7:$AH$406,0),1),競技会設定!$AC$2:$AC$24,0),1),INDEX(競技会設定!$X$2:$AC$24,MATCH(INDEX(男子エントリー!$R$6:$V$406,MATCH($G72&amp;RIGHT(AL$1,1),男子エントリー!$V$6:$V$406,0)-MATCH($G72&amp;RIGHT(AL$1,1),男子エントリー!$V$6:$V$406,0)+1,1),競技会設定!$AC$2:$AC$24,0),1)),"")</f>
        <v/>
      </c>
      <c r="AM72" s="1" t="str">
        <f>IF(AL72=14,リレーエントリー!$I$12,_xlfn.IFNA(INDEX(男子エントリー!$J$7:$AH$406,MATCH($G72&amp;RIGHT(AN$1,1),男子エントリー!$AH$7:$AH$406,0),3),""))</f>
        <v/>
      </c>
      <c r="AN72" s="1" t="str">
        <f t="shared" si="27"/>
        <v/>
      </c>
      <c r="AO72" s="1" t="str">
        <f t="shared" si="28"/>
        <v/>
      </c>
      <c r="AP72" s="1" t="str">
        <f t="shared" si="29"/>
        <v/>
      </c>
    </row>
    <row r="73" spans="1:42">
      <c r="A73" s="1">
        <v>72</v>
      </c>
      <c r="B73" s="92" t="str">
        <f>男子エントリー!D291</f>
        <v/>
      </c>
      <c r="C73" s="1" t="str">
        <f>基本情報!$E$6</f>
        <v/>
      </c>
      <c r="D73" s="1" t="str">
        <f>基本情報!$E$7</f>
        <v/>
      </c>
      <c r="F73" s="92">
        <f>男子エントリー!C291</f>
        <v>0</v>
      </c>
      <c r="G73" s="92" t="str">
        <f>男子エントリー!E291</f>
        <v/>
      </c>
      <c r="H73" s="92" t="str">
        <f>男子エントリー!F291</f>
        <v/>
      </c>
      <c r="I73" s="1" t="str">
        <f t="shared" si="30"/>
        <v/>
      </c>
      <c r="J73" s="1" t="e">
        <f>LEFT(男子エントリー!E293,FIND(",",LEFT(男子エントリー!E293,LEN(男子エントリー!E293)-5))-1)&amp;LEFT(RIGHT(男子エントリー!E293,LEN(男子エントリー!E293)-FIND(",",男子エントリー!E293)),LEN(RIGHT(男子エントリー!E293,LEN(男子エントリー!E293)-FIND(",",男子エントリー!E293)))-5)</f>
        <v>#VALUE!</v>
      </c>
      <c r="K73" s="1" t="str">
        <f>男子エントリー!G293</f>
        <v/>
      </c>
      <c r="L73" s="1" t="str">
        <f t="shared" si="31"/>
        <v/>
      </c>
      <c r="M73" s="92" t="str">
        <f>男子エントリー!G291</f>
        <v/>
      </c>
      <c r="N73" s="92" t="e">
        <f>MID(男子エントリー!E293,FIND("(",男子エントリー!E293)+1,2)</f>
        <v>#VALUE!</v>
      </c>
      <c r="O73" s="1">
        <v>0</v>
      </c>
      <c r="P73" s="92" t="e">
        <f>VLOOKUP(男子エントリー!G292,競技会設定!$F$3:$I$50,2,0)</f>
        <v>#N/A</v>
      </c>
      <c r="R73" s="1" t="str" cm="1">
        <f t="array" ref="R73">_xlfn.IFNA(_xlfn.IFNA(INDEX(競技会設定!$X$2:$AC$24,MATCH(INDEX(男子エントリー!$J$7:$AH$406,MATCH($G73&amp;RIGHT(R$1,1),男子エントリー!$AH$7:$AH$406,0),1),競技会設定!$AC$2:$AC$24,0),1),INDEX(競技会設定!$X$2:$AC$24,MATCH(INDEX(男子エントリー!$R$6:$V$406,MATCH($G73&amp;RIGHT(R$1,1),男子エントリー!$V$6:$V$406,0)-MATCH($G73&amp;RIGHT(R$1,1),男子エントリー!$V$6:$V$406,0)+1,1),競技会設定!$AC$2:$AC$24,0),1)),"")</f>
        <v/>
      </c>
      <c r="S73" s="1" t="str">
        <f>IF(R73=14,リレーエントリー!$I$12,_xlfn.IFNA(INDEX(男子エントリー!$J$7:$AH$406,MATCH($G73&amp;RIGHT(T$1,1),男子エントリー!$AH$7:$AH$406,0),3),""))</f>
        <v/>
      </c>
      <c r="T73" s="1" t="str">
        <f t="shared" si="32"/>
        <v/>
      </c>
      <c r="U73" s="1" t="str">
        <f t="shared" si="34"/>
        <v/>
      </c>
      <c r="V73" s="1" t="str">
        <f t="shared" si="33"/>
        <v/>
      </c>
      <c r="W73" s="1" t="str" cm="1">
        <f t="array" ref="W73">_xlfn.IFNA(_xlfn.IFNA(INDEX(競技会設定!$X$2:$AC$24,MATCH(INDEX(男子エントリー!$J$7:$AH$406,MATCH($G73&amp;RIGHT(W$1,1),男子エントリー!$AH$7:$AH$406,0),1),競技会設定!$AC$2:$AC$24,0),1),INDEX(競技会設定!$X$2:$AC$24,MATCH(INDEX(男子エントリー!$R$6:$V$406,MATCH($G73&amp;RIGHT(W$1,1),男子エントリー!$V$6:$V$406,0)-MATCH($G73&amp;RIGHT(W$1,1),男子エントリー!$V$6:$V$406,0)+1,1),競技会設定!$AC$2:$AC$24,0),1)),"")</f>
        <v/>
      </c>
      <c r="X73" s="1" t="str">
        <f>IF(W73=14,リレーエントリー!$I$12,_xlfn.IFNA(INDEX(男子エントリー!$J$7:$AH$406,MATCH($G73&amp;RIGHT(Y$1,1),男子エントリー!$AH$7:$AH$406,0),3),""))</f>
        <v/>
      </c>
      <c r="Y73" s="1" t="str">
        <f t="shared" si="18"/>
        <v/>
      </c>
      <c r="Z73" s="1" t="str">
        <f t="shared" si="19"/>
        <v/>
      </c>
      <c r="AA73" s="1" t="str">
        <f t="shared" si="20"/>
        <v/>
      </c>
      <c r="AB73" s="1" t="str" cm="1">
        <f t="array" ref="AB73">_xlfn.IFNA(_xlfn.IFNA(INDEX(競技会設定!$X$2:$AC$24,MATCH(INDEX(男子エントリー!$J$7:$AH$406,MATCH($G73&amp;RIGHT(AB$1,1),男子エントリー!$AH$7:$AH$406,0),1),競技会設定!$AC$2:$AC$24,0),1),INDEX(競技会設定!$X$2:$AC$24,MATCH(INDEX(男子エントリー!$R$6:$V$406,MATCH($G73&amp;RIGHT(AB$1,1),男子エントリー!$V$6:$V$406,0)-MATCH($G73&amp;RIGHT(AB$1,1),男子エントリー!$V$6:$V$406,0)+1,1),競技会設定!$AC$2:$AC$24,0),1)),"")</f>
        <v/>
      </c>
      <c r="AC73" s="1" t="str">
        <f>IF(AB73=14,リレーエントリー!$I$12,_xlfn.IFNA(INDEX(男子エントリー!$J$7:$AH$406,MATCH($G73&amp;RIGHT(AD$1,1),男子エントリー!$AH$7:$AH$406,0),3),""))</f>
        <v/>
      </c>
      <c r="AD73" s="1" t="str">
        <f t="shared" si="21"/>
        <v/>
      </c>
      <c r="AE73" s="1" t="str">
        <f t="shared" si="22"/>
        <v/>
      </c>
      <c r="AF73" s="1" t="str">
        <f t="shared" si="23"/>
        <v/>
      </c>
      <c r="AG73" s="1" t="str" cm="1">
        <f t="array" ref="AG73">_xlfn.IFNA(_xlfn.IFNA(INDEX(競技会設定!$X$2:$AC$24,MATCH(INDEX(男子エントリー!$J$7:$AH$406,MATCH($G73&amp;RIGHT(AG$1,1),男子エントリー!$AH$7:$AH$406,0),1),競技会設定!$AC$2:$AC$24,0),1),INDEX(競技会設定!$X$2:$AC$24,MATCH(INDEX(男子エントリー!$R$6:$V$406,MATCH($G73&amp;RIGHT(AG$1,1),男子エントリー!$V$6:$V$406,0)-MATCH($G73&amp;RIGHT(AG$1,1),男子エントリー!$V$6:$V$406,0)+1,1),競技会設定!$AC$2:$AC$24,0),1)),"")</f>
        <v/>
      </c>
      <c r="AH73" s="1" t="str">
        <f>IF(AG73=14,リレーエントリー!$I$12,_xlfn.IFNA(INDEX(男子エントリー!$J$7:$AH$406,MATCH($G73&amp;RIGHT(AI$1,1),男子エントリー!$AH$7:$AH$406,0),3),""))</f>
        <v/>
      </c>
      <c r="AI73" s="1" t="str">
        <f t="shared" si="24"/>
        <v/>
      </c>
      <c r="AJ73" s="1" t="str">
        <f t="shared" si="25"/>
        <v/>
      </c>
      <c r="AK73" s="1" t="str">
        <f t="shared" si="26"/>
        <v/>
      </c>
      <c r="AL73" s="1" t="str" cm="1">
        <f t="array" ref="AL73">_xlfn.IFNA(_xlfn.IFNA(INDEX(競技会設定!$X$2:$AC$24,MATCH(INDEX(男子エントリー!$J$7:$AH$406,MATCH($G73&amp;RIGHT(AL$1,1),男子エントリー!$AH$7:$AH$406,0),1),競技会設定!$AC$2:$AC$24,0),1),INDEX(競技会設定!$X$2:$AC$24,MATCH(INDEX(男子エントリー!$R$6:$V$406,MATCH($G73&amp;RIGHT(AL$1,1),男子エントリー!$V$6:$V$406,0)-MATCH($G73&amp;RIGHT(AL$1,1),男子エントリー!$V$6:$V$406,0)+1,1),競技会設定!$AC$2:$AC$24,0),1)),"")</f>
        <v/>
      </c>
      <c r="AM73" s="1" t="str">
        <f>IF(AL73=14,リレーエントリー!$I$12,_xlfn.IFNA(INDEX(男子エントリー!$J$7:$AH$406,MATCH($G73&amp;RIGHT(AN$1,1),男子エントリー!$AH$7:$AH$406,0),3),""))</f>
        <v/>
      </c>
      <c r="AN73" s="1" t="str">
        <f t="shared" si="27"/>
        <v/>
      </c>
      <c r="AO73" s="1" t="str">
        <f t="shared" si="28"/>
        <v/>
      </c>
      <c r="AP73" s="1" t="str">
        <f t="shared" si="29"/>
        <v/>
      </c>
    </row>
    <row r="74" spans="1:42">
      <c r="A74" s="1">
        <v>73</v>
      </c>
      <c r="B74" s="92" t="str">
        <f>男子エントリー!D295</f>
        <v/>
      </c>
      <c r="C74" s="1" t="str">
        <f>基本情報!$E$6</f>
        <v/>
      </c>
      <c r="D74" s="1" t="str">
        <f>基本情報!$E$7</f>
        <v/>
      </c>
      <c r="F74" s="92">
        <f>男子エントリー!C295</f>
        <v>0</v>
      </c>
      <c r="G74" s="92" t="str">
        <f>男子エントリー!E295</f>
        <v/>
      </c>
      <c r="H74" s="92" t="str">
        <f>男子エントリー!F295</f>
        <v/>
      </c>
      <c r="I74" s="1" t="str">
        <f t="shared" si="30"/>
        <v/>
      </c>
      <c r="J74" s="1" t="e">
        <f>LEFT(男子エントリー!E297,FIND(",",LEFT(男子エントリー!E297,LEN(男子エントリー!E297)-5))-1)&amp;LEFT(RIGHT(男子エントリー!E297,LEN(男子エントリー!E297)-FIND(",",男子エントリー!E297)),LEN(RIGHT(男子エントリー!E297,LEN(男子エントリー!E297)-FIND(",",男子エントリー!E297)))-5)</f>
        <v>#VALUE!</v>
      </c>
      <c r="K74" s="1" t="str">
        <f>男子エントリー!G297</f>
        <v/>
      </c>
      <c r="L74" s="1" t="str">
        <f t="shared" si="31"/>
        <v/>
      </c>
      <c r="M74" s="92" t="str">
        <f>男子エントリー!G295</f>
        <v/>
      </c>
      <c r="N74" s="92" t="e">
        <f>MID(男子エントリー!E297,FIND("(",男子エントリー!E297)+1,2)</f>
        <v>#VALUE!</v>
      </c>
      <c r="O74" s="1">
        <v>0</v>
      </c>
      <c r="P74" s="92" t="e">
        <f>VLOOKUP(男子エントリー!G296,競技会設定!$F$3:$I$50,2,0)</f>
        <v>#N/A</v>
      </c>
      <c r="R74" s="1" t="str" cm="1">
        <f t="array" ref="R74">_xlfn.IFNA(_xlfn.IFNA(INDEX(競技会設定!$X$2:$AC$24,MATCH(INDEX(男子エントリー!$J$7:$AH$406,MATCH($G74&amp;RIGHT(R$1,1),男子エントリー!$AH$7:$AH$406,0),1),競技会設定!$AC$2:$AC$24,0),1),INDEX(競技会設定!$X$2:$AC$24,MATCH(INDEX(男子エントリー!$R$6:$V$406,MATCH($G74&amp;RIGHT(R$1,1),男子エントリー!$V$6:$V$406,0)-MATCH($G74&amp;RIGHT(R$1,1),男子エントリー!$V$6:$V$406,0)+1,1),競技会設定!$AC$2:$AC$24,0),1)),"")</f>
        <v/>
      </c>
      <c r="S74" s="1" t="str">
        <f>IF(R74=14,リレーエントリー!$I$12,_xlfn.IFNA(INDEX(男子エントリー!$J$7:$AH$406,MATCH($G74&amp;RIGHT(T$1,1),男子エントリー!$AH$7:$AH$406,0),3),""))</f>
        <v/>
      </c>
      <c r="T74" s="1" t="str">
        <f t="shared" si="32"/>
        <v/>
      </c>
      <c r="U74" s="1" t="str">
        <f t="shared" si="34"/>
        <v/>
      </c>
      <c r="V74" s="1" t="str">
        <f t="shared" si="33"/>
        <v/>
      </c>
      <c r="W74" s="1" t="str" cm="1">
        <f t="array" ref="W74">_xlfn.IFNA(_xlfn.IFNA(INDEX(競技会設定!$X$2:$AC$24,MATCH(INDEX(男子エントリー!$J$7:$AH$406,MATCH($G74&amp;RIGHT(W$1,1),男子エントリー!$AH$7:$AH$406,0),1),競技会設定!$AC$2:$AC$24,0),1),INDEX(競技会設定!$X$2:$AC$24,MATCH(INDEX(男子エントリー!$R$6:$V$406,MATCH($G74&amp;RIGHT(W$1,1),男子エントリー!$V$6:$V$406,0)-MATCH($G74&amp;RIGHT(W$1,1),男子エントリー!$V$6:$V$406,0)+1,1),競技会設定!$AC$2:$AC$24,0),1)),"")</f>
        <v/>
      </c>
      <c r="X74" s="1" t="str">
        <f>IF(W74=14,リレーエントリー!$I$12,_xlfn.IFNA(INDEX(男子エントリー!$J$7:$AH$406,MATCH($G74&amp;RIGHT(Y$1,1),男子エントリー!$AH$7:$AH$406,0),3),""))</f>
        <v/>
      </c>
      <c r="Y74" s="1" t="str">
        <f t="shared" si="18"/>
        <v/>
      </c>
      <c r="Z74" s="1" t="str">
        <f t="shared" si="19"/>
        <v/>
      </c>
      <c r="AA74" s="1" t="str">
        <f t="shared" si="20"/>
        <v/>
      </c>
      <c r="AB74" s="1" t="str" cm="1">
        <f t="array" ref="AB74">_xlfn.IFNA(_xlfn.IFNA(INDEX(競技会設定!$X$2:$AC$24,MATCH(INDEX(男子エントリー!$J$7:$AH$406,MATCH($G74&amp;RIGHT(AB$1,1),男子エントリー!$AH$7:$AH$406,0),1),競技会設定!$AC$2:$AC$24,0),1),INDEX(競技会設定!$X$2:$AC$24,MATCH(INDEX(男子エントリー!$R$6:$V$406,MATCH($G74&amp;RIGHT(AB$1,1),男子エントリー!$V$6:$V$406,0)-MATCH($G74&amp;RIGHT(AB$1,1),男子エントリー!$V$6:$V$406,0)+1,1),競技会設定!$AC$2:$AC$24,0),1)),"")</f>
        <v/>
      </c>
      <c r="AC74" s="1" t="str">
        <f>IF(AB74=14,リレーエントリー!$I$12,_xlfn.IFNA(INDEX(男子エントリー!$J$7:$AH$406,MATCH($G74&amp;RIGHT(AD$1,1),男子エントリー!$AH$7:$AH$406,0),3),""))</f>
        <v/>
      </c>
      <c r="AD74" s="1" t="str">
        <f t="shared" si="21"/>
        <v/>
      </c>
      <c r="AE74" s="1" t="str">
        <f t="shared" si="22"/>
        <v/>
      </c>
      <c r="AF74" s="1" t="str">
        <f t="shared" si="23"/>
        <v/>
      </c>
      <c r="AG74" s="1" t="str" cm="1">
        <f t="array" ref="AG74">_xlfn.IFNA(_xlfn.IFNA(INDEX(競技会設定!$X$2:$AC$24,MATCH(INDEX(男子エントリー!$J$7:$AH$406,MATCH($G74&amp;RIGHT(AG$1,1),男子エントリー!$AH$7:$AH$406,0),1),競技会設定!$AC$2:$AC$24,0),1),INDEX(競技会設定!$X$2:$AC$24,MATCH(INDEX(男子エントリー!$R$6:$V$406,MATCH($G74&amp;RIGHT(AG$1,1),男子エントリー!$V$6:$V$406,0)-MATCH($G74&amp;RIGHT(AG$1,1),男子エントリー!$V$6:$V$406,0)+1,1),競技会設定!$AC$2:$AC$24,0),1)),"")</f>
        <v/>
      </c>
      <c r="AH74" s="1" t="str">
        <f>IF(AG74=14,リレーエントリー!$I$12,_xlfn.IFNA(INDEX(男子エントリー!$J$7:$AH$406,MATCH($G74&amp;RIGHT(AI$1,1),男子エントリー!$AH$7:$AH$406,0),3),""))</f>
        <v/>
      </c>
      <c r="AI74" s="1" t="str">
        <f t="shared" si="24"/>
        <v/>
      </c>
      <c r="AJ74" s="1" t="str">
        <f t="shared" si="25"/>
        <v/>
      </c>
      <c r="AK74" s="1" t="str">
        <f t="shared" si="26"/>
        <v/>
      </c>
      <c r="AL74" s="1" t="str" cm="1">
        <f t="array" ref="AL74">_xlfn.IFNA(_xlfn.IFNA(INDEX(競技会設定!$X$2:$AC$24,MATCH(INDEX(男子エントリー!$J$7:$AH$406,MATCH($G74&amp;RIGHT(AL$1,1),男子エントリー!$AH$7:$AH$406,0),1),競技会設定!$AC$2:$AC$24,0),1),INDEX(競技会設定!$X$2:$AC$24,MATCH(INDEX(男子エントリー!$R$6:$V$406,MATCH($G74&amp;RIGHT(AL$1,1),男子エントリー!$V$6:$V$406,0)-MATCH($G74&amp;RIGHT(AL$1,1),男子エントリー!$V$6:$V$406,0)+1,1),競技会設定!$AC$2:$AC$24,0),1)),"")</f>
        <v/>
      </c>
      <c r="AM74" s="1" t="str">
        <f>IF(AL74=14,リレーエントリー!$I$12,_xlfn.IFNA(INDEX(男子エントリー!$J$7:$AH$406,MATCH($G74&amp;RIGHT(AN$1,1),男子エントリー!$AH$7:$AH$406,0),3),""))</f>
        <v/>
      </c>
      <c r="AN74" s="1" t="str">
        <f t="shared" si="27"/>
        <v/>
      </c>
      <c r="AO74" s="1" t="str">
        <f t="shared" si="28"/>
        <v/>
      </c>
      <c r="AP74" s="1" t="str">
        <f t="shared" si="29"/>
        <v/>
      </c>
    </row>
    <row r="75" spans="1:42">
      <c r="A75" s="1">
        <v>74</v>
      </c>
      <c r="B75" s="92" t="str">
        <f>男子エントリー!D299</f>
        <v/>
      </c>
      <c r="C75" s="1" t="str">
        <f>基本情報!$E$6</f>
        <v/>
      </c>
      <c r="D75" s="1" t="str">
        <f>基本情報!$E$7</f>
        <v/>
      </c>
      <c r="F75" s="92">
        <f>男子エントリー!C299</f>
        <v>0</v>
      </c>
      <c r="G75" s="92" t="str">
        <f>男子エントリー!E299</f>
        <v/>
      </c>
      <c r="H75" s="92" t="str">
        <f>男子エントリー!F299</f>
        <v/>
      </c>
      <c r="I75" s="1" t="str">
        <f t="shared" si="30"/>
        <v/>
      </c>
      <c r="J75" s="1" t="e">
        <f>LEFT(男子エントリー!E301,FIND(",",LEFT(男子エントリー!E301,LEN(男子エントリー!E301)-5))-1)&amp;LEFT(RIGHT(男子エントリー!E301,LEN(男子エントリー!E301)-FIND(",",男子エントリー!E301)),LEN(RIGHT(男子エントリー!E301,LEN(男子エントリー!E301)-FIND(",",男子エントリー!E301)))-5)</f>
        <v>#VALUE!</v>
      </c>
      <c r="K75" s="1" t="str">
        <f>男子エントリー!G301</f>
        <v/>
      </c>
      <c r="L75" s="1" t="str">
        <f t="shared" si="31"/>
        <v/>
      </c>
      <c r="M75" s="92" t="str">
        <f>男子エントリー!G299</f>
        <v/>
      </c>
      <c r="N75" s="92" t="e">
        <f>MID(男子エントリー!E301,FIND("(",男子エントリー!E301)+1,2)</f>
        <v>#VALUE!</v>
      </c>
      <c r="O75" s="1">
        <v>0</v>
      </c>
      <c r="P75" s="92" t="e">
        <f>VLOOKUP(男子エントリー!G300,競技会設定!$F$3:$I$50,2,0)</f>
        <v>#N/A</v>
      </c>
      <c r="R75" s="1" t="str" cm="1">
        <f t="array" ref="R75">_xlfn.IFNA(_xlfn.IFNA(INDEX(競技会設定!$X$2:$AC$24,MATCH(INDEX(男子エントリー!$J$7:$AH$406,MATCH($G75&amp;RIGHT(R$1,1),男子エントリー!$AH$7:$AH$406,0),1),競技会設定!$AC$2:$AC$24,0),1),INDEX(競技会設定!$X$2:$AC$24,MATCH(INDEX(男子エントリー!$R$6:$V$406,MATCH($G75&amp;RIGHT(R$1,1),男子エントリー!$V$6:$V$406,0)-MATCH($G75&amp;RIGHT(R$1,1),男子エントリー!$V$6:$V$406,0)+1,1),競技会設定!$AC$2:$AC$24,0),1)),"")</f>
        <v/>
      </c>
      <c r="S75" s="1" t="str">
        <f>IF(R75=14,リレーエントリー!$I$12,_xlfn.IFNA(INDEX(男子エントリー!$J$7:$AH$406,MATCH($G75&amp;RIGHT(T$1,1),男子エントリー!$AH$7:$AH$406,0),3),""))</f>
        <v/>
      </c>
      <c r="T75" s="1" t="str">
        <f t="shared" si="32"/>
        <v/>
      </c>
      <c r="U75" s="1" t="str">
        <f t="shared" si="34"/>
        <v/>
      </c>
      <c r="V75" s="1" t="str">
        <f t="shared" si="33"/>
        <v/>
      </c>
      <c r="W75" s="1" t="str" cm="1">
        <f t="array" ref="W75">_xlfn.IFNA(_xlfn.IFNA(INDEX(競技会設定!$X$2:$AC$24,MATCH(INDEX(男子エントリー!$J$7:$AH$406,MATCH($G75&amp;RIGHT(W$1,1),男子エントリー!$AH$7:$AH$406,0),1),競技会設定!$AC$2:$AC$24,0),1),INDEX(競技会設定!$X$2:$AC$24,MATCH(INDEX(男子エントリー!$R$6:$V$406,MATCH($G75&amp;RIGHT(W$1,1),男子エントリー!$V$6:$V$406,0)-MATCH($G75&amp;RIGHT(W$1,1),男子エントリー!$V$6:$V$406,0)+1,1),競技会設定!$AC$2:$AC$24,0),1)),"")</f>
        <v/>
      </c>
      <c r="X75" s="1" t="str">
        <f>IF(W75=14,リレーエントリー!$I$12,_xlfn.IFNA(INDEX(男子エントリー!$J$7:$AH$406,MATCH($G75&amp;RIGHT(Y$1,1),男子エントリー!$AH$7:$AH$406,0),3),""))</f>
        <v/>
      </c>
      <c r="Y75" s="1" t="str">
        <f t="shared" si="18"/>
        <v/>
      </c>
      <c r="Z75" s="1" t="str">
        <f t="shared" si="19"/>
        <v/>
      </c>
      <c r="AA75" s="1" t="str">
        <f t="shared" si="20"/>
        <v/>
      </c>
      <c r="AB75" s="1" t="str" cm="1">
        <f t="array" ref="AB75">_xlfn.IFNA(_xlfn.IFNA(INDEX(競技会設定!$X$2:$AC$24,MATCH(INDEX(男子エントリー!$J$7:$AH$406,MATCH($G75&amp;RIGHT(AB$1,1),男子エントリー!$AH$7:$AH$406,0),1),競技会設定!$AC$2:$AC$24,0),1),INDEX(競技会設定!$X$2:$AC$24,MATCH(INDEX(男子エントリー!$R$6:$V$406,MATCH($G75&amp;RIGHT(AB$1,1),男子エントリー!$V$6:$V$406,0)-MATCH($G75&amp;RIGHT(AB$1,1),男子エントリー!$V$6:$V$406,0)+1,1),競技会設定!$AC$2:$AC$24,0),1)),"")</f>
        <v/>
      </c>
      <c r="AC75" s="1" t="str">
        <f>IF(AB75=14,リレーエントリー!$I$12,_xlfn.IFNA(INDEX(男子エントリー!$J$7:$AH$406,MATCH($G75&amp;RIGHT(AD$1,1),男子エントリー!$AH$7:$AH$406,0),3),""))</f>
        <v/>
      </c>
      <c r="AD75" s="1" t="str">
        <f t="shared" si="21"/>
        <v/>
      </c>
      <c r="AE75" s="1" t="str">
        <f t="shared" si="22"/>
        <v/>
      </c>
      <c r="AF75" s="1" t="str">
        <f t="shared" si="23"/>
        <v/>
      </c>
      <c r="AG75" s="1" t="str" cm="1">
        <f t="array" ref="AG75">_xlfn.IFNA(_xlfn.IFNA(INDEX(競技会設定!$X$2:$AC$24,MATCH(INDEX(男子エントリー!$J$7:$AH$406,MATCH($G75&amp;RIGHT(AG$1,1),男子エントリー!$AH$7:$AH$406,0),1),競技会設定!$AC$2:$AC$24,0),1),INDEX(競技会設定!$X$2:$AC$24,MATCH(INDEX(男子エントリー!$R$6:$V$406,MATCH($G75&amp;RIGHT(AG$1,1),男子エントリー!$V$6:$V$406,0)-MATCH($G75&amp;RIGHT(AG$1,1),男子エントリー!$V$6:$V$406,0)+1,1),競技会設定!$AC$2:$AC$24,0),1)),"")</f>
        <v/>
      </c>
      <c r="AH75" s="1" t="str">
        <f>IF(AG75=14,リレーエントリー!$I$12,_xlfn.IFNA(INDEX(男子エントリー!$J$7:$AH$406,MATCH($G75&amp;RIGHT(AI$1,1),男子エントリー!$AH$7:$AH$406,0),3),""))</f>
        <v/>
      </c>
      <c r="AI75" s="1" t="str">
        <f t="shared" si="24"/>
        <v/>
      </c>
      <c r="AJ75" s="1" t="str">
        <f t="shared" si="25"/>
        <v/>
      </c>
      <c r="AK75" s="1" t="str">
        <f t="shared" si="26"/>
        <v/>
      </c>
      <c r="AL75" s="1" t="str" cm="1">
        <f t="array" ref="AL75">_xlfn.IFNA(_xlfn.IFNA(INDEX(競技会設定!$X$2:$AC$24,MATCH(INDEX(男子エントリー!$J$7:$AH$406,MATCH($G75&amp;RIGHT(AL$1,1),男子エントリー!$AH$7:$AH$406,0),1),競技会設定!$AC$2:$AC$24,0),1),INDEX(競技会設定!$X$2:$AC$24,MATCH(INDEX(男子エントリー!$R$6:$V$406,MATCH($G75&amp;RIGHT(AL$1,1),男子エントリー!$V$6:$V$406,0)-MATCH($G75&amp;RIGHT(AL$1,1),男子エントリー!$V$6:$V$406,0)+1,1),競技会設定!$AC$2:$AC$24,0),1)),"")</f>
        <v/>
      </c>
      <c r="AM75" s="1" t="str">
        <f>IF(AL75=14,リレーエントリー!$I$12,_xlfn.IFNA(INDEX(男子エントリー!$J$7:$AH$406,MATCH($G75&amp;RIGHT(AN$1,1),男子エントリー!$AH$7:$AH$406,0),3),""))</f>
        <v/>
      </c>
      <c r="AN75" s="1" t="str">
        <f t="shared" si="27"/>
        <v/>
      </c>
      <c r="AO75" s="1" t="str">
        <f t="shared" si="28"/>
        <v/>
      </c>
      <c r="AP75" s="1" t="str">
        <f t="shared" si="29"/>
        <v/>
      </c>
    </row>
    <row r="76" spans="1:42">
      <c r="A76" s="1">
        <v>75</v>
      </c>
      <c r="B76" s="92" t="str">
        <f>男子エントリー!D303</f>
        <v/>
      </c>
      <c r="C76" s="1" t="str">
        <f>基本情報!$E$6</f>
        <v/>
      </c>
      <c r="D76" s="1" t="str">
        <f>基本情報!$E$7</f>
        <v/>
      </c>
      <c r="F76" s="92">
        <f>男子エントリー!C303</f>
        <v>0</v>
      </c>
      <c r="G76" s="92" t="str">
        <f>男子エントリー!E303</f>
        <v/>
      </c>
      <c r="H76" s="92" t="str">
        <f>男子エントリー!F303</f>
        <v/>
      </c>
      <c r="I76" s="1" t="str">
        <f t="shared" si="30"/>
        <v/>
      </c>
      <c r="J76" s="1" t="e">
        <f>LEFT(男子エントリー!E305,FIND(",",LEFT(男子エントリー!E305,LEN(男子エントリー!E305)-5))-1)&amp;LEFT(RIGHT(男子エントリー!E305,LEN(男子エントリー!E305)-FIND(",",男子エントリー!E305)),LEN(RIGHT(男子エントリー!E305,LEN(男子エントリー!E305)-FIND(",",男子エントリー!E305)))-5)</f>
        <v>#VALUE!</v>
      </c>
      <c r="K76" s="1" t="str">
        <f>男子エントリー!G305</f>
        <v/>
      </c>
      <c r="L76" s="1" t="str">
        <f t="shared" si="31"/>
        <v/>
      </c>
      <c r="M76" s="92" t="str">
        <f>男子エントリー!G303</f>
        <v/>
      </c>
      <c r="N76" s="92" t="e">
        <f>MID(男子エントリー!E305,FIND("(",男子エントリー!E305)+1,2)</f>
        <v>#VALUE!</v>
      </c>
      <c r="O76" s="1">
        <v>0</v>
      </c>
      <c r="P76" s="92" t="e">
        <f>VLOOKUP(男子エントリー!G304,競技会設定!$F$3:$I$50,2,0)</f>
        <v>#N/A</v>
      </c>
      <c r="R76" s="1" t="str" cm="1">
        <f t="array" ref="R76">_xlfn.IFNA(_xlfn.IFNA(INDEX(競技会設定!$X$2:$AC$24,MATCH(INDEX(男子エントリー!$J$7:$AH$406,MATCH($G76&amp;RIGHT(R$1,1),男子エントリー!$AH$7:$AH$406,0),1),競技会設定!$AC$2:$AC$24,0),1),INDEX(競技会設定!$X$2:$AC$24,MATCH(INDEX(男子エントリー!$R$6:$V$406,MATCH($G76&amp;RIGHT(R$1,1),男子エントリー!$V$6:$V$406,0)-MATCH($G76&amp;RIGHT(R$1,1),男子エントリー!$V$6:$V$406,0)+1,1),競技会設定!$AC$2:$AC$24,0),1)),"")</f>
        <v/>
      </c>
      <c r="S76" s="1" t="str">
        <f>IF(R76=14,リレーエントリー!$I$12,_xlfn.IFNA(INDEX(男子エントリー!$J$7:$AH$406,MATCH($G76&amp;RIGHT(T$1,1),男子エントリー!$AH$7:$AH$406,0),3),""))</f>
        <v/>
      </c>
      <c r="T76" s="1" t="str">
        <f t="shared" si="32"/>
        <v/>
      </c>
      <c r="U76" s="1" t="str">
        <f t="shared" si="34"/>
        <v/>
      </c>
      <c r="V76" s="1" t="str">
        <f t="shared" si="33"/>
        <v/>
      </c>
      <c r="W76" s="1" t="str" cm="1">
        <f t="array" ref="W76">_xlfn.IFNA(_xlfn.IFNA(INDEX(競技会設定!$X$2:$AC$24,MATCH(INDEX(男子エントリー!$J$7:$AH$406,MATCH($G76&amp;RIGHT(W$1,1),男子エントリー!$AH$7:$AH$406,0),1),競技会設定!$AC$2:$AC$24,0),1),INDEX(競技会設定!$X$2:$AC$24,MATCH(INDEX(男子エントリー!$R$6:$V$406,MATCH($G76&amp;RIGHT(W$1,1),男子エントリー!$V$6:$V$406,0)-MATCH($G76&amp;RIGHT(W$1,1),男子エントリー!$V$6:$V$406,0)+1,1),競技会設定!$AC$2:$AC$24,0),1)),"")</f>
        <v/>
      </c>
      <c r="X76" s="1" t="str">
        <f>IF(W76=14,リレーエントリー!$I$12,_xlfn.IFNA(INDEX(男子エントリー!$J$7:$AH$406,MATCH($G76&amp;RIGHT(Y$1,1),男子エントリー!$AH$7:$AH$406,0),3),""))</f>
        <v/>
      </c>
      <c r="Y76" s="1" t="str">
        <f t="shared" si="18"/>
        <v/>
      </c>
      <c r="Z76" s="1" t="str">
        <f t="shared" si="19"/>
        <v/>
      </c>
      <c r="AA76" s="1" t="str">
        <f t="shared" si="20"/>
        <v/>
      </c>
      <c r="AB76" s="1" t="str" cm="1">
        <f t="array" ref="AB76">_xlfn.IFNA(_xlfn.IFNA(INDEX(競技会設定!$X$2:$AC$24,MATCH(INDEX(男子エントリー!$J$7:$AH$406,MATCH($G76&amp;RIGHT(AB$1,1),男子エントリー!$AH$7:$AH$406,0),1),競技会設定!$AC$2:$AC$24,0),1),INDEX(競技会設定!$X$2:$AC$24,MATCH(INDEX(男子エントリー!$R$6:$V$406,MATCH($G76&amp;RIGHT(AB$1,1),男子エントリー!$V$6:$V$406,0)-MATCH($G76&amp;RIGHT(AB$1,1),男子エントリー!$V$6:$V$406,0)+1,1),競技会設定!$AC$2:$AC$24,0),1)),"")</f>
        <v/>
      </c>
      <c r="AC76" s="1" t="str">
        <f>IF(AB76=14,リレーエントリー!$I$12,_xlfn.IFNA(INDEX(男子エントリー!$J$7:$AH$406,MATCH($G76&amp;RIGHT(AD$1,1),男子エントリー!$AH$7:$AH$406,0),3),""))</f>
        <v/>
      </c>
      <c r="AD76" s="1" t="str">
        <f t="shared" si="21"/>
        <v/>
      </c>
      <c r="AE76" s="1" t="str">
        <f t="shared" si="22"/>
        <v/>
      </c>
      <c r="AF76" s="1" t="str">
        <f t="shared" si="23"/>
        <v/>
      </c>
      <c r="AG76" s="1" t="str" cm="1">
        <f t="array" ref="AG76">_xlfn.IFNA(_xlfn.IFNA(INDEX(競技会設定!$X$2:$AC$24,MATCH(INDEX(男子エントリー!$J$7:$AH$406,MATCH($G76&amp;RIGHT(AG$1,1),男子エントリー!$AH$7:$AH$406,0),1),競技会設定!$AC$2:$AC$24,0),1),INDEX(競技会設定!$X$2:$AC$24,MATCH(INDEX(男子エントリー!$R$6:$V$406,MATCH($G76&amp;RIGHT(AG$1,1),男子エントリー!$V$6:$V$406,0)-MATCH($G76&amp;RIGHT(AG$1,1),男子エントリー!$V$6:$V$406,0)+1,1),競技会設定!$AC$2:$AC$24,0),1)),"")</f>
        <v/>
      </c>
      <c r="AH76" s="1" t="str">
        <f>IF(AG76=14,リレーエントリー!$I$12,_xlfn.IFNA(INDEX(男子エントリー!$J$7:$AH$406,MATCH($G76&amp;RIGHT(AI$1,1),男子エントリー!$AH$7:$AH$406,0),3),""))</f>
        <v/>
      </c>
      <c r="AI76" s="1" t="str">
        <f t="shared" si="24"/>
        <v/>
      </c>
      <c r="AJ76" s="1" t="str">
        <f t="shared" si="25"/>
        <v/>
      </c>
      <c r="AK76" s="1" t="str">
        <f t="shared" si="26"/>
        <v/>
      </c>
      <c r="AL76" s="1" t="str" cm="1">
        <f t="array" ref="AL76">_xlfn.IFNA(_xlfn.IFNA(INDEX(競技会設定!$X$2:$AC$24,MATCH(INDEX(男子エントリー!$J$7:$AH$406,MATCH($G76&amp;RIGHT(AL$1,1),男子エントリー!$AH$7:$AH$406,0),1),競技会設定!$AC$2:$AC$24,0),1),INDEX(競技会設定!$X$2:$AC$24,MATCH(INDEX(男子エントリー!$R$6:$V$406,MATCH($G76&amp;RIGHT(AL$1,1),男子エントリー!$V$6:$V$406,0)-MATCH($G76&amp;RIGHT(AL$1,1),男子エントリー!$V$6:$V$406,0)+1,1),競技会設定!$AC$2:$AC$24,0),1)),"")</f>
        <v/>
      </c>
      <c r="AM76" s="1" t="str">
        <f>IF(AL76=14,リレーエントリー!$I$12,_xlfn.IFNA(INDEX(男子エントリー!$J$7:$AH$406,MATCH($G76&amp;RIGHT(AN$1,1),男子エントリー!$AH$7:$AH$406,0),3),""))</f>
        <v/>
      </c>
      <c r="AN76" s="1" t="str">
        <f t="shared" si="27"/>
        <v/>
      </c>
      <c r="AO76" s="1" t="str">
        <f t="shared" si="28"/>
        <v/>
      </c>
      <c r="AP76" s="1" t="str">
        <f t="shared" si="29"/>
        <v/>
      </c>
    </row>
    <row r="77" spans="1:42">
      <c r="A77" s="1">
        <v>76</v>
      </c>
      <c r="B77" s="92" t="str">
        <f>男子エントリー!D307</f>
        <v/>
      </c>
      <c r="C77" s="1" t="str">
        <f>基本情報!$E$6</f>
        <v/>
      </c>
      <c r="D77" s="1" t="str">
        <f>基本情報!$E$7</f>
        <v/>
      </c>
      <c r="F77" s="92">
        <f>男子エントリー!C307</f>
        <v>0</v>
      </c>
      <c r="G77" s="92" t="str">
        <f>男子エントリー!E307</f>
        <v/>
      </c>
      <c r="H77" s="92" t="str">
        <f>男子エントリー!F307</f>
        <v/>
      </c>
      <c r="I77" s="1" t="str">
        <f t="shared" si="30"/>
        <v/>
      </c>
      <c r="J77" s="1" t="e">
        <f>LEFT(男子エントリー!E309,FIND(",",LEFT(男子エントリー!E309,LEN(男子エントリー!E309)-5))-1)&amp;LEFT(RIGHT(男子エントリー!E309,LEN(男子エントリー!E309)-FIND(",",男子エントリー!E309)),LEN(RIGHT(男子エントリー!E309,LEN(男子エントリー!E309)-FIND(",",男子エントリー!E309)))-5)</f>
        <v>#VALUE!</v>
      </c>
      <c r="K77" s="1" t="str">
        <f>男子エントリー!G309</f>
        <v/>
      </c>
      <c r="L77" s="1" t="str">
        <f t="shared" si="31"/>
        <v/>
      </c>
      <c r="M77" s="92" t="str">
        <f>男子エントリー!G307</f>
        <v/>
      </c>
      <c r="N77" s="92" t="e">
        <f>MID(男子エントリー!E309,FIND("(",男子エントリー!E309)+1,2)</f>
        <v>#VALUE!</v>
      </c>
      <c r="O77" s="1">
        <v>0</v>
      </c>
      <c r="P77" s="92" t="e">
        <f>VLOOKUP(男子エントリー!G308,競技会設定!$F$3:$I$50,2,0)</f>
        <v>#N/A</v>
      </c>
      <c r="R77" s="1" t="str" cm="1">
        <f t="array" ref="R77">_xlfn.IFNA(_xlfn.IFNA(INDEX(競技会設定!$X$2:$AC$24,MATCH(INDEX(男子エントリー!$J$7:$AH$406,MATCH($G77&amp;RIGHT(R$1,1),男子エントリー!$AH$7:$AH$406,0),1),競技会設定!$AC$2:$AC$24,0),1),INDEX(競技会設定!$X$2:$AC$24,MATCH(INDEX(男子エントリー!$R$6:$V$406,MATCH($G77&amp;RIGHT(R$1,1),男子エントリー!$V$6:$V$406,0)-MATCH($G77&amp;RIGHT(R$1,1),男子エントリー!$V$6:$V$406,0)+1,1),競技会設定!$AC$2:$AC$24,0),1)),"")</f>
        <v/>
      </c>
      <c r="S77" s="1" t="str">
        <f>IF(R77=14,リレーエントリー!$I$12,_xlfn.IFNA(INDEX(男子エントリー!$J$7:$AH$406,MATCH($G77&amp;RIGHT(T$1,1),男子エントリー!$AH$7:$AH$406,0),3),""))</f>
        <v/>
      </c>
      <c r="T77" s="1" t="str">
        <f t="shared" si="32"/>
        <v/>
      </c>
      <c r="U77" s="1" t="str">
        <f t="shared" si="34"/>
        <v/>
      </c>
      <c r="V77" s="1" t="str">
        <f t="shared" si="33"/>
        <v/>
      </c>
      <c r="W77" s="1" t="str" cm="1">
        <f t="array" ref="W77">_xlfn.IFNA(_xlfn.IFNA(INDEX(競技会設定!$X$2:$AC$24,MATCH(INDEX(男子エントリー!$J$7:$AH$406,MATCH($G77&amp;RIGHT(W$1,1),男子エントリー!$AH$7:$AH$406,0),1),競技会設定!$AC$2:$AC$24,0),1),INDEX(競技会設定!$X$2:$AC$24,MATCH(INDEX(男子エントリー!$R$6:$V$406,MATCH($G77&amp;RIGHT(W$1,1),男子エントリー!$V$6:$V$406,0)-MATCH($G77&amp;RIGHT(W$1,1),男子エントリー!$V$6:$V$406,0)+1,1),競技会設定!$AC$2:$AC$24,0),1)),"")</f>
        <v/>
      </c>
      <c r="X77" s="1" t="str">
        <f>IF(W77=14,リレーエントリー!$I$12,_xlfn.IFNA(INDEX(男子エントリー!$J$7:$AH$406,MATCH($G77&amp;RIGHT(Y$1,1),男子エントリー!$AH$7:$AH$406,0),3),""))</f>
        <v/>
      </c>
      <c r="Y77" s="1" t="str">
        <f t="shared" si="18"/>
        <v/>
      </c>
      <c r="Z77" s="1" t="str">
        <f t="shared" si="19"/>
        <v/>
      </c>
      <c r="AA77" s="1" t="str">
        <f t="shared" si="20"/>
        <v/>
      </c>
      <c r="AB77" s="1" t="str" cm="1">
        <f t="array" ref="AB77">_xlfn.IFNA(_xlfn.IFNA(INDEX(競技会設定!$X$2:$AC$24,MATCH(INDEX(男子エントリー!$J$7:$AH$406,MATCH($G77&amp;RIGHT(AB$1,1),男子エントリー!$AH$7:$AH$406,0),1),競技会設定!$AC$2:$AC$24,0),1),INDEX(競技会設定!$X$2:$AC$24,MATCH(INDEX(男子エントリー!$R$6:$V$406,MATCH($G77&amp;RIGHT(AB$1,1),男子エントリー!$V$6:$V$406,0)-MATCH($G77&amp;RIGHT(AB$1,1),男子エントリー!$V$6:$V$406,0)+1,1),競技会設定!$AC$2:$AC$24,0),1)),"")</f>
        <v/>
      </c>
      <c r="AC77" s="1" t="str">
        <f>IF(AB77=14,リレーエントリー!$I$12,_xlfn.IFNA(INDEX(男子エントリー!$J$7:$AH$406,MATCH($G77&amp;RIGHT(AD$1,1),男子エントリー!$AH$7:$AH$406,0),3),""))</f>
        <v/>
      </c>
      <c r="AD77" s="1" t="str">
        <f t="shared" si="21"/>
        <v/>
      </c>
      <c r="AE77" s="1" t="str">
        <f t="shared" si="22"/>
        <v/>
      </c>
      <c r="AF77" s="1" t="str">
        <f t="shared" si="23"/>
        <v/>
      </c>
      <c r="AG77" s="1" t="str" cm="1">
        <f t="array" ref="AG77">_xlfn.IFNA(_xlfn.IFNA(INDEX(競技会設定!$X$2:$AC$24,MATCH(INDEX(男子エントリー!$J$7:$AH$406,MATCH($G77&amp;RIGHT(AG$1,1),男子エントリー!$AH$7:$AH$406,0),1),競技会設定!$AC$2:$AC$24,0),1),INDEX(競技会設定!$X$2:$AC$24,MATCH(INDEX(男子エントリー!$R$6:$V$406,MATCH($G77&amp;RIGHT(AG$1,1),男子エントリー!$V$6:$V$406,0)-MATCH($G77&amp;RIGHT(AG$1,1),男子エントリー!$V$6:$V$406,0)+1,1),競技会設定!$AC$2:$AC$24,0),1)),"")</f>
        <v/>
      </c>
      <c r="AH77" s="1" t="str">
        <f>IF(AG77=14,リレーエントリー!$I$12,_xlfn.IFNA(INDEX(男子エントリー!$J$7:$AH$406,MATCH($G77&amp;RIGHT(AI$1,1),男子エントリー!$AH$7:$AH$406,0),3),""))</f>
        <v/>
      </c>
      <c r="AI77" s="1" t="str">
        <f t="shared" si="24"/>
        <v/>
      </c>
      <c r="AJ77" s="1" t="str">
        <f t="shared" si="25"/>
        <v/>
      </c>
      <c r="AK77" s="1" t="str">
        <f t="shared" si="26"/>
        <v/>
      </c>
      <c r="AL77" s="1" t="str" cm="1">
        <f t="array" ref="AL77">_xlfn.IFNA(_xlfn.IFNA(INDEX(競技会設定!$X$2:$AC$24,MATCH(INDEX(男子エントリー!$J$7:$AH$406,MATCH($G77&amp;RIGHT(AL$1,1),男子エントリー!$AH$7:$AH$406,0),1),競技会設定!$AC$2:$AC$24,0),1),INDEX(競技会設定!$X$2:$AC$24,MATCH(INDEX(男子エントリー!$R$6:$V$406,MATCH($G77&amp;RIGHT(AL$1,1),男子エントリー!$V$6:$V$406,0)-MATCH($G77&amp;RIGHT(AL$1,1),男子エントリー!$V$6:$V$406,0)+1,1),競技会設定!$AC$2:$AC$24,0),1)),"")</f>
        <v/>
      </c>
      <c r="AM77" s="1" t="str">
        <f>IF(AL77=14,リレーエントリー!$I$12,_xlfn.IFNA(INDEX(男子エントリー!$J$7:$AH$406,MATCH($G77&amp;RIGHT(AN$1,1),男子エントリー!$AH$7:$AH$406,0),3),""))</f>
        <v/>
      </c>
      <c r="AN77" s="1" t="str">
        <f t="shared" si="27"/>
        <v/>
      </c>
      <c r="AO77" s="1" t="str">
        <f t="shared" si="28"/>
        <v/>
      </c>
      <c r="AP77" s="1" t="str">
        <f t="shared" si="29"/>
        <v/>
      </c>
    </row>
    <row r="78" spans="1:42">
      <c r="A78" s="1">
        <v>77</v>
      </c>
      <c r="B78" s="92" t="str">
        <f>男子エントリー!D311</f>
        <v/>
      </c>
      <c r="C78" s="1" t="str">
        <f>基本情報!$E$6</f>
        <v/>
      </c>
      <c r="D78" s="1" t="str">
        <f>基本情報!$E$7</f>
        <v/>
      </c>
      <c r="F78" s="92">
        <f>男子エントリー!C311</f>
        <v>0</v>
      </c>
      <c r="G78" s="92" t="str">
        <f>男子エントリー!E311</f>
        <v/>
      </c>
      <c r="H78" s="92" t="str">
        <f>男子エントリー!F311</f>
        <v/>
      </c>
      <c r="I78" s="1" t="str">
        <f t="shared" si="30"/>
        <v/>
      </c>
      <c r="J78" s="1" t="e">
        <f>LEFT(男子エントリー!E313,FIND(",",LEFT(男子エントリー!E313,LEN(男子エントリー!E313)-5))-1)&amp;LEFT(RIGHT(男子エントリー!E313,LEN(男子エントリー!E313)-FIND(",",男子エントリー!E313)),LEN(RIGHT(男子エントリー!E313,LEN(男子エントリー!E313)-FIND(",",男子エントリー!E313)))-5)</f>
        <v>#VALUE!</v>
      </c>
      <c r="K78" s="1" t="str">
        <f>男子エントリー!G313</f>
        <v/>
      </c>
      <c r="L78" s="1" t="str">
        <f t="shared" si="31"/>
        <v/>
      </c>
      <c r="M78" s="92" t="str">
        <f>男子エントリー!G311</f>
        <v/>
      </c>
      <c r="N78" s="92" t="e">
        <f>MID(男子エントリー!E313,FIND("(",男子エントリー!E313)+1,2)</f>
        <v>#VALUE!</v>
      </c>
      <c r="O78" s="1">
        <v>0</v>
      </c>
      <c r="P78" s="92" t="e">
        <f>VLOOKUP(男子エントリー!G312,競技会設定!$F$3:$I$50,2,0)</f>
        <v>#N/A</v>
      </c>
      <c r="R78" s="1" t="str" cm="1">
        <f t="array" ref="R78">_xlfn.IFNA(_xlfn.IFNA(INDEX(競技会設定!$X$2:$AC$24,MATCH(INDEX(男子エントリー!$J$7:$AH$406,MATCH($G78&amp;RIGHT(R$1,1),男子エントリー!$AH$7:$AH$406,0),1),競技会設定!$AC$2:$AC$24,0),1),INDEX(競技会設定!$X$2:$AC$24,MATCH(INDEX(男子エントリー!$R$6:$V$406,MATCH($G78&amp;RIGHT(R$1,1),男子エントリー!$V$6:$V$406,0)-MATCH($G78&amp;RIGHT(R$1,1),男子エントリー!$V$6:$V$406,0)+1,1),競技会設定!$AC$2:$AC$24,0),1)),"")</f>
        <v/>
      </c>
      <c r="S78" s="1" t="str">
        <f>IF(R78=14,リレーエントリー!$I$12,_xlfn.IFNA(INDEX(男子エントリー!$J$7:$AH$406,MATCH($G78&amp;RIGHT(T$1,1),男子エントリー!$AH$7:$AH$406,0),3),""))</f>
        <v/>
      </c>
      <c r="T78" s="1" t="str">
        <f t="shared" si="32"/>
        <v/>
      </c>
      <c r="U78" s="1" t="str">
        <f t="shared" si="34"/>
        <v/>
      </c>
      <c r="V78" s="1" t="str">
        <f t="shared" si="33"/>
        <v/>
      </c>
      <c r="W78" s="1" t="str" cm="1">
        <f t="array" ref="W78">_xlfn.IFNA(_xlfn.IFNA(INDEX(競技会設定!$X$2:$AC$24,MATCH(INDEX(男子エントリー!$J$7:$AH$406,MATCH($G78&amp;RIGHT(W$1,1),男子エントリー!$AH$7:$AH$406,0),1),競技会設定!$AC$2:$AC$24,0),1),INDEX(競技会設定!$X$2:$AC$24,MATCH(INDEX(男子エントリー!$R$6:$V$406,MATCH($G78&amp;RIGHT(W$1,1),男子エントリー!$V$6:$V$406,0)-MATCH($G78&amp;RIGHT(W$1,1),男子エントリー!$V$6:$V$406,0)+1,1),競技会設定!$AC$2:$AC$24,0),1)),"")</f>
        <v/>
      </c>
      <c r="X78" s="1" t="str">
        <f>IF(W78=14,リレーエントリー!$I$12,_xlfn.IFNA(INDEX(男子エントリー!$J$7:$AH$406,MATCH($G78&amp;RIGHT(Y$1,1),男子エントリー!$AH$7:$AH$406,0),3),""))</f>
        <v/>
      </c>
      <c r="Y78" s="1" t="str">
        <f t="shared" si="18"/>
        <v/>
      </c>
      <c r="Z78" s="1" t="str">
        <f t="shared" si="19"/>
        <v/>
      </c>
      <c r="AA78" s="1" t="str">
        <f t="shared" si="20"/>
        <v/>
      </c>
      <c r="AB78" s="1" t="str" cm="1">
        <f t="array" ref="AB78">_xlfn.IFNA(_xlfn.IFNA(INDEX(競技会設定!$X$2:$AC$24,MATCH(INDEX(男子エントリー!$J$7:$AH$406,MATCH($G78&amp;RIGHT(AB$1,1),男子エントリー!$AH$7:$AH$406,0),1),競技会設定!$AC$2:$AC$24,0),1),INDEX(競技会設定!$X$2:$AC$24,MATCH(INDEX(男子エントリー!$R$6:$V$406,MATCH($G78&amp;RIGHT(AB$1,1),男子エントリー!$V$6:$V$406,0)-MATCH($G78&amp;RIGHT(AB$1,1),男子エントリー!$V$6:$V$406,0)+1,1),競技会設定!$AC$2:$AC$24,0),1)),"")</f>
        <v/>
      </c>
      <c r="AC78" s="1" t="str">
        <f>IF(AB78=14,リレーエントリー!$I$12,_xlfn.IFNA(INDEX(男子エントリー!$J$7:$AH$406,MATCH($G78&amp;RIGHT(AD$1,1),男子エントリー!$AH$7:$AH$406,0),3),""))</f>
        <v/>
      </c>
      <c r="AD78" s="1" t="str">
        <f t="shared" si="21"/>
        <v/>
      </c>
      <c r="AE78" s="1" t="str">
        <f t="shared" si="22"/>
        <v/>
      </c>
      <c r="AF78" s="1" t="str">
        <f t="shared" si="23"/>
        <v/>
      </c>
      <c r="AG78" s="1" t="str" cm="1">
        <f t="array" ref="AG78">_xlfn.IFNA(_xlfn.IFNA(INDEX(競技会設定!$X$2:$AC$24,MATCH(INDEX(男子エントリー!$J$7:$AH$406,MATCH($G78&amp;RIGHT(AG$1,1),男子エントリー!$AH$7:$AH$406,0),1),競技会設定!$AC$2:$AC$24,0),1),INDEX(競技会設定!$X$2:$AC$24,MATCH(INDEX(男子エントリー!$R$6:$V$406,MATCH($G78&amp;RIGHT(AG$1,1),男子エントリー!$V$6:$V$406,0)-MATCH($G78&amp;RIGHT(AG$1,1),男子エントリー!$V$6:$V$406,0)+1,1),競技会設定!$AC$2:$AC$24,0),1)),"")</f>
        <v/>
      </c>
      <c r="AH78" s="1" t="str">
        <f>IF(AG78=14,リレーエントリー!$I$12,_xlfn.IFNA(INDEX(男子エントリー!$J$7:$AH$406,MATCH($G78&amp;RIGHT(AI$1,1),男子エントリー!$AH$7:$AH$406,0),3),""))</f>
        <v/>
      </c>
      <c r="AI78" s="1" t="str">
        <f t="shared" si="24"/>
        <v/>
      </c>
      <c r="AJ78" s="1" t="str">
        <f t="shared" si="25"/>
        <v/>
      </c>
      <c r="AK78" s="1" t="str">
        <f t="shared" si="26"/>
        <v/>
      </c>
      <c r="AL78" s="1" t="str" cm="1">
        <f t="array" ref="AL78">_xlfn.IFNA(_xlfn.IFNA(INDEX(競技会設定!$X$2:$AC$24,MATCH(INDEX(男子エントリー!$J$7:$AH$406,MATCH($G78&amp;RIGHT(AL$1,1),男子エントリー!$AH$7:$AH$406,0),1),競技会設定!$AC$2:$AC$24,0),1),INDEX(競技会設定!$X$2:$AC$24,MATCH(INDEX(男子エントリー!$R$6:$V$406,MATCH($G78&amp;RIGHT(AL$1,1),男子エントリー!$V$6:$V$406,0)-MATCH($G78&amp;RIGHT(AL$1,1),男子エントリー!$V$6:$V$406,0)+1,1),競技会設定!$AC$2:$AC$24,0),1)),"")</f>
        <v/>
      </c>
      <c r="AM78" s="1" t="str">
        <f>IF(AL78=14,リレーエントリー!$I$12,_xlfn.IFNA(INDEX(男子エントリー!$J$7:$AH$406,MATCH($G78&amp;RIGHT(AN$1,1),男子エントリー!$AH$7:$AH$406,0),3),""))</f>
        <v/>
      </c>
      <c r="AN78" s="1" t="str">
        <f t="shared" si="27"/>
        <v/>
      </c>
      <c r="AO78" s="1" t="str">
        <f t="shared" si="28"/>
        <v/>
      </c>
      <c r="AP78" s="1" t="str">
        <f t="shared" si="29"/>
        <v/>
      </c>
    </row>
    <row r="79" spans="1:42">
      <c r="A79" s="1">
        <v>78</v>
      </c>
      <c r="B79" s="92" t="str">
        <f>男子エントリー!D315</f>
        <v/>
      </c>
      <c r="C79" s="1" t="str">
        <f>基本情報!$E$6</f>
        <v/>
      </c>
      <c r="D79" s="1" t="str">
        <f>基本情報!$E$7</f>
        <v/>
      </c>
      <c r="F79" s="92">
        <f>男子エントリー!C315</f>
        <v>0</v>
      </c>
      <c r="G79" s="92" t="str">
        <f>男子エントリー!E315</f>
        <v/>
      </c>
      <c r="H79" s="92" t="str">
        <f>男子エントリー!F315</f>
        <v/>
      </c>
      <c r="I79" s="1" t="str">
        <f t="shared" si="30"/>
        <v/>
      </c>
      <c r="J79" s="1" t="e">
        <f>LEFT(男子エントリー!E317,FIND(",",LEFT(男子エントリー!E317,LEN(男子エントリー!E317)-5))-1)&amp;LEFT(RIGHT(男子エントリー!E317,LEN(男子エントリー!E317)-FIND(",",男子エントリー!E317)),LEN(RIGHT(男子エントリー!E317,LEN(男子エントリー!E317)-FIND(",",男子エントリー!E317)))-5)</f>
        <v>#VALUE!</v>
      </c>
      <c r="K79" s="1" t="str">
        <f>男子エントリー!G317</f>
        <v/>
      </c>
      <c r="L79" s="1" t="str">
        <f t="shared" si="31"/>
        <v/>
      </c>
      <c r="M79" s="92" t="str">
        <f>男子エントリー!G315</f>
        <v/>
      </c>
      <c r="N79" s="92" t="e">
        <f>MID(男子エントリー!E317,FIND("(",男子エントリー!E317)+1,2)</f>
        <v>#VALUE!</v>
      </c>
      <c r="O79" s="1">
        <v>0</v>
      </c>
      <c r="P79" s="92" t="e">
        <f>VLOOKUP(男子エントリー!G316,競技会設定!$F$3:$I$50,2,0)</f>
        <v>#N/A</v>
      </c>
      <c r="R79" s="1" t="str" cm="1">
        <f t="array" ref="R79">_xlfn.IFNA(_xlfn.IFNA(INDEX(競技会設定!$X$2:$AC$24,MATCH(INDEX(男子エントリー!$J$7:$AH$406,MATCH($G79&amp;RIGHT(R$1,1),男子エントリー!$AH$7:$AH$406,0),1),競技会設定!$AC$2:$AC$24,0),1),INDEX(競技会設定!$X$2:$AC$24,MATCH(INDEX(男子エントリー!$R$6:$V$406,MATCH($G79&amp;RIGHT(R$1,1),男子エントリー!$V$6:$V$406,0)-MATCH($G79&amp;RIGHT(R$1,1),男子エントリー!$V$6:$V$406,0)+1,1),競技会設定!$AC$2:$AC$24,0),1)),"")</f>
        <v/>
      </c>
      <c r="S79" s="1" t="str">
        <f>IF(R79=14,リレーエントリー!$I$12,_xlfn.IFNA(INDEX(男子エントリー!$J$7:$AH$406,MATCH($G79&amp;RIGHT(T$1,1),男子エントリー!$AH$7:$AH$406,0),3),""))</f>
        <v/>
      </c>
      <c r="T79" s="1" t="str">
        <f t="shared" si="32"/>
        <v/>
      </c>
      <c r="U79" s="1" t="str">
        <f t="shared" si="34"/>
        <v/>
      </c>
      <c r="V79" s="1" t="str">
        <f t="shared" si="33"/>
        <v/>
      </c>
      <c r="W79" s="1" t="str" cm="1">
        <f t="array" ref="W79">_xlfn.IFNA(_xlfn.IFNA(INDEX(競技会設定!$X$2:$AC$24,MATCH(INDEX(男子エントリー!$J$7:$AH$406,MATCH($G79&amp;RIGHT(W$1,1),男子エントリー!$AH$7:$AH$406,0),1),競技会設定!$AC$2:$AC$24,0),1),INDEX(競技会設定!$X$2:$AC$24,MATCH(INDEX(男子エントリー!$R$6:$V$406,MATCH($G79&amp;RIGHT(W$1,1),男子エントリー!$V$6:$V$406,0)-MATCH($G79&amp;RIGHT(W$1,1),男子エントリー!$V$6:$V$406,0)+1,1),競技会設定!$AC$2:$AC$24,0),1)),"")</f>
        <v/>
      </c>
      <c r="X79" s="1" t="str">
        <f>IF(W79=14,リレーエントリー!$I$12,_xlfn.IFNA(INDEX(男子エントリー!$J$7:$AH$406,MATCH($G79&amp;RIGHT(Y$1,1),男子エントリー!$AH$7:$AH$406,0),3),""))</f>
        <v/>
      </c>
      <c r="Y79" s="1" t="str">
        <f t="shared" si="18"/>
        <v/>
      </c>
      <c r="Z79" s="1" t="str">
        <f t="shared" si="19"/>
        <v/>
      </c>
      <c r="AA79" s="1" t="str">
        <f t="shared" si="20"/>
        <v/>
      </c>
      <c r="AB79" s="1" t="str" cm="1">
        <f t="array" ref="AB79">_xlfn.IFNA(_xlfn.IFNA(INDEX(競技会設定!$X$2:$AC$24,MATCH(INDEX(男子エントリー!$J$7:$AH$406,MATCH($G79&amp;RIGHT(AB$1,1),男子エントリー!$AH$7:$AH$406,0),1),競技会設定!$AC$2:$AC$24,0),1),INDEX(競技会設定!$X$2:$AC$24,MATCH(INDEX(男子エントリー!$R$6:$V$406,MATCH($G79&amp;RIGHT(AB$1,1),男子エントリー!$V$6:$V$406,0)-MATCH($G79&amp;RIGHT(AB$1,1),男子エントリー!$V$6:$V$406,0)+1,1),競技会設定!$AC$2:$AC$24,0),1)),"")</f>
        <v/>
      </c>
      <c r="AC79" s="1" t="str">
        <f>IF(AB79=14,リレーエントリー!$I$12,_xlfn.IFNA(INDEX(男子エントリー!$J$7:$AH$406,MATCH($G79&amp;RIGHT(AD$1,1),男子エントリー!$AH$7:$AH$406,0),3),""))</f>
        <v/>
      </c>
      <c r="AD79" s="1" t="str">
        <f t="shared" si="21"/>
        <v/>
      </c>
      <c r="AE79" s="1" t="str">
        <f t="shared" si="22"/>
        <v/>
      </c>
      <c r="AF79" s="1" t="str">
        <f t="shared" si="23"/>
        <v/>
      </c>
      <c r="AG79" s="1" t="str" cm="1">
        <f t="array" ref="AG79">_xlfn.IFNA(_xlfn.IFNA(INDEX(競技会設定!$X$2:$AC$24,MATCH(INDEX(男子エントリー!$J$7:$AH$406,MATCH($G79&amp;RIGHT(AG$1,1),男子エントリー!$AH$7:$AH$406,0),1),競技会設定!$AC$2:$AC$24,0),1),INDEX(競技会設定!$X$2:$AC$24,MATCH(INDEX(男子エントリー!$R$6:$V$406,MATCH($G79&amp;RIGHT(AG$1,1),男子エントリー!$V$6:$V$406,0)-MATCH($G79&amp;RIGHT(AG$1,1),男子エントリー!$V$6:$V$406,0)+1,1),競技会設定!$AC$2:$AC$24,0),1)),"")</f>
        <v/>
      </c>
      <c r="AH79" s="1" t="str">
        <f>IF(AG79=14,リレーエントリー!$I$12,_xlfn.IFNA(INDEX(男子エントリー!$J$7:$AH$406,MATCH($G79&amp;RIGHT(AI$1,1),男子エントリー!$AH$7:$AH$406,0),3),""))</f>
        <v/>
      </c>
      <c r="AI79" s="1" t="str">
        <f t="shared" si="24"/>
        <v/>
      </c>
      <c r="AJ79" s="1" t="str">
        <f t="shared" si="25"/>
        <v/>
      </c>
      <c r="AK79" s="1" t="str">
        <f t="shared" si="26"/>
        <v/>
      </c>
      <c r="AL79" s="1" t="str" cm="1">
        <f t="array" ref="AL79">_xlfn.IFNA(_xlfn.IFNA(INDEX(競技会設定!$X$2:$AC$24,MATCH(INDEX(男子エントリー!$J$7:$AH$406,MATCH($G79&amp;RIGHT(AL$1,1),男子エントリー!$AH$7:$AH$406,0),1),競技会設定!$AC$2:$AC$24,0),1),INDEX(競技会設定!$X$2:$AC$24,MATCH(INDEX(男子エントリー!$R$6:$V$406,MATCH($G79&amp;RIGHT(AL$1,1),男子エントリー!$V$6:$V$406,0)-MATCH($G79&amp;RIGHT(AL$1,1),男子エントリー!$V$6:$V$406,0)+1,1),競技会設定!$AC$2:$AC$24,0),1)),"")</f>
        <v/>
      </c>
      <c r="AM79" s="1" t="str">
        <f>IF(AL79=14,リレーエントリー!$I$12,_xlfn.IFNA(INDEX(男子エントリー!$J$7:$AH$406,MATCH($G79&amp;RIGHT(AN$1,1),男子エントリー!$AH$7:$AH$406,0),3),""))</f>
        <v/>
      </c>
      <c r="AN79" s="1" t="str">
        <f t="shared" si="27"/>
        <v/>
      </c>
      <c r="AO79" s="1" t="str">
        <f t="shared" si="28"/>
        <v/>
      </c>
      <c r="AP79" s="1" t="str">
        <f t="shared" si="29"/>
        <v/>
      </c>
    </row>
    <row r="80" spans="1:42">
      <c r="A80" s="1">
        <v>79</v>
      </c>
      <c r="B80" s="92" t="str">
        <f>男子エントリー!D319</f>
        <v/>
      </c>
      <c r="C80" s="1" t="str">
        <f>基本情報!$E$6</f>
        <v/>
      </c>
      <c r="D80" s="1" t="str">
        <f>基本情報!$E$7</f>
        <v/>
      </c>
      <c r="F80" s="92">
        <f>男子エントリー!C319</f>
        <v>0</v>
      </c>
      <c r="G80" s="92" t="str">
        <f>男子エントリー!E319</f>
        <v/>
      </c>
      <c r="H80" s="92" t="str">
        <f>男子エントリー!F319</f>
        <v/>
      </c>
      <c r="I80" s="1" t="str">
        <f t="shared" si="30"/>
        <v/>
      </c>
      <c r="J80" s="1" t="e">
        <f>LEFT(男子エントリー!E321,FIND(",",LEFT(男子エントリー!E321,LEN(男子エントリー!E321)-5))-1)&amp;LEFT(RIGHT(男子エントリー!E321,LEN(男子エントリー!E321)-FIND(",",男子エントリー!E321)),LEN(RIGHT(男子エントリー!E321,LEN(男子エントリー!E321)-FIND(",",男子エントリー!E321)))-5)</f>
        <v>#VALUE!</v>
      </c>
      <c r="K80" s="1" t="str">
        <f>男子エントリー!G321</f>
        <v/>
      </c>
      <c r="L80" s="1" t="str">
        <f t="shared" si="31"/>
        <v/>
      </c>
      <c r="M80" s="92" t="str">
        <f>男子エントリー!G319</f>
        <v/>
      </c>
      <c r="N80" s="92" t="e">
        <f>MID(男子エントリー!E321,FIND("(",男子エントリー!E321)+1,2)</f>
        <v>#VALUE!</v>
      </c>
      <c r="O80" s="1">
        <v>0</v>
      </c>
      <c r="P80" s="92" t="e">
        <f>VLOOKUP(男子エントリー!G320,競技会設定!$F$3:$I$50,2,0)</f>
        <v>#N/A</v>
      </c>
      <c r="R80" s="1" t="str" cm="1">
        <f t="array" ref="R80">_xlfn.IFNA(_xlfn.IFNA(INDEX(競技会設定!$X$2:$AC$24,MATCH(INDEX(男子エントリー!$J$7:$AH$406,MATCH($G80&amp;RIGHT(R$1,1),男子エントリー!$AH$7:$AH$406,0),1),競技会設定!$AC$2:$AC$24,0),1),INDEX(競技会設定!$X$2:$AC$24,MATCH(INDEX(男子エントリー!$R$6:$V$406,MATCH($G80&amp;RIGHT(R$1,1),男子エントリー!$V$6:$V$406,0)-MATCH($G80&amp;RIGHT(R$1,1),男子エントリー!$V$6:$V$406,0)+1,1),競技会設定!$AC$2:$AC$24,0),1)),"")</f>
        <v/>
      </c>
      <c r="S80" s="1" t="str">
        <f>IF(R80=14,リレーエントリー!$I$12,_xlfn.IFNA(INDEX(男子エントリー!$J$7:$AH$406,MATCH($G80&amp;RIGHT(T$1,1),男子エントリー!$AH$7:$AH$406,0),3),""))</f>
        <v/>
      </c>
      <c r="T80" s="1" t="str">
        <f t="shared" si="32"/>
        <v/>
      </c>
      <c r="U80" s="1" t="str">
        <f t="shared" si="34"/>
        <v/>
      </c>
      <c r="V80" s="1" t="str">
        <f t="shared" si="33"/>
        <v/>
      </c>
      <c r="W80" s="1" t="str" cm="1">
        <f t="array" ref="W80">_xlfn.IFNA(_xlfn.IFNA(INDEX(競技会設定!$X$2:$AC$24,MATCH(INDEX(男子エントリー!$J$7:$AH$406,MATCH($G80&amp;RIGHT(W$1,1),男子エントリー!$AH$7:$AH$406,0),1),競技会設定!$AC$2:$AC$24,0),1),INDEX(競技会設定!$X$2:$AC$24,MATCH(INDEX(男子エントリー!$R$6:$V$406,MATCH($G80&amp;RIGHT(W$1,1),男子エントリー!$V$6:$V$406,0)-MATCH($G80&amp;RIGHT(W$1,1),男子エントリー!$V$6:$V$406,0)+1,1),競技会設定!$AC$2:$AC$24,0),1)),"")</f>
        <v/>
      </c>
      <c r="X80" s="1" t="str">
        <f>IF(W80=14,リレーエントリー!$I$12,_xlfn.IFNA(INDEX(男子エントリー!$J$7:$AH$406,MATCH($G80&amp;RIGHT(Y$1,1),男子エントリー!$AH$7:$AH$406,0),3),""))</f>
        <v/>
      </c>
      <c r="Y80" s="1" t="str">
        <f t="shared" si="18"/>
        <v/>
      </c>
      <c r="Z80" s="1" t="str">
        <f t="shared" si="19"/>
        <v/>
      </c>
      <c r="AA80" s="1" t="str">
        <f t="shared" si="20"/>
        <v/>
      </c>
      <c r="AB80" s="1" t="str" cm="1">
        <f t="array" ref="AB80">_xlfn.IFNA(_xlfn.IFNA(INDEX(競技会設定!$X$2:$AC$24,MATCH(INDEX(男子エントリー!$J$7:$AH$406,MATCH($G80&amp;RIGHT(AB$1,1),男子エントリー!$AH$7:$AH$406,0),1),競技会設定!$AC$2:$AC$24,0),1),INDEX(競技会設定!$X$2:$AC$24,MATCH(INDEX(男子エントリー!$R$6:$V$406,MATCH($G80&amp;RIGHT(AB$1,1),男子エントリー!$V$6:$V$406,0)-MATCH($G80&amp;RIGHT(AB$1,1),男子エントリー!$V$6:$V$406,0)+1,1),競技会設定!$AC$2:$AC$24,0),1)),"")</f>
        <v/>
      </c>
      <c r="AC80" s="1" t="str">
        <f>IF(AB80=14,リレーエントリー!$I$12,_xlfn.IFNA(INDEX(男子エントリー!$J$7:$AH$406,MATCH($G80&amp;RIGHT(AD$1,1),男子エントリー!$AH$7:$AH$406,0),3),""))</f>
        <v/>
      </c>
      <c r="AD80" s="1" t="str">
        <f t="shared" si="21"/>
        <v/>
      </c>
      <c r="AE80" s="1" t="str">
        <f t="shared" si="22"/>
        <v/>
      </c>
      <c r="AF80" s="1" t="str">
        <f t="shared" si="23"/>
        <v/>
      </c>
      <c r="AG80" s="1" t="str" cm="1">
        <f t="array" ref="AG80">_xlfn.IFNA(_xlfn.IFNA(INDEX(競技会設定!$X$2:$AC$24,MATCH(INDEX(男子エントリー!$J$7:$AH$406,MATCH($G80&amp;RIGHT(AG$1,1),男子エントリー!$AH$7:$AH$406,0),1),競技会設定!$AC$2:$AC$24,0),1),INDEX(競技会設定!$X$2:$AC$24,MATCH(INDEX(男子エントリー!$R$6:$V$406,MATCH($G80&amp;RIGHT(AG$1,1),男子エントリー!$V$6:$V$406,0)-MATCH($G80&amp;RIGHT(AG$1,1),男子エントリー!$V$6:$V$406,0)+1,1),競技会設定!$AC$2:$AC$24,0),1)),"")</f>
        <v/>
      </c>
      <c r="AH80" s="1" t="str">
        <f>IF(AG80=14,リレーエントリー!$I$12,_xlfn.IFNA(INDEX(男子エントリー!$J$7:$AH$406,MATCH($G80&amp;RIGHT(AI$1,1),男子エントリー!$AH$7:$AH$406,0),3),""))</f>
        <v/>
      </c>
      <c r="AI80" s="1" t="str">
        <f t="shared" si="24"/>
        <v/>
      </c>
      <c r="AJ80" s="1" t="str">
        <f t="shared" si="25"/>
        <v/>
      </c>
      <c r="AK80" s="1" t="str">
        <f t="shared" si="26"/>
        <v/>
      </c>
      <c r="AL80" s="1" t="str" cm="1">
        <f t="array" ref="AL80">_xlfn.IFNA(_xlfn.IFNA(INDEX(競技会設定!$X$2:$AC$24,MATCH(INDEX(男子エントリー!$J$7:$AH$406,MATCH($G80&amp;RIGHT(AL$1,1),男子エントリー!$AH$7:$AH$406,0),1),競技会設定!$AC$2:$AC$24,0),1),INDEX(競技会設定!$X$2:$AC$24,MATCH(INDEX(男子エントリー!$R$6:$V$406,MATCH($G80&amp;RIGHT(AL$1,1),男子エントリー!$V$6:$V$406,0)-MATCH($G80&amp;RIGHT(AL$1,1),男子エントリー!$V$6:$V$406,0)+1,1),競技会設定!$AC$2:$AC$24,0),1)),"")</f>
        <v/>
      </c>
      <c r="AM80" s="1" t="str">
        <f>IF(AL80=14,リレーエントリー!$I$12,_xlfn.IFNA(INDEX(男子エントリー!$J$7:$AH$406,MATCH($G80&amp;RIGHT(AN$1,1),男子エントリー!$AH$7:$AH$406,0),3),""))</f>
        <v/>
      </c>
      <c r="AN80" s="1" t="str">
        <f t="shared" si="27"/>
        <v/>
      </c>
      <c r="AO80" s="1" t="str">
        <f t="shared" si="28"/>
        <v/>
      </c>
      <c r="AP80" s="1" t="str">
        <f t="shared" si="29"/>
        <v/>
      </c>
    </row>
    <row r="81" spans="1:42">
      <c r="A81" s="1">
        <v>80</v>
      </c>
      <c r="B81" s="92" t="str">
        <f>男子エントリー!D323</f>
        <v/>
      </c>
      <c r="C81" s="1" t="str">
        <f>基本情報!$E$6</f>
        <v/>
      </c>
      <c r="D81" s="1" t="str">
        <f>基本情報!$E$7</f>
        <v/>
      </c>
      <c r="F81" s="92">
        <f>男子エントリー!C323</f>
        <v>0</v>
      </c>
      <c r="G81" s="92" t="str">
        <f>男子エントリー!E323</f>
        <v/>
      </c>
      <c r="H81" s="92" t="str">
        <f>男子エントリー!F323</f>
        <v/>
      </c>
      <c r="I81" s="1" t="str">
        <f t="shared" si="30"/>
        <v/>
      </c>
      <c r="J81" s="1" t="e">
        <f>LEFT(男子エントリー!E325,FIND(",",LEFT(男子エントリー!E325,LEN(男子エントリー!E325)-5))-1)&amp;LEFT(RIGHT(男子エントリー!E325,LEN(男子エントリー!E325)-FIND(",",男子エントリー!E325)),LEN(RIGHT(男子エントリー!E325,LEN(男子エントリー!E325)-FIND(",",男子エントリー!E325)))-5)</f>
        <v>#VALUE!</v>
      </c>
      <c r="K81" s="1" t="str">
        <f>男子エントリー!G325</f>
        <v/>
      </c>
      <c r="L81" s="1" t="str">
        <f t="shared" si="31"/>
        <v/>
      </c>
      <c r="M81" s="92" t="str">
        <f>男子エントリー!G323</f>
        <v/>
      </c>
      <c r="N81" s="92" t="e">
        <f>MID(男子エントリー!E325,FIND("(",男子エントリー!E325)+1,2)</f>
        <v>#VALUE!</v>
      </c>
      <c r="O81" s="1">
        <v>0</v>
      </c>
      <c r="P81" s="92" t="e">
        <f>VLOOKUP(男子エントリー!G324,競技会設定!$F$3:$I$50,2,0)</f>
        <v>#N/A</v>
      </c>
      <c r="R81" s="1" t="str" cm="1">
        <f t="array" ref="R81">_xlfn.IFNA(_xlfn.IFNA(INDEX(競技会設定!$X$2:$AC$24,MATCH(INDEX(男子エントリー!$J$7:$AH$406,MATCH($G81&amp;RIGHT(R$1,1),男子エントリー!$AH$7:$AH$406,0),1),競技会設定!$AC$2:$AC$24,0),1),INDEX(競技会設定!$X$2:$AC$24,MATCH(INDEX(男子エントリー!$R$6:$V$406,MATCH($G81&amp;RIGHT(R$1,1),男子エントリー!$V$6:$V$406,0)-MATCH($G81&amp;RIGHT(R$1,1),男子エントリー!$V$6:$V$406,0)+1,1),競技会設定!$AC$2:$AC$24,0),1)),"")</f>
        <v/>
      </c>
      <c r="S81" s="1" t="str">
        <f>IF(R81=14,リレーエントリー!$I$12,_xlfn.IFNA(INDEX(男子エントリー!$J$7:$AH$406,MATCH($G81&amp;RIGHT(T$1,1),男子エントリー!$AH$7:$AH$406,0),3),""))</f>
        <v/>
      </c>
      <c r="T81" s="1" t="str">
        <f t="shared" si="32"/>
        <v/>
      </c>
      <c r="U81" s="1" t="str">
        <f t="shared" si="34"/>
        <v/>
      </c>
      <c r="V81" s="1" t="str">
        <f t="shared" si="33"/>
        <v/>
      </c>
      <c r="W81" s="1" t="str" cm="1">
        <f t="array" ref="W81">_xlfn.IFNA(_xlfn.IFNA(INDEX(競技会設定!$X$2:$AC$24,MATCH(INDEX(男子エントリー!$J$7:$AH$406,MATCH($G81&amp;RIGHT(W$1,1),男子エントリー!$AH$7:$AH$406,0),1),競技会設定!$AC$2:$AC$24,0),1),INDEX(競技会設定!$X$2:$AC$24,MATCH(INDEX(男子エントリー!$R$6:$V$406,MATCH($G81&amp;RIGHT(W$1,1),男子エントリー!$V$6:$V$406,0)-MATCH($G81&amp;RIGHT(W$1,1),男子エントリー!$V$6:$V$406,0)+1,1),競技会設定!$AC$2:$AC$24,0),1)),"")</f>
        <v/>
      </c>
      <c r="X81" s="1" t="str">
        <f>IF(W81=14,リレーエントリー!$I$12,_xlfn.IFNA(INDEX(男子エントリー!$J$7:$AH$406,MATCH($G81&amp;RIGHT(Y$1,1),男子エントリー!$AH$7:$AH$406,0),3),""))</f>
        <v/>
      </c>
      <c r="Y81" s="1" t="str">
        <f t="shared" si="18"/>
        <v/>
      </c>
      <c r="Z81" s="1" t="str">
        <f t="shared" si="19"/>
        <v/>
      </c>
      <c r="AA81" s="1" t="str">
        <f t="shared" si="20"/>
        <v/>
      </c>
      <c r="AB81" s="1" t="str" cm="1">
        <f t="array" ref="AB81">_xlfn.IFNA(_xlfn.IFNA(INDEX(競技会設定!$X$2:$AC$24,MATCH(INDEX(男子エントリー!$J$7:$AH$406,MATCH($G81&amp;RIGHT(AB$1,1),男子エントリー!$AH$7:$AH$406,0),1),競技会設定!$AC$2:$AC$24,0),1),INDEX(競技会設定!$X$2:$AC$24,MATCH(INDEX(男子エントリー!$R$6:$V$406,MATCH($G81&amp;RIGHT(AB$1,1),男子エントリー!$V$6:$V$406,0)-MATCH($G81&amp;RIGHT(AB$1,1),男子エントリー!$V$6:$V$406,0)+1,1),競技会設定!$AC$2:$AC$24,0),1)),"")</f>
        <v/>
      </c>
      <c r="AC81" s="1" t="str">
        <f>IF(AB81=14,リレーエントリー!$I$12,_xlfn.IFNA(INDEX(男子エントリー!$J$7:$AH$406,MATCH($G81&amp;RIGHT(AD$1,1),男子エントリー!$AH$7:$AH$406,0),3),""))</f>
        <v/>
      </c>
      <c r="AD81" s="1" t="str">
        <f t="shared" si="21"/>
        <v/>
      </c>
      <c r="AE81" s="1" t="str">
        <f t="shared" si="22"/>
        <v/>
      </c>
      <c r="AF81" s="1" t="str">
        <f t="shared" si="23"/>
        <v/>
      </c>
      <c r="AG81" s="1" t="str" cm="1">
        <f t="array" ref="AG81">_xlfn.IFNA(_xlfn.IFNA(INDEX(競技会設定!$X$2:$AC$24,MATCH(INDEX(男子エントリー!$J$7:$AH$406,MATCH($G81&amp;RIGHT(AG$1,1),男子エントリー!$AH$7:$AH$406,0),1),競技会設定!$AC$2:$AC$24,0),1),INDEX(競技会設定!$X$2:$AC$24,MATCH(INDEX(男子エントリー!$R$6:$V$406,MATCH($G81&amp;RIGHT(AG$1,1),男子エントリー!$V$6:$V$406,0)-MATCH($G81&amp;RIGHT(AG$1,1),男子エントリー!$V$6:$V$406,0)+1,1),競技会設定!$AC$2:$AC$24,0),1)),"")</f>
        <v/>
      </c>
      <c r="AH81" s="1" t="str">
        <f>IF(AG81=14,リレーエントリー!$I$12,_xlfn.IFNA(INDEX(男子エントリー!$J$7:$AH$406,MATCH($G81&amp;RIGHT(AI$1,1),男子エントリー!$AH$7:$AH$406,0),3),""))</f>
        <v/>
      </c>
      <c r="AI81" s="1" t="str">
        <f t="shared" si="24"/>
        <v/>
      </c>
      <c r="AJ81" s="1" t="str">
        <f t="shared" si="25"/>
        <v/>
      </c>
      <c r="AK81" s="1" t="str">
        <f t="shared" si="26"/>
        <v/>
      </c>
      <c r="AL81" s="1" t="str" cm="1">
        <f t="array" ref="AL81">_xlfn.IFNA(_xlfn.IFNA(INDEX(競技会設定!$X$2:$AC$24,MATCH(INDEX(男子エントリー!$J$7:$AH$406,MATCH($G81&amp;RIGHT(AL$1,1),男子エントリー!$AH$7:$AH$406,0),1),競技会設定!$AC$2:$AC$24,0),1),INDEX(競技会設定!$X$2:$AC$24,MATCH(INDEX(男子エントリー!$R$6:$V$406,MATCH($G81&amp;RIGHT(AL$1,1),男子エントリー!$V$6:$V$406,0)-MATCH($G81&amp;RIGHT(AL$1,1),男子エントリー!$V$6:$V$406,0)+1,1),競技会設定!$AC$2:$AC$24,0),1)),"")</f>
        <v/>
      </c>
      <c r="AM81" s="1" t="str">
        <f>IF(AL81=14,リレーエントリー!$I$12,_xlfn.IFNA(INDEX(男子エントリー!$J$7:$AH$406,MATCH($G81&amp;RIGHT(AN$1,1),男子エントリー!$AH$7:$AH$406,0),3),""))</f>
        <v/>
      </c>
      <c r="AN81" s="1" t="str">
        <f t="shared" si="27"/>
        <v/>
      </c>
      <c r="AO81" s="1" t="str">
        <f t="shared" si="28"/>
        <v/>
      </c>
      <c r="AP81" s="1" t="str">
        <f t="shared" si="29"/>
        <v/>
      </c>
    </row>
    <row r="82" spans="1:42">
      <c r="A82" s="1">
        <v>81</v>
      </c>
      <c r="B82" s="92" t="str">
        <f>男子エントリー!D327</f>
        <v/>
      </c>
      <c r="C82" s="1" t="str">
        <f>基本情報!$E$6</f>
        <v/>
      </c>
      <c r="D82" s="1" t="str">
        <f>基本情報!$E$7</f>
        <v/>
      </c>
      <c r="F82" s="92">
        <f>男子エントリー!C327</f>
        <v>0</v>
      </c>
      <c r="G82" s="92" t="str">
        <f>男子エントリー!E327</f>
        <v/>
      </c>
      <c r="H82" s="92" t="str">
        <f>男子エントリー!F327</f>
        <v/>
      </c>
      <c r="I82" s="1" t="str">
        <f t="shared" si="30"/>
        <v/>
      </c>
      <c r="J82" s="1" t="e">
        <f>LEFT(男子エントリー!E329,FIND(",",LEFT(男子エントリー!E329,LEN(男子エントリー!E329)-5))-1)&amp;LEFT(RIGHT(男子エントリー!E329,LEN(男子エントリー!E329)-FIND(",",男子エントリー!E329)),LEN(RIGHT(男子エントリー!E329,LEN(男子エントリー!E329)-FIND(",",男子エントリー!E329)))-5)</f>
        <v>#VALUE!</v>
      </c>
      <c r="K82" s="1" t="str">
        <f>男子エントリー!G329</f>
        <v/>
      </c>
      <c r="L82" s="1" t="str">
        <f t="shared" si="31"/>
        <v/>
      </c>
      <c r="M82" s="92" t="str">
        <f>男子エントリー!G327</f>
        <v/>
      </c>
      <c r="N82" s="92" t="e">
        <f>MID(男子エントリー!E329,FIND("(",男子エントリー!E329)+1,2)</f>
        <v>#VALUE!</v>
      </c>
      <c r="O82" s="1">
        <v>0</v>
      </c>
      <c r="P82" s="92" t="e">
        <f>VLOOKUP(男子エントリー!G328,競技会設定!$F$3:$I$50,2,0)</f>
        <v>#N/A</v>
      </c>
      <c r="R82" s="1" t="str" cm="1">
        <f t="array" ref="R82">_xlfn.IFNA(_xlfn.IFNA(INDEX(競技会設定!$X$2:$AC$24,MATCH(INDEX(男子エントリー!$J$7:$AH$406,MATCH($G82&amp;RIGHT(R$1,1),男子エントリー!$AH$7:$AH$406,0),1),競技会設定!$AC$2:$AC$24,0),1),INDEX(競技会設定!$X$2:$AC$24,MATCH(INDEX(男子エントリー!$R$6:$V$406,MATCH($G82&amp;RIGHT(R$1,1),男子エントリー!$V$6:$V$406,0)-MATCH($G82&amp;RIGHT(R$1,1),男子エントリー!$V$6:$V$406,0)+1,1),競技会設定!$AC$2:$AC$24,0),1)),"")</f>
        <v/>
      </c>
      <c r="S82" s="1" t="str">
        <f>IF(R82=14,リレーエントリー!$I$12,_xlfn.IFNA(INDEX(男子エントリー!$J$7:$AH$406,MATCH($G82&amp;RIGHT(T$1,1),男子エントリー!$AH$7:$AH$406,0),3),""))</f>
        <v/>
      </c>
      <c r="T82" s="1" t="str">
        <f t="shared" si="32"/>
        <v/>
      </c>
      <c r="U82" s="1" t="str">
        <f t="shared" si="34"/>
        <v/>
      </c>
      <c r="V82" s="1" t="str">
        <f t="shared" si="33"/>
        <v/>
      </c>
      <c r="W82" s="1" t="str" cm="1">
        <f t="array" ref="W82">_xlfn.IFNA(_xlfn.IFNA(INDEX(競技会設定!$X$2:$AC$24,MATCH(INDEX(男子エントリー!$J$7:$AH$406,MATCH($G82&amp;RIGHT(W$1,1),男子エントリー!$AH$7:$AH$406,0),1),競技会設定!$AC$2:$AC$24,0),1),INDEX(競技会設定!$X$2:$AC$24,MATCH(INDEX(男子エントリー!$R$6:$V$406,MATCH($G82&amp;RIGHT(W$1,1),男子エントリー!$V$6:$V$406,0)-MATCH($G82&amp;RIGHT(W$1,1),男子エントリー!$V$6:$V$406,0)+1,1),競技会設定!$AC$2:$AC$24,0),1)),"")</f>
        <v/>
      </c>
      <c r="X82" s="1" t="str">
        <f>IF(W82=14,リレーエントリー!$I$12,_xlfn.IFNA(INDEX(男子エントリー!$J$7:$AH$406,MATCH($G82&amp;RIGHT(Y$1,1),男子エントリー!$AH$7:$AH$406,0),3),""))</f>
        <v/>
      </c>
      <c r="Y82" s="1" t="str">
        <f t="shared" si="18"/>
        <v/>
      </c>
      <c r="Z82" s="1" t="str">
        <f t="shared" si="19"/>
        <v/>
      </c>
      <c r="AA82" s="1" t="str">
        <f t="shared" si="20"/>
        <v/>
      </c>
      <c r="AB82" s="1" t="str" cm="1">
        <f t="array" ref="AB82">_xlfn.IFNA(_xlfn.IFNA(INDEX(競技会設定!$X$2:$AC$24,MATCH(INDEX(男子エントリー!$J$7:$AH$406,MATCH($G82&amp;RIGHT(AB$1,1),男子エントリー!$AH$7:$AH$406,0),1),競技会設定!$AC$2:$AC$24,0),1),INDEX(競技会設定!$X$2:$AC$24,MATCH(INDEX(男子エントリー!$R$6:$V$406,MATCH($G82&amp;RIGHT(AB$1,1),男子エントリー!$V$6:$V$406,0)-MATCH($G82&amp;RIGHT(AB$1,1),男子エントリー!$V$6:$V$406,0)+1,1),競技会設定!$AC$2:$AC$24,0),1)),"")</f>
        <v/>
      </c>
      <c r="AC82" s="1" t="str">
        <f>IF(AB82=14,リレーエントリー!$I$12,_xlfn.IFNA(INDEX(男子エントリー!$J$7:$AH$406,MATCH($G82&amp;RIGHT(AD$1,1),男子エントリー!$AH$7:$AH$406,0),3),""))</f>
        <v/>
      </c>
      <c r="AD82" s="1" t="str">
        <f t="shared" si="21"/>
        <v/>
      </c>
      <c r="AE82" s="1" t="str">
        <f t="shared" si="22"/>
        <v/>
      </c>
      <c r="AF82" s="1" t="str">
        <f t="shared" si="23"/>
        <v/>
      </c>
      <c r="AG82" s="1" t="str" cm="1">
        <f t="array" ref="AG82">_xlfn.IFNA(_xlfn.IFNA(INDEX(競技会設定!$X$2:$AC$24,MATCH(INDEX(男子エントリー!$J$7:$AH$406,MATCH($G82&amp;RIGHT(AG$1,1),男子エントリー!$AH$7:$AH$406,0),1),競技会設定!$AC$2:$AC$24,0),1),INDEX(競技会設定!$X$2:$AC$24,MATCH(INDEX(男子エントリー!$R$6:$V$406,MATCH($G82&amp;RIGHT(AG$1,1),男子エントリー!$V$6:$V$406,0)-MATCH($G82&amp;RIGHT(AG$1,1),男子エントリー!$V$6:$V$406,0)+1,1),競技会設定!$AC$2:$AC$24,0),1)),"")</f>
        <v/>
      </c>
      <c r="AH82" s="1" t="str">
        <f>IF(AG82=14,リレーエントリー!$I$12,_xlfn.IFNA(INDEX(男子エントリー!$J$7:$AH$406,MATCH($G82&amp;RIGHT(AI$1,1),男子エントリー!$AH$7:$AH$406,0),3),""))</f>
        <v/>
      </c>
      <c r="AI82" s="1" t="str">
        <f t="shared" si="24"/>
        <v/>
      </c>
      <c r="AJ82" s="1" t="str">
        <f t="shared" si="25"/>
        <v/>
      </c>
      <c r="AK82" s="1" t="str">
        <f t="shared" si="26"/>
        <v/>
      </c>
      <c r="AL82" s="1" t="str" cm="1">
        <f t="array" ref="AL82">_xlfn.IFNA(_xlfn.IFNA(INDEX(競技会設定!$X$2:$AC$24,MATCH(INDEX(男子エントリー!$J$7:$AH$406,MATCH($G82&amp;RIGHT(AL$1,1),男子エントリー!$AH$7:$AH$406,0),1),競技会設定!$AC$2:$AC$24,0),1),INDEX(競技会設定!$X$2:$AC$24,MATCH(INDEX(男子エントリー!$R$6:$V$406,MATCH($G82&amp;RIGHT(AL$1,1),男子エントリー!$V$6:$V$406,0)-MATCH($G82&amp;RIGHT(AL$1,1),男子エントリー!$V$6:$V$406,0)+1,1),競技会設定!$AC$2:$AC$24,0),1)),"")</f>
        <v/>
      </c>
      <c r="AM82" s="1" t="str">
        <f>IF(AL82=14,リレーエントリー!$I$12,_xlfn.IFNA(INDEX(男子エントリー!$J$7:$AH$406,MATCH($G82&amp;RIGHT(AN$1,1),男子エントリー!$AH$7:$AH$406,0),3),""))</f>
        <v/>
      </c>
      <c r="AN82" s="1" t="str">
        <f t="shared" si="27"/>
        <v/>
      </c>
      <c r="AO82" s="1" t="str">
        <f t="shared" si="28"/>
        <v/>
      </c>
      <c r="AP82" s="1" t="str">
        <f t="shared" si="29"/>
        <v/>
      </c>
    </row>
    <row r="83" spans="1:42">
      <c r="A83" s="1">
        <v>82</v>
      </c>
      <c r="B83" s="92" t="str">
        <f>男子エントリー!D331</f>
        <v/>
      </c>
      <c r="C83" s="1" t="str">
        <f>基本情報!$E$6</f>
        <v/>
      </c>
      <c r="D83" s="1" t="str">
        <f>基本情報!$E$7</f>
        <v/>
      </c>
      <c r="F83" s="92">
        <f>男子エントリー!C331</f>
        <v>0</v>
      </c>
      <c r="G83" s="92" t="str">
        <f>男子エントリー!E331</f>
        <v/>
      </c>
      <c r="H83" s="92" t="str">
        <f>男子エントリー!F331</f>
        <v/>
      </c>
      <c r="I83" s="1" t="str">
        <f t="shared" si="30"/>
        <v/>
      </c>
      <c r="J83" s="1" t="e">
        <f>LEFT(男子エントリー!E333,FIND(",",LEFT(男子エントリー!E333,LEN(男子エントリー!E333)-5))-1)&amp;LEFT(RIGHT(男子エントリー!E333,LEN(男子エントリー!E333)-FIND(",",男子エントリー!E333)),LEN(RIGHT(男子エントリー!E333,LEN(男子エントリー!E333)-FIND(",",男子エントリー!E333)))-5)</f>
        <v>#VALUE!</v>
      </c>
      <c r="K83" s="1" t="str">
        <f>男子エントリー!G333</f>
        <v/>
      </c>
      <c r="L83" s="1" t="str">
        <f t="shared" si="31"/>
        <v/>
      </c>
      <c r="M83" s="92" t="str">
        <f>男子エントリー!G331</f>
        <v/>
      </c>
      <c r="N83" s="92" t="e">
        <f>MID(男子エントリー!E333,FIND("(",男子エントリー!E333)+1,2)</f>
        <v>#VALUE!</v>
      </c>
      <c r="O83" s="1">
        <v>0</v>
      </c>
      <c r="P83" s="92" t="e">
        <f>VLOOKUP(男子エントリー!G332,競技会設定!$F$3:$I$50,2,0)</f>
        <v>#N/A</v>
      </c>
      <c r="R83" s="1" t="str" cm="1">
        <f t="array" ref="R83">_xlfn.IFNA(_xlfn.IFNA(INDEX(競技会設定!$X$2:$AC$24,MATCH(INDEX(男子エントリー!$J$7:$AH$406,MATCH($G83&amp;RIGHT(R$1,1),男子エントリー!$AH$7:$AH$406,0),1),競技会設定!$AC$2:$AC$24,0),1),INDEX(競技会設定!$X$2:$AC$24,MATCH(INDEX(男子エントリー!$R$6:$V$406,MATCH($G83&amp;RIGHT(R$1,1),男子エントリー!$V$6:$V$406,0)-MATCH($G83&amp;RIGHT(R$1,1),男子エントリー!$V$6:$V$406,0)+1,1),競技会設定!$AC$2:$AC$24,0),1)),"")</f>
        <v/>
      </c>
      <c r="S83" s="1" t="str">
        <f>IF(R83=14,リレーエントリー!$I$12,_xlfn.IFNA(INDEX(男子エントリー!$J$7:$AH$406,MATCH($G83&amp;RIGHT(T$1,1),男子エントリー!$AH$7:$AH$406,0),3),""))</f>
        <v/>
      </c>
      <c r="T83" s="1" t="str">
        <f t="shared" si="32"/>
        <v/>
      </c>
      <c r="U83" s="1" t="str">
        <f t="shared" si="34"/>
        <v/>
      </c>
      <c r="V83" s="1" t="str">
        <f t="shared" si="33"/>
        <v/>
      </c>
      <c r="W83" s="1" t="str" cm="1">
        <f t="array" ref="W83">_xlfn.IFNA(_xlfn.IFNA(INDEX(競技会設定!$X$2:$AC$24,MATCH(INDEX(男子エントリー!$J$7:$AH$406,MATCH($G83&amp;RIGHT(W$1,1),男子エントリー!$AH$7:$AH$406,0),1),競技会設定!$AC$2:$AC$24,0),1),INDEX(競技会設定!$X$2:$AC$24,MATCH(INDEX(男子エントリー!$R$6:$V$406,MATCH($G83&amp;RIGHT(W$1,1),男子エントリー!$V$6:$V$406,0)-MATCH($G83&amp;RIGHT(W$1,1),男子エントリー!$V$6:$V$406,0)+1,1),競技会設定!$AC$2:$AC$24,0),1)),"")</f>
        <v/>
      </c>
      <c r="X83" s="1" t="str">
        <f>IF(W83=14,リレーエントリー!$I$12,_xlfn.IFNA(INDEX(男子エントリー!$J$7:$AH$406,MATCH($G83&amp;RIGHT(Y$1,1),男子エントリー!$AH$7:$AH$406,0),3),""))</f>
        <v/>
      </c>
      <c r="Y83" s="1" t="str">
        <f t="shared" si="18"/>
        <v/>
      </c>
      <c r="Z83" s="1" t="str">
        <f t="shared" si="19"/>
        <v/>
      </c>
      <c r="AA83" s="1" t="str">
        <f t="shared" si="20"/>
        <v/>
      </c>
      <c r="AB83" s="1" t="str" cm="1">
        <f t="array" ref="AB83">_xlfn.IFNA(_xlfn.IFNA(INDEX(競技会設定!$X$2:$AC$24,MATCH(INDEX(男子エントリー!$J$7:$AH$406,MATCH($G83&amp;RIGHT(AB$1,1),男子エントリー!$AH$7:$AH$406,0),1),競技会設定!$AC$2:$AC$24,0),1),INDEX(競技会設定!$X$2:$AC$24,MATCH(INDEX(男子エントリー!$R$6:$V$406,MATCH($G83&amp;RIGHT(AB$1,1),男子エントリー!$V$6:$V$406,0)-MATCH($G83&amp;RIGHT(AB$1,1),男子エントリー!$V$6:$V$406,0)+1,1),競技会設定!$AC$2:$AC$24,0),1)),"")</f>
        <v/>
      </c>
      <c r="AC83" s="1" t="str">
        <f>IF(AB83=14,リレーエントリー!$I$12,_xlfn.IFNA(INDEX(男子エントリー!$J$7:$AH$406,MATCH($G83&amp;RIGHT(AD$1,1),男子エントリー!$AH$7:$AH$406,0),3),""))</f>
        <v/>
      </c>
      <c r="AD83" s="1" t="str">
        <f t="shared" si="21"/>
        <v/>
      </c>
      <c r="AE83" s="1" t="str">
        <f t="shared" si="22"/>
        <v/>
      </c>
      <c r="AF83" s="1" t="str">
        <f t="shared" si="23"/>
        <v/>
      </c>
      <c r="AG83" s="1" t="str" cm="1">
        <f t="array" ref="AG83">_xlfn.IFNA(_xlfn.IFNA(INDEX(競技会設定!$X$2:$AC$24,MATCH(INDEX(男子エントリー!$J$7:$AH$406,MATCH($G83&amp;RIGHT(AG$1,1),男子エントリー!$AH$7:$AH$406,0),1),競技会設定!$AC$2:$AC$24,0),1),INDEX(競技会設定!$X$2:$AC$24,MATCH(INDEX(男子エントリー!$R$6:$V$406,MATCH($G83&amp;RIGHT(AG$1,1),男子エントリー!$V$6:$V$406,0)-MATCH($G83&amp;RIGHT(AG$1,1),男子エントリー!$V$6:$V$406,0)+1,1),競技会設定!$AC$2:$AC$24,0),1)),"")</f>
        <v/>
      </c>
      <c r="AH83" s="1" t="str">
        <f>IF(AG83=14,リレーエントリー!$I$12,_xlfn.IFNA(INDEX(男子エントリー!$J$7:$AH$406,MATCH($G83&amp;RIGHT(AI$1,1),男子エントリー!$AH$7:$AH$406,0),3),""))</f>
        <v/>
      </c>
      <c r="AI83" s="1" t="str">
        <f t="shared" si="24"/>
        <v/>
      </c>
      <c r="AJ83" s="1" t="str">
        <f t="shared" si="25"/>
        <v/>
      </c>
      <c r="AK83" s="1" t="str">
        <f t="shared" si="26"/>
        <v/>
      </c>
      <c r="AL83" s="1" t="str" cm="1">
        <f t="array" ref="AL83">_xlfn.IFNA(_xlfn.IFNA(INDEX(競技会設定!$X$2:$AC$24,MATCH(INDEX(男子エントリー!$J$7:$AH$406,MATCH($G83&amp;RIGHT(AL$1,1),男子エントリー!$AH$7:$AH$406,0),1),競技会設定!$AC$2:$AC$24,0),1),INDEX(競技会設定!$X$2:$AC$24,MATCH(INDEX(男子エントリー!$R$6:$V$406,MATCH($G83&amp;RIGHT(AL$1,1),男子エントリー!$V$6:$V$406,0)-MATCH($G83&amp;RIGHT(AL$1,1),男子エントリー!$V$6:$V$406,0)+1,1),競技会設定!$AC$2:$AC$24,0),1)),"")</f>
        <v/>
      </c>
      <c r="AM83" s="1" t="str">
        <f>IF(AL83=14,リレーエントリー!$I$12,_xlfn.IFNA(INDEX(男子エントリー!$J$7:$AH$406,MATCH($G83&amp;RIGHT(AN$1,1),男子エントリー!$AH$7:$AH$406,0),3),""))</f>
        <v/>
      </c>
      <c r="AN83" s="1" t="str">
        <f t="shared" si="27"/>
        <v/>
      </c>
      <c r="AO83" s="1" t="str">
        <f t="shared" si="28"/>
        <v/>
      </c>
      <c r="AP83" s="1" t="str">
        <f t="shared" si="29"/>
        <v/>
      </c>
    </row>
    <row r="84" spans="1:42">
      <c r="A84" s="1">
        <v>83</v>
      </c>
      <c r="B84" s="92" t="str">
        <f>男子エントリー!D335</f>
        <v/>
      </c>
      <c r="C84" s="1" t="str">
        <f>基本情報!$E$6</f>
        <v/>
      </c>
      <c r="D84" s="1" t="str">
        <f>基本情報!$E$7</f>
        <v/>
      </c>
      <c r="F84" s="92">
        <f>男子エントリー!C335</f>
        <v>0</v>
      </c>
      <c r="G84" s="92" t="str">
        <f>男子エントリー!E335</f>
        <v/>
      </c>
      <c r="H84" s="92" t="str">
        <f>男子エントリー!F335</f>
        <v/>
      </c>
      <c r="I84" s="1" t="str">
        <f t="shared" si="30"/>
        <v/>
      </c>
      <c r="J84" s="1" t="e">
        <f>LEFT(男子エントリー!E337,FIND(",",LEFT(男子エントリー!E337,LEN(男子エントリー!E337)-5))-1)&amp;LEFT(RIGHT(男子エントリー!E337,LEN(男子エントリー!E337)-FIND(",",男子エントリー!E337)),LEN(RIGHT(男子エントリー!E337,LEN(男子エントリー!E337)-FIND(",",男子エントリー!E337)))-5)</f>
        <v>#VALUE!</v>
      </c>
      <c r="K84" s="1" t="str">
        <f>男子エントリー!G337</f>
        <v/>
      </c>
      <c r="L84" s="1" t="str">
        <f t="shared" si="31"/>
        <v/>
      </c>
      <c r="M84" s="92" t="str">
        <f>男子エントリー!G335</f>
        <v/>
      </c>
      <c r="N84" s="92" t="e">
        <f>MID(男子エントリー!E337,FIND("(",男子エントリー!E337)+1,2)</f>
        <v>#VALUE!</v>
      </c>
      <c r="O84" s="1">
        <v>0</v>
      </c>
      <c r="P84" s="92" t="e">
        <f>VLOOKUP(男子エントリー!G336,競技会設定!$F$3:$I$50,2,0)</f>
        <v>#N/A</v>
      </c>
      <c r="R84" s="1" t="str" cm="1">
        <f t="array" ref="R84">_xlfn.IFNA(_xlfn.IFNA(INDEX(競技会設定!$X$2:$AC$24,MATCH(INDEX(男子エントリー!$J$7:$AH$406,MATCH($G84&amp;RIGHT(R$1,1),男子エントリー!$AH$7:$AH$406,0),1),競技会設定!$AC$2:$AC$24,0),1),INDEX(競技会設定!$X$2:$AC$24,MATCH(INDEX(男子エントリー!$R$6:$V$406,MATCH($G84&amp;RIGHT(R$1,1),男子エントリー!$V$6:$V$406,0)-MATCH($G84&amp;RIGHT(R$1,1),男子エントリー!$V$6:$V$406,0)+1,1),競技会設定!$AC$2:$AC$24,0),1)),"")</f>
        <v/>
      </c>
      <c r="S84" s="1" t="str">
        <f>IF(R84=14,リレーエントリー!$I$12,_xlfn.IFNA(INDEX(男子エントリー!$J$7:$AH$406,MATCH($G84&amp;RIGHT(T$1,1),男子エントリー!$AH$7:$AH$406,0),3),""))</f>
        <v/>
      </c>
      <c r="T84" s="1" t="str">
        <f t="shared" si="32"/>
        <v/>
      </c>
      <c r="U84" s="1" t="str">
        <f t="shared" si="34"/>
        <v/>
      </c>
      <c r="V84" s="1" t="str">
        <f t="shared" si="33"/>
        <v/>
      </c>
      <c r="W84" s="1" t="str" cm="1">
        <f t="array" ref="W84">_xlfn.IFNA(_xlfn.IFNA(INDEX(競技会設定!$X$2:$AC$24,MATCH(INDEX(男子エントリー!$J$7:$AH$406,MATCH($G84&amp;RIGHT(W$1,1),男子エントリー!$AH$7:$AH$406,0),1),競技会設定!$AC$2:$AC$24,0),1),INDEX(競技会設定!$X$2:$AC$24,MATCH(INDEX(男子エントリー!$R$6:$V$406,MATCH($G84&amp;RIGHT(W$1,1),男子エントリー!$V$6:$V$406,0)-MATCH($G84&amp;RIGHT(W$1,1),男子エントリー!$V$6:$V$406,0)+1,1),競技会設定!$AC$2:$AC$24,0),1)),"")</f>
        <v/>
      </c>
      <c r="X84" s="1" t="str">
        <f>IF(W84=14,リレーエントリー!$I$12,_xlfn.IFNA(INDEX(男子エントリー!$J$7:$AH$406,MATCH($G84&amp;RIGHT(Y$1,1),男子エントリー!$AH$7:$AH$406,0),3),""))</f>
        <v/>
      </c>
      <c r="Y84" s="1" t="str">
        <f t="shared" si="18"/>
        <v/>
      </c>
      <c r="Z84" s="1" t="str">
        <f t="shared" si="19"/>
        <v/>
      </c>
      <c r="AA84" s="1" t="str">
        <f t="shared" si="20"/>
        <v/>
      </c>
      <c r="AB84" s="1" t="str" cm="1">
        <f t="array" ref="AB84">_xlfn.IFNA(_xlfn.IFNA(INDEX(競技会設定!$X$2:$AC$24,MATCH(INDEX(男子エントリー!$J$7:$AH$406,MATCH($G84&amp;RIGHT(AB$1,1),男子エントリー!$AH$7:$AH$406,0),1),競技会設定!$AC$2:$AC$24,0),1),INDEX(競技会設定!$X$2:$AC$24,MATCH(INDEX(男子エントリー!$R$6:$V$406,MATCH($G84&amp;RIGHT(AB$1,1),男子エントリー!$V$6:$V$406,0)-MATCH($G84&amp;RIGHT(AB$1,1),男子エントリー!$V$6:$V$406,0)+1,1),競技会設定!$AC$2:$AC$24,0),1)),"")</f>
        <v/>
      </c>
      <c r="AC84" s="1" t="str">
        <f>IF(AB84=14,リレーエントリー!$I$12,_xlfn.IFNA(INDEX(男子エントリー!$J$7:$AH$406,MATCH($G84&amp;RIGHT(AD$1,1),男子エントリー!$AH$7:$AH$406,0),3),""))</f>
        <v/>
      </c>
      <c r="AD84" s="1" t="str">
        <f t="shared" si="21"/>
        <v/>
      </c>
      <c r="AE84" s="1" t="str">
        <f t="shared" si="22"/>
        <v/>
      </c>
      <c r="AF84" s="1" t="str">
        <f t="shared" si="23"/>
        <v/>
      </c>
      <c r="AG84" s="1" t="str" cm="1">
        <f t="array" ref="AG84">_xlfn.IFNA(_xlfn.IFNA(INDEX(競技会設定!$X$2:$AC$24,MATCH(INDEX(男子エントリー!$J$7:$AH$406,MATCH($G84&amp;RIGHT(AG$1,1),男子エントリー!$AH$7:$AH$406,0),1),競技会設定!$AC$2:$AC$24,0),1),INDEX(競技会設定!$X$2:$AC$24,MATCH(INDEX(男子エントリー!$R$6:$V$406,MATCH($G84&amp;RIGHT(AG$1,1),男子エントリー!$V$6:$V$406,0)-MATCH($G84&amp;RIGHT(AG$1,1),男子エントリー!$V$6:$V$406,0)+1,1),競技会設定!$AC$2:$AC$24,0),1)),"")</f>
        <v/>
      </c>
      <c r="AH84" s="1" t="str">
        <f>IF(AG84=14,リレーエントリー!$I$12,_xlfn.IFNA(INDEX(男子エントリー!$J$7:$AH$406,MATCH($G84&amp;RIGHT(AI$1,1),男子エントリー!$AH$7:$AH$406,0),3),""))</f>
        <v/>
      </c>
      <c r="AI84" s="1" t="str">
        <f t="shared" si="24"/>
        <v/>
      </c>
      <c r="AJ84" s="1" t="str">
        <f t="shared" si="25"/>
        <v/>
      </c>
      <c r="AK84" s="1" t="str">
        <f t="shared" si="26"/>
        <v/>
      </c>
      <c r="AL84" s="1" t="str" cm="1">
        <f t="array" ref="AL84">_xlfn.IFNA(_xlfn.IFNA(INDEX(競技会設定!$X$2:$AC$24,MATCH(INDEX(男子エントリー!$J$7:$AH$406,MATCH($G84&amp;RIGHT(AL$1,1),男子エントリー!$AH$7:$AH$406,0),1),競技会設定!$AC$2:$AC$24,0),1),INDEX(競技会設定!$X$2:$AC$24,MATCH(INDEX(男子エントリー!$R$6:$V$406,MATCH($G84&amp;RIGHT(AL$1,1),男子エントリー!$V$6:$V$406,0)-MATCH($G84&amp;RIGHT(AL$1,1),男子エントリー!$V$6:$V$406,0)+1,1),競技会設定!$AC$2:$AC$24,0),1)),"")</f>
        <v/>
      </c>
      <c r="AM84" s="1" t="str">
        <f>IF(AL84=14,リレーエントリー!$I$12,_xlfn.IFNA(INDEX(男子エントリー!$J$7:$AH$406,MATCH($G84&amp;RIGHT(AN$1,1),男子エントリー!$AH$7:$AH$406,0),3),""))</f>
        <v/>
      </c>
      <c r="AN84" s="1" t="str">
        <f t="shared" si="27"/>
        <v/>
      </c>
      <c r="AO84" s="1" t="str">
        <f t="shared" si="28"/>
        <v/>
      </c>
      <c r="AP84" s="1" t="str">
        <f t="shared" si="29"/>
        <v/>
      </c>
    </row>
    <row r="85" spans="1:42">
      <c r="A85" s="1">
        <v>84</v>
      </c>
      <c r="B85" s="92" t="str">
        <f>男子エントリー!D339</f>
        <v/>
      </c>
      <c r="C85" s="1" t="str">
        <f>基本情報!$E$6</f>
        <v/>
      </c>
      <c r="D85" s="1" t="str">
        <f>基本情報!$E$7</f>
        <v/>
      </c>
      <c r="F85" s="92">
        <f>男子エントリー!C339</f>
        <v>0</v>
      </c>
      <c r="G85" s="92" t="str">
        <f>男子エントリー!E339</f>
        <v/>
      </c>
      <c r="H85" s="92" t="str">
        <f>男子エントリー!F339</f>
        <v/>
      </c>
      <c r="I85" s="1" t="str">
        <f t="shared" si="30"/>
        <v/>
      </c>
      <c r="J85" s="1" t="e">
        <f>LEFT(男子エントリー!E341,FIND(",",LEFT(男子エントリー!E341,LEN(男子エントリー!E341)-5))-1)&amp;LEFT(RIGHT(男子エントリー!E341,LEN(男子エントリー!E341)-FIND(",",男子エントリー!E341)),LEN(RIGHT(男子エントリー!E341,LEN(男子エントリー!E341)-FIND(",",男子エントリー!E341)))-5)</f>
        <v>#VALUE!</v>
      </c>
      <c r="K85" s="1" t="str">
        <f>男子エントリー!G341</f>
        <v/>
      </c>
      <c r="L85" s="1" t="str">
        <f t="shared" si="31"/>
        <v/>
      </c>
      <c r="M85" s="92" t="str">
        <f>男子エントリー!G339</f>
        <v/>
      </c>
      <c r="N85" s="92" t="e">
        <f>MID(男子エントリー!E341,FIND("(",男子エントリー!E341)+1,2)</f>
        <v>#VALUE!</v>
      </c>
      <c r="O85" s="1">
        <v>0</v>
      </c>
      <c r="P85" s="92" t="e">
        <f>VLOOKUP(男子エントリー!G340,競技会設定!$F$3:$I$50,2,0)</f>
        <v>#N/A</v>
      </c>
      <c r="R85" s="1" t="str" cm="1">
        <f t="array" ref="R85">_xlfn.IFNA(_xlfn.IFNA(INDEX(競技会設定!$X$2:$AC$24,MATCH(INDEX(男子エントリー!$J$7:$AH$406,MATCH($G85&amp;RIGHT(R$1,1),男子エントリー!$AH$7:$AH$406,0),1),競技会設定!$AC$2:$AC$24,0),1),INDEX(競技会設定!$X$2:$AC$24,MATCH(INDEX(男子エントリー!$R$6:$V$406,MATCH($G85&amp;RIGHT(R$1,1),男子エントリー!$V$6:$V$406,0)-MATCH($G85&amp;RIGHT(R$1,1),男子エントリー!$V$6:$V$406,0)+1,1),競技会設定!$AC$2:$AC$24,0),1)),"")</f>
        <v/>
      </c>
      <c r="S85" s="1" t="str">
        <f>IF(R85=14,リレーエントリー!$I$12,_xlfn.IFNA(INDEX(男子エントリー!$J$7:$AH$406,MATCH($G85&amp;RIGHT(T$1,1),男子エントリー!$AH$7:$AH$406,0),3),""))</f>
        <v/>
      </c>
      <c r="T85" s="1" t="str">
        <f t="shared" si="32"/>
        <v/>
      </c>
      <c r="U85" s="1" t="str">
        <f t="shared" si="34"/>
        <v/>
      </c>
      <c r="V85" s="1" t="str">
        <f t="shared" si="33"/>
        <v/>
      </c>
      <c r="W85" s="1" t="str" cm="1">
        <f t="array" ref="W85">_xlfn.IFNA(_xlfn.IFNA(INDEX(競技会設定!$X$2:$AC$24,MATCH(INDEX(男子エントリー!$J$7:$AH$406,MATCH($G85&amp;RIGHT(W$1,1),男子エントリー!$AH$7:$AH$406,0),1),競技会設定!$AC$2:$AC$24,0),1),INDEX(競技会設定!$X$2:$AC$24,MATCH(INDEX(男子エントリー!$R$6:$V$406,MATCH($G85&amp;RIGHT(W$1,1),男子エントリー!$V$6:$V$406,0)-MATCH($G85&amp;RIGHT(W$1,1),男子エントリー!$V$6:$V$406,0)+1,1),競技会設定!$AC$2:$AC$24,0),1)),"")</f>
        <v/>
      </c>
      <c r="X85" s="1" t="str">
        <f>IF(W85=14,リレーエントリー!$I$12,_xlfn.IFNA(INDEX(男子エントリー!$J$7:$AH$406,MATCH($G85&amp;RIGHT(Y$1,1),男子エントリー!$AH$7:$AH$406,0),3),""))</f>
        <v/>
      </c>
      <c r="Y85" s="1" t="str">
        <f t="shared" si="18"/>
        <v/>
      </c>
      <c r="Z85" s="1" t="str">
        <f t="shared" si="19"/>
        <v/>
      </c>
      <c r="AA85" s="1" t="str">
        <f t="shared" si="20"/>
        <v/>
      </c>
      <c r="AB85" s="1" t="str" cm="1">
        <f t="array" ref="AB85">_xlfn.IFNA(_xlfn.IFNA(INDEX(競技会設定!$X$2:$AC$24,MATCH(INDEX(男子エントリー!$J$7:$AH$406,MATCH($G85&amp;RIGHT(AB$1,1),男子エントリー!$AH$7:$AH$406,0),1),競技会設定!$AC$2:$AC$24,0),1),INDEX(競技会設定!$X$2:$AC$24,MATCH(INDEX(男子エントリー!$R$6:$V$406,MATCH($G85&amp;RIGHT(AB$1,1),男子エントリー!$V$6:$V$406,0)-MATCH($G85&amp;RIGHT(AB$1,1),男子エントリー!$V$6:$V$406,0)+1,1),競技会設定!$AC$2:$AC$24,0),1)),"")</f>
        <v/>
      </c>
      <c r="AC85" s="1" t="str">
        <f>IF(AB85=14,リレーエントリー!$I$12,_xlfn.IFNA(INDEX(男子エントリー!$J$7:$AH$406,MATCH($G85&amp;RIGHT(AD$1,1),男子エントリー!$AH$7:$AH$406,0),3),""))</f>
        <v/>
      </c>
      <c r="AD85" s="1" t="str">
        <f t="shared" si="21"/>
        <v/>
      </c>
      <c r="AE85" s="1" t="str">
        <f t="shared" si="22"/>
        <v/>
      </c>
      <c r="AF85" s="1" t="str">
        <f t="shared" si="23"/>
        <v/>
      </c>
      <c r="AG85" s="1" t="str" cm="1">
        <f t="array" ref="AG85">_xlfn.IFNA(_xlfn.IFNA(INDEX(競技会設定!$X$2:$AC$24,MATCH(INDEX(男子エントリー!$J$7:$AH$406,MATCH($G85&amp;RIGHT(AG$1,1),男子エントリー!$AH$7:$AH$406,0),1),競技会設定!$AC$2:$AC$24,0),1),INDEX(競技会設定!$X$2:$AC$24,MATCH(INDEX(男子エントリー!$R$6:$V$406,MATCH($G85&amp;RIGHT(AG$1,1),男子エントリー!$V$6:$V$406,0)-MATCH($G85&amp;RIGHT(AG$1,1),男子エントリー!$V$6:$V$406,0)+1,1),競技会設定!$AC$2:$AC$24,0),1)),"")</f>
        <v/>
      </c>
      <c r="AH85" s="1" t="str">
        <f>IF(AG85=14,リレーエントリー!$I$12,_xlfn.IFNA(INDEX(男子エントリー!$J$7:$AH$406,MATCH($G85&amp;RIGHT(AI$1,1),男子エントリー!$AH$7:$AH$406,0),3),""))</f>
        <v/>
      </c>
      <c r="AI85" s="1" t="str">
        <f t="shared" si="24"/>
        <v/>
      </c>
      <c r="AJ85" s="1" t="str">
        <f t="shared" si="25"/>
        <v/>
      </c>
      <c r="AK85" s="1" t="str">
        <f t="shared" si="26"/>
        <v/>
      </c>
      <c r="AL85" s="1" t="str" cm="1">
        <f t="array" ref="AL85">_xlfn.IFNA(_xlfn.IFNA(INDEX(競技会設定!$X$2:$AC$24,MATCH(INDEX(男子エントリー!$J$7:$AH$406,MATCH($G85&amp;RIGHT(AL$1,1),男子エントリー!$AH$7:$AH$406,0),1),競技会設定!$AC$2:$AC$24,0),1),INDEX(競技会設定!$X$2:$AC$24,MATCH(INDEX(男子エントリー!$R$6:$V$406,MATCH($G85&amp;RIGHT(AL$1,1),男子エントリー!$V$6:$V$406,0)-MATCH($G85&amp;RIGHT(AL$1,1),男子エントリー!$V$6:$V$406,0)+1,1),競技会設定!$AC$2:$AC$24,0),1)),"")</f>
        <v/>
      </c>
      <c r="AM85" s="1" t="str">
        <f>IF(AL85=14,リレーエントリー!$I$12,_xlfn.IFNA(INDEX(男子エントリー!$J$7:$AH$406,MATCH($G85&amp;RIGHT(AN$1,1),男子エントリー!$AH$7:$AH$406,0),3),""))</f>
        <v/>
      </c>
      <c r="AN85" s="1" t="str">
        <f t="shared" si="27"/>
        <v/>
      </c>
      <c r="AO85" s="1" t="str">
        <f t="shared" si="28"/>
        <v/>
      </c>
      <c r="AP85" s="1" t="str">
        <f t="shared" si="29"/>
        <v/>
      </c>
    </row>
    <row r="86" spans="1:42">
      <c r="A86" s="1">
        <v>85</v>
      </c>
      <c r="B86" s="92" t="str">
        <f>男子エントリー!D343</f>
        <v/>
      </c>
      <c r="C86" s="1" t="str">
        <f>基本情報!$E$6</f>
        <v/>
      </c>
      <c r="D86" s="1" t="str">
        <f>基本情報!$E$7</f>
        <v/>
      </c>
      <c r="F86" s="92">
        <f>男子エントリー!C343</f>
        <v>0</v>
      </c>
      <c r="G86" s="92" t="str">
        <f>男子エントリー!E343</f>
        <v/>
      </c>
      <c r="H86" s="92" t="str">
        <f>男子エントリー!F343</f>
        <v/>
      </c>
      <c r="I86" s="1" t="str">
        <f t="shared" si="30"/>
        <v/>
      </c>
      <c r="J86" s="1" t="e">
        <f>LEFT(男子エントリー!E345,FIND(",",LEFT(男子エントリー!E345,LEN(男子エントリー!E345)-5))-1)&amp;LEFT(RIGHT(男子エントリー!E345,LEN(男子エントリー!E345)-FIND(",",男子エントリー!E345)),LEN(RIGHT(男子エントリー!E345,LEN(男子エントリー!E345)-FIND(",",男子エントリー!E345)))-5)</f>
        <v>#VALUE!</v>
      </c>
      <c r="K86" s="1" t="str">
        <f>男子エントリー!G345</f>
        <v/>
      </c>
      <c r="L86" s="1" t="str">
        <f t="shared" si="31"/>
        <v/>
      </c>
      <c r="M86" s="92" t="str">
        <f>男子エントリー!G343</f>
        <v/>
      </c>
      <c r="N86" s="92" t="e">
        <f>MID(男子エントリー!E345,FIND("(",男子エントリー!E345)+1,2)</f>
        <v>#VALUE!</v>
      </c>
      <c r="O86" s="1">
        <v>0</v>
      </c>
      <c r="P86" s="92" t="e">
        <f>VLOOKUP(男子エントリー!G344,競技会設定!$F$3:$I$50,2,0)</f>
        <v>#N/A</v>
      </c>
      <c r="R86" s="1" t="str" cm="1">
        <f t="array" ref="R86">_xlfn.IFNA(_xlfn.IFNA(INDEX(競技会設定!$X$2:$AC$24,MATCH(INDEX(男子エントリー!$J$7:$AH$406,MATCH($G86&amp;RIGHT(R$1,1),男子エントリー!$AH$7:$AH$406,0),1),競技会設定!$AC$2:$AC$24,0),1),INDEX(競技会設定!$X$2:$AC$24,MATCH(INDEX(男子エントリー!$R$6:$V$406,MATCH($G86&amp;RIGHT(R$1,1),男子エントリー!$V$6:$V$406,0)-MATCH($G86&amp;RIGHT(R$1,1),男子エントリー!$V$6:$V$406,0)+1,1),競技会設定!$AC$2:$AC$24,0),1)),"")</f>
        <v/>
      </c>
      <c r="S86" s="1" t="str">
        <f>IF(R86=14,リレーエントリー!$I$12,_xlfn.IFNA(INDEX(男子エントリー!$J$7:$AH$406,MATCH($G86&amp;RIGHT(T$1,1),男子エントリー!$AH$7:$AH$406,0),3),""))</f>
        <v/>
      </c>
      <c r="T86" s="1" t="str">
        <f t="shared" si="32"/>
        <v/>
      </c>
      <c r="U86" s="1" t="str">
        <f t="shared" si="34"/>
        <v/>
      </c>
      <c r="V86" s="1" t="str">
        <f t="shared" si="33"/>
        <v/>
      </c>
      <c r="W86" s="1" t="str" cm="1">
        <f t="array" ref="W86">_xlfn.IFNA(_xlfn.IFNA(INDEX(競技会設定!$X$2:$AC$24,MATCH(INDEX(男子エントリー!$J$7:$AH$406,MATCH($G86&amp;RIGHT(W$1,1),男子エントリー!$AH$7:$AH$406,0),1),競技会設定!$AC$2:$AC$24,0),1),INDEX(競技会設定!$X$2:$AC$24,MATCH(INDEX(男子エントリー!$R$6:$V$406,MATCH($G86&amp;RIGHT(W$1,1),男子エントリー!$V$6:$V$406,0)-MATCH($G86&amp;RIGHT(W$1,1),男子エントリー!$V$6:$V$406,0)+1,1),競技会設定!$AC$2:$AC$24,0),1)),"")</f>
        <v/>
      </c>
      <c r="X86" s="1" t="str">
        <f>IF(W86=14,リレーエントリー!$I$12,_xlfn.IFNA(INDEX(男子エントリー!$J$7:$AH$406,MATCH($G86&amp;RIGHT(Y$1,1),男子エントリー!$AH$7:$AH$406,0),3),""))</f>
        <v/>
      </c>
      <c r="Y86" s="1" t="str">
        <f t="shared" si="18"/>
        <v/>
      </c>
      <c r="Z86" s="1" t="str">
        <f t="shared" si="19"/>
        <v/>
      </c>
      <c r="AA86" s="1" t="str">
        <f t="shared" si="20"/>
        <v/>
      </c>
      <c r="AB86" s="1" t="str" cm="1">
        <f t="array" ref="AB86">_xlfn.IFNA(_xlfn.IFNA(INDEX(競技会設定!$X$2:$AC$24,MATCH(INDEX(男子エントリー!$J$7:$AH$406,MATCH($G86&amp;RIGHT(AB$1,1),男子エントリー!$AH$7:$AH$406,0),1),競技会設定!$AC$2:$AC$24,0),1),INDEX(競技会設定!$X$2:$AC$24,MATCH(INDEX(男子エントリー!$R$6:$V$406,MATCH($G86&amp;RIGHT(AB$1,1),男子エントリー!$V$6:$V$406,0)-MATCH($G86&amp;RIGHT(AB$1,1),男子エントリー!$V$6:$V$406,0)+1,1),競技会設定!$AC$2:$AC$24,0),1)),"")</f>
        <v/>
      </c>
      <c r="AC86" s="1" t="str">
        <f>IF(AB86=14,リレーエントリー!$I$12,_xlfn.IFNA(INDEX(男子エントリー!$J$7:$AH$406,MATCH($G86&amp;RIGHT(AD$1,1),男子エントリー!$AH$7:$AH$406,0),3),""))</f>
        <v/>
      </c>
      <c r="AD86" s="1" t="str">
        <f t="shared" si="21"/>
        <v/>
      </c>
      <c r="AE86" s="1" t="str">
        <f t="shared" si="22"/>
        <v/>
      </c>
      <c r="AF86" s="1" t="str">
        <f t="shared" si="23"/>
        <v/>
      </c>
      <c r="AG86" s="1" t="str" cm="1">
        <f t="array" ref="AG86">_xlfn.IFNA(_xlfn.IFNA(INDEX(競技会設定!$X$2:$AC$24,MATCH(INDEX(男子エントリー!$J$7:$AH$406,MATCH($G86&amp;RIGHT(AG$1,1),男子エントリー!$AH$7:$AH$406,0),1),競技会設定!$AC$2:$AC$24,0),1),INDEX(競技会設定!$X$2:$AC$24,MATCH(INDEX(男子エントリー!$R$6:$V$406,MATCH($G86&amp;RIGHT(AG$1,1),男子エントリー!$V$6:$V$406,0)-MATCH($G86&amp;RIGHT(AG$1,1),男子エントリー!$V$6:$V$406,0)+1,1),競技会設定!$AC$2:$AC$24,0),1)),"")</f>
        <v/>
      </c>
      <c r="AH86" s="1" t="str">
        <f>IF(AG86=14,リレーエントリー!$I$12,_xlfn.IFNA(INDEX(男子エントリー!$J$7:$AH$406,MATCH($G86&amp;RIGHT(AI$1,1),男子エントリー!$AH$7:$AH$406,0),3),""))</f>
        <v/>
      </c>
      <c r="AI86" s="1" t="str">
        <f t="shared" si="24"/>
        <v/>
      </c>
      <c r="AJ86" s="1" t="str">
        <f t="shared" si="25"/>
        <v/>
      </c>
      <c r="AK86" s="1" t="str">
        <f t="shared" si="26"/>
        <v/>
      </c>
      <c r="AL86" s="1" t="str" cm="1">
        <f t="array" ref="AL86">_xlfn.IFNA(_xlfn.IFNA(INDEX(競技会設定!$X$2:$AC$24,MATCH(INDEX(男子エントリー!$J$7:$AH$406,MATCH($G86&amp;RIGHT(AL$1,1),男子エントリー!$AH$7:$AH$406,0),1),競技会設定!$AC$2:$AC$24,0),1),INDEX(競技会設定!$X$2:$AC$24,MATCH(INDEX(男子エントリー!$R$6:$V$406,MATCH($G86&amp;RIGHT(AL$1,1),男子エントリー!$V$6:$V$406,0)-MATCH($G86&amp;RIGHT(AL$1,1),男子エントリー!$V$6:$V$406,0)+1,1),競技会設定!$AC$2:$AC$24,0),1)),"")</f>
        <v/>
      </c>
      <c r="AM86" s="1" t="str">
        <f>IF(AL86=14,リレーエントリー!$I$12,_xlfn.IFNA(INDEX(男子エントリー!$J$7:$AH$406,MATCH($G86&amp;RIGHT(AN$1,1),男子エントリー!$AH$7:$AH$406,0),3),""))</f>
        <v/>
      </c>
      <c r="AN86" s="1" t="str">
        <f t="shared" si="27"/>
        <v/>
      </c>
      <c r="AO86" s="1" t="str">
        <f t="shared" si="28"/>
        <v/>
      </c>
      <c r="AP86" s="1" t="str">
        <f t="shared" si="29"/>
        <v/>
      </c>
    </row>
    <row r="87" spans="1:42">
      <c r="A87" s="1">
        <v>86</v>
      </c>
      <c r="B87" s="92" t="str">
        <f>男子エントリー!D347</f>
        <v/>
      </c>
      <c r="C87" s="1" t="str">
        <f>基本情報!$E$6</f>
        <v/>
      </c>
      <c r="D87" s="1" t="str">
        <f>基本情報!$E$7</f>
        <v/>
      </c>
      <c r="F87" s="92">
        <f>男子エントリー!C347</f>
        <v>0</v>
      </c>
      <c r="G87" s="92" t="str">
        <f>男子エントリー!E347</f>
        <v/>
      </c>
      <c r="H87" s="92" t="str">
        <f>男子エントリー!F347</f>
        <v/>
      </c>
      <c r="I87" s="1" t="str">
        <f t="shared" si="30"/>
        <v/>
      </c>
      <c r="J87" s="1" t="e">
        <f>LEFT(男子エントリー!E349,FIND(",",LEFT(男子エントリー!E349,LEN(男子エントリー!E349)-5))-1)&amp;LEFT(RIGHT(男子エントリー!E349,LEN(男子エントリー!E349)-FIND(",",男子エントリー!E349)),LEN(RIGHT(男子エントリー!E349,LEN(男子エントリー!E349)-FIND(",",男子エントリー!E349)))-5)</f>
        <v>#VALUE!</v>
      </c>
      <c r="K87" s="1" t="str">
        <f>男子エントリー!G349</f>
        <v/>
      </c>
      <c r="L87" s="1" t="str">
        <f t="shared" si="31"/>
        <v/>
      </c>
      <c r="M87" s="92" t="str">
        <f>男子エントリー!G347</f>
        <v/>
      </c>
      <c r="N87" s="92" t="e">
        <f>MID(男子エントリー!E349,FIND("(",男子エントリー!E349)+1,2)</f>
        <v>#VALUE!</v>
      </c>
      <c r="O87" s="1">
        <v>0</v>
      </c>
      <c r="P87" s="92" t="e">
        <f>VLOOKUP(男子エントリー!G348,競技会設定!$F$3:$I$50,2,0)</f>
        <v>#N/A</v>
      </c>
      <c r="R87" s="1" t="str" cm="1">
        <f t="array" ref="R87">_xlfn.IFNA(_xlfn.IFNA(INDEX(競技会設定!$X$2:$AC$24,MATCH(INDEX(男子エントリー!$J$7:$AH$406,MATCH($G87&amp;RIGHT(R$1,1),男子エントリー!$AH$7:$AH$406,0),1),競技会設定!$AC$2:$AC$24,0),1),INDEX(競技会設定!$X$2:$AC$24,MATCH(INDEX(男子エントリー!$R$6:$V$406,MATCH($G87&amp;RIGHT(R$1,1),男子エントリー!$V$6:$V$406,0)-MATCH($G87&amp;RIGHT(R$1,1),男子エントリー!$V$6:$V$406,0)+1,1),競技会設定!$AC$2:$AC$24,0),1)),"")</f>
        <v/>
      </c>
      <c r="S87" s="1" t="str">
        <f>IF(R87=14,リレーエントリー!$I$12,_xlfn.IFNA(INDEX(男子エントリー!$J$7:$AH$406,MATCH($G87&amp;RIGHT(T$1,1),男子エントリー!$AH$7:$AH$406,0),3),""))</f>
        <v/>
      </c>
      <c r="T87" s="1" t="str">
        <f t="shared" si="32"/>
        <v/>
      </c>
      <c r="U87" s="1" t="str">
        <f t="shared" si="34"/>
        <v/>
      </c>
      <c r="V87" s="1" t="str">
        <f t="shared" si="33"/>
        <v/>
      </c>
      <c r="W87" s="1" t="str" cm="1">
        <f t="array" ref="W87">_xlfn.IFNA(_xlfn.IFNA(INDEX(競技会設定!$X$2:$AC$24,MATCH(INDEX(男子エントリー!$J$7:$AH$406,MATCH($G87&amp;RIGHT(W$1,1),男子エントリー!$AH$7:$AH$406,0),1),競技会設定!$AC$2:$AC$24,0),1),INDEX(競技会設定!$X$2:$AC$24,MATCH(INDEX(男子エントリー!$R$6:$V$406,MATCH($G87&amp;RIGHT(W$1,1),男子エントリー!$V$6:$V$406,0)-MATCH($G87&amp;RIGHT(W$1,1),男子エントリー!$V$6:$V$406,0)+1,1),競技会設定!$AC$2:$AC$24,0),1)),"")</f>
        <v/>
      </c>
      <c r="X87" s="1" t="str">
        <f>IF(W87=14,リレーエントリー!$I$12,_xlfn.IFNA(INDEX(男子エントリー!$J$7:$AH$406,MATCH($G87&amp;RIGHT(Y$1,1),男子エントリー!$AH$7:$AH$406,0),3),""))</f>
        <v/>
      </c>
      <c r="Y87" s="1" t="str">
        <f t="shared" si="18"/>
        <v/>
      </c>
      <c r="Z87" s="1" t="str">
        <f t="shared" si="19"/>
        <v/>
      </c>
      <c r="AA87" s="1" t="str">
        <f t="shared" si="20"/>
        <v/>
      </c>
      <c r="AB87" s="1" t="str" cm="1">
        <f t="array" ref="AB87">_xlfn.IFNA(_xlfn.IFNA(INDEX(競技会設定!$X$2:$AC$24,MATCH(INDEX(男子エントリー!$J$7:$AH$406,MATCH($G87&amp;RIGHT(AB$1,1),男子エントリー!$AH$7:$AH$406,0),1),競技会設定!$AC$2:$AC$24,0),1),INDEX(競技会設定!$X$2:$AC$24,MATCH(INDEX(男子エントリー!$R$6:$V$406,MATCH($G87&amp;RIGHT(AB$1,1),男子エントリー!$V$6:$V$406,0)-MATCH($G87&amp;RIGHT(AB$1,1),男子エントリー!$V$6:$V$406,0)+1,1),競技会設定!$AC$2:$AC$24,0),1)),"")</f>
        <v/>
      </c>
      <c r="AC87" s="1" t="str">
        <f>IF(AB87=14,リレーエントリー!$I$12,_xlfn.IFNA(INDEX(男子エントリー!$J$7:$AH$406,MATCH($G87&amp;RIGHT(AD$1,1),男子エントリー!$AH$7:$AH$406,0),3),""))</f>
        <v/>
      </c>
      <c r="AD87" s="1" t="str">
        <f t="shared" si="21"/>
        <v/>
      </c>
      <c r="AE87" s="1" t="str">
        <f t="shared" si="22"/>
        <v/>
      </c>
      <c r="AF87" s="1" t="str">
        <f t="shared" si="23"/>
        <v/>
      </c>
      <c r="AG87" s="1" t="str" cm="1">
        <f t="array" ref="AG87">_xlfn.IFNA(_xlfn.IFNA(INDEX(競技会設定!$X$2:$AC$24,MATCH(INDEX(男子エントリー!$J$7:$AH$406,MATCH($G87&amp;RIGHT(AG$1,1),男子エントリー!$AH$7:$AH$406,0),1),競技会設定!$AC$2:$AC$24,0),1),INDEX(競技会設定!$X$2:$AC$24,MATCH(INDEX(男子エントリー!$R$6:$V$406,MATCH($G87&amp;RIGHT(AG$1,1),男子エントリー!$V$6:$V$406,0)-MATCH($G87&amp;RIGHT(AG$1,1),男子エントリー!$V$6:$V$406,0)+1,1),競技会設定!$AC$2:$AC$24,0),1)),"")</f>
        <v/>
      </c>
      <c r="AH87" s="1" t="str">
        <f>IF(AG87=14,リレーエントリー!$I$12,_xlfn.IFNA(INDEX(男子エントリー!$J$7:$AH$406,MATCH($G87&amp;RIGHT(AI$1,1),男子エントリー!$AH$7:$AH$406,0),3),""))</f>
        <v/>
      </c>
      <c r="AI87" s="1" t="str">
        <f t="shared" si="24"/>
        <v/>
      </c>
      <c r="AJ87" s="1" t="str">
        <f t="shared" si="25"/>
        <v/>
      </c>
      <c r="AK87" s="1" t="str">
        <f t="shared" si="26"/>
        <v/>
      </c>
      <c r="AL87" s="1" t="str" cm="1">
        <f t="array" ref="AL87">_xlfn.IFNA(_xlfn.IFNA(INDEX(競技会設定!$X$2:$AC$24,MATCH(INDEX(男子エントリー!$J$7:$AH$406,MATCH($G87&amp;RIGHT(AL$1,1),男子エントリー!$AH$7:$AH$406,0),1),競技会設定!$AC$2:$AC$24,0),1),INDEX(競技会設定!$X$2:$AC$24,MATCH(INDEX(男子エントリー!$R$6:$V$406,MATCH($G87&amp;RIGHT(AL$1,1),男子エントリー!$V$6:$V$406,0)-MATCH($G87&amp;RIGHT(AL$1,1),男子エントリー!$V$6:$V$406,0)+1,1),競技会設定!$AC$2:$AC$24,0),1)),"")</f>
        <v/>
      </c>
      <c r="AM87" s="1" t="str">
        <f>IF(AL87=14,リレーエントリー!$I$12,_xlfn.IFNA(INDEX(男子エントリー!$J$7:$AH$406,MATCH($G87&amp;RIGHT(AN$1,1),男子エントリー!$AH$7:$AH$406,0),3),""))</f>
        <v/>
      </c>
      <c r="AN87" s="1" t="str">
        <f t="shared" si="27"/>
        <v/>
      </c>
      <c r="AO87" s="1" t="str">
        <f t="shared" si="28"/>
        <v/>
      </c>
      <c r="AP87" s="1" t="str">
        <f t="shared" si="29"/>
        <v/>
      </c>
    </row>
    <row r="88" spans="1:42">
      <c r="A88" s="1">
        <v>87</v>
      </c>
      <c r="B88" s="92" t="str">
        <f>男子エントリー!D351</f>
        <v/>
      </c>
      <c r="C88" s="1" t="str">
        <f>基本情報!$E$6</f>
        <v/>
      </c>
      <c r="D88" s="1" t="str">
        <f>基本情報!$E$7</f>
        <v/>
      </c>
      <c r="F88" s="92">
        <f>男子エントリー!C351</f>
        <v>0</v>
      </c>
      <c r="G88" s="92" t="str">
        <f>男子エントリー!E351</f>
        <v/>
      </c>
      <c r="H88" s="92" t="str">
        <f>男子エントリー!F351</f>
        <v/>
      </c>
      <c r="I88" s="1" t="str">
        <f t="shared" si="30"/>
        <v/>
      </c>
      <c r="J88" s="1" t="e">
        <f>LEFT(男子エントリー!E353,FIND(",",LEFT(男子エントリー!E353,LEN(男子エントリー!E353)-5))-1)&amp;LEFT(RIGHT(男子エントリー!E353,LEN(男子エントリー!E353)-FIND(",",男子エントリー!E353)),LEN(RIGHT(男子エントリー!E353,LEN(男子エントリー!E353)-FIND(",",男子エントリー!E353)))-5)</f>
        <v>#VALUE!</v>
      </c>
      <c r="K88" s="1" t="str">
        <f>男子エントリー!G353</f>
        <v/>
      </c>
      <c r="L88" s="1" t="str">
        <f t="shared" si="31"/>
        <v/>
      </c>
      <c r="M88" s="92" t="str">
        <f>男子エントリー!G351</f>
        <v/>
      </c>
      <c r="N88" s="92" t="e">
        <f>MID(男子エントリー!E353,FIND("(",男子エントリー!E353)+1,2)</f>
        <v>#VALUE!</v>
      </c>
      <c r="O88" s="1">
        <v>0</v>
      </c>
      <c r="P88" s="92" t="e">
        <f>VLOOKUP(男子エントリー!G352,競技会設定!$F$3:$I$50,2,0)</f>
        <v>#N/A</v>
      </c>
      <c r="R88" s="1" t="str" cm="1">
        <f t="array" ref="R88">_xlfn.IFNA(_xlfn.IFNA(INDEX(競技会設定!$X$2:$AC$24,MATCH(INDEX(男子エントリー!$J$7:$AH$406,MATCH($G88&amp;RIGHT(R$1,1),男子エントリー!$AH$7:$AH$406,0),1),競技会設定!$AC$2:$AC$24,0),1),INDEX(競技会設定!$X$2:$AC$24,MATCH(INDEX(男子エントリー!$R$6:$V$406,MATCH($G88&amp;RIGHT(R$1,1),男子エントリー!$V$6:$V$406,0)-MATCH($G88&amp;RIGHT(R$1,1),男子エントリー!$V$6:$V$406,0)+1,1),競技会設定!$AC$2:$AC$24,0),1)),"")</f>
        <v/>
      </c>
      <c r="S88" s="1" t="str">
        <f>IF(R88=14,リレーエントリー!$I$12,_xlfn.IFNA(INDEX(男子エントリー!$J$7:$AH$406,MATCH($G88&amp;RIGHT(T$1,1),男子エントリー!$AH$7:$AH$406,0),3),""))</f>
        <v/>
      </c>
      <c r="T88" s="1" t="str">
        <f t="shared" si="32"/>
        <v/>
      </c>
      <c r="U88" s="1" t="str">
        <f t="shared" si="34"/>
        <v/>
      </c>
      <c r="V88" s="1" t="str">
        <f t="shared" si="33"/>
        <v/>
      </c>
      <c r="W88" s="1" t="str" cm="1">
        <f t="array" ref="W88">_xlfn.IFNA(_xlfn.IFNA(INDEX(競技会設定!$X$2:$AC$24,MATCH(INDEX(男子エントリー!$J$7:$AH$406,MATCH($G88&amp;RIGHT(W$1,1),男子エントリー!$AH$7:$AH$406,0),1),競技会設定!$AC$2:$AC$24,0),1),INDEX(競技会設定!$X$2:$AC$24,MATCH(INDEX(男子エントリー!$R$6:$V$406,MATCH($G88&amp;RIGHT(W$1,1),男子エントリー!$V$6:$V$406,0)-MATCH($G88&amp;RIGHT(W$1,1),男子エントリー!$V$6:$V$406,0)+1,1),競技会設定!$AC$2:$AC$24,0),1)),"")</f>
        <v/>
      </c>
      <c r="X88" s="1" t="str">
        <f>IF(W88=14,リレーエントリー!$I$12,_xlfn.IFNA(INDEX(男子エントリー!$J$7:$AH$406,MATCH($G88&amp;RIGHT(Y$1,1),男子エントリー!$AH$7:$AH$406,0),3),""))</f>
        <v/>
      </c>
      <c r="Y88" s="1" t="str">
        <f t="shared" si="18"/>
        <v/>
      </c>
      <c r="Z88" s="1" t="str">
        <f t="shared" si="19"/>
        <v/>
      </c>
      <c r="AA88" s="1" t="str">
        <f t="shared" si="20"/>
        <v/>
      </c>
      <c r="AB88" s="1" t="str" cm="1">
        <f t="array" ref="AB88">_xlfn.IFNA(_xlfn.IFNA(INDEX(競技会設定!$X$2:$AC$24,MATCH(INDEX(男子エントリー!$J$7:$AH$406,MATCH($G88&amp;RIGHT(AB$1,1),男子エントリー!$AH$7:$AH$406,0),1),競技会設定!$AC$2:$AC$24,0),1),INDEX(競技会設定!$X$2:$AC$24,MATCH(INDEX(男子エントリー!$R$6:$V$406,MATCH($G88&amp;RIGHT(AB$1,1),男子エントリー!$V$6:$V$406,0)-MATCH($G88&amp;RIGHT(AB$1,1),男子エントリー!$V$6:$V$406,0)+1,1),競技会設定!$AC$2:$AC$24,0),1)),"")</f>
        <v/>
      </c>
      <c r="AC88" s="1" t="str">
        <f>IF(AB88=14,リレーエントリー!$I$12,_xlfn.IFNA(INDEX(男子エントリー!$J$7:$AH$406,MATCH($G88&amp;RIGHT(AD$1,1),男子エントリー!$AH$7:$AH$406,0),3),""))</f>
        <v/>
      </c>
      <c r="AD88" s="1" t="str">
        <f t="shared" si="21"/>
        <v/>
      </c>
      <c r="AE88" s="1" t="str">
        <f t="shared" si="22"/>
        <v/>
      </c>
      <c r="AF88" s="1" t="str">
        <f t="shared" si="23"/>
        <v/>
      </c>
      <c r="AG88" s="1" t="str" cm="1">
        <f t="array" ref="AG88">_xlfn.IFNA(_xlfn.IFNA(INDEX(競技会設定!$X$2:$AC$24,MATCH(INDEX(男子エントリー!$J$7:$AH$406,MATCH($G88&amp;RIGHT(AG$1,1),男子エントリー!$AH$7:$AH$406,0),1),競技会設定!$AC$2:$AC$24,0),1),INDEX(競技会設定!$X$2:$AC$24,MATCH(INDEX(男子エントリー!$R$6:$V$406,MATCH($G88&amp;RIGHT(AG$1,1),男子エントリー!$V$6:$V$406,0)-MATCH($G88&amp;RIGHT(AG$1,1),男子エントリー!$V$6:$V$406,0)+1,1),競技会設定!$AC$2:$AC$24,0),1)),"")</f>
        <v/>
      </c>
      <c r="AH88" s="1" t="str">
        <f>IF(AG88=14,リレーエントリー!$I$12,_xlfn.IFNA(INDEX(男子エントリー!$J$7:$AH$406,MATCH($G88&amp;RIGHT(AI$1,1),男子エントリー!$AH$7:$AH$406,0),3),""))</f>
        <v/>
      </c>
      <c r="AI88" s="1" t="str">
        <f t="shared" si="24"/>
        <v/>
      </c>
      <c r="AJ88" s="1" t="str">
        <f t="shared" si="25"/>
        <v/>
      </c>
      <c r="AK88" s="1" t="str">
        <f t="shared" si="26"/>
        <v/>
      </c>
      <c r="AL88" s="1" t="str" cm="1">
        <f t="array" ref="AL88">_xlfn.IFNA(_xlfn.IFNA(INDEX(競技会設定!$X$2:$AC$24,MATCH(INDEX(男子エントリー!$J$7:$AH$406,MATCH($G88&amp;RIGHT(AL$1,1),男子エントリー!$AH$7:$AH$406,0),1),競技会設定!$AC$2:$AC$24,0),1),INDEX(競技会設定!$X$2:$AC$24,MATCH(INDEX(男子エントリー!$R$6:$V$406,MATCH($G88&amp;RIGHT(AL$1,1),男子エントリー!$V$6:$V$406,0)-MATCH($G88&amp;RIGHT(AL$1,1),男子エントリー!$V$6:$V$406,0)+1,1),競技会設定!$AC$2:$AC$24,0),1)),"")</f>
        <v/>
      </c>
      <c r="AM88" s="1" t="str">
        <f>IF(AL88=14,リレーエントリー!$I$12,_xlfn.IFNA(INDEX(男子エントリー!$J$7:$AH$406,MATCH($G88&amp;RIGHT(AN$1,1),男子エントリー!$AH$7:$AH$406,0),3),""))</f>
        <v/>
      </c>
      <c r="AN88" s="1" t="str">
        <f t="shared" si="27"/>
        <v/>
      </c>
      <c r="AO88" s="1" t="str">
        <f t="shared" si="28"/>
        <v/>
      </c>
      <c r="AP88" s="1" t="str">
        <f t="shared" si="29"/>
        <v/>
      </c>
    </row>
    <row r="89" spans="1:42">
      <c r="A89" s="1">
        <v>88</v>
      </c>
      <c r="B89" s="92" t="str">
        <f>男子エントリー!D355</f>
        <v/>
      </c>
      <c r="C89" s="1" t="str">
        <f>基本情報!$E$6</f>
        <v/>
      </c>
      <c r="D89" s="1" t="str">
        <f>基本情報!$E$7</f>
        <v/>
      </c>
      <c r="F89" s="92">
        <f>男子エントリー!C355</f>
        <v>0</v>
      </c>
      <c r="G89" s="92" t="str">
        <f>男子エントリー!E355</f>
        <v/>
      </c>
      <c r="H89" s="92" t="str">
        <f>男子エントリー!F355</f>
        <v/>
      </c>
      <c r="I89" s="1" t="str">
        <f t="shared" si="30"/>
        <v/>
      </c>
      <c r="J89" s="1" t="e">
        <f>LEFT(男子エントリー!E357,FIND(",",LEFT(男子エントリー!E357,LEN(男子エントリー!E357)-5))-1)&amp;LEFT(RIGHT(男子エントリー!E357,LEN(男子エントリー!E357)-FIND(",",男子エントリー!E357)),LEN(RIGHT(男子エントリー!E357,LEN(男子エントリー!E357)-FIND(",",男子エントリー!E357)))-5)</f>
        <v>#VALUE!</v>
      </c>
      <c r="K89" s="1" t="str">
        <f>男子エントリー!G357</f>
        <v/>
      </c>
      <c r="L89" s="1" t="str">
        <f t="shared" si="31"/>
        <v/>
      </c>
      <c r="M89" s="92" t="str">
        <f>男子エントリー!G355</f>
        <v/>
      </c>
      <c r="N89" s="92" t="e">
        <f>MID(男子エントリー!E357,FIND("(",男子エントリー!E357)+1,2)</f>
        <v>#VALUE!</v>
      </c>
      <c r="O89" s="1">
        <v>0</v>
      </c>
      <c r="P89" s="92" t="e">
        <f>VLOOKUP(男子エントリー!G356,競技会設定!$F$3:$I$50,2,0)</f>
        <v>#N/A</v>
      </c>
      <c r="R89" s="1" t="str" cm="1">
        <f t="array" ref="R89">_xlfn.IFNA(_xlfn.IFNA(INDEX(競技会設定!$X$2:$AC$24,MATCH(INDEX(男子エントリー!$J$7:$AH$406,MATCH($G89&amp;RIGHT(R$1,1),男子エントリー!$AH$7:$AH$406,0),1),競技会設定!$AC$2:$AC$24,0),1),INDEX(競技会設定!$X$2:$AC$24,MATCH(INDEX(男子エントリー!$R$6:$V$406,MATCH($G89&amp;RIGHT(R$1,1),男子エントリー!$V$6:$V$406,0)-MATCH($G89&amp;RIGHT(R$1,1),男子エントリー!$V$6:$V$406,0)+1,1),競技会設定!$AC$2:$AC$24,0),1)),"")</f>
        <v/>
      </c>
      <c r="S89" s="1" t="str">
        <f>IF(R89=14,リレーエントリー!$I$12,_xlfn.IFNA(INDEX(男子エントリー!$J$7:$AH$406,MATCH($G89&amp;RIGHT(T$1,1),男子エントリー!$AH$7:$AH$406,0),3),""))</f>
        <v/>
      </c>
      <c r="T89" s="1" t="str">
        <f t="shared" si="32"/>
        <v/>
      </c>
      <c r="U89" s="1" t="str">
        <f t="shared" si="34"/>
        <v/>
      </c>
      <c r="V89" s="1" t="str">
        <f t="shared" si="33"/>
        <v/>
      </c>
      <c r="W89" s="1" t="str" cm="1">
        <f t="array" ref="W89">_xlfn.IFNA(_xlfn.IFNA(INDEX(競技会設定!$X$2:$AC$24,MATCH(INDEX(男子エントリー!$J$7:$AH$406,MATCH($G89&amp;RIGHT(W$1,1),男子エントリー!$AH$7:$AH$406,0),1),競技会設定!$AC$2:$AC$24,0),1),INDEX(競技会設定!$X$2:$AC$24,MATCH(INDEX(男子エントリー!$R$6:$V$406,MATCH($G89&amp;RIGHT(W$1,1),男子エントリー!$V$6:$V$406,0)-MATCH($G89&amp;RIGHT(W$1,1),男子エントリー!$V$6:$V$406,0)+1,1),競技会設定!$AC$2:$AC$24,0),1)),"")</f>
        <v/>
      </c>
      <c r="X89" s="1" t="str">
        <f>IF(W89=14,リレーエントリー!$I$12,_xlfn.IFNA(INDEX(男子エントリー!$J$7:$AH$406,MATCH($G89&amp;RIGHT(Y$1,1),男子エントリー!$AH$7:$AH$406,0),3),""))</f>
        <v/>
      </c>
      <c r="Y89" s="1" t="str">
        <f t="shared" si="18"/>
        <v/>
      </c>
      <c r="Z89" s="1" t="str">
        <f t="shared" si="19"/>
        <v/>
      </c>
      <c r="AA89" s="1" t="str">
        <f t="shared" si="20"/>
        <v/>
      </c>
      <c r="AB89" s="1" t="str" cm="1">
        <f t="array" ref="AB89">_xlfn.IFNA(_xlfn.IFNA(INDEX(競技会設定!$X$2:$AC$24,MATCH(INDEX(男子エントリー!$J$7:$AH$406,MATCH($G89&amp;RIGHT(AB$1,1),男子エントリー!$AH$7:$AH$406,0),1),競技会設定!$AC$2:$AC$24,0),1),INDEX(競技会設定!$X$2:$AC$24,MATCH(INDEX(男子エントリー!$R$6:$V$406,MATCH($G89&amp;RIGHT(AB$1,1),男子エントリー!$V$6:$V$406,0)-MATCH($G89&amp;RIGHT(AB$1,1),男子エントリー!$V$6:$V$406,0)+1,1),競技会設定!$AC$2:$AC$24,0),1)),"")</f>
        <v/>
      </c>
      <c r="AC89" s="1" t="str">
        <f>IF(AB89=14,リレーエントリー!$I$12,_xlfn.IFNA(INDEX(男子エントリー!$J$7:$AH$406,MATCH($G89&amp;RIGHT(AD$1,1),男子エントリー!$AH$7:$AH$406,0),3),""))</f>
        <v/>
      </c>
      <c r="AD89" s="1" t="str">
        <f t="shared" si="21"/>
        <v/>
      </c>
      <c r="AE89" s="1" t="str">
        <f t="shared" si="22"/>
        <v/>
      </c>
      <c r="AF89" s="1" t="str">
        <f t="shared" si="23"/>
        <v/>
      </c>
      <c r="AG89" s="1" t="str" cm="1">
        <f t="array" ref="AG89">_xlfn.IFNA(_xlfn.IFNA(INDEX(競技会設定!$X$2:$AC$24,MATCH(INDEX(男子エントリー!$J$7:$AH$406,MATCH($G89&amp;RIGHT(AG$1,1),男子エントリー!$AH$7:$AH$406,0),1),競技会設定!$AC$2:$AC$24,0),1),INDEX(競技会設定!$X$2:$AC$24,MATCH(INDEX(男子エントリー!$R$6:$V$406,MATCH($G89&amp;RIGHT(AG$1,1),男子エントリー!$V$6:$V$406,0)-MATCH($G89&amp;RIGHT(AG$1,1),男子エントリー!$V$6:$V$406,0)+1,1),競技会設定!$AC$2:$AC$24,0),1)),"")</f>
        <v/>
      </c>
      <c r="AH89" s="1" t="str">
        <f>IF(AG89=14,リレーエントリー!$I$12,_xlfn.IFNA(INDEX(男子エントリー!$J$7:$AH$406,MATCH($G89&amp;RIGHT(AI$1,1),男子エントリー!$AH$7:$AH$406,0),3),""))</f>
        <v/>
      </c>
      <c r="AI89" s="1" t="str">
        <f t="shared" si="24"/>
        <v/>
      </c>
      <c r="AJ89" s="1" t="str">
        <f t="shared" si="25"/>
        <v/>
      </c>
      <c r="AK89" s="1" t="str">
        <f t="shared" si="26"/>
        <v/>
      </c>
      <c r="AL89" s="1" t="str" cm="1">
        <f t="array" ref="AL89">_xlfn.IFNA(_xlfn.IFNA(INDEX(競技会設定!$X$2:$AC$24,MATCH(INDEX(男子エントリー!$J$7:$AH$406,MATCH($G89&amp;RIGHT(AL$1,1),男子エントリー!$AH$7:$AH$406,0),1),競技会設定!$AC$2:$AC$24,0),1),INDEX(競技会設定!$X$2:$AC$24,MATCH(INDEX(男子エントリー!$R$6:$V$406,MATCH($G89&amp;RIGHT(AL$1,1),男子エントリー!$V$6:$V$406,0)-MATCH($G89&amp;RIGHT(AL$1,1),男子エントリー!$V$6:$V$406,0)+1,1),競技会設定!$AC$2:$AC$24,0),1)),"")</f>
        <v/>
      </c>
      <c r="AM89" s="1" t="str">
        <f>IF(AL89=14,リレーエントリー!$I$12,_xlfn.IFNA(INDEX(男子エントリー!$J$7:$AH$406,MATCH($G89&amp;RIGHT(AN$1,1),男子エントリー!$AH$7:$AH$406,0),3),""))</f>
        <v/>
      </c>
      <c r="AN89" s="1" t="str">
        <f t="shared" si="27"/>
        <v/>
      </c>
      <c r="AO89" s="1" t="str">
        <f t="shared" si="28"/>
        <v/>
      </c>
      <c r="AP89" s="1" t="str">
        <f t="shared" si="29"/>
        <v/>
      </c>
    </row>
    <row r="90" spans="1:42">
      <c r="A90" s="1">
        <v>89</v>
      </c>
      <c r="B90" s="92" t="str">
        <f>男子エントリー!D359</f>
        <v/>
      </c>
      <c r="C90" s="1" t="str">
        <f>基本情報!$E$6</f>
        <v/>
      </c>
      <c r="D90" s="1" t="str">
        <f>基本情報!$E$7</f>
        <v/>
      </c>
      <c r="F90" s="92">
        <f>男子エントリー!C359</f>
        <v>0</v>
      </c>
      <c r="G90" s="92" t="str">
        <f>男子エントリー!E359</f>
        <v/>
      </c>
      <c r="H90" s="92" t="str">
        <f>男子エントリー!F359</f>
        <v/>
      </c>
      <c r="I90" s="1" t="str">
        <f t="shared" si="30"/>
        <v/>
      </c>
      <c r="J90" s="1" t="e">
        <f>LEFT(男子エントリー!E361,FIND(",",LEFT(男子エントリー!E361,LEN(男子エントリー!E361)-5))-1)&amp;LEFT(RIGHT(男子エントリー!E361,LEN(男子エントリー!E361)-FIND(",",男子エントリー!E361)),LEN(RIGHT(男子エントリー!E361,LEN(男子エントリー!E361)-FIND(",",男子エントリー!E361)))-5)</f>
        <v>#VALUE!</v>
      </c>
      <c r="K90" s="1" t="str">
        <f>男子エントリー!G361</f>
        <v/>
      </c>
      <c r="L90" s="1" t="str">
        <f t="shared" si="31"/>
        <v/>
      </c>
      <c r="M90" s="92" t="str">
        <f>男子エントリー!G359</f>
        <v/>
      </c>
      <c r="N90" s="92" t="e">
        <f>MID(男子エントリー!E361,FIND("(",男子エントリー!E361)+1,2)</f>
        <v>#VALUE!</v>
      </c>
      <c r="O90" s="1">
        <v>0</v>
      </c>
      <c r="P90" s="92" t="e">
        <f>VLOOKUP(男子エントリー!G360,競技会設定!$F$3:$I$50,2,0)</f>
        <v>#N/A</v>
      </c>
      <c r="R90" s="1" t="str" cm="1">
        <f t="array" ref="R90">_xlfn.IFNA(_xlfn.IFNA(INDEX(競技会設定!$X$2:$AC$24,MATCH(INDEX(男子エントリー!$J$7:$AH$406,MATCH($G90&amp;RIGHT(R$1,1),男子エントリー!$AH$7:$AH$406,0),1),競技会設定!$AC$2:$AC$24,0),1),INDEX(競技会設定!$X$2:$AC$24,MATCH(INDEX(男子エントリー!$R$6:$V$406,MATCH($G90&amp;RIGHT(R$1,1),男子エントリー!$V$6:$V$406,0)-MATCH($G90&amp;RIGHT(R$1,1),男子エントリー!$V$6:$V$406,0)+1,1),競技会設定!$AC$2:$AC$24,0),1)),"")</f>
        <v/>
      </c>
      <c r="S90" s="1" t="str">
        <f>IF(R90=14,リレーエントリー!$I$12,_xlfn.IFNA(INDEX(男子エントリー!$J$7:$AH$406,MATCH($G90&amp;RIGHT(T$1,1),男子エントリー!$AH$7:$AH$406,0),3),""))</f>
        <v/>
      </c>
      <c r="T90" s="1" t="str">
        <f t="shared" si="32"/>
        <v/>
      </c>
      <c r="U90" s="1" t="str">
        <f t="shared" si="34"/>
        <v/>
      </c>
      <c r="V90" s="1" t="str">
        <f t="shared" si="33"/>
        <v/>
      </c>
      <c r="W90" s="1" t="str" cm="1">
        <f t="array" ref="W90">_xlfn.IFNA(_xlfn.IFNA(INDEX(競技会設定!$X$2:$AC$24,MATCH(INDEX(男子エントリー!$J$7:$AH$406,MATCH($G90&amp;RIGHT(W$1,1),男子エントリー!$AH$7:$AH$406,0),1),競技会設定!$AC$2:$AC$24,0),1),INDEX(競技会設定!$X$2:$AC$24,MATCH(INDEX(男子エントリー!$R$6:$V$406,MATCH($G90&amp;RIGHT(W$1,1),男子エントリー!$V$6:$V$406,0)-MATCH($G90&amp;RIGHT(W$1,1),男子エントリー!$V$6:$V$406,0)+1,1),競技会設定!$AC$2:$AC$24,0),1)),"")</f>
        <v/>
      </c>
      <c r="X90" s="1" t="str">
        <f>IF(W90=14,リレーエントリー!$I$12,_xlfn.IFNA(INDEX(男子エントリー!$J$7:$AH$406,MATCH($G90&amp;RIGHT(Y$1,1),男子エントリー!$AH$7:$AH$406,0),3),""))</f>
        <v/>
      </c>
      <c r="Y90" s="1" t="str">
        <f t="shared" si="18"/>
        <v/>
      </c>
      <c r="Z90" s="1" t="str">
        <f t="shared" si="19"/>
        <v/>
      </c>
      <c r="AA90" s="1" t="str">
        <f t="shared" si="20"/>
        <v/>
      </c>
      <c r="AB90" s="1" t="str" cm="1">
        <f t="array" ref="AB90">_xlfn.IFNA(_xlfn.IFNA(INDEX(競技会設定!$X$2:$AC$24,MATCH(INDEX(男子エントリー!$J$7:$AH$406,MATCH($G90&amp;RIGHT(AB$1,1),男子エントリー!$AH$7:$AH$406,0),1),競技会設定!$AC$2:$AC$24,0),1),INDEX(競技会設定!$X$2:$AC$24,MATCH(INDEX(男子エントリー!$R$6:$V$406,MATCH($G90&amp;RIGHT(AB$1,1),男子エントリー!$V$6:$V$406,0)-MATCH($G90&amp;RIGHT(AB$1,1),男子エントリー!$V$6:$V$406,0)+1,1),競技会設定!$AC$2:$AC$24,0),1)),"")</f>
        <v/>
      </c>
      <c r="AC90" s="1" t="str">
        <f>IF(AB90=14,リレーエントリー!$I$12,_xlfn.IFNA(INDEX(男子エントリー!$J$7:$AH$406,MATCH($G90&amp;RIGHT(AD$1,1),男子エントリー!$AH$7:$AH$406,0),3),""))</f>
        <v/>
      </c>
      <c r="AD90" s="1" t="str">
        <f t="shared" si="21"/>
        <v/>
      </c>
      <c r="AE90" s="1" t="str">
        <f t="shared" si="22"/>
        <v/>
      </c>
      <c r="AF90" s="1" t="str">
        <f t="shared" si="23"/>
        <v/>
      </c>
      <c r="AG90" s="1" t="str" cm="1">
        <f t="array" ref="AG90">_xlfn.IFNA(_xlfn.IFNA(INDEX(競技会設定!$X$2:$AC$24,MATCH(INDEX(男子エントリー!$J$7:$AH$406,MATCH($G90&amp;RIGHT(AG$1,1),男子エントリー!$AH$7:$AH$406,0),1),競技会設定!$AC$2:$AC$24,0),1),INDEX(競技会設定!$X$2:$AC$24,MATCH(INDEX(男子エントリー!$R$6:$V$406,MATCH($G90&amp;RIGHT(AG$1,1),男子エントリー!$V$6:$V$406,0)-MATCH($G90&amp;RIGHT(AG$1,1),男子エントリー!$V$6:$V$406,0)+1,1),競技会設定!$AC$2:$AC$24,0),1)),"")</f>
        <v/>
      </c>
      <c r="AH90" s="1" t="str">
        <f>IF(AG90=14,リレーエントリー!$I$12,_xlfn.IFNA(INDEX(男子エントリー!$J$7:$AH$406,MATCH($G90&amp;RIGHT(AI$1,1),男子エントリー!$AH$7:$AH$406,0),3),""))</f>
        <v/>
      </c>
      <c r="AI90" s="1" t="str">
        <f t="shared" si="24"/>
        <v/>
      </c>
      <c r="AJ90" s="1" t="str">
        <f t="shared" si="25"/>
        <v/>
      </c>
      <c r="AK90" s="1" t="str">
        <f t="shared" si="26"/>
        <v/>
      </c>
      <c r="AL90" s="1" t="str" cm="1">
        <f t="array" ref="AL90">_xlfn.IFNA(_xlfn.IFNA(INDEX(競技会設定!$X$2:$AC$24,MATCH(INDEX(男子エントリー!$J$7:$AH$406,MATCH($G90&amp;RIGHT(AL$1,1),男子エントリー!$AH$7:$AH$406,0),1),競技会設定!$AC$2:$AC$24,0),1),INDEX(競技会設定!$X$2:$AC$24,MATCH(INDEX(男子エントリー!$R$6:$V$406,MATCH($G90&amp;RIGHT(AL$1,1),男子エントリー!$V$6:$V$406,0)-MATCH($G90&amp;RIGHT(AL$1,1),男子エントリー!$V$6:$V$406,0)+1,1),競技会設定!$AC$2:$AC$24,0),1)),"")</f>
        <v/>
      </c>
      <c r="AM90" s="1" t="str">
        <f>IF(AL90=14,リレーエントリー!$I$12,_xlfn.IFNA(INDEX(男子エントリー!$J$7:$AH$406,MATCH($G90&amp;RIGHT(AN$1,1),男子エントリー!$AH$7:$AH$406,0),3),""))</f>
        <v/>
      </c>
      <c r="AN90" s="1" t="str">
        <f t="shared" si="27"/>
        <v/>
      </c>
      <c r="AO90" s="1" t="str">
        <f t="shared" si="28"/>
        <v/>
      </c>
      <c r="AP90" s="1" t="str">
        <f t="shared" si="29"/>
        <v/>
      </c>
    </row>
    <row r="91" spans="1:42">
      <c r="A91" s="1">
        <v>90</v>
      </c>
      <c r="B91" s="92" t="str">
        <f>男子エントリー!D363</f>
        <v/>
      </c>
      <c r="C91" s="1" t="str">
        <f>基本情報!$E$6</f>
        <v/>
      </c>
      <c r="D91" s="1" t="str">
        <f>基本情報!$E$7</f>
        <v/>
      </c>
      <c r="F91" s="92">
        <f>男子エントリー!C363</f>
        <v>0</v>
      </c>
      <c r="G91" s="92" t="str">
        <f>男子エントリー!E363</f>
        <v/>
      </c>
      <c r="H91" s="92" t="str">
        <f>男子エントリー!F363</f>
        <v/>
      </c>
      <c r="I91" s="1" t="str">
        <f t="shared" si="30"/>
        <v/>
      </c>
      <c r="J91" s="1" t="e">
        <f>LEFT(男子エントリー!E365,FIND(",",LEFT(男子エントリー!E365,LEN(男子エントリー!E365)-5))-1)&amp;LEFT(RIGHT(男子エントリー!E365,LEN(男子エントリー!E365)-FIND(",",男子エントリー!E365)),LEN(RIGHT(男子エントリー!E365,LEN(男子エントリー!E365)-FIND(",",男子エントリー!E365)))-5)</f>
        <v>#VALUE!</v>
      </c>
      <c r="K91" s="1" t="str">
        <f>男子エントリー!G365</f>
        <v/>
      </c>
      <c r="L91" s="1" t="str">
        <f t="shared" si="31"/>
        <v/>
      </c>
      <c r="M91" s="92" t="str">
        <f>男子エントリー!G363</f>
        <v/>
      </c>
      <c r="N91" s="92" t="e">
        <f>MID(男子エントリー!E365,FIND("(",男子エントリー!E365)+1,2)</f>
        <v>#VALUE!</v>
      </c>
      <c r="O91" s="1">
        <v>0</v>
      </c>
      <c r="P91" s="92" t="e">
        <f>VLOOKUP(男子エントリー!G364,競技会設定!$F$3:$I$50,2,0)</f>
        <v>#N/A</v>
      </c>
      <c r="R91" s="1" t="str" cm="1">
        <f t="array" ref="R91">_xlfn.IFNA(_xlfn.IFNA(INDEX(競技会設定!$X$2:$AC$24,MATCH(INDEX(男子エントリー!$J$7:$AH$406,MATCH($G91&amp;RIGHT(R$1,1),男子エントリー!$AH$7:$AH$406,0),1),競技会設定!$AC$2:$AC$24,0),1),INDEX(競技会設定!$X$2:$AC$24,MATCH(INDEX(男子エントリー!$R$6:$V$406,MATCH($G91&amp;RIGHT(R$1,1),男子エントリー!$V$6:$V$406,0)-MATCH($G91&amp;RIGHT(R$1,1),男子エントリー!$V$6:$V$406,0)+1,1),競技会設定!$AC$2:$AC$24,0),1)),"")</f>
        <v/>
      </c>
      <c r="S91" s="1" t="str">
        <f>IF(R91=14,リレーエントリー!$I$12,_xlfn.IFNA(INDEX(男子エントリー!$J$7:$AH$406,MATCH($G91&amp;RIGHT(T$1,1),男子エントリー!$AH$7:$AH$406,0),3),""))</f>
        <v/>
      </c>
      <c r="T91" s="1" t="str">
        <f t="shared" si="32"/>
        <v/>
      </c>
      <c r="U91" s="1" t="str">
        <f t="shared" si="34"/>
        <v/>
      </c>
      <c r="V91" s="1" t="str">
        <f t="shared" si="33"/>
        <v/>
      </c>
      <c r="W91" s="1" t="str" cm="1">
        <f t="array" ref="W91">_xlfn.IFNA(_xlfn.IFNA(INDEX(競技会設定!$X$2:$AC$24,MATCH(INDEX(男子エントリー!$J$7:$AH$406,MATCH($G91&amp;RIGHT(W$1,1),男子エントリー!$AH$7:$AH$406,0),1),競技会設定!$AC$2:$AC$24,0),1),INDEX(競技会設定!$X$2:$AC$24,MATCH(INDEX(男子エントリー!$R$6:$V$406,MATCH($G91&amp;RIGHT(W$1,1),男子エントリー!$V$6:$V$406,0)-MATCH($G91&amp;RIGHT(W$1,1),男子エントリー!$V$6:$V$406,0)+1,1),競技会設定!$AC$2:$AC$24,0),1)),"")</f>
        <v/>
      </c>
      <c r="X91" s="1" t="str">
        <f>IF(W91=14,リレーエントリー!$I$12,_xlfn.IFNA(INDEX(男子エントリー!$J$7:$AH$406,MATCH($G91&amp;RIGHT(Y$1,1),男子エントリー!$AH$7:$AH$406,0),3),""))</f>
        <v/>
      </c>
      <c r="Y91" s="1" t="str">
        <f t="shared" si="18"/>
        <v/>
      </c>
      <c r="Z91" s="1" t="str">
        <f t="shared" si="19"/>
        <v/>
      </c>
      <c r="AA91" s="1" t="str">
        <f t="shared" si="20"/>
        <v/>
      </c>
      <c r="AB91" s="1" t="str" cm="1">
        <f t="array" ref="AB91">_xlfn.IFNA(_xlfn.IFNA(INDEX(競技会設定!$X$2:$AC$24,MATCH(INDEX(男子エントリー!$J$7:$AH$406,MATCH($G91&amp;RIGHT(AB$1,1),男子エントリー!$AH$7:$AH$406,0),1),競技会設定!$AC$2:$AC$24,0),1),INDEX(競技会設定!$X$2:$AC$24,MATCH(INDEX(男子エントリー!$R$6:$V$406,MATCH($G91&amp;RIGHT(AB$1,1),男子エントリー!$V$6:$V$406,0)-MATCH($G91&amp;RIGHT(AB$1,1),男子エントリー!$V$6:$V$406,0)+1,1),競技会設定!$AC$2:$AC$24,0),1)),"")</f>
        <v/>
      </c>
      <c r="AC91" s="1" t="str">
        <f>IF(AB91=14,リレーエントリー!$I$12,_xlfn.IFNA(INDEX(男子エントリー!$J$7:$AH$406,MATCH($G91&amp;RIGHT(AD$1,1),男子エントリー!$AH$7:$AH$406,0),3),""))</f>
        <v/>
      </c>
      <c r="AD91" s="1" t="str">
        <f t="shared" si="21"/>
        <v/>
      </c>
      <c r="AE91" s="1" t="str">
        <f t="shared" si="22"/>
        <v/>
      </c>
      <c r="AF91" s="1" t="str">
        <f t="shared" si="23"/>
        <v/>
      </c>
      <c r="AG91" s="1" t="str" cm="1">
        <f t="array" ref="AG91">_xlfn.IFNA(_xlfn.IFNA(INDEX(競技会設定!$X$2:$AC$24,MATCH(INDEX(男子エントリー!$J$7:$AH$406,MATCH($G91&amp;RIGHT(AG$1,1),男子エントリー!$AH$7:$AH$406,0),1),競技会設定!$AC$2:$AC$24,0),1),INDEX(競技会設定!$X$2:$AC$24,MATCH(INDEX(男子エントリー!$R$6:$V$406,MATCH($G91&amp;RIGHT(AG$1,1),男子エントリー!$V$6:$V$406,0)-MATCH($G91&amp;RIGHT(AG$1,1),男子エントリー!$V$6:$V$406,0)+1,1),競技会設定!$AC$2:$AC$24,0),1)),"")</f>
        <v/>
      </c>
      <c r="AH91" s="1" t="str">
        <f>IF(AG91=14,リレーエントリー!$I$12,_xlfn.IFNA(INDEX(男子エントリー!$J$7:$AH$406,MATCH($G91&amp;RIGHT(AI$1,1),男子エントリー!$AH$7:$AH$406,0),3),""))</f>
        <v/>
      </c>
      <c r="AI91" s="1" t="str">
        <f t="shared" si="24"/>
        <v/>
      </c>
      <c r="AJ91" s="1" t="str">
        <f t="shared" si="25"/>
        <v/>
      </c>
      <c r="AK91" s="1" t="str">
        <f t="shared" si="26"/>
        <v/>
      </c>
      <c r="AL91" s="1" t="str" cm="1">
        <f t="array" ref="AL91">_xlfn.IFNA(_xlfn.IFNA(INDEX(競技会設定!$X$2:$AC$24,MATCH(INDEX(男子エントリー!$J$7:$AH$406,MATCH($G91&amp;RIGHT(AL$1,1),男子エントリー!$AH$7:$AH$406,0),1),競技会設定!$AC$2:$AC$24,0),1),INDEX(競技会設定!$X$2:$AC$24,MATCH(INDEX(男子エントリー!$R$6:$V$406,MATCH($G91&amp;RIGHT(AL$1,1),男子エントリー!$V$6:$V$406,0)-MATCH($G91&amp;RIGHT(AL$1,1),男子エントリー!$V$6:$V$406,0)+1,1),競技会設定!$AC$2:$AC$24,0),1)),"")</f>
        <v/>
      </c>
      <c r="AM91" s="1" t="str">
        <f>IF(AL91=14,リレーエントリー!$I$12,_xlfn.IFNA(INDEX(男子エントリー!$J$7:$AH$406,MATCH($G91&amp;RIGHT(AN$1,1),男子エントリー!$AH$7:$AH$406,0),3),""))</f>
        <v/>
      </c>
      <c r="AN91" s="1" t="str">
        <f t="shared" si="27"/>
        <v/>
      </c>
      <c r="AO91" s="1" t="str">
        <f t="shared" si="28"/>
        <v/>
      </c>
      <c r="AP91" s="1" t="str">
        <f t="shared" si="29"/>
        <v/>
      </c>
    </row>
    <row r="92" spans="1:42">
      <c r="A92" s="1">
        <v>91</v>
      </c>
      <c r="B92" s="92" t="str">
        <f>男子エントリー!D367</f>
        <v/>
      </c>
      <c r="C92" s="1" t="str">
        <f>基本情報!$E$6</f>
        <v/>
      </c>
      <c r="D92" s="1" t="str">
        <f>基本情報!$E$7</f>
        <v/>
      </c>
      <c r="F92" s="92">
        <f>男子エントリー!C367</f>
        <v>0</v>
      </c>
      <c r="G92" s="92" t="str">
        <f>男子エントリー!E367</f>
        <v/>
      </c>
      <c r="H92" s="92" t="str">
        <f>男子エントリー!F367</f>
        <v/>
      </c>
      <c r="I92" s="1" t="str">
        <f t="shared" si="30"/>
        <v/>
      </c>
      <c r="J92" s="1" t="e">
        <f>LEFT(男子エントリー!E369,FIND(",",LEFT(男子エントリー!E369,LEN(男子エントリー!E369)-5))-1)&amp;LEFT(RIGHT(男子エントリー!E369,LEN(男子エントリー!E369)-FIND(",",男子エントリー!E369)),LEN(RIGHT(男子エントリー!E369,LEN(男子エントリー!E369)-FIND(",",男子エントリー!E369)))-5)</f>
        <v>#VALUE!</v>
      </c>
      <c r="K92" s="1" t="str">
        <f>男子エントリー!G369</f>
        <v/>
      </c>
      <c r="L92" s="1" t="str">
        <f t="shared" si="31"/>
        <v/>
      </c>
      <c r="M92" s="92" t="str">
        <f>男子エントリー!G367</f>
        <v/>
      </c>
      <c r="N92" s="92" t="e">
        <f>MID(男子エントリー!E369,FIND("(",男子エントリー!E369)+1,2)</f>
        <v>#VALUE!</v>
      </c>
      <c r="O92" s="1">
        <v>0</v>
      </c>
      <c r="P92" s="92" t="e">
        <f>VLOOKUP(男子エントリー!G368,競技会設定!$F$3:$I$50,2,0)</f>
        <v>#N/A</v>
      </c>
      <c r="R92" s="1" t="str" cm="1">
        <f t="array" ref="R92">_xlfn.IFNA(_xlfn.IFNA(INDEX(競技会設定!$X$2:$AC$24,MATCH(INDEX(男子エントリー!$J$7:$AH$406,MATCH($G92&amp;RIGHT(R$1,1),男子エントリー!$AH$7:$AH$406,0),1),競技会設定!$AC$2:$AC$24,0),1),INDEX(競技会設定!$X$2:$AC$24,MATCH(INDEX(男子エントリー!$R$6:$V$406,MATCH($G92&amp;RIGHT(R$1,1),男子エントリー!$V$6:$V$406,0)-MATCH($G92&amp;RIGHT(R$1,1),男子エントリー!$V$6:$V$406,0)+1,1),競技会設定!$AC$2:$AC$24,0),1)),"")</f>
        <v/>
      </c>
      <c r="S92" s="1" t="str">
        <f>IF(R92=14,リレーエントリー!$I$12,_xlfn.IFNA(INDEX(男子エントリー!$J$7:$AH$406,MATCH($G92&amp;RIGHT(T$1,1),男子エントリー!$AH$7:$AH$406,0),3),""))</f>
        <v/>
      </c>
      <c r="T92" s="1" t="str">
        <f t="shared" si="32"/>
        <v/>
      </c>
      <c r="U92" s="1" t="str">
        <f t="shared" si="34"/>
        <v/>
      </c>
      <c r="V92" s="1" t="str">
        <f t="shared" si="33"/>
        <v/>
      </c>
      <c r="W92" s="1" t="str" cm="1">
        <f t="array" ref="W92">_xlfn.IFNA(_xlfn.IFNA(INDEX(競技会設定!$X$2:$AC$24,MATCH(INDEX(男子エントリー!$J$7:$AH$406,MATCH($G92&amp;RIGHT(W$1,1),男子エントリー!$AH$7:$AH$406,0),1),競技会設定!$AC$2:$AC$24,0),1),INDEX(競技会設定!$X$2:$AC$24,MATCH(INDEX(男子エントリー!$R$6:$V$406,MATCH($G92&amp;RIGHT(W$1,1),男子エントリー!$V$6:$V$406,0)-MATCH($G92&amp;RIGHT(W$1,1),男子エントリー!$V$6:$V$406,0)+1,1),競技会設定!$AC$2:$AC$24,0),1)),"")</f>
        <v/>
      </c>
      <c r="X92" s="1" t="str">
        <f>IF(W92=14,リレーエントリー!$I$12,_xlfn.IFNA(INDEX(男子エントリー!$J$7:$AH$406,MATCH($G92&amp;RIGHT(Y$1,1),男子エントリー!$AH$7:$AH$406,0),3),""))</f>
        <v/>
      </c>
      <c r="Y92" s="1" t="str">
        <f t="shared" si="18"/>
        <v/>
      </c>
      <c r="Z92" s="1" t="str">
        <f t="shared" si="19"/>
        <v/>
      </c>
      <c r="AA92" s="1" t="str">
        <f t="shared" si="20"/>
        <v/>
      </c>
      <c r="AB92" s="1" t="str" cm="1">
        <f t="array" ref="AB92">_xlfn.IFNA(_xlfn.IFNA(INDEX(競技会設定!$X$2:$AC$24,MATCH(INDEX(男子エントリー!$J$7:$AH$406,MATCH($G92&amp;RIGHT(AB$1,1),男子エントリー!$AH$7:$AH$406,0),1),競技会設定!$AC$2:$AC$24,0),1),INDEX(競技会設定!$X$2:$AC$24,MATCH(INDEX(男子エントリー!$R$6:$V$406,MATCH($G92&amp;RIGHT(AB$1,1),男子エントリー!$V$6:$V$406,0)-MATCH($G92&amp;RIGHT(AB$1,1),男子エントリー!$V$6:$V$406,0)+1,1),競技会設定!$AC$2:$AC$24,0),1)),"")</f>
        <v/>
      </c>
      <c r="AC92" s="1" t="str">
        <f>IF(AB92=14,リレーエントリー!$I$12,_xlfn.IFNA(INDEX(男子エントリー!$J$7:$AH$406,MATCH($G92&amp;RIGHT(AD$1,1),男子エントリー!$AH$7:$AH$406,0),3),""))</f>
        <v/>
      </c>
      <c r="AD92" s="1" t="str">
        <f t="shared" si="21"/>
        <v/>
      </c>
      <c r="AE92" s="1" t="str">
        <f t="shared" si="22"/>
        <v/>
      </c>
      <c r="AF92" s="1" t="str">
        <f t="shared" si="23"/>
        <v/>
      </c>
      <c r="AG92" s="1" t="str" cm="1">
        <f t="array" ref="AG92">_xlfn.IFNA(_xlfn.IFNA(INDEX(競技会設定!$X$2:$AC$24,MATCH(INDEX(男子エントリー!$J$7:$AH$406,MATCH($G92&amp;RIGHT(AG$1,1),男子エントリー!$AH$7:$AH$406,0),1),競技会設定!$AC$2:$AC$24,0),1),INDEX(競技会設定!$X$2:$AC$24,MATCH(INDEX(男子エントリー!$R$6:$V$406,MATCH($G92&amp;RIGHT(AG$1,1),男子エントリー!$V$6:$V$406,0)-MATCH($G92&amp;RIGHT(AG$1,1),男子エントリー!$V$6:$V$406,0)+1,1),競技会設定!$AC$2:$AC$24,0),1)),"")</f>
        <v/>
      </c>
      <c r="AH92" s="1" t="str">
        <f>IF(AG92=14,リレーエントリー!$I$12,_xlfn.IFNA(INDEX(男子エントリー!$J$7:$AH$406,MATCH($G92&amp;RIGHT(AI$1,1),男子エントリー!$AH$7:$AH$406,0),3),""))</f>
        <v/>
      </c>
      <c r="AI92" s="1" t="str">
        <f t="shared" si="24"/>
        <v/>
      </c>
      <c r="AJ92" s="1" t="str">
        <f t="shared" si="25"/>
        <v/>
      </c>
      <c r="AK92" s="1" t="str">
        <f t="shared" si="26"/>
        <v/>
      </c>
      <c r="AL92" s="1" t="str" cm="1">
        <f t="array" ref="AL92">_xlfn.IFNA(_xlfn.IFNA(INDEX(競技会設定!$X$2:$AC$24,MATCH(INDEX(男子エントリー!$J$7:$AH$406,MATCH($G92&amp;RIGHT(AL$1,1),男子エントリー!$AH$7:$AH$406,0),1),競技会設定!$AC$2:$AC$24,0),1),INDEX(競技会設定!$X$2:$AC$24,MATCH(INDEX(男子エントリー!$R$6:$V$406,MATCH($G92&amp;RIGHT(AL$1,1),男子エントリー!$V$6:$V$406,0)-MATCH($G92&amp;RIGHT(AL$1,1),男子エントリー!$V$6:$V$406,0)+1,1),競技会設定!$AC$2:$AC$24,0),1)),"")</f>
        <v/>
      </c>
      <c r="AM92" s="1" t="str">
        <f>IF(AL92=14,リレーエントリー!$I$12,_xlfn.IFNA(INDEX(男子エントリー!$J$7:$AH$406,MATCH($G92&amp;RIGHT(AN$1,1),男子エントリー!$AH$7:$AH$406,0),3),""))</f>
        <v/>
      </c>
      <c r="AN92" s="1" t="str">
        <f t="shared" si="27"/>
        <v/>
      </c>
      <c r="AO92" s="1" t="str">
        <f t="shared" si="28"/>
        <v/>
      </c>
      <c r="AP92" s="1" t="str">
        <f t="shared" si="29"/>
        <v/>
      </c>
    </row>
    <row r="93" spans="1:42">
      <c r="A93" s="1">
        <v>92</v>
      </c>
      <c r="B93" s="92" t="str">
        <f>男子エントリー!D371</f>
        <v/>
      </c>
      <c r="C93" s="1" t="str">
        <f>基本情報!$E$6</f>
        <v/>
      </c>
      <c r="D93" s="1" t="str">
        <f>基本情報!$E$7</f>
        <v/>
      </c>
      <c r="F93" s="92">
        <f>男子エントリー!C371</f>
        <v>0</v>
      </c>
      <c r="G93" s="92" t="str">
        <f>男子エントリー!E371</f>
        <v/>
      </c>
      <c r="H93" s="92" t="str">
        <f>男子エントリー!F371</f>
        <v/>
      </c>
      <c r="I93" s="1" t="str">
        <f t="shared" si="30"/>
        <v/>
      </c>
      <c r="J93" s="1" t="e">
        <f>LEFT(男子エントリー!E373,FIND(",",LEFT(男子エントリー!E373,LEN(男子エントリー!E373)-5))-1)&amp;LEFT(RIGHT(男子エントリー!E373,LEN(男子エントリー!E373)-FIND(",",男子エントリー!E373)),LEN(RIGHT(男子エントリー!E373,LEN(男子エントリー!E373)-FIND(",",男子エントリー!E373)))-5)</f>
        <v>#VALUE!</v>
      </c>
      <c r="K93" s="1" t="str">
        <f>男子エントリー!G373</f>
        <v/>
      </c>
      <c r="L93" s="1" t="str">
        <f t="shared" si="31"/>
        <v/>
      </c>
      <c r="M93" s="92" t="str">
        <f>男子エントリー!G371</f>
        <v/>
      </c>
      <c r="N93" s="92" t="e">
        <f>MID(男子エントリー!E373,FIND("(",男子エントリー!E373)+1,2)</f>
        <v>#VALUE!</v>
      </c>
      <c r="O93" s="1">
        <v>0</v>
      </c>
      <c r="P93" s="92" t="e">
        <f>VLOOKUP(男子エントリー!G372,競技会設定!$F$3:$I$50,2,0)</f>
        <v>#N/A</v>
      </c>
      <c r="R93" s="1" t="str" cm="1">
        <f t="array" ref="R93">_xlfn.IFNA(_xlfn.IFNA(INDEX(競技会設定!$X$2:$AC$24,MATCH(INDEX(男子エントリー!$J$7:$AH$406,MATCH($G93&amp;RIGHT(R$1,1),男子エントリー!$AH$7:$AH$406,0),1),競技会設定!$AC$2:$AC$24,0),1),INDEX(競技会設定!$X$2:$AC$24,MATCH(INDEX(男子エントリー!$R$6:$V$406,MATCH($G93&amp;RIGHT(R$1,1),男子エントリー!$V$6:$V$406,0)-MATCH($G93&amp;RIGHT(R$1,1),男子エントリー!$V$6:$V$406,0)+1,1),競技会設定!$AC$2:$AC$24,0),1)),"")</f>
        <v/>
      </c>
      <c r="S93" s="1" t="str">
        <f>IF(R93=14,リレーエントリー!$I$12,_xlfn.IFNA(INDEX(男子エントリー!$J$7:$AH$406,MATCH($G93&amp;RIGHT(T$1,1),男子エントリー!$AH$7:$AH$406,0),3),""))</f>
        <v/>
      </c>
      <c r="T93" s="1" t="str">
        <f t="shared" si="32"/>
        <v/>
      </c>
      <c r="U93" s="1" t="str">
        <f t="shared" si="34"/>
        <v/>
      </c>
      <c r="V93" s="1" t="str">
        <f t="shared" si="33"/>
        <v/>
      </c>
      <c r="W93" s="1" t="str" cm="1">
        <f t="array" ref="W93">_xlfn.IFNA(_xlfn.IFNA(INDEX(競技会設定!$X$2:$AC$24,MATCH(INDEX(男子エントリー!$J$7:$AH$406,MATCH($G93&amp;RIGHT(W$1,1),男子エントリー!$AH$7:$AH$406,0),1),競技会設定!$AC$2:$AC$24,0),1),INDEX(競技会設定!$X$2:$AC$24,MATCH(INDEX(男子エントリー!$R$6:$V$406,MATCH($G93&amp;RIGHT(W$1,1),男子エントリー!$V$6:$V$406,0)-MATCH($G93&amp;RIGHT(W$1,1),男子エントリー!$V$6:$V$406,0)+1,1),競技会設定!$AC$2:$AC$24,0),1)),"")</f>
        <v/>
      </c>
      <c r="X93" s="1" t="str">
        <f>IF(W93=14,リレーエントリー!$I$12,_xlfn.IFNA(INDEX(男子エントリー!$J$7:$AH$406,MATCH($G93&amp;RIGHT(Y$1,1),男子エントリー!$AH$7:$AH$406,0),3),""))</f>
        <v/>
      </c>
      <c r="Y93" s="1" t="str">
        <f t="shared" si="18"/>
        <v/>
      </c>
      <c r="Z93" s="1" t="str">
        <f t="shared" si="19"/>
        <v/>
      </c>
      <c r="AA93" s="1" t="str">
        <f t="shared" si="20"/>
        <v/>
      </c>
      <c r="AB93" s="1" t="str" cm="1">
        <f t="array" ref="AB93">_xlfn.IFNA(_xlfn.IFNA(INDEX(競技会設定!$X$2:$AC$24,MATCH(INDEX(男子エントリー!$J$7:$AH$406,MATCH($G93&amp;RIGHT(AB$1,1),男子エントリー!$AH$7:$AH$406,0),1),競技会設定!$AC$2:$AC$24,0),1),INDEX(競技会設定!$X$2:$AC$24,MATCH(INDEX(男子エントリー!$R$6:$V$406,MATCH($G93&amp;RIGHT(AB$1,1),男子エントリー!$V$6:$V$406,0)-MATCH($G93&amp;RIGHT(AB$1,1),男子エントリー!$V$6:$V$406,0)+1,1),競技会設定!$AC$2:$AC$24,0),1)),"")</f>
        <v/>
      </c>
      <c r="AC93" s="1" t="str">
        <f>IF(AB93=14,リレーエントリー!$I$12,_xlfn.IFNA(INDEX(男子エントリー!$J$7:$AH$406,MATCH($G93&amp;RIGHT(AD$1,1),男子エントリー!$AH$7:$AH$406,0),3),""))</f>
        <v/>
      </c>
      <c r="AD93" s="1" t="str">
        <f t="shared" si="21"/>
        <v/>
      </c>
      <c r="AE93" s="1" t="str">
        <f t="shared" si="22"/>
        <v/>
      </c>
      <c r="AF93" s="1" t="str">
        <f t="shared" si="23"/>
        <v/>
      </c>
      <c r="AG93" s="1" t="str" cm="1">
        <f t="array" ref="AG93">_xlfn.IFNA(_xlfn.IFNA(INDEX(競技会設定!$X$2:$AC$24,MATCH(INDEX(男子エントリー!$J$7:$AH$406,MATCH($G93&amp;RIGHT(AG$1,1),男子エントリー!$AH$7:$AH$406,0),1),競技会設定!$AC$2:$AC$24,0),1),INDEX(競技会設定!$X$2:$AC$24,MATCH(INDEX(男子エントリー!$R$6:$V$406,MATCH($G93&amp;RIGHT(AG$1,1),男子エントリー!$V$6:$V$406,0)-MATCH($G93&amp;RIGHT(AG$1,1),男子エントリー!$V$6:$V$406,0)+1,1),競技会設定!$AC$2:$AC$24,0),1)),"")</f>
        <v/>
      </c>
      <c r="AH93" s="1" t="str">
        <f>IF(AG93=14,リレーエントリー!$I$12,_xlfn.IFNA(INDEX(男子エントリー!$J$7:$AH$406,MATCH($G93&amp;RIGHT(AI$1,1),男子エントリー!$AH$7:$AH$406,0),3),""))</f>
        <v/>
      </c>
      <c r="AI93" s="1" t="str">
        <f t="shared" si="24"/>
        <v/>
      </c>
      <c r="AJ93" s="1" t="str">
        <f t="shared" si="25"/>
        <v/>
      </c>
      <c r="AK93" s="1" t="str">
        <f t="shared" si="26"/>
        <v/>
      </c>
      <c r="AL93" s="1" t="str" cm="1">
        <f t="array" ref="AL93">_xlfn.IFNA(_xlfn.IFNA(INDEX(競技会設定!$X$2:$AC$24,MATCH(INDEX(男子エントリー!$J$7:$AH$406,MATCH($G93&amp;RIGHT(AL$1,1),男子エントリー!$AH$7:$AH$406,0),1),競技会設定!$AC$2:$AC$24,0),1),INDEX(競技会設定!$X$2:$AC$24,MATCH(INDEX(男子エントリー!$R$6:$V$406,MATCH($G93&amp;RIGHT(AL$1,1),男子エントリー!$V$6:$V$406,0)-MATCH($G93&amp;RIGHT(AL$1,1),男子エントリー!$V$6:$V$406,0)+1,1),競技会設定!$AC$2:$AC$24,0),1)),"")</f>
        <v/>
      </c>
      <c r="AM93" s="1" t="str">
        <f>IF(AL93=14,リレーエントリー!$I$12,_xlfn.IFNA(INDEX(男子エントリー!$J$7:$AH$406,MATCH($G93&amp;RIGHT(AN$1,1),男子エントリー!$AH$7:$AH$406,0),3),""))</f>
        <v/>
      </c>
      <c r="AN93" s="1" t="str">
        <f t="shared" si="27"/>
        <v/>
      </c>
      <c r="AO93" s="1" t="str">
        <f t="shared" si="28"/>
        <v/>
      </c>
      <c r="AP93" s="1" t="str">
        <f t="shared" si="29"/>
        <v/>
      </c>
    </row>
    <row r="94" spans="1:42">
      <c r="A94" s="1">
        <v>93</v>
      </c>
      <c r="B94" s="92" t="str">
        <f>男子エントリー!D375</f>
        <v/>
      </c>
      <c r="C94" s="1" t="str">
        <f>基本情報!$E$6</f>
        <v/>
      </c>
      <c r="D94" s="1" t="str">
        <f>基本情報!$E$7</f>
        <v/>
      </c>
      <c r="F94" s="92">
        <f>男子エントリー!C375</f>
        <v>0</v>
      </c>
      <c r="G94" s="92" t="str">
        <f>男子エントリー!E375</f>
        <v/>
      </c>
      <c r="H94" s="92" t="str">
        <f>男子エントリー!F375</f>
        <v/>
      </c>
      <c r="I94" s="1" t="str">
        <f t="shared" si="30"/>
        <v/>
      </c>
      <c r="J94" s="1" t="e">
        <f>LEFT(男子エントリー!E377,FIND(",",LEFT(男子エントリー!E377,LEN(男子エントリー!E377)-5))-1)&amp;LEFT(RIGHT(男子エントリー!E377,LEN(男子エントリー!E377)-FIND(",",男子エントリー!E377)),LEN(RIGHT(男子エントリー!E377,LEN(男子エントリー!E377)-FIND(",",男子エントリー!E377)))-5)</f>
        <v>#VALUE!</v>
      </c>
      <c r="K94" s="1" t="str">
        <f>男子エントリー!G377</f>
        <v/>
      </c>
      <c r="L94" s="1" t="str">
        <f t="shared" si="31"/>
        <v/>
      </c>
      <c r="M94" s="92" t="str">
        <f>男子エントリー!G375</f>
        <v/>
      </c>
      <c r="N94" s="92" t="e">
        <f>MID(男子エントリー!E377,FIND("(",男子エントリー!E377)+1,2)</f>
        <v>#VALUE!</v>
      </c>
      <c r="O94" s="1">
        <v>0</v>
      </c>
      <c r="P94" s="92" t="e">
        <f>VLOOKUP(男子エントリー!G376,競技会設定!$F$3:$I$50,2,0)</f>
        <v>#N/A</v>
      </c>
      <c r="R94" s="1" t="str" cm="1">
        <f t="array" ref="R94">_xlfn.IFNA(_xlfn.IFNA(INDEX(競技会設定!$X$2:$AC$24,MATCH(INDEX(男子エントリー!$J$7:$AH$406,MATCH($G94&amp;RIGHT(R$1,1),男子エントリー!$AH$7:$AH$406,0),1),競技会設定!$AC$2:$AC$24,0),1),INDEX(競技会設定!$X$2:$AC$24,MATCH(INDEX(男子エントリー!$R$6:$V$406,MATCH($G94&amp;RIGHT(R$1,1),男子エントリー!$V$6:$V$406,0)-MATCH($G94&amp;RIGHT(R$1,1),男子エントリー!$V$6:$V$406,0)+1,1),競技会設定!$AC$2:$AC$24,0),1)),"")</f>
        <v/>
      </c>
      <c r="S94" s="1" t="str">
        <f>IF(R94=14,リレーエントリー!$I$12,_xlfn.IFNA(INDEX(男子エントリー!$J$7:$AH$406,MATCH($G94&amp;RIGHT(T$1,1),男子エントリー!$AH$7:$AH$406,0),3),""))</f>
        <v/>
      </c>
      <c r="T94" s="1" t="str">
        <f t="shared" si="32"/>
        <v/>
      </c>
      <c r="U94" s="1" t="str">
        <f t="shared" si="34"/>
        <v/>
      </c>
      <c r="V94" s="1" t="str">
        <f t="shared" si="33"/>
        <v/>
      </c>
      <c r="W94" s="1" t="str" cm="1">
        <f t="array" ref="W94">_xlfn.IFNA(_xlfn.IFNA(INDEX(競技会設定!$X$2:$AC$24,MATCH(INDEX(男子エントリー!$J$7:$AH$406,MATCH($G94&amp;RIGHT(W$1,1),男子エントリー!$AH$7:$AH$406,0),1),競技会設定!$AC$2:$AC$24,0),1),INDEX(競技会設定!$X$2:$AC$24,MATCH(INDEX(男子エントリー!$R$6:$V$406,MATCH($G94&amp;RIGHT(W$1,1),男子エントリー!$V$6:$V$406,0)-MATCH($G94&amp;RIGHT(W$1,1),男子エントリー!$V$6:$V$406,0)+1,1),競技会設定!$AC$2:$AC$24,0),1)),"")</f>
        <v/>
      </c>
      <c r="X94" s="1" t="str">
        <f>IF(W94=14,リレーエントリー!$I$12,_xlfn.IFNA(INDEX(男子エントリー!$J$7:$AH$406,MATCH($G94&amp;RIGHT(Y$1,1),男子エントリー!$AH$7:$AH$406,0),3),""))</f>
        <v/>
      </c>
      <c r="Y94" s="1" t="str">
        <f t="shared" si="18"/>
        <v/>
      </c>
      <c r="Z94" s="1" t="str">
        <f t="shared" si="19"/>
        <v/>
      </c>
      <c r="AA94" s="1" t="str">
        <f t="shared" si="20"/>
        <v/>
      </c>
      <c r="AB94" s="1" t="str" cm="1">
        <f t="array" ref="AB94">_xlfn.IFNA(_xlfn.IFNA(INDEX(競技会設定!$X$2:$AC$24,MATCH(INDEX(男子エントリー!$J$7:$AH$406,MATCH($G94&amp;RIGHT(AB$1,1),男子エントリー!$AH$7:$AH$406,0),1),競技会設定!$AC$2:$AC$24,0),1),INDEX(競技会設定!$X$2:$AC$24,MATCH(INDEX(男子エントリー!$R$6:$V$406,MATCH($G94&amp;RIGHT(AB$1,1),男子エントリー!$V$6:$V$406,0)-MATCH($G94&amp;RIGHT(AB$1,1),男子エントリー!$V$6:$V$406,0)+1,1),競技会設定!$AC$2:$AC$24,0),1)),"")</f>
        <v/>
      </c>
      <c r="AC94" s="1" t="str">
        <f>IF(AB94=14,リレーエントリー!$I$12,_xlfn.IFNA(INDEX(男子エントリー!$J$7:$AH$406,MATCH($G94&amp;RIGHT(AD$1,1),男子エントリー!$AH$7:$AH$406,0),3),""))</f>
        <v/>
      </c>
      <c r="AD94" s="1" t="str">
        <f t="shared" si="21"/>
        <v/>
      </c>
      <c r="AE94" s="1" t="str">
        <f t="shared" si="22"/>
        <v/>
      </c>
      <c r="AF94" s="1" t="str">
        <f t="shared" si="23"/>
        <v/>
      </c>
      <c r="AG94" s="1" t="str" cm="1">
        <f t="array" ref="AG94">_xlfn.IFNA(_xlfn.IFNA(INDEX(競技会設定!$X$2:$AC$24,MATCH(INDEX(男子エントリー!$J$7:$AH$406,MATCH($G94&amp;RIGHT(AG$1,1),男子エントリー!$AH$7:$AH$406,0),1),競技会設定!$AC$2:$AC$24,0),1),INDEX(競技会設定!$X$2:$AC$24,MATCH(INDEX(男子エントリー!$R$6:$V$406,MATCH($G94&amp;RIGHT(AG$1,1),男子エントリー!$V$6:$V$406,0)-MATCH($G94&amp;RIGHT(AG$1,1),男子エントリー!$V$6:$V$406,0)+1,1),競技会設定!$AC$2:$AC$24,0),1)),"")</f>
        <v/>
      </c>
      <c r="AH94" s="1" t="str">
        <f>IF(AG94=14,リレーエントリー!$I$12,_xlfn.IFNA(INDEX(男子エントリー!$J$7:$AH$406,MATCH($G94&amp;RIGHT(AI$1,1),男子エントリー!$AH$7:$AH$406,0),3),""))</f>
        <v/>
      </c>
      <c r="AI94" s="1" t="str">
        <f t="shared" si="24"/>
        <v/>
      </c>
      <c r="AJ94" s="1" t="str">
        <f t="shared" si="25"/>
        <v/>
      </c>
      <c r="AK94" s="1" t="str">
        <f t="shared" si="26"/>
        <v/>
      </c>
      <c r="AL94" s="1" t="str" cm="1">
        <f t="array" ref="AL94">_xlfn.IFNA(_xlfn.IFNA(INDEX(競技会設定!$X$2:$AC$24,MATCH(INDEX(男子エントリー!$J$7:$AH$406,MATCH($G94&amp;RIGHT(AL$1,1),男子エントリー!$AH$7:$AH$406,0),1),競技会設定!$AC$2:$AC$24,0),1),INDEX(競技会設定!$X$2:$AC$24,MATCH(INDEX(男子エントリー!$R$6:$V$406,MATCH($G94&amp;RIGHT(AL$1,1),男子エントリー!$V$6:$V$406,0)-MATCH($G94&amp;RIGHT(AL$1,1),男子エントリー!$V$6:$V$406,0)+1,1),競技会設定!$AC$2:$AC$24,0),1)),"")</f>
        <v/>
      </c>
      <c r="AM94" s="1" t="str">
        <f>IF(AL94=14,リレーエントリー!$I$12,_xlfn.IFNA(INDEX(男子エントリー!$J$7:$AH$406,MATCH($G94&amp;RIGHT(AN$1,1),男子エントリー!$AH$7:$AH$406,0),3),""))</f>
        <v/>
      </c>
      <c r="AN94" s="1" t="str">
        <f t="shared" si="27"/>
        <v/>
      </c>
      <c r="AO94" s="1" t="str">
        <f t="shared" si="28"/>
        <v/>
      </c>
      <c r="AP94" s="1" t="str">
        <f t="shared" si="29"/>
        <v/>
      </c>
    </row>
    <row r="95" spans="1:42">
      <c r="A95" s="1">
        <v>94</v>
      </c>
      <c r="B95" s="92" t="str">
        <f>男子エントリー!D379</f>
        <v/>
      </c>
      <c r="C95" s="1" t="str">
        <f>基本情報!$E$6</f>
        <v/>
      </c>
      <c r="D95" s="1" t="str">
        <f>基本情報!$E$7</f>
        <v/>
      </c>
      <c r="F95" s="92">
        <f>男子エントリー!C379</f>
        <v>0</v>
      </c>
      <c r="G95" s="92" t="str">
        <f>男子エントリー!E379</f>
        <v/>
      </c>
      <c r="H95" s="92" t="str">
        <f>男子エントリー!F379</f>
        <v/>
      </c>
      <c r="I95" s="1" t="str">
        <f t="shared" si="30"/>
        <v/>
      </c>
      <c r="J95" s="1" t="e">
        <f>LEFT(男子エントリー!E381,FIND(",",LEFT(男子エントリー!E381,LEN(男子エントリー!E381)-5))-1)&amp;LEFT(RIGHT(男子エントリー!E381,LEN(男子エントリー!E381)-FIND(",",男子エントリー!E381)),LEN(RIGHT(男子エントリー!E381,LEN(男子エントリー!E381)-FIND(",",男子エントリー!E381)))-5)</f>
        <v>#VALUE!</v>
      </c>
      <c r="K95" s="1" t="str">
        <f>男子エントリー!G381</f>
        <v/>
      </c>
      <c r="L95" s="1" t="str">
        <f t="shared" si="31"/>
        <v/>
      </c>
      <c r="M95" s="92" t="str">
        <f>男子エントリー!G379</f>
        <v/>
      </c>
      <c r="N95" s="92" t="e">
        <f>MID(男子エントリー!E381,FIND("(",男子エントリー!E381)+1,2)</f>
        <v>#VALUE!</v>
      </c>
      <c r="O95" s="1">
        <v>0</v>
      </c>
      <c r="P95" s="92" t="e">
        <f>VLOOKUP(男子エントリー!G380,競技会設定!$F$3:$I$50,2,0)</f>
        <v>#N/A</v>
      </c>
      <c r="R95" s="1" t="str" cm="1">
        <f t="array" ref="R95">_xlfn.IFNA(_xlfn.IFNA(INDEX(競技会設定!$X$2:$AC$24,MATCH(INDEX(男子エントリー!$J$7:$AH$406,MATCH($G95&amp;RIGHT(R$1,1),男子エントリー!$AH$7:$AH$406,0),1),競技会設定!$AC$2:$AC$24,0),1),INDEX(競技会設定!$X$2:$AC$24,MATCH(INDEX(男子エントリー!$R$6:$V$406,MATCH($G95&amp;RIGHT(R$1,1),男子エントリー!$V$6:$V$406,0)-MATCH($G95&amp;RIGHT(R$1,1),男子エントリー!$V$6:$V$406,0)+1,1),競技会設定!$AC$2:$AC$24,0),1)),"")</f>
        <v/>
      </c>
      <c r="S95" s="1" t="str">
        <f>IF(R95=14,リレーエントリー!$I$12,_xlfn.IFNA(INDEX(男子エントリー!$J$7:$AH$406,MATCH($G95&amp;RIGHT(T$1,1),男子エントリー!$AH$7:$AH$406,0),3),""))</f>
        <v/>
      </c>
      <c r="T95" s="1" t="str">
        <f t="shared" si="32"/>
        <v/>
      </c>
      <c r="U95" s="1" t="str">
        <f t="shared" si="34"/>
        <v/>
      </c>
      <c r="V95" s="1" t="str">
        <f t="shared" si="33"/>
        <v/>
      </c>
      <c r="W95" s="1" t="str" cm="1">
        <f t="array" ref="W95">_xlfn.IFNA(_xlfn.IFNA(INDEX(競技会設定!$X$2:$AC$24,MATCH(INDEX(男子エントリー!$J$7:$AH$406,MATCH($G95&amp;RIGHT(W$1,1),男子エントリー!$AH$7:$AH$406,0),1),競技会設定!$AC$2:$AC$24,0),1),INDEX(競技会設定!$X$2:$AC$24,MATCH(INDEX(男子エントリー!$R$6:$V$406,MATCH($G95&amp;RIGHT(W$1,1),男子エントリー!$V$6:$V$406,0)-MATCH($G95&amp;RIGHT(W$1,1),男子エントリー!$V$6:$V$406,0)+1,1),競技会設定!$AC$2:$AC$24,0),1)),"")</f>
        <v/>
      </c>
      <c r="X95" s="1" t="str">
        <f>IF(W95=14,リレーエントリー!$I$12,_xlfn.IFNA(INDEX(男子エントリー!$J$7:$AH$406,MATCH($G95&amp;RIGHT(Y$1,1),男子エントリー!$AH$7:$AH$406,0),3),""))</f>
        <v/>
      </c>
      <c r="Y95" s="1" t="str">
        <f t="shared" si="18"/>
        <v/>
      </c>
      <c r="Z95" s="1" t="str">
        <f t="shared" si="19"/>
        <v/>
      </c>
      <c r="AA95" s="1" t="str">
        <f t="shared" si="20"/>
        <v/>
      </c>
      <c r="AB95" s="1" t="str" cm="1">
        <f t="array" ref="AB95">_xlfn.IFNA(_xlfn.IFNA(INDEX(競技会設定!$X$2:$AC$24,MATCH(INDEX(男子エントリー!$J$7:$AH$406,MATCH($G95&amp;RIGHT(AB$1,1),男子エントリー!$AH$7:$AH$406,0),1),競技会設定!$AC$2:$AC$24,0),1),INDEX(競技会設定!$X$2:$AC$24,MATCH(INDEX(男子エントリー!$R$6:$V$406,MATCH($G95&amp;RIGHT(AB$1,1),男子エントリー!$V$6:$V$406,0)-MATCH($G95&amp;RIGHT(AB$1,1),男子エントリー!$V$6:$V$406,0)+1,1),競技会設定!$AC$2:$AC$24,0),1)),"")</f>
        <v/>
      </c>
      <c r="AC95" s="1" t="str">
        <f>IF(AB95=14,リレーエントリー!$I$12,_xlfn.IFNA(INDEX(男子エントリー!$J$7:$AH$406,MATCH($G95&amp;RIGHT(AD$1,1),男子エントリー!$AH$7:$AH$406,0),3),""))</f>
        <v/>
      </c>
      <c r="AD95" s="1" t="str">
        <f t="shared" si="21"/>
        <v/>
      </c>
      <c r="AE95" s="1" t="str">
        <f t="shared" si="22"/>
        <v/>
      </c>
      <c r="AF95" s="1" t="str">
        <f t="shared" si="23"/>
        <v/>
      </c>
      <c r="AG95" s="1" t="str" cm="1">
        <f t="array" ref="AG95">_xlfn.IFNA(_xlfn.IFNA(INDEX(競技会設定!$X$2:$AC$24,MATCH(INDEX(男子エントリー!$J$7:$AH$406,MATCH($G95&amp;RIGHT(AG$1,1),男子エントリー!$AH$7:$AH$406,0),1),競技会設定!$AC$2:$AC$24,0),1),INDEX(競技会設定!$X$2:$AC$24,MATCH(INDEX(男子エントリー!$R$6:$V$406,MATCH($G95&amp;RIGHT(AG$1,1),男子エントリー!$V$6:$V$406,0)-MATCH($G95&amp;RIGHT(AG$1,1),男子エントリー!$V$6:$V$406,0)+1,1),競技会設定!$AC$2:$AC$24,0),1)),"")</f>
        <v/>
      </c>
      <c r="AH95" s="1" t="str">
        <f>IF(AG95=14,リレーエントリー!$I$12,_xlfn.IFNA(INDEX(男子エントリー!$J$7:$AH$406,MATCH($G95&amp;RIGHT(AI$1,1),男子エントリー!$AH$7:$AH$406,0),3),""))</f>
        <v/>
      </c>
      <c r="AI95" s="1" t="str">
        <f t="shared" si="24"/>
        <v/>
      </c>
      <c r="AJ95" s="1" t="str">
        <f t="shared" si="25"/>
        <v/>
      </c>
      <c r="AK95" s="1" t="str">
        <f t="shared" si="26"/>
        <v/>
      </c>
      <c r="AL95" s="1" t="str" cm="1">
        <f t="array" ref="AL95">_xlfn.IFNA(_xlfn.IFNA(INDEX(競技会設定!$X$2:$AC$24,MATCH(INDEX(男子エントリー!$J$7:$AH$406,MATCH($G95&amp;RIGHT(AL$1,1),男子エントリー!$AH$7:$AH$406,0),1),競技会設定!$AC$2:$AC$24,0),1),INDEX(競技会設定!$X$2:$AC$24,MATCH(INDEX(男子エントリー!$R$6:$V$406,MATCH($G95&amp;RIGHT(AL$1,1),男子エントリー!$V$6:$V$406,0)-MATCH($G95&amp;RIGHT(AL$1,1),男子エントリー!$V$6:$V$406,0)+1,1),競技会設定!$AC$2:$AC$24,0),1)),"")</f>
        <v/>
      </c>
      <c r="AM95" s="1" t="str">
        <f>IF(AL95=14,リレーエントリー!$I$12,_xlfn.IFNA(INDEX(男子エントリー!$J$7:$AH$406,MATCH($G95&amp;RIGHT(AN$1,1),男子エントリー!$AH$7:$AH$406,0),3),""))</f>
        <v/>
      </c>
      <c r="AN95" s="1" t="str">
        <f t="shared" si="27"/>
        <v/>
      </c>
      <c r="AO95" s="1" t="str">
        <f t="shared" si="28"/>
        <v/>
      </c>
      <c r="AP95" s="1" t="str">
        <f t="shared" si="29"/>
        <v/>
      </c>
    </row>
    <row r="96" spans="1:42">
      <c r="A96" s="1">
        <v>95</v>
      </c>
      <c r="B96" s="92" t="str">
        <f>男子エントリー!D383</f>
        <v/>
      </c>
      <c r="C96" s="1" t="str">
        <f>基本情報!$E$6</f>
        <v/>
      </c>
      <c r="D96" s="1" t="str">
        <f>基本情報!$E$7</f>
        <v/>
      </c>
      <c r="F96" s="92">
        <f>男子エントリー!C383</f>
        <v>0</v>
      </c>
      <c r="G96" s="92" t="str">
        <f>男子エントリー!E383</f>
        <v/>
      </c>
      <c r="H96" s="92" t="str">
        <f>男子エントリー!F383</f>
        <v/>
      </c>
      <c r="I96" s="1" t="str">
        <f t="shared" si="30"/>
        <v/>
      </c>
      <c r="J96" s="1" t="e">
        <f>LEFT(男子エントリー!E385,FIND(",",LEFT(男子エントリー!E385,LEN(男子エントリー!E385)-5))-1)&amp;LEFT(RIGHT(男子エントリー!E385,LEN(男子エントリー!E385)-FIND(",",男子エントリー!E385)),LEN(RIGHT(男子エントリー!E385,LEN(男子エントリー!E385)-FIND(",",男子エントリー!E385)))-5)</f>
        <v>#VALUE!</v>
      </c>
      <c r="K96" s="1" t="str">
        <f>男子エントリー!G385</f>
        <v/>
      </c>
      <c r="L96" s="1" t="str">
        <f t="shared" si="31"/>
        <v/>
      </c>
      <c r="M96" s="92" t="str">
        <f>男子エントリー!G383</f>
        <v/>
      </c>
      <c r="N96" s="92" t="e">
        <f>MID(男子エントリー!E385,FIND("(",男子エントリー!E385)+1,2)</f>
        <v>#VALUE!</v>
      </c>
      <c r="O96" s="1">
        <v>0</v>
      </c>
      <c r="P96" s="92" t="e">
        <f>VLOOKUP(男子エントリー!G384,競技会設定!$F$3:$I$50,2,0)</f>
        <v>#N/A</v>
      </c>
      <c r="R96" s="1" t="str" cm="1">
        <f t="array" ref="R96">_xlfn.IFNA(_xlfn.IFNA(INDEX(競技会設定!$X$2:$AC$24,MATCH(INDEX(男子エントリー!$J$7:$AH$406,MATCH($G96&amp;RIGHT(R$1,1),男子エントリー!$AH$7:$AH$406,0),1),競技会設定!$AC$2:$AC$24,0),1),INDEX(競技会設定!$X$2:$AC$24,MATCH(INDEX(男子エントリー!$R$6:$V$406,MATCH($G96&amp;RIGHT(R$1,1),男子エントリー!$V$6:$V$406,0)-MATCH($G96&amp;RIGHT(R$1,1),男子エントリー!$V$6:$V$406,0)+1,1),競技会設定!$AC$2:$AC$24,0),1)),"")</f>
        <v/>
      </c>
      <c r="S96" s="1" t="str">
        <f>IF(R96=14,リレーエントリー!$I$12,_xlfn.IFNA(INDEX(男子エントリー!$J$7:$AH$406,MATCH($G96&amp;RIGHT(T$1,1),男子エントリー!$AH$7:$AH$406,0),3),""))</f>
        <v/>
      </c>
      <c r="T96" s="1" t="str">
        <f t="shared" si="32"/>
        <v/>
      </c>
      <c r="U96" s="1" t="str">
        <f t="shared" si="34"/>
        <v/>
      </c>
      <c r="V96" s="1" t="str">
        <f t="shared" si="33"/>
        <v/>
      </c>
      <c r="W96" s="1" t="str" cm="1">
        <f t="array" ref="W96">_xlfn.IFNA(_xlfn.IFNA(INDEX(競技会設定!$X$2:$AC$24,MATCH(INDEX(男子エントリー!$J$7:$AH$406,MATCH($G96&amp;RIGHT(W$1,1),男子エントリー!$AH$7:$AH$406,0),1),競技会設定!$AC$2:$AC$24,0),1),INDEX(競技会設定!$X$2:$AC$24,MATCH(INDEX(男子エントリー!$R$6:$V$406,MATCH($G96&amp;RIGHT(W$1,1),男子エントリー!$V$6:$V$406,0)-MATCH($G96&amp;RIGHT(W$1,1),男子エントリー!$V$6:$V$406,0)+1,1),競技会設定!$AC$2:$AC$24,0),1)),"")</f>
        <v/>
      </c>
      <c r="X96" s="1" t="str">
        <f>IF(W96=14,リレーエントリー!$I$12,_xlfn.IFNA(INDEX(男子エントリー!$J$7:$AH$406,MATCH($G96&amp;RIGHT(Y$1,1),男子エントリー!$AH$7:$AH$406,0),3),""))</f>
        <v/>
      </c>
      <c r="Y96" s="1" t="str">
        <f t="shared" si="18"/>
        <v/>
      </c>
      <c r="Z96" s="1" t="str">
        <f t="shared" si="19"/>
        <v/>
      </c>
      <c r="AA96" s="1" t="str">
        <f t="shared" si="20"/>
        <v/>
      </c>
      <c r="AB96" s="1" t="str" cm="1">
        <f t="array" ref="AB96">_xlfn.IFNA(_xlfn.IFNA(INDEX(競技会設定!$X$2:$AC$24,MATCH(INDEX(男子エントリー!$J$7:$AH$406,MATCH($G96&amp;RIGHT(AB$1,1),男子エントリー!$AH$7:$AH$406,0),1),競技会設定!$AC$2:$AC$24,0),1),INDEX(競技会設定!$X$2:$AC$24,MATCH(INDEX(男子エントリー!$R$6:$V$406,MATCH($G96&amp;RIGHT(AB$1,1),男子エントリー!$V$6:$V$406,0)-MATCH($G96&amp;RIGHT(AB$1,1),男子エントリー!$V$6:$V$406,0)+1,1),競技会設定!$AC$2:$AC$24,0),1)),"")</f>
        <v/>
      </c>
      <c r="AC96" s="1" t="str">
        <f>IF(AB96=14,リレーエントリー!$I$12,_xlfn.IFNA(INDEX(男子エントリー!$J$7:$AH$406,MATCH($G96&amp;RIGHT(AD$1,1),男子エントリー!$AH$7:$AH$406,0),3),""))</f>
        <v/>
      </c>
      <c r="AD96" s="1" t="str">
        <f t="shared" si="21"/>
        <v/>
      </c>
      <c r="AE96" s="1" t="str">
        <f t="shared" si="22"/>
        <v/>
      </c>
      <c r="AF96" s="1" t="str">
        <f t="shared" si="23"/>
        <v/>
      </c>
      <c r="AG96" s="1" t="str" cm="1">
        <f t="array" ref="AG96">_xlfn.IFNA(_xlfn.IFNA(INDEX(競技会設定!$X$2:$AC$24,MATCH(INDEX(男子エントリー!$J$7:$AH$406,MATCH($G96&amp;RIGHT(AG$1,1),男子エントリー!$AH$7:$AH$406,0),1),競技会設定!$AC$2:$AC$24,0),1),INDEX(競技会設定!$X$2:$AC$24,MATCH(INDEX(男子エントリー!$R$6:$V$406,MATCH($G96&amp;RIGHT(AG$1,1),男子エントリー!$V$6:$V$406,0)-MATCH($G96&amp;RIGHT(AG$1,1),男子エントリー!$V$6:$V$406,0)+1,1),競技会設定!$AC$2:$AC$24,0),1)),"")</f>
        <v/>
      </c>
      <c r="AH96" s="1" t="str">
        <f>IF(AG96=14,リレーエントリー!$I$12,_xlfn.IFNA(INDEX(男子エントリー!$J$7:$AH$406,MATCH($G96&amp;RIGHT(AI$1,1),男子エントリー!$AH$7:$AH$406,0),3),""))</f>
        <v/>
      </c>
      <c r="AI96" s="1" t="str">
        <f t="shared" si="24"/>
        <v/>
      </c>
      <c r="AJ96" s="1" t="str">
        <f t="shared" si="25"/>
        <v/>
      </c>
      <c r="AK96" s="1" t="str">
        <f t="shared" si="26"/>
        <v/>
      </c>
      <c r="AL96" s="1" t="str" cm="1">
        <f t="array" ref="AL96">_xlfn.IFNA(_xlfn.IFNA(INDEX(競技会設定!$X$2:$AC$24,MATCH(INDEX(男子エントリー!$J$7:$AH$406,MATCH($G96&amp;RIGHT(AL$1,1),男子エントリー!$AH$7:$AH$406,0),1),競技会設定!$AC$2:$AC$24,0),1),INDEX(競技会設定!$X$2:$AC$24,MATCH(INDEX(男子エントリー!$R$6:$V$406,MATCH($G96&amp;RIGHT(AL$1,1),男子エントリー!$V$6:$V$406,0)-MATCH($G96&amp;RIGHT(AL$1,1),男子エントリー!$V$6:$V$406,0)+1,1),競技会設定!$AC$2:$AC$24,0),1)),"")</f>
        <v/>
      </c>
      <c r="AM96" s="1" t="str">
        <f>IF(AL96=14,リレーエントリー!$I$12,_xlfn.IFNA(INDEX(男子エントリー!$J$7:$AH$406,MATCH($G96&amp;RIGHT(AN$1,1),男子エントリー!$AH$7:$AH$406,0),3),""))</f>
        <v/>
      </c>
      <c r="AN96" s="1" t="str">
        <f t="shared" si="27"/>
        <v/>
      </c>
      <c r="AO96" s="1" t="str">
        <f t="shared" si="28"/>
        <v/>
      </c>
      <c r="AP96" s="1" t="str">
        <f t="shared" si="29"/>
        <v/>
      </c>
    </row>
    <row r="97" spans="1:42">
      <c r="A97" s="1">
        <v>96</v>
      </c>
      <c r="B97" s="92" t="str">
        <f>男子エントリー!D387</f>
        <v/>
      </c>
      <c r="C97" s="1" t="str">
        <f>基本情報!$E$6</f>
        <v/>
      </c>
      <c r="D97" s="1" t="str">
        <f>基本情報!$E$7</f>
        <v/>
      </c>
      <c r="F97" s="92">
        <f>男子エントリー!C387</f>
        <v>0</v>
      </c>
      <c r="G97" s="92" t="str">
        <f>男子エントリー!E387</f>
        <v/>
      </c>
      <c r="H97" s="92" t="str">
        <f>男子エントリー!F387</f>
        <v/>
      </c>
      <c r="I97" s="1" t="str">
        <f t="shared" si="30"/>
        <v/>
      </c>
      <c r="J97" s="1" t="e">
        <f>LEFT(男子エントリー!E389,FIND(",",LEFT(男子エントリー!E389,LEN(男子エントリー!E389)-5))-1)&amp;LEFT(RIGHT(男子エントリー!E389,LEN(男子エントリー!E389)-FIND(",",男子エントリー!E389)),LEN(RIGHT(男子エントリー!E389,LEN(男子エントリー!E389)-FIND(",",男子エントリー!E389)))-5)</f>
        <v>#VALUE!</v>
      </c>
      <c r="K97" s="1" t="str">
        <f>男子エントリー!G389</f>
        <v/>
      </c>
      <c r="L97" s="1" t="str">
        <f t="shared" si="31"/>
        <v/>
      </c>
      <c r="M97" s="92" t="str">
        <f>男子エントリー!G387</f>
        <v/>
      </c>
      <c r="N97" s="92" t="e">
        <f>MID(男子エントリー!E389,FIND("(",男子エントリー!E389)+1,2)</f>
        <v>#VALUE!</v>
      </c>
      <c r="O97" s="1">
        <v>0</v>
      </c>
      <c r="P97" s="92" t="e">
        <f>VLOOKUP(男子エントリー!G388,競技会設定!$F$3:$I$50,2,0)</f>
        <v>#N/A</v>
      </c>
      <c r="R97" s="1" t="str" cm="1">
        <f t="array" ref="R97">_xlfn.IFNA(_xlfn.IFNA(INDEX(競技会設定!$X$2:$AC$24,MATCH(INDEX(男子エントリー!$J$7:$AH$406,MATCH($G97&amp;RIGHT(R$1,1),男子エントリー!$AH$7:$AH$406,0),1),競技会設定!$AC$2:$AC$24,0),1),INDEX(競技会設定!$X$2:$AC$24,MATCH(INDEX(男子エントリー!$R$6:$V$406,MATCH($G97&amp;RIGHT(R$1,1),男子エントリー!$V$6:$V$406,0)-MATCH($G97&amp;RIGHT(R$1,1),男子エントリー!$V$6:$V$406,0)+1,1),競技会設定!$AC$2:$AC$24,0),1)),"")</f>
        <v/>
      </c>
      <c r="S97" s="1" t="str">
        <f>IF(R97=14,リレーエントリー!$I$12,_xlfn.IFNA(INDEX(男子エントリー!$J$7:$AH$406,MATCH($G97&amp;RIGHT(T$1,1),男子エントリー!$AH$7:$AH$406,0),3),""))</f>
        <v/>
      </c>
      <c r="T97" s="1" t="str">
        <f t="shared" si="32"/>
        <v/>
      </c>
      <c r="U97" s="1" t="str">
        <f t="shared" si="34"/>
        <v/>
      </c>
      <c r="V97" s="1" t="str">
        <f t="shared" si="33"/>
        <v/>
      </c>
      <c r="W97" s="1" t="str" cm="1">
        <f t="array" ref="W97">_xlfn.IFNA(_xlfn.IFNA(INDEX(競技会設定!$X$2:$AC$24,MATCH(INDEX(男子エントリー!$J$7:$AH$406,MATCH($G97&amp;RIGHT(W$1,1),男子エントリー!$AH$7:$AH$406,0),1),競技会設定!$AC$2:$AC$24,0),1),INDEX(競技会設定!$X$2:$AC$24,MATCH(INDEX(男子エントリー!$R$6:$V$406,MATCH($G97&amp;RIGHT(W$1,1),男子エントリー!$V$6:$V$406,0)-MATCH($G97&amp;RIGHT(W$1,1),男子エントリー!$V$6:$V$406,0)+1,1),競技会設定!$AC$2:$AC$24,0),1)),"")</f>
        <v/>
      </c>
      <c r="X97" s="1" t="str">
        <f>IF(W97=14,リレーエントリー!$I$12,_xlfn.IFNA(INDEX(男子エントリー!$J$7:$AH$406,MATCH($G97&amp;RIGHT(Y$1,1),男子エントリー!$AH$7:$AH$406,0),3),""))</f>
        <v/>
      </c>
      <c r="Y97" s="1" t="str">
        <f t="shared" si="18"/>
        <v/>
      </c>
      <c r="Z97" s="1" t="str">
        <f t="shared" si="19"/>
        <v/>
      </c>
      <c r="AA97" s="1" t="str">
        <f t="shared" si="20"/>
        <v/>
      </c>
      <c r="AB97" s="1" t="str" cm="1">
        <f t="array" ref="AB97">_xlfn.IFNA(_xlfn.IFNA(INDEX(競技会設定!$X$2:$AC$24,MATCH(INDEX(男子エントリー!$J$7:$AH$406,MATCH($G97&amp;RIGHT(AB$1,1),男子エントリー!$AH$7:$AH$406,0),1),競技会設定!$AC$2:$AC$24,0),1),INDEX(競技会設定!$X$2:$AC$24,MATCH(INDEX(男子エントリー!$R$6:$V$406,MATCH($G97&amp;RIGHT(AB$1,1),男子エントリー!$V$6:$V$406,0)-MATCH($G97&amp;RIGHT(AB$1,1),男子エントリー!$V$6:$V$406,0)+1,1),競技会設定!$AC$2:$AC$24,0),1)),"")</f>
        <v/>
      </c>
      <c r="AC97" s="1" t="str">
        <f>IF(AB97=14,リレーエントリー!$I$12,_xlfn.IFNA(INDEX(男子エントリー!$J$7:$AH$406,MATCH($G97&amp;RIGHT(AD$1,1),男子エントリー!$AH$7:$AH$406,0),3),""))</f>
        <v/>
      </c>
      <c r="AD97" s="1" t="str">
        <f t="shared" si="21"/>
        <v/>
      </c>
      <c r="AE97" s="1" t="str">
        <f t="shared" si="22"/>
        <v/>
      </c>
      <c r="AF97" s="1" t="str">
        <f t="shared" si="23"/>
        <v/>
      </c>
      <c r="AG97" s="1" t="str" cm="1">
        <f t="array" ref="AG97">_xlfn.IFNA(_xlfn.IFNA(INDEX(競技会設定!$X$2:$AC$24,MATCH(INDEX(男子エントリー!$J$7:$AH$406,MATCH($G97&amp;RIGHT(AG$1,1),男子エントリー!$AH$7:$AH$406,0),1),競技会設定!$AC$2:$AC$24,0),1),INDEX(競技会設定!$X$2:$AC$24,MATCH(INDEX(男子エントリー!$R$6:$V$406,MATCH($G97&amp;RIGHT(AG$1,1),男子エントリー!$V$6:$V$406,0)-MATCH($G97&amp;RIGHT(AG$1,1),男子エントリー!$V$6:$V$406,0)+1,1),競技会設定!$AC$2:$AC$24,0),1)),"")</f>
        <v/>
      </c>
      <c r="AH97" s="1" t="str">
        <f>IF(AG97=14,リレーエントリー!$I$12,_xlfn.IFNA(INDEX(男子エントリー!$J$7:$AH$406,MATCH($G97&amp;RIGHT(AI$1,1),男子エントリー!$AH$7:$AH$406,0),3),""))</f>
        <v/>
      </c>
      <c r="AI97" s="1" t="str">
        <f t="shared" si="24"/>
        <v/>
      </c>
      <c r="AJ97" s="1" t="str">
        <f t="shared" si="25"/>
        <v/>
      </c>
      <c r="AK97" s="1" t="str">
        <f t="shared" si="26"/>
        <v/>
      </c>
      <c r="AL97" s="1" t="str" cm="1">
        <f t="array" ref="AL97">_xlfn.IFNA(_xlfn.IFNA(INDEX(競技会設定!$X$2:$AC$24,MATCH(INDEX(男子エントリー!$J$7:$AH$406,MATCH($G97&amp;RIGHT(AL$1,1),男子エントリー!$AH$7:$AH$406,0),1),競技会設定!$AC$2:$AC$24,0),1),INDEX(競技会設定!$X$2:$AC$24,MATCH(INDEX(男子エントリー!$R$6:$V$406,MATCH($G97&amp;RIGHT(AL$1,1),男子エントリー!$V$6:$V$406,0)-MATCH($G97&amp;RIGHT(AL$1,1),男子エントリー!$V$6:$V$406,0)+1,1),競技会設定!$AC$2:$AC$24,0),1)),"")</f>
        <v/>
      </c>
      <c r="AM97" s="1" t="str">
        <f>IF(AL97=14,リレーエントリー!$I$12,_xlfn.IFNA(INDEX(男子エントリー!$J$7:$AH$406,MATCH($G97&amp;RIGHT(AN$1,1),男子エントリー!$AH$7:$AH$406,0),3),""))</f>
        <v/>
      </c>
      <c r="AN97" s="1" t="str">
        <f t="shared" si="27"/>
        <v/>
      </c>
      <c r="AO97" s="1" t="str">
        <f t="shared" si="28"/>
        <v/>
      </c>
      <c r="AP97" s="1" t="str">
        <f t="shared" si="29"/>
        <v/>
      </c>
    </row>
    <row r="98" spans="1:42">
      <c r="A98" s="1">
        <v>97</v>
      </c>
      <c r="B98" s="92" t="str">
        <f>男子エントリー!D391</f>
        <v/>
      </c>
      <c r="C98" s="1" t="str">
        <f>基本情報!$E$6</f>
        <v/>
      </c>
      <c r="D98" s="1" t="str">
        <f>基本情報!$E$7</f>
        <v/>
      </c>
      <c r="F98" s="92">
        <f>男子エントリー!C391</f>
        <v>0</v>
      </c>
      <c r="G98" s="92" t="str">
        <f>男子エントリー!E391</f>
        <v/>
      </c>
      <c r="H98" s="92" t="str">
        <f>男子エントリー!F391</f>
        <v/>
      </c>
      <c r="I98" s="1" t="str">
        <f t="shared" si="30"/>
        <v/>
      </c>
      <c r="J98" s="1" t="e">
        <f>LEFT(男子エントリー!E393,FIND(",",LEFT(男子エントリー!E393,LEN(男子エントリー!E393)-5))-1)&amp;LEFT(RIGHT(男子エントリー!E393,LEN(男子エントリー!E393)-FIND(",",男子エントリー!E393)),LEN(RIGHT(男子エントリー!E393,LEN(男子エントリー!E393)-FIND(",",男子エントリー!E393)))-5)</f>
        <v>#VALUE!</v>
      </c>
      <c r="K98" s="1" t="str">
        <f>男子エントリー!G393</f>
        <v/>
      </c>
      <c r="L98" s="1" t="str">
        <f t="shared" si="31"/>
        <v/>
      </c>
      <c r="M98" s="92" t="str">
        <f>男子エントリー!G391</f>
        <v/>
      </c>
      <c r="N98" s="92" t="e">
        <f>MID(男子エントリー!E393,FIND("(",男子エントリー!E393)+1,2)</f>
        <v>#VALUE!</v>
      </c>
      <c r="O98" s="1">
        <v>0</v>
      </c>
      <c r="P98" s="92" t="e">
        <f>VLOOKUP(男子エントリー!G392,競技会設定!$F$3:$I$50,2,0)</f>
        <v>#N/A</v>
      </c>
      <c r="R98" s="1" t="str" cm="1">
        <f t="array" ref="R98">_xlfn.IFNA(_xlfn.IFNA(INDEX(競技会設定!$X$2:$AC$24,MATCH(INDEX(男子エントリー!$J$7:$AH$406,MATCH($G98&amp;RIGHT(R$1,1),男子エントリー!$AH$7:$AH$406,0),1),競技会設定!$AC$2:$AC$24,0),1),INDEX(競技会設定!$X$2:$AC$24,MATCH(INDEX(男子エントリー!$R$6:$V$406,MATCH($G98&amp;RIGHT(R$1,1),男子エントリー!$V$6:$V$406,0)-MATCH($G98&amp;RIGHT(R$1,1),男子エントリー!$V$6:$V$406,0)+1,1),競技会設定!$AC$2:$AC$24,0),1)),"")</f>
        <v/>
      </c>
      <c r="S98" s="1" t="str">
        <f>IF(R98=14,リレーエントリー!$I$12,_xlfn.IFNA(INDEX(男子エントリー!$J$7:$AH$406,MATCH($G98&amp;RIGHT(T$1,1),男子エントリー!$AH$7:$AH$406,0),3),""))</f>
        <v/>
      </c>
      <c r="T98" s="1" t="str">
        <f t="shared" si="32"/>
        <v/>
      </c>
      <c r="U98" s="1" t="str">
        <f t="shared" si="34"/>
        <v/>
      </c>
      <c r="V98" s="1" t="str">
        <f t="shared" si="33"/>
        <v/>
      </c>
      <c r="W98" s="1" t="str" cm="1">
        <f t="array" ref="W98">_xlfn.IFNA(_xlfn.IFNA(INDEX(競技会設定!$X$2:$AC$24,MATCH(INDEX(男子エントリー!$J$7:$AH$406,MATCH($G98&amp;RIGHT(W$1,1),男子エントリー!$AH$7:$AH$406,0),1),競技会設定!$AC$2:$AC$24,0),1),INDEX(競技会設定!$X$2:$AC$24,MATCH(INDEX(男子エントリー!$R$6:$V$406,MATCH($G98&amp;RIGHT(W$1,1),男子エントリー!$V$6:$V$406,0)-MATCH($G98&amp;RIGHT(W$1,1),男子エントリー!$V$6:$V$406,0)+1,1),競技会設定!$AC$2:$AC$24,0),1)),"")</f>
        <v/>
      </c>
      <c r="X98" s="1" t="str">
        <f>IF(W98=14,リレーエントリー!$I$12,_xlfn.IFNA(INDEX(男子エントリー!$J$7:$AH$406,MATCH($G98&amp;RIGHT(Y$1,1),男子エントリー!$AH$7:$AH$406,0),3),""))</f>
        <v/>
      </c>
      <c r="Y98" s="1" t="str">
        <f t="shared" si="18"/>
        <v/>
      </c>
      <c r="Z98" s="1" t="str">
        <f t="shared" si="19"/>
        <v/>
      </c>
      <c r="AA98" s="1" t="str">
        <f t="shared" si="20"/>
        <v/>
      </c>
      <c r="AB98" s="1" t="str" cm="1">
        <f t="array" ref="AB98">_xlfn.IFNA(_xlfn.IFNA(INDEX(競技会設定!$X$2:$AC$24,MATCH(INDEX(男子エントリー!$J$7:$AH$406,MATCH($G98&amp;RIGHT(AB$1,1),男子エントリー!$AH$7:$AH$406,0),1),競技会設定!$AC$2:$AC$24,0),1),INDEX(競技会設定!$X$2:$AC$24,MATCH(INDEX(男子エントリー!$R$6:$V$406,MATCH($G98&amp;RIGHT(AB$1,1),男子エントリー!$V$6:$V$406,0)-MATCH($G98&amp;RIGHT(AB$1,1),男子エントリー!$V$6:$V$406,0)+1,1),競技会設定!$AC$2:$AC$24,0),1)),"")</f>
        <v/>
      </c>
      <c r="AC98" s="1" t="str">
        <f>IF(AB98=14,リレーエントリー!$I$12,_xlfn.IFNA(INDEX(男子エントリー!$J$7:$AH$406,MATCH($G98&amp;RIGHT(AD$1,1),男子エントリー!$AH$7:$AH$406,0),3),""))</f>
        <v/>
      </c>
      <c r="AD98" s="1" t="str">
        <f t="shared" si="21"/>
        <v/>
      </c>
      <c r="AE98" s="1" t="str">
        <f t="shared" si="22"/>
        <v/>
      </c>
      <c r="AF98" s="1" t="str">
        <f t="shared" si="23"/>
        <v/>
      </c>
      <c r="AG98" s="1" t="str" cm="1">
        <f t="array" ref="AG98">_xlfn.IFNA(_xlfn.IFNA(INDEX(競技会設定!$X$2:$AC$24,MATCH(INDEX(男子エントリー!$J$7:$AH$406,MATCH($G98&amp;RIGHT(AG$1,1),男子エントリー!$AH$7:$AH$406,0),1),競技会設定!$AC$2:$AC$24,0),1),INDEX(競技会設定!$X$2:$AC$24,MATCH(INDEX(男子エントリー!$R$6:$V$406,MATCH($G98&amp;RIGHT(AG$1,1),男子エントリー!$V$6:$V$406,0)-MATCH($G98&amp;RIGHT(AG$1,1),男子エントリー!$V$6:$V$406,0)+1,1),競技会設定!$AC$2:$AC$24,0),1)),"")</f>
        <v/>
      </c>
      <c r="AH98" s="1" t="str">
        <f>IF(AG98=14,リレーエントリー!$I$12,_xlfn.IFNA(INDEX(男子エントリー!$J$7:$AH$406,MATCH($G98&amp;RIGHT(AI$1,1),男子エントリー!$AH$7:$AH$406,0),3),""))</f>
        <v/>
      </c>
      <c r="AI98" s="1" t="str">
        <f t="shared" si="24"/>
        <v/>
      </c>
      <c r="AJ98" s="1" t="str">
        <f t="shared" si="25"/>
        <v/>
      </c>
      <c r="AK98" s="1" t="str">
        <f t="shared" si="26"/>
        <v/>
      </c>
      <c r="AL98" s="1" t="str" cm="1">
        <f t="array" ref="AL98">_xlfn.IFNA(_xlfn.IFNA(INDEX(競技会設定!$X$2:$AC$24,MATCH(INDEX(男子エントリー!$J$7:$AH$406,MATCH($G98&amp;RIGHT(AL$1,1),男子エントリー!$AH$7:$AH$406,0),1),競技会設定!$AC$2:$AC$24,0),1),INDEX(競技会設定!$X$2:$AC$24,MATCH(INDEX(男子エントリー!$R$6:$V$406,MATCH($G98&amp;RIGHT(AL$1,1),男子エントリー!$V$6:$V$406,0)-MATCH($G98&amp;RIGHT(AL$1,1),男子エントリー!$V$6:$V$406,0)+1,1),競技会設定!$AC$2:$AC$24,0),1)),"")</f>
        <v/>
      </c>
      <c r="AM98" s="1" t="str">
        <f>IF(AL98=14,リレーエントリー!$I$12,_xlfn.IFNA(INDEX(男子エントリー!$J$7:$AH$406,MATCH($G98&amp;RIGHT(AN$1,1),男子エントリー!$AH$7:$AH$406,0),3),""))</f>
        <v/>
      </c>
      <c r="AN98" s="1" t="str">
        <f t="shared" si="27"/>
        <v/>
      </c>
      <c r="AO98" s="1" t="str">
        <f t="shared" si="28"/>
        <v/>
      </c>
      <c r="AP98" s="1" t="str">
        <f t="shared" si="29"/>
        <v/>
      </c>
    </row>
    <row r="99" spans="1:42">
      <c r="A99" s="1">
        <v>98</v>
      </c>
      <c r="B99" s="92" t="str">
        <f>男子エントリー!D395</f>
        <v/>
      </c>
      <c r="C99" s="1" t="str">
        <f>基本情報!$E$6</f>
        <v/>
      </c>
      <c r="D99" s="1" t="str">
        <f>基本情報!$E$7</f>
        <v/>
      </c>
      <c r="F99" s="92">
        <f>男子エントリー!C395</f>
        <v>0</v>
      </c>
      <c r="G99" s="92" t="str">
        <f>男子エントリー!E395</f>
        <v/>
      </c>
      <c r="H99" s="92" t="str">
        <f>男子エントリー!F395</f>
        <v/>
      </c>
      <c r="I99" s="1" t="str">
        <f t="shared" si="30"/>
        <v/>
      </c>
      <c r="J99" s="1" t="e">
        <f>LEFT(男子エントリー!E397,FIND(",",LEFT(男子エントリー!E397,LEN(男子エントリー!E397)-5))-1)&amp;LEFT(RIGHT(男子エントリー!E397,LEN(男子エントリー!E397)-FIND(",",男子エントリー!E397)),LEN(RIGHT(男子エントリー!E397,LEN(男子エントリー!E397)-FIND(",",男子エントリー!E397)))-5)</f>
        <v>#VALUE!</v>
      </c>
      <c r="K99" s="1" t="str">
        <f>男子エントリー!G397</f>
        <v/>
      </c>
      <c r="L99" s="1" t="str">
        <f t="shared" si="31"/>
        <v/>
      </c>
      <c r="M99" s="92" t="str">
        <f>男子エントリー!G395</f>
        <v/>
      </c>
      <c r="N99" s="92" t="e">
        <f>MID(男子エントリー!E397,FIND("(",男子エントリー!E397)+1,2)</f>
        <v>#VALUE!</v>
      </c>
      <c r="O99" s="1">
        <v>0</v>
      </c>
      <c r="P99" s="92" t="e">
        <f>VLOOKUP(男子エントリー!G396,競技会設定!$F$3:$I$50,2,0)</f>
        <v>#N/A</v>
      </c>
      <c r="R99" s="1" t="str" cm="1">
        <f t="array" ref="R99">_xlfn.IFNA(_xlfn.IFNA(INDEX(競技会設定!$X$2:$AC$24,MATCH(INDEX(男子エントリー!$J$7:$AH$406,MATCH($G99&amp;RIGHT(R$1,1),男子エントリー!$AH$7:$AH$406,0),1),競技会設定!$AC$2:$AC$24,0),1),INDEX(競技会設定!$X$2:$AC$24,MATCH(INDEX(男子エントリー!$R$6:$V$406,MATCH($G99&amp;RIGHT(R$1,1),男子エントリー!$V$6:$V$406,0)-MATCH($G99&amp;RIGHT(R$1,1),男子エントリー!$V$6:$V$406,0)+1,1),競技会設定!$AC$2:$AC$24,0),1)),"")</f>
        <v/>
      </c>
      <c r="S99" s="1" t="str">
        <f>IF(R99=14,リレーエントリー!$I$12,_xlfn.IFNA(INDEX(男子エントリー!$J$7:$AH$406,MATCH($G99&amp;RIGHT(T$1,1),男子エントリー!$AH$7:$AH$406,0),3),""))</f>
        <v/>
      </c>
      <c r="T99" s="1" t="str">
        <f t="shared" si="32"/>
        <v/>
      </c>
      <c r="U99" s="1" t="str">
        <f t="shared" si="34"/>
        <v/>
      </c>
      <c r="V99" s="1" t="str">
        <f t="shared" si="33"/>
        <v/>
      </c>
      <c r="W99" s="1" t="str" cm="1">
        <f t="array" ref="W99">_xlfn.IFNA(_xlfn.IFNA(INDEX(競技会設定!$X$2:$AC$24,MATCH(INDEX(男子エントリー!$J$7:$AH$406,MATCH($G99&amp;RIGHT(W$1,1),男子エントリー!$AH$7:$AH$406,0),1),競技会設定!$AC$2:$AC$24,0),1),INDEX(競技会設定!$X$2:$AC$24,MATCH(INDEX(男子エントリー!$R$6:$V$406,MATCH($G99&amp;RIGHT(W$1,1),男子エントリー!$V$6:$V$406,0)-MATCH($G99&amp;RIGHT(W$1,1),男子エントリー!$V$6:$V$406,0)+1,1),競技会設定!$AC$2:$AC$24,0),1)),"")</f>
        <v/>
      </c>
      <c r="X99" s="1" t="str">
        <f>IF(W99=14,リレーエントリー!$I$12,_xlfn.IFNA(INDEX(男子エントリー!$J$7:$AH$406,MATCH($G99&amp;RIGHT(Y$1,1),男子エントリー!$AH$7:$AH$406,0),3),""))</f>
        <v/>
      </c>
      <c r="Y99" s="1" t="str">
        <f t="shared" si="18"/>
        <v/>
      </c>
      <c r="Z99" s="1" t="str">
        <f t="shared" si="19"/>
        <v/>
      </c>
      <c r="AA99" s="1" t="str">
        <f t="shared" si="20"/>
        <v/>
      </c>
      <c r="AB99" s="1" t="str" cm="1">
        <f t="array" ref="AB99">_xlfn.IFNA(_xlfn.IFNA(INDEX(競技会設定!$X$2:$AC$24,MATCH(INDEX(男子エントリー!$J$7:$AH$406,MATCH($G99&amp;RIGHT(AB$1,1),男子エントリー!$AH$7:$AH$406,0),1),競技会設定!$AC$2:$AC$24,0),1),INDEX(競技会設定!$X$2:$AC$24,MATCH(INDEX(男子エントリー!$R$6:$V$406,MATCH($G99&amp;RIGHT(AB$1,1),男子エントリー!$V$6:$V$406,0)-MATCH($G99&amp;RIGHT(AB$1,1),男子エントリー!$V$6:$V$406,0)+1,1),競技会設定!$AC$2:$AC$24,0),1)),"")</f>
        <v/>
      </c>
      <c r="AC99" s="1" t="str">
        <f>IF(AB99=14,リレーエントリー!$I$12,_xlfn.IFNA(INDEX(男子エントリー!$J$7:$AH$406,MATCH($G99&amp;RIGHT(AD$1,1),男子エントリー!$AH$7:$AH$406,0),3),""))</f>
        <v/>
      </c>
      <c r="AD99" s="1" t="str">
        <f t="shared" si="21"/>
        <v/>
      </c>
      <c r="AE99" s="1" t="str">
        <f t="shared" si="22"/>
        <v/>
      </c>
      <c r="AF99" s="1" t="str">
        <f t="shared" si="23"/>
        <v/>
      </c>
      <c r="AG99" s="1" t="str" cm="1">
        <f t="array" ref="AG99">_xlfn.IFNA(_xlfn.IFNA(INDEX(競技会設定!$X$2:$AC$24,MATCH(INDEX(男子エントリー!$J$7:$AH$406,MATCH($G99&amp;RIGHT(AG$1,1),男子エントリー!$AH$7:$AH$406,0),1),競技会設定!$AC$2:$AC$24,0),1),INDEX(競技会設定!$X$2:$AC$24,MATCH(INDEX(男子エントリー!$R$6:$V$406,MATCH($G99&amp;RIGHT(AG$1,1),男子エントリー!$V$6:$V$406,0)-MATCH($G99&amp;RIGHT(AG$1,1),男子エントリー!$V$6:$V$406,0)+1,1),競技会設定!$AC$2:$AC$24,0),1)),"")</f>
        <v/>
      </c>
      <c r="AH99" s="1" t="str">
        <f>IF(AG99=14,リレーエントリー!$I$12,_xlfn.IFNA(INDEX(男子エントリー!$J$7:$AH$406,MATCH($G99&amp;RIGHT(AI$1,1),男子エントリー!$AH$7:$AH$406,0),3),""))</f>
        <v/>
      </c>
      <c r="AI99" s="1" t="str">
        <f t="shared" si="24"/>
        <v/>
      </c>
      <c r="AJ99" s="1" t="str">
        <f t="shared" si="25"/>
        <v/>
      </c>
      <c r="AK99" s="1" t="str">
        <f t="shared" si="26"/>
        <v/>
      </c>
      <c r="AL99" s="1" t="str" cm="1">
        <f t="array" ref="AL99">_xlfn.IFNA(_xlfn.IFNA(INDEX(競技会設定!$X$2:$AC$24,MATCH(INDEX(男子エントリー!$J$7:$AH$406,MATCH($G99&amp;RIGHT(AL$1,1),男子エントリー!$AH$7:$AH$406,0),1),競技会設定!$AC$2:$AC$24,0),1),INDEX(競技会設定!$X$2:$AC$24,MATCH(INDEX(男子エントリー!$R$6:$V$406,MATCH($G99&amp;RIGHT(AL$1,1),男子エントリー!$V$6:$V$406,0)-MATCH($G99&amp;RIGHT(AL$1,1),男子エントリー!$V$6:$V$406,0)+1,1),競技会設定!$AC$2:$AC$24,0),1)),"")</f>
        <v/>
      </c>
      <c r="AM99" s="1" t="str">
        <f>IF(AL99=14,リレーエントリー!$I$12,_xlfn.IFNA(INDEX(男子エントリー!$J$7:$AH$406,MATCH($G99&amp;RIGHT(AN$1,1),男子エントリー!$AH$7:$AH$406,0),3),""))</f>
        <v/>
      </c>
      <c r="AN99" s="1" t="str">
        <f t="shared" si="27"/>
        <v/>
      </c>
      <c r="AO99" s="1" t="str">
        <f t="shared" si="28"/>
        <v/>
      </c>
      <c r="AP99" s="1" t="str">
        <f t="shared" si="29"/>
        <v/>
      </c>
    </row>
    <row r="100" spans="1:42">
      <c r="A100" s="1">
        <v>99</v>
      </c>
      <c r="B100" s="92" t="str">
        <f>男子エントリー!D399</f>
        <v/>
      </c>
      <c r="C100" s="1" t="str">
        <f>基本情報!$E$6</f>
        <v/>
      </c>
      <c r="D100" s="1" t="str">
        <f>基本情報!$E$7</f>
        <v/>
      </c>
      <c r="F100" s="92">
        <f>男子エントリー!C399</f>
        <v>0</v>
      </c>
      <c r="G100" s="92" t="str">
        <f>男子エントリー!E399</f>
        <v/>
      </c>
      <c r="H100" s="92" t="str">
        <f>男子エントリー!F399</f>
        <v/>
      </c>
      <c r="I100" s="1" t="str">
        <f t="shared" si="30"/>
        <v/>
      </c>
      <c r="J100" s="1" t="e">
        <f>LEFT(男子エントリー!E401,FIND(",",LEFT(男子エントリー!E401,LEN(男子エントリー!E401)-5))-1)&amp;LEFT(RIGHT(男子エントリー!E401,LEN(男子エントリー!E401)-FIND(",",男子エントリー!E401)),LEN(RIGHT(男子エントリー!E401,LEN(男子エントリー!E401)-FIND(",",男子エントリー!E401)))-5)</f>
        <v>#VALUE!</v>
      </c>
      <c r="K100" s="1" t="str">
        <f>男子エントリー!G401</f>
        <v/>
      </c>
      <c r="L100" s="1" t="str">
        <f t="shared" si="31"/>
        <v/>
      </c>
      <c r="M100" s="92" t="str">
        <f>男子エントリー!G399</f>
        <v/>
      </c>
      <c r="N100" s="92" t="e">
        <f>MID(男子エントリー!E401,FIND("(",男子エントリー!E401)+1,2)</f>
        <v>#VALUE!</v>
      </c>
      <c r="O100" s="1">
        <v>0</v>
      </c>
      <c r="P100" s="92" t="e">
        <f>VLOOKUP(男子エントリー!G400,競技会設定!$F$3:$I$50,2,0)</f>
        <v>#N/A</v>
      </c>
      <c r="R100" s="1" t="str" cm="1">
        <f t="array" ref="R100">_xlfn.IFNA(_xlfn.IFNA(INDEX(競技会設定!$X$2:$AC$24,MATCH(INDEX(男子エントリー!$J$7:$AH$406,MATCH($G100&amp;RIGHT(R$1,1),男子エントリー!$AH$7:$AH$406,0),1),競技会設定!$AC$2:$AC$24,0),1),INDEX(競技会設定!$X$2:$AC$24,MATCH(INDEX(男子エントリー!$R$6:$V$406,MATCH($G100&amp;RIGHT(R$1,1),男子エントリー!$V$6:$V$406,0)-MATCH($G100&amp;RIGHT(R$1,1),男子エントリー!$V$6:$V$406,0)+1,1),競技会設定!$AC$2:$AC$24,0),1)),"")</f>
        <v/>
      </c>
      <c r="S100" s="1" t="str">
        <f>IF(R100=14,リレーエントリー!$I$12,_xlfn.IFNA(INDEX(男子エントリー!$J$7:$AH$406,MATCH($G100&amp;RIGHT(T$1,1),男子エントリー!$AH$7:$AH$406,0),3),""))</f>
        <v/>
      </c>
      <c r="T100" s="1" t="str">
        <f t="shared" si="32"/>
        <v/>
      </c>
      <c r="U100" s="1" t="str">
        <f t="shared" si="34"/>
        <v/>
      </c>
      <c r="V100" s="1" t="str">
        <f t="shared" si="33"/>
        <v/>
      </c>
      <c r="W100" s="1" t="str" cm="1">
        <f t="array" ref="W100">_xlfn.IFNA(_xlfn.IFNA(INDEX(競技会設定!$X$2:$AC$24,MATCH(INDEX(男子エントリー!$J$7:$AH$406,MATCH($G100&amp;RIGHT(W$1,1),男子エントリー!$AH$7:$AH$406,0),1),競技会設定!$AC$2:$AC$24,0),1),INDEX(競技会設定!$X$2:$AC$24,MATCH(INDEX(男子エントリー!$R$6:$V$406,MATCH($G100&amp;RIGHT(W$1,1),男子エントリー!$V$6:$V$406,0)-MATCH($G100&amp;RIGHT(W$1,1),男子エントリー!$V$6:$V$406,0)+1,1),競技会設定!$AC$2:$AC$24,0),1)),"")</f>
        <v/>
      </c>
      <c r="X100" s="1" t="str">
        <f>IF(W100=14,リレーエントリー!$I$12,_xlfn.IFNA(INDEX(男子エントリー!$J$7:$AH$406,MATCH($G100&amp;RIGHT(Y$1,1),男子エントリー!$AH$7:$AH$406,0),3),""))</f>
        <v/>
      </c>
      <c r="Y100" s="1" t="str">
        <f t="shared" si="18"/>
        <v/>
      </c>
      <c r="Z100" s="1" t="str">
        <f t="shared" si="19"/>
        <v/>
      </c>
      <c r="AA100" s="1" t="str">
        <f t="shared" si="20"/>
        <v/>
      </c>
      <c r="AB100" s="1" t="str" cm="1">
        <f t="array" ref="AB100">_xlfn.IFNA(_xlfn.IFNA(INDEX(競技会設定!$X$2:$AC$24,MATCH(INDEX(男子エントリー!$J$7:$AH$406,MATCH($G100&amp;RIGHT(AB$1,1),男子エントリー!$AH$7:$AH$406,0),1),競技会設定!$AC$2:$AC$24,0),1),INDEX(競技会設定!$X$2:$AC$24,MATCH(INDEX(男子エントリー!$R$6:$V$406,MATCH($G100&amp;RIGHT(AB$1,1),男子エントリー!$V$6:$V$406,0)-MATCH($G100&amp;RIGHT(AB$1,1),男子エントリー!$V$6:$V$406,0)+1,1),競技会設定!$AC$2:$AC$24,0),1)),"")</f>
        <v/>
      </c>
      <c r="AC100" s="1" t="str">
        <f>IF(AB100=14,リレーエントリー!$I$12,_xlfn.IFNA(INDEX(男子エントリー!$J$7:$AH$406,MATCH($G100&amp;RIGHT(AD$1,1),男子エントリー!$AH$7:$AH$406,0),3),""))</f>
        <v/>
      </c>
      <c r="AD100" s="1" t="str">
        <f t="shared" si="21"/>
        <v/>
      </c>
      <c r="AE100" s="1" t="str">
        <f t="shared" si="22"/>
        <v/>
      </c>
      <c r="AF100" s="1" t="str">
        <f t="shared" si="23"/>
        <v/>
      </c>
      <c r="AG100" s="1" t="str" cm="1">
        <f t="array" ref="AG100">_xlfn.IFNA(_xlfn.IFNA(INDEX(競技会設定!$X$2:$AC$24,MATCH(INDEX(男子エントリー!$J$7:$AH$406,MATCH($G100&amp;RIGHT(AG$1,1),男子エントリー!$AH$7:$AH$406,0),1),競技会設定!$AC$2:$AC$24,0),1),INDEX(競技会設定!$X$2:$AC$24,MATCH(INDEX(男子エントリー!$R$6:$V$406,MATCH($G100&amp;RIGHT(AG$1,1),男子エントリー!$V$6:$V$406,0)-MATCH($G100&amp;RIGHT(AG$1,1),男子エントリー!$V$6:$V$406,0)+1,1),競技会設定!$AC$2:$AC$24,0),1)),"")</f>
        <v/>
      </c>
      <c r="AH100" s="1" t="str">
        <f>IF(AG100=14,リレーエントリー!$I$12,_xlfn.IFNA(INDEX(男子エントリー!$J$7:$AH$406,MATCH($G100&amp;RIGHT(AI$1,1),男子エントリー!$AH$7:$AH$406,0),3),""))</f>
        <v/>
      </c>
      <c r="AI100" s="1" t="str">
        <f t="shared" si="24"/>
        <v/>
      </c>
      <c r="AJ100" s="1" t="str">
        <f t="shared" si="25"/>
        <v/>
      </c>
      <c r="AK100" s="1" t="str">
        <f t="shared" si="26"/>
        <v/>
      </c>
      <c r="AL100" s="1" t="str" cm="1">
        <f t="array" ref="AL100">_xlfn.IFNA(_xlfn.IFNA(INDEX(競技会設定!$X$2:$AC$24,MATCH(INDEX(男子エントリー!$J$7:$AH$406,MATCH($G100&amp;RIGHT(AL$1,1),男子エントリー!$AH$7:$AH$406,0),1),競技会設定!$AC$2:$AC$24,0),1),INDEX(競技会設定!$X$2:$AC$24,MATCH(INDEX(男子エントリー!$R$6:$V$406,MATCH($G100&amp;RIGHT(AL$1,1),男子エントリー!$V$6:$V$406,0)-MATCH($G100&amp;RIGHT(AL$1,1),男子エントリー!$V$6:$V$406,0)+1,1),競技会設定!$AC$2:$AC$24,0),1)),"")</f>
        <v/>
      </c>
      <c r="AM100" s="1" t="str">
        <f>IF(AL100=14,リレーエントリー!$I$12,_xlfn.IFNA(INDEX(男子エントリー!$J$7:$AH$406,MATCH($G100&amp;RIGHT(AN$1,1),男子エントリー!$AH$7:$AH$406,0),3),""))</f>
        <v/>
      </c>
      <c r="AN100" s="1" t="str">
        <f t="shared" si="27"/>
        <v/>
      </c>
      <c r="AO100" s="1" t="str">
        <f t="shared" si="28"/>
        <v/>
      </c>
      <c r="AP100" s="1" t="str">
        <f t="shared" si="29"/>
        <v/>
      </c>
    </row>
    <row r="101" spans="1:42">
      <c r="A101" s="1">
        <v>100</v>
      </c>
      <c r="B101" s="92" t="str">
        <f>男子エントリー!D403</f>
        <v/>
      </c>
      <c r="C101" s="1" t="str">
        <f>基本情報!$E$6</f>
        <v/>
      </c>
      <c r="D101" s="1" t="str">
        <f>基本情報!$E$7</f>
        <v/>
      </c>
      <c r="F101" s="92">
        <f>男子エントリー!C403</f>
        <v>0</v>
      </c>
      <c r="G101" s="92" t="str">
        <f>男子エントリー!E403</f>
        <v/>
      </c>
      <c r="H101" s="92" t="str">
        <f>男子エントリー!F403</f>
        <v/>
      </c>
      <c r="I101" s="1" t="str">
        <f t="shared" si="30"/>
        <v/>
      </c>
      <c r="J101" s="1" t="e">
        <f>LEFT(男子エントリー!E405,FIND(",",LEFT(男子エントリー!E405,LEN(男子エントリー!E405)-5))-1)&amp;LEFT(RIGHT(男子エントリー!E405,LEN(男子エントリー!E405)-FIND(",",男子エントリー!E405)),LEN(RIGHT(男子エントリー!E405,LEN(男子エントリー!E405)-FIND(",",男子エントリー!E405)))-5)</f>
        <v>#VALUE!</v>
      </c>
      <c r="K101" s="1" t="str">
        <f>男子エントリー!G405</f>
        <v/>
      </c>
      <c r="L101" s="1" t="str">
        <f t="shared" si="31"/>
        <v/>
      </c>
      <c r="M101" s="92" t="str">
        <f>男子エントリー!G403</f>
        <v/>
      </c>
      <c r="N101" s="92" t="e">
        <f>MID(男子エントリー!E405,FIND("(",男子エントリー!E405)+1,2)</f>
        <v>#VALUE!</v>
      </c>
      <c r="O101" s="1">
        <v>0</v>
      </c>
      <c r="P101" s="92" t="e">
        <f>VLOOKUP(男子エントリー!G404,競技会設定!$F$3:$I$50,2,0)</f>
        <v>#N/A</v>
      </c>
      <c r="R101" s="1" t="str" cm="1">
        <f t="array" ref="R101">_xlfn.IFNA(_xlfn.IFNA(INDEX(競技会設定!$X$2:$AC$24,MATCH(INDEX(男子エントリー!$J$7:$AH$406,MATCH($G101&amp;RIGHT(R$1,1),男子エントリー!$AH$7:$AH$406,0),1),競技会設定!$AC$2:$AC$24,0),1),INDEX(競技会設定!$X$2:$AC$24,MATCH(INDEX(男子エントリー!$R$6:$V$406,MATCH($G101&amp;RIGHT(R$1,1),男子エントリー!$V$6:$V$406,0)-MATCH($G101&amp;RIGHT(R$1,1),男子エントリー!$V$6:$V$406,0)+1,1),競技会設定!$AC$2:$AC$24,0),1)),"")</f>
        <v/>
      </c>
      <c r="S101" s="1" t="str">
        <f>IF(R101=14,リレーエントリー!$I$12,_xlfn.IFNA(INDEX(男子エントリー!$J$7:$AH$406,MATCH($G101&amp;RIGHT(T$1,1),男子エントリー!$AH$7:$AH$406,0),3),""))</f>
        <v/>
      </c>
      <c r="T101" s="1" t="str">
        <f t="shared" si="32"/>
        <v/>
      </c>
      <c r="U101" s="1" t="str">
        <f t="shared" si="34"/>
        <v/>
      </c>
      <c r="V101" s="1" t="str">
        <f t="shared" si="33"/>
        <v/>
      </c>
      <c r="W101" s="1" t="str" cm="1">
        <f t="array" ref="W101">_xlfn.IFNA(_xlfn.IFNA(INDEX(競技会設定!$X$2:$AC$24,MATCH(INDEX(男子エントリー!$J$7:$AH$406,MATCH($G101&amp;RIGHT(W$1,1),男子エントリー!$AH$7:$AH$406,0),1),競技会設定!$AC$2:$AC$24,0),1),INDEX(競技会設定!$X$2:$AC$24,MATCH(INDEX(男子エントリー!$R$6:$V$406,MATCH($G101&amp;RIGHT(W$1,1),男子エントリー!$V$6:$V$406,0)-MATCH($G101&amp;RIGHT(W$1,1),男子エントリー!$V$6:$V$406,0)+1,1),競技会設定!$AC$2:$AC$24,0),1)),"")</f>
        <v/>
      </c>
      <c r="X101" s="1" t="str">
        <f>IF(W101=14,リレーエントリー!$I$12,_xlfn.IFNA(INDEX(男子エントリー!$J$7:$AH$406,MATCH($G101&amp;RIGHT(Y$1,1),男子エントリー!$AH$7:$AH$406,0),3),""))</f>
        <v/>
      </c>
      <c r="Y101" s="1" t="str">
        <f t="shared" si="18"/>
        <v/>
      </c>
      <c r="Z101" s="1" t="str">
        <f t="shared" si="19"/>
        <v/>
      </c>
      <c r="AA101" s="1" t="str">
        <f t="shared" si="20"/>
        <v/>
      </c>
      <c r="AB101" s="1" t="str" cm="1">
        <f t="array" ref="AB101">_xlfn.IFNA(_xlfn.IFNA(INDEX(競技会設定!$X$2:$AC$24,MATCH(INDEX(男子エントリー!$J$7:$AH$406,MATCH($G101&amp;RIGHT(AB$1,1),男子エントリー!$AH$7:$AH$406,0),1),競技会設定!$AC$2:$AC$24,0),1),INDEX(競技会設定!$X$2:$AC$24,MATCH(INDEX(男子エントリー!$R$6:$V$406,MATCH($G101&amp;RIGHT(AB$1,1),男子エントリー!$V$6:$V$406,0)-MATCH($G101&amp;RIGHT(AB$1,1),男子エントリー!$V$6:$V$406,0)+1,1),競技会設定!$AC$2:$AC$24,0),1)),"")</f>
        <v/>
      </c>
      <c r="AC101" s="1" t="str">
        <f>IF(AB101=14,リレーエントリー!$I$12,_xlfn.IFNA(INDEX(男子エントリー!$J$7:$AH$406,MATCH($G101&amp;RIGHT(AD$1,1),男子エントリー!$AH$7:$AH$406,0),3),""))</f>
        <v/>
      </c>
      <c r="AD101" s="1" t="str">
        <f t="shared" si="21"/>
        <v/>
      </c>
      <c r="AE101" s="1" t="str">
        <f t="shared" si="22"/>
        <v/>
      </c>
      <c r="AF101" s="1" t="str">
        <f t="shared" si="23"/>
        <v/>
      </c>
      <c r="AG101" s="1" t="str" cm="1">
        <f t="array" ref="AG101">_xlfn.IFNA(_xlfn.IFNA(INDEX(競技会設定!$X$2:$AC$24,MATCH(INDEX(男子エントリー!$J$7:$AH$406,MATCH($G101&amp;RIGHT(AG$1,1),男子エントリー!$AH$7:$AH$406,0),1),競技会設定!$AC$2:$AC$24,0),1),INDEX(競技会設定!$X$2:$AC$24,MATCH(INDEX(男子エントリー!$R$6:$V$406,MATCH($G101&amp;RIGHT(AG$1,1),男子エントリー!$V$6:$V$406,0)-MATCH($G101&amp;RIGHT(AG$1,1),男子エントリー!$V$6:$V$406,0)+1,1),競技会設定!$AC$2:$AC$24,0),1)),"")</f>
        <v/>
      </c>
      <c r="AH101" s="1" t="str">
        <f>IF(AG101=14,リレーエントリー!$I$12,_xlfn.IFNA(INDEX(男子エントリー!$J$7:$AH$406,MATCH($G101&amp;RIGHT(AI$1,1),男子エントリー!$AH$7:$AH$406,0),3),""))</f>
        <v/>
      </c>
      <c r="AI101" s="1" t="str">
        <f t="shared" si="24"/>
        <v/>
      </c>
      <c r="AJ101" s="1" t="str">
        <f t="shared" si="25"/>
        <v/>
      </c>
      <c r="AK101" s="1" t="str">
        <f t="shared" si="26"/>
        <v/>
      </c>
      <c r="AL101" s="1" t="str" cm="1">
        <f t="array" ref="AL101">_xlfn.IFNA(_xlfn.IFNA(INDEX(競技会設定!$X$2:$AC$24,MATCH(INDEX(男子エントリー!$J$7:$AH$406,MATCH($G101&amp;RIGHT(AL$1,1),男子エントリー!$AH$7:$AH$406,0),1),競技会設定!$AC$2:$AC$24,0),1),INDEX(競技会設定!$X$2:$AC$24,MATCH(INDEX(男子エントリー!$R$6:$V$406,MATCH($G101&amp;RIGHT(AL$1,1),男子エントリー!$V$6:$V$406,0)-MATCH($G101&amp;RIGHT(AL$1,1),男子エントリー!$V$6:$V$406,0)+1,1),競技会設定!$AC$2:$AC$24,0),1)),"")</f>
        <v/>
      </c>
      <c r="AM101" s="1" t="str">
        <f>IF(AL101=14,リレーエントリー!$I$12,_xlfn.IFNA(INDEX(男子エントリー!$J$7:$AH$406,MATCH($G101&amp;RIGHT(AN$1,1),男子エントリー!$AH$7:$AH$406,0),3),""))</f>
        <v/>
      </c>
      <c r="AN101" s="1" t="str">
        <f t="shared" si="27"/>
        <v/>
      </c>
      <c r="AO101" s="1" t="str">
        <f t="shared" si="28"/>
        <v/>
      </c>
      <c r="AP101" s="1" t="str">
        <f t="shared" si="29"/>
        <v/>
      </c>
    </row>
  </sheetData>
  <phoneticPr fontId="3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0A081-6ED5-44B5-8ACE-AA7F87359943}">
  <sheetPr codeName="Sheet11"/>
  <dimension ref="A1:AP101"/>
  <sheetViews>
    <sheetView topLeftCell="B1" workbookViewId="0">
      <selection activeCell="I30" sqref="I30"/>
    </sheetView>
  </sheetViews>
  <sheetFormatPr defaultRowHeight="13.2"/>
  <cols>
    <col min="1" max="1" width="8.59765625" style="1" hidden="1" customWidth="1"/>
    <col min="2" max="18" width="8.5" style="1" customWidth="1"/>
    <col min="19" max="19" width="8.5" style="1" hidden="1" customWidth="1"/>
    <col min="20" max="23" width="8.5" style="1" customWidth="1"/>
    <col min="24" max="24" width="8.5" style="1" hidden="1" customWidth="1"/>
    <col min="25" max="28" width="8.5" style="1" customWidth="1"/>
    <col min="29" max="29" width="8.5" style="1" hidden="1" customWidth="1"/>
    <col min="30" max="33" width="8.5" style="1" customWidth="1"/>
    <col min="34" max="34" width="8.5" style="1" hidden="1" customWidth="1"/>
    <col min="35" max="38" width="8.5" style="1" customWidth="1"/>
    <col min="39" max="39" width="8.5" style="1" hidden="1" customWidth="1"/>
    <col min="40" max="42" width="8.5" style="1" customWidth="1"/>
    <col min="43" max="16384" width="8.796875" style="1"/>
  </cols>
  <sheetData>
    <row r="1" spans="1:42" s="104" customFormat="1">
      <c r="A1" s="104" t="s">
        <v>6907</v>
      </c>
      <c r="B1" s="10" t="s">
        <v>7106</v>
      </c>
      <c r="C1" s="10" t="s">
        <v>6909</v>
      </c>
      <c r="D1" s="10" t="s">
        <v>6910</v>
      </c>
      <c r="E1" s="10" t="s">
        <v>6911</v>
      </c>
      <c r="F1" s="10" t="s">
        <v>6912</v>
      </c>
      <c r="G1" s="10" t="s">
        <v>6913</v>
      </c>
      <c r="H1" s="10" t="s">
        <v>6914</v>
      </c>
      <c r="I1" s="10" t="s">
        <v>6915</v>
      </c>
      <c r="J1" s="10" t="s">
        <v>7013</v>
      </c>
      <c r="K1" s="10" t="s">
        <v>7011</v>
      </c>
      <c r="L1" s="10" t="s">
        <v>6916</v>
      </c>
      <c r="M1" s="10" t="s">
        <v>6776</v>
      </c>
      <c r="N1" s="10" t="s">
        <v>6917</v>
      </c>
      <c r="O1" s="10" t="s">
        <v>6918</v>
      </c>
      <c r="P1" s="10" t="s">
        <v>6919</v>
      </c>
      <c r="Q1" s="10" t="s">
        <v>6920</v>
      </c>
      <c r="R1" s="10" t="s">
        <v>6921</v>
      </c>
      <c r="T1" s="10" t="s">
        <v>6922</v>
      </c>
      <c r="U1" s="10" t="s">
        <v>6923</v>
      </c>
      <c r="V1" s="10" t="s">
        <v>6924</v>
      </c>
      <c r="W1" s="10" t="s">
        <v>6925</v>
      </c>
      <c r="Y1" s="10" t="s">
        <v>6926</v>
      </c>
      <c r="Z1" s="10" t="s">
        <v>6927</v>
      </c>
      <c r="AA1" s="10" t="s">
        <v>6928</v>
      </c>
      <c r="AB1" s="10" t="s">
        <v>6929</v>
      </c>
      <c r="AD1" s="10" t="s">
        <v>6930</v>
      </c>
      <c r="AE1" s="10" t="s">
        <v>6931</v>
      </c>
      <c r="AF1" s="10" t="s">
        <v>6932</v>
      </c>
      <c r="AG1" s="10" t="s">
        <v>6933</v>
      </c>
      <c r="AI1" s="10" t="s">
        <v>6934</v>
      </c>
      <c r="AJ1" s="10" t="s">
        <v>6935</v>
      </c>
      <c r="AK1" s="10" t="s">
        <v>6936</v>
      </c>
      <c r="AL1" s="10" t="s">
        <v>6937</v>
      </c>
      <c r="AN1" s="10" t="s">
        <v>6938</v>
      </c>
      <c r="AO1" s="10" t="s">
        <v>6939</v>
      </c>
      <c r="AP1" s="10" t="s">
        <v>6940</v>
      </c>
    </row>
    <row r="2" spans="1:42">
      <c r="A2" s="1">
        <v>1</v>
      </c>
      <c r="B2" s="92" t="str">
        <f>女子エントリー!D7</f>
        <v/>
      </c>
      <c r="C2" s="1" t="str">
        <f>基本情報!$E$6</f>
        <v/>
      </c>
      <c r="D2" s="1" t="str">
        <f>基本情報!$E$7</f>
        <v/>
      </c>
      <c r="F2" s="92">
        <f>女子エントリー!C7</f>
        <v>0</v>
      </c>
      <c r="G2" s="92" t="str">
        <f>女子エントリー!E7</f>
        <v/>
      </c>
      <c r="H2" s="92" t="str">
        <f>女子エントリー!F7</f>
        <v/>
      </c>
      <c r="I2" s="1" t="str">
        <f>G2</f>
        <v/>
      </c>
      <c r="J2" s="1" t="e">
        <f>LEFT(女子エントリー!E9,FIND(",",LEFT(女子エントリー!E9,LEN(女子エントリー!E9)-5))-1)&amp;LEFT(RIGHT(女子エントリー!E9,LEN(女子エントリー!E9)-FIND(",",女子エントリー!E9)),LEN(RIGHT(女子エントリー!E9,LEN(女子エントリー!E9)-FIND(",",女子エントリー!E9)))-5)</f>
        <v>#VALUE!</v>
      </c>
      <c r="K2" s="92" t="str">
        <f>女子エントリー!G9</f>
        <v/>
      </c>
      <c r="L2" s="1" t="str">
        <f t="shared" ref="L2:L33" si="0">MID(B2,3,1)</f>
        <v/>
      </c>
      <c r="M2" s="92" t="str">
        <f>女子エントリー!G7</f>
        <v/>
      </c>
      <c r="N2" s="92" t="e">
        <f>MID(女子エントリー!E9,FIND("(",女子エントリー!E9)+1,2)</f>
        <v>#VALUE!</v>
      </c>
      <c r="O2" s="1">
        <v>0</v>
      </c>
      <c r="P2" s="92" t="e">
        <f>VLOOKUP(女子エントリー!G8,競技会設定!$F$3:$I$50,2,0)</f>
        <v>#N/A</v>
      </c>
      <c r="R2" s="1" t="str" cm="1">
        <f t="array" ref="R2">_xlfn.IFNA(_xlfn.IFNA(INDEX(競技会設定!$X$25:$AC$47,MATCH(INDEX(女子エントリー!$J$7:$AH$406,MATCH($G2&amp;RIGHT(R$1,1),女子エントリー!$AH$7:$AH$406,0),1),競技会設定!$AC$25:$AC$47,0),1),INDEX(競技会設定!$X$25:$AC$47,MATCH(INDEX(女子エントリー!$R$6:$V$406,MATCH($G2&amp;RIGHT(R$1,1),女子エントリー!$V$6:$V$406,0)-MATCH($G2&amp;RIGHT(R$1,1),女子エントリー!$V$6:$V$406,0)+1,1),競技会設定!$AC$25:$AC$47,0),1)),"")</f>
        <v/>
      </c>
      <c r="S2" s="1" t="str">
        <f>IF(R2=37,リレーエントリー!$I$27,_xlfn.IFNA(INDEX(女子エントリー!$J$7:$AH$406,MATCH($G2&amp;RIGHT(T$1,1),女子エントリー!$AH$7:$AH$406,0),3),""))</f>
        <v/>
      </c>
      <c r="T2" s="1" t="str">
        <f>IFERROR(IF(S2=0,"",IF(R2=46,S2,IF(R2&gt;37,INT(S2/100)&amp;"m"&amp;TEXT(RIGHT(S2,2),"00"),IF(S2&gt;5999,INT(S2/10000)&amp;"."&amp;TEXT(INT(MOD(S2,10000)/100),"00")&amp;"."&amp;TEXT(MOD(S2,100),"00")&amp;"0",INT(S2/100)&amp;"."&amp;TEXT(MOD(S2,100),"00"))))),"")</f>
        <v/>
      </c>
      <c r="U2" s="1" t="str">
        <f>IF(R2="","",0)</f>
        <v/>
      </c>
      <c r="V2" s="1" t="str">
        <f>_xlfn.IFNA(IF(S2="","",IF(S2&gt;0,2,"")),"")</f>
        <v/>
      </c>
      <c r="W2" s="1" t="str" cm="1">
        <f t="array" ref="W2">_xlfn.IFNA(_xlfn.IFNA(INDEX(競技会設定!$X$25:$AC$47,MATCH(INDEX(女子エントリー!$J$7:$AH$406,MATCH($G2&amp;RIGHT(W$1,1),女子エントリー!$AH$7:$AH$406,0),1),競技会設定!$AC$25:$AC$47,0),1),INDEX(競技会設定!$X$25:$AC$47,MATCH(INDEX(女子エントリー!$R$6:$V$406,MATCH($G2&amp;RIGHT(W$1,1),女子エントリー!$V$6:$V$406,0)-MATCH($G2&amp;RIGHT(W$1,1),女子エントリー!$V$6:$V$406,0)+1,1),競技会設定!$AC$25:$AC$47,0),1)),"")</f>
        <v/>
      </c>
      <c r="X2" s="1" t="str">
        <f>IF(W2=37,リレーエントリー!$I$27,_xlfn.IFNA(INDEX(女子エントリー!$J$7:$AH$406,MATCH($G2&amp;RIGHT(Y$1,1),女子エントリー!$AH$7:$AH$406,0),3),""))</f>
        <v/>
      </c>
      <c r="Y2" s="1" t="str">
        <f t="shared" ref="Y2:Y65" si="1">IFERROR(IF(X2=0,"",IF(W2=46,X2,IF(W2&gt;37,INT(X2/100)&amp;"m"&amp;TEXT(RIGHT(X2,2),"00"),IF(X2&gt;5999,INT(X2/10000)&amp;"."&amp;TEXT(INT(MOD(X2,10000)/100),"00")&amp;"."&amp;TEXT(MOD(X2,100),"00")&amp;"0",INT(X2/100)&amp;"."&amp;TEXT(MOD(X2,100),"00"))))),"")</f>
        <v/>
      </c>
      <c r="Z2" s="1" t="str">
        <f t="shared" ref="Z2:Z65" si="2">IF(W2="","",0)</f>
        <v/>
      </c>
      <c r="AA2" s="1" t="str">
        <f t="shared" ref="AA2:AA65" si="3">_xlfn.IFNA(IF(X2="","",IF(X2&gt;0,2,"")),"")</f>
        <v/>
      </c>
      <c r="AB2" s="1" t="str" cm="1">
        <f t="array" ref="AB2">_xlfn.IFNA(_xlfn.IFNA(INDEX(競技会設定!$X$25:$AC$47,MATCH(INDEX(女子エントリー!$J$7:$AH$406,MATCH($G2&amp;RIGHT(AB$1,1),女子エントリー!$AH$7:$AH$406,0),1),競技会設定!$AC$25:$AC$47,0),1),INDEX(競技会設定!$X$25:$AC$47,MATCH(INDEX(女子エントリー!$R$6:$V$406,MATCH($G2&amp;RIGHT(AB$1,1),女子エントリー!$V$6:$V$406,0)-MATCH($G2&amp;RIGHT(AB$1,1),女子エントリー!$V$6:$V$406,0)+1,1),競技会設定!$AC$25:$AC$47,0),1)),"")</f>
        <v/>
      </c>
      <c r="AC2" s="1" t="str">
        <f>IF(AB2=37,リレーエントリー!$I$27,_xlfn.IFNA(INDEX(女子エントリー!$J$7:$AH$406,MATCH($G2&amp;RIGHT(AD$1,1),女子エントリー!$AH$7:$AH$406,0),3),""))</f>
        <v/>
      </c>
      <c r="AD2" s="1" t="str">
        <f t="shared" ref="AD2:AD65" si="4">IFERROR(IF(AC2=0,"",IF(AB2=46,AC2,IF(AB2&gt;37,INT(AC2/100)&amp;"m"&amp;TEXT(RIGHT(AC2,2),"00"),IF(AC2&gt;5999,INT(AC2/10000)&amp;"."&amp;TEXT(INT(MOD(AC2,10000)/100),"00")&amp;"."&amp;TEXT(MOD(AC2,100),"00")&amp;"0",INT(AC2/100)&amp;"."&amp;TEXT(MOD(AC2,100),"00"))))),"")</f>
        <v/>
      </c>
      <c r="AE2" s="1" t="str">
        <f t="shared" ref="AE2:AE65" si="5">IF(AB2="","",0)</f>
        <v/>
      </c>
      <c r="AF2" s="1" t="str">
        <f t="shared" ref="AF2:AF65" si="6">_xlfn.IFNA(IF(AC2="","",IF(AC2&gt;0,2,"")),"")</f>
        <v/>
      </c>
      <c r="AG2" s="1" t="str" cm="1">
        <f t="array" ref="AG2">_xlfn.IFNA(_xlfn.IFNA(INDEX(競技会設定!$X$25:$AC$47,MATCH(INDEX(女子エントリー!$J$7:$AH$406,MATCH($G2&amp;RIGHT(AG$1,1),女子エントリー!$AH$7:$AH$406,0),1),競技会設定!$AC$25:$AC$47,0),1),INDEX(競技会設定!$X$25:$AC$47,MATCH(INDEX(女子エントリー!$R$6:$V$406,MATCH($G2&amp;RIGHT(AG$1,1),女子エントリー!$V$6:$V$406,0)-MATCH($G2&amp;RIGHT(AG$1,1),女子エントリー!$V$6:$V$406,0)+1,1),競技会設定!$AC$25:$AC$47,0),1)),"")</f>
        <v/>
      </c>
      <c r="AH2" s="1" t="str">
        <f>IF(AG2=37,リレーエントリー!$I$27,_xlfn.IFNA(INDEX(女子エントリー!$J$7:$AH$406,MATCH($G2&amp;RIGHT(AI$1,1),女子エントリー!$AH$7:$AH$406,0),3),""))</f>
        <v/>
      </c>
      <c r="AI2" s="1" t="str">
        <f t="shared" ref="AI2:AI65" si="7">IFERROR(IF(AH2=0,"",IF(AG2=46,AH2,IF(AG2&gt;37,INT(AH2/100)&amp;"m"&amp;TEXT(RIGHT(AH2,2),"00"),IF(AH2&gt;5999,INT(AH2/10000)&amp;"."&amp;TEXT(INT(MOD(AH2,10000)/100),"00")&amp;"."&amp;TEXT(MOD(AH2,100),"00")&amp;"0",INT(AH2/100)&amp;"."&amp;TEXT(MOD(AH2,100),"00"))))),"")</f>
        <v/>
      </c>
      <c r="AJ2" s="1" t="str">
        <f t="shared" ref="AJ2:AJ65" si="8">IF(AG2="","",0)</f>
        <v/>
      </c>
      <c r="AK2" s="1" t="str">
        <f t="shared" ref="AK2:AK65" si="9">_xlfn.IFNA(IF(AH2="","",IF(AH2&gt;0,2,"")),"")</f>
        <v/>
      </c>
      <c r="AL2" s="1" t="str" cm="1">
        <f t="array" ref="AL2">_xlfn.IFNA(_xlfn.IFNA(INDEX(競技会設定!$X$25:$AC$47,MATCH(INDEX(女子エントリー!$J$7:$AH$406,MATCH($G2&amp;RIGHT(AL$1,1),女子エントリー!$AH$7:$AH$406,0),1),競技会設定!$AC$25:$AC$47,0),1),INDEX(競技会設定!$X$25:$AC$47,MATCH(INDEX(女子エントリー!$R$6:$V$406,MATCH($G2&amp;RIGHT(AL$1,1),女子エントリー!$V$6:$V$406,0)-MATCH($G2&amp;RIGHT(AL$1,1),女子エントリー!$V$6:$V$406,0)+1,1),競技会設定!$AC$25:$AC$47,0),1)),"")</f>
        <v/>
      </c>
      <c r="AM2" s="1" t="str">
        <f>IF(AL2=37,リレーエントリー!$I$27,_xlfn.IFNA(INDEX(女子エントリー!$J$7:$AH$406,MATCH($G2&amp;RIGHT(AN$1,1),女子エントリー!$AH$7:$AH$406,0),3),""))</f>
        <v/>
      </c>
      <c r="AN2" s="1" t="str">
        <f t="shared" ref="AN2:AN65" si="10">IFERROR(IF(AM2=0,"",IF(AL2=46,AM2,IF(AL2&gt;37,INT(AM2/100)&amp;"m"&amp;TEXT(RIGHT(AM2,2),"00"),IF(AM2&gt;5999,INT(AM2/10000)&amp;"."&amp;TEXT(INT(MOD(AM2,10000)/100),"00")&amp;"."&amp;TEXT(MOD(AM2,100),"00")&amp;"0",INT(AM2/100)&amp;"."&amp;TEXT(MOD(AM2,100),"00"))))),"")</f>
        <v/>
      </c>
      <c r="AO2" s="1" t="str">
        <f t="shared" ref="AO2:AO65" si="11">IF(AL2="","",0)</f>
        <v/>
      </c>
      <c r="AP2" s="1" t="str">
        <f t="shared" ref="AP2:AP65" si="12">_xlfn.IFNA(IF(AM2="","",IF(AM2&gt;0,2,"")),"")</f>
        <v/>
      </c>
    </row>
    <row r="3" spans="1:42">
      <c r="A3" s="1">
        <v>2</v>
      </c>
      <c r="B3" s="92" t="str">
        <f>女子エントリー!D11</f>
        <v/>
      </c>
      <c r="C3" s="1" t="str">
        <f>基本情報!$E$6</f>
        <v/>
      </c>
      <c r="D3" s="1" t="str">
        <f>基本情報!$E$7</f>
        <v/>
      </c>
      <c r="F3" s="92">
        <f>女子エントリー!C11</f>
        <v>0</v>
      </c>
      <c r="G3" s="92" t="str">
        <f>女子エントリー!E11</f>
        <v/>
      </c>
      <c r="H3" s="92" t="str">
        <f>女子エントリー!F11</f>
        <v/>
      </c>
      <c r="I3" s="1" t="str">
        <f t="shared" ref="I3:I66" si="13">G3</f>
        <v/>
      </c>
      <c r="J3" s="1" t="e">
        <f>LEFT(女子エントリー!E13,FIND(",",LEFT(女子エントリー!E13,LEN(女子エントリー!E13)-5))-1)&amp;LEFT(RIGHT(女子エントリー!E13,LEN(女子エントリー!E13)-FIND(",",女子エントリー!E13)),LEN(RIGHT(女子エントリー!E13,LEN(女子エントリー!E13)-FIND(",",女子エントリー!E13)))-5)</f>
        <v>#VALUE!</v>
      </c>
      <c r="K3" s="92" t="str">
        <f>女子エントリー!G13</f>
        <v/>
      </c>
      <c r="L3" s="1" t="str">
        <f t="shared" si="0"/>
        <v/>
      </c>
      <c r="M3" s="92" t="str">
        <f>女子エントリー!G11</f>
        <v/>
      </c>
      <c r="N3" s="92" t="e">
        <f>MID(女子エントリー!E13,FIND("(",女子エントリー!E13)+1,2)</f>
        <v>#VALUE!</v>
      </c>
      <c r="O3" s="1">
        <v>0</v>
      </c>
      <c r="P3" s="92" t="e">
        <f>VLOOKUP(女子エントリー!G12,競技会設定!$F$3:$I$50,2,0)</f>
        <v>#N/A</v>
      </c>
      <c r="R3" s="1" t="str" cm="1">
        <f t="array" ref="R3">_xlfn.IFNA(_xlfn.IFNA(INDEX(競技会設定!$X$25:$AC$47,MATCH(INDEX(女子エントリー!$J$7:$AH$406,MATCH($G3&amp;RIGHT(R$1,1),女子エントリー!$AH$7:$AH$406,0),1),競技会設定!$AC$25:$AC$47,0),1),INDEX(競技会設定!$X$25:$AC$47,MATCH(INDEX(女子エントリー!$R$6:$V$406,MATCH($G3&amp;RIGHT(R$1,1),女子エントリー!$V$6:$V$406,0)-MATCH($G3&amp;RIGHT(R$1,1),女子エントリー!$V$6:$V$406,0)+1,1),競技会設定!$AC$25:$AC$47,0),1)),"")</f>
        <v/>
      </c>
      <c r="S3" s="1" t="str">
        <f>IF(R3=37,リレーエントリー!$I$27,_xlfn.IFNA(INDEX(女子エントリー!$J$7:$AH$406,MATCH($G3&amp;RIGHT(T$1,1),女子エントリー!$AH$7:$AH$406,0),3),""))</f>
        <v/>
      </c>
      <c r="T3" s="1" t="str">
        <f t="shared" ref="T3:T66" si="14">IFERROR(IF(S3=0,"",IF(R3=46,S3,IF(R3&gt;37,INT(S3/100)&amp;"m"&amp;TEXT(RIGHT(S3,2),"00"),IF(S3&gt;5999,INT(S3/10000)&amp;"."&amp;TEXT(INT(MOD(S3,10000)/100),"00")&amp;"."&amp;TEXT(MOD(S3,100),"00")&amp;"0",INT(S3/100)&amp;"."&amp;TEXT(MOD(S3,100),"00"))))),"")</f>
        <v/>
      </c>
      <c r="U3" s="1" t="str">
        <f t="shared" ref="U3:U66" si="15">IF(R3="","",0)</f>
        <v/>
      </c>
      <c r="V3" s="1" t="str">
        <f t="shared" ref="V3:V66" si="16">_xlfn.IFNA(IF(S3="","",IF(S3&gt;0,2,"")),"")</f>
        <v/>
      </c>
      <c r="W3" s="1" t="str" cm="1">
        <f t="array" ref="W3">_xlfn.IFNA(_xlfn.IFNA(INDEX(競技会設定!$X$25:$AC$47,MATCH(INDEX(女子エントリー!$J$7:$AH$406,MATCH($G3&amp;RIGHT(W$1,1),女子エントリー!$AH$7:$AH$406,0),1),競技会設定!$AC$25:$AC$47,0),1),INDEX(競技会設定!$X$25:$AC$47,MATCH(INDEX(女子エントリー!$R$6:$V$406,MATCH($G3&amp;RIGHT(W$1,1),女子エントリー!$V$6:$V$406,0)-MATCH($G3&amp;RIGHT(W$1,1),女子エントリー!$V$6:$V$406,0)+1,1),競技会設定!$AC$25:$AC$47,0),1)),"")</f>
        <v/>
      </c>
      <c r="X3" s="1" t="str">
        <f>IF(W3=37,リレーエントリー!$I$27,_xlfn.IFNA(INDEX(女子エントリー!$J$7:$AH$406,MATCH($G3&amp;RIGHT(Y$1,1),女子エントリー!$AH$7:$AH$406,0),3),""))</f>
        <v/>
      </c>
      <c r="Y3" s="1" t="str">
        <f t="shared" si="1"/>
        <v/>
      </c>
      <c r="Z3" s="1" t="str">
        <f t="shared" si="2"/>
        <v/>
      </c>
      <c r="AA3" s="1" t="str">
        <f t="shared" si="3"/>
        <v/>
      </c>
      <c r="AB3" s="1" t="str" cm="1">
        <f t="array" ref="AB3">_xlfn.IFNA(_xlfn.IFNA(INDEX(競技会設定!$X$25:$AC$47,MATCH(INDEX(女子エントリー!$J$7:$AH$406,MATCH($G3&amp;RIGHT(AB$1,1),女子エントリー!$AH$7:$AH$406,0),1),競技会設定!$AC$25:$AC$47,0),1),INDEX(競技会設定!$X$25:$AC$47,MATCH(INDEX(女子エントリー!$R$6:$V$406,MATCH($G3&amp;RIGHT(AB$1,1),女子エントリー!$V$6:$V$406,0)-MATCH($G3&amp;RIGHT(AB$1,1),女子エントリー!$V$6:$V$406,0)+1,1),競技会設定!$AC$25:$AC$47,0),1)),"")</f>
        <v/>
      </c>
      <c r="AC3" s="1" t="str">
        <f>IF(AB3=37,リレーエントリー!$I$27,_xlfn.IFNA(INDEX(女子エントリー!$J$7:$AH$406,MATCH($G3&amp;RIGHT(AD$1,1),女子エントリー!$AH$7:$AH$406,0),3),""))</f>
        <v/>
      </c>
      <c r="AD3" s="1" t="str">
        <f t="shared" si="4"/>
        <v/>
      </c>
      <c r="AE3" s="1" t="str">
        <f t="shared" si="5"/>
        <v/>
      </c>
      <c r="AF3" s="1" t="str">
        <f t="shared" si="6"/>
        <v/>
      </c>
      <c r="AG3" s="1" t="str" cm="1">
        <f t="array" ref="AG3">_xlfn.IFNA(_xlfn.IFNA(INDEX(競技会設定!$X$25:$AC$47,MATCH(INDEX(女子エントリー!$J$7:$AH$406,MATCH($G3&amp;RIGHT(AG$1,1),女子エントリー!$AH$7:$AH$406,0),1),競技会設定!$AC$25:$AC$47,0),1),INDEX(競技会設定!$X$25:$AC$47,MATCH(INDEX(女子エントリー!$R$6:$V$406,MATCH($G3&amp;RIGHT(AG$1,1),女子エントリー!$V$6:$V$406,0)-MATCH($G3&amp;RIGHT(AG$1,1),女子エントリー!$V$6:$V$406,0)+1,1),競技会設定!$AC$25:$AC$47,0),1)),"")</f>
        <v/>
      </c>
      <c r="AH3" s="1" t="str">
        <f>IF(AG3=37,リレーエントリー!$I$27,_xlfn.IFNA(INDEX(女子エントリー!$J$7:$AH$406,MATCH($G3&amp;RIGHT(AI$1,1),女子エントリー!$AH$7:$AH$406,0),3),""))</f>
        <v/>
      </c>
      <c r="AI3" s="1" t="str">
        <f t="shared" si="7"/>
        <v/>
      </c>
      <c r="AJ3" s="1" t="str">
        <f t="shared" si="8"/>
        <v/>
      </c>
      <c r="AK3" s="1" t="str">
        <f t="shared" si="9"/>
        <v/>
      </c>
      <c r="AL3" s="1" t="str" cm="1">
        <f t="array" ref="AL3">_xlfn.IFNA(_xlfn.IFNA(INDEX(競技会設定!$X$25:$AC$47,MATCH(INDEX(女子エントリー!$J$7:$AH$406,MATCH($G3&amp;RIGHT(AL$1,1),女子エントリー!$AH$7:$AH$406,0),1),競技会設定!$AC$25:$AC$47,0),1),INDEX(競技会設定!$X$25:$AC$47,MATCH(INDEX(女子エントリー!$R$6:$V$406,MATCH($G3&amp;RIGHT(AL$1,1),女子エントリー!$V$6:$V$406,0)-MATCH($G3&amp;RIGHT(AL$1,1),女子エントリー!$V$6:$V$406,0)+1,1),競技会設定!$AC$25:$AC$47,0),1)),"")</f>
        <v/>
      </c>
      <c r="AM3" s="1" t="str">
        <f>IF(AL3=37,リレーエントリー!$I$27,_xlfn.IFNA(INDEX(女子エントリー!$J$7:$AH$406,MATCH($G3&amp;RIGHT(AN$1,1),女子エントリー!$AH$7:$AH$406,0),3),""))</f>
        <v/>
      </c>
      <c r="AN3" s="1" t="str">
        <f t="shared" si="10"/>
        <v/>
      </c>
      <c r="AO3" s="1" t="str">
        <f t="shared" si="11"/>
        <v/>
      </c>
      <c r="AP3" s="1" t="str">
        <f t="shared" si="12"/>
        <v/>
      </c>
    </row>
    <row r="4" spans="1:42">
      <c r="A4" s="1">
        <v>3</v>
      </c>
      <c r="B4" s="92" t="str">
        <f>女子エントリー!D15</f>
        <v/>
      </c>
      <c r="C4" s="1" t="str">
        <f>基本情報!$E$6</f>
        <v/>
      </c>
      <c r="D4" s="1" t="str">
        <f>基本情報!$E$7</f>
        <v/>
      </c>
      <c r="F4" s="92">
        <f>女子エントリー!C15</f>
        <v>0</v>
      </c>
      <c r="G4" s="92" t="str">
        <f>女子エントリー!E15</f>
        <v/>
      </c>
      <c r="H4" s="92" t="str">
        <f>女子エントリー!F15</f>
        <v/>
      </c>
      <c r="I4" s="1" t="str">
        <f t="shared" si="13"/>
        <v/>
      </c>
      <c r="J4" s="1" t="e">
        <f>LEFT(女子エントリー!E17,FIND(",",LEFT(女子エントリー!E17,LEN(女子エントリー!E17)-5))-1)&amp;LEFT(RIGHT(女子エントリー!E17,LEN(女子エントリー!E17)-FIND(",",女子エントリー!E17)),LEN(RIGHT(女子エントリー!E17,LEN(女子エントリー!E17)-FIND(",",女子エントリー!E17)))-5)</f>
        <v>#VALUE!</v>
      </c>
      <c r="K4" s="92" t="str">
        <f>女子エントリー!G17</f>
        <v/>
      </c>
      <c r="L4" s="1" t="str">
        <f t="shared" si="0"/>
        <v/>
      </c>
      <c r="M4" s="92" t="str">
        <f>女子エントリー!G15</f>
        <v/>
      </c>
      <c r="N4" s="92" t="e">
        <f>MID(女子エントリー!E17,FIND("(",女子エントリー!E17)+1,2)</f>
        <v>#VALUE!</v>
      </c>
      <c r="O4" s="1">
        <v>0</v>
      </c>
      <c r="P4" s="92" t="e">
        <f>VLOOKUP(女子エントリー!G16,競技会設定!$F$3:$I$50,2,0)</f>
        <v>#N/A</v>
      </c>
      <c r="R4" s="1" t="str" cm="1">
        <f t="array" ref="R4">_xlfn.IFNA(_xlfn.IFNA(INDEX(競技会設定!$X$25:$AC$47,MATCH(INDEX(女子エントリー!$J$7:$AH$406,MATCH($G4&amp;RIGHT(R$1,1),女子エントリー!$AH$7:$AH$406,0),1),競技会設定!$AC$25:$AC$47,0),1),INDEX(競技会設定!$X$25:$AC$47,MATCH(INDEX(女子エントリー!$R$6:$V$406,MATCH($G4&amp;RIGHT(R$1,1),女子エントリー!$V$6:$V$406,0)-MATCH($G4&amp;RIGHT(R$1,1),女子エントリー!$V$6:$V$406,0)+1,1),競技会設定!$AC$25:$AC$47,0),1)),"")</f>
        <v/>
      </c>
      <c r="S4" s="1" t="str">
        <f>IF(R4=37,リレーエントリー!$I$27,_xlfn.IFNA(INDEX(女子エントリー!$J$7:$AH$406,MATCH($G4&amp;RIGHT(T$1,1),女子エントリー!$AH$7:$AH$406,0),3),""))</f>
        <v/>
      </c>
      <c r="T4" s="1" t="str">
        <f t="shared" si="14"/>
        <v/>
      </c>
      <c r="U4" s="1" t="str">
        <f t="shared" si="15"/>
        <v/>
      </c>
      <c r="V4" s="1" t="str">
        <f t="shared" si="16"/>
        <v/>
      </c>
      <c r="W4" s="1" t="str" cm="1">
        <f t="array" ref="W4">_xlfn.IFNA(_xlfn.IFNA(INDEX(競技会設定!$X$25:$AC$47,MATCH(INDEX(女子エントリー!$J$7:$AH$406,MATCH($G4&amp;RIGHT(W$1,1),女子エントリー!$AH$7:$AH$406,0),1),競技会設定!$AC$25:$AC$47,0),1),INDEX(競技会設定!$X$25:$AC$47,MATCH(INDEX(女子エントリー!$R$6:$V$406,MATCH($G4&amp;RIGHT(W$1,1),女子エントリー!$V$6:$V$406,0)-MATCH($G4&amp;RIGHT(W$1,1),女子エントリー!$V$6:$V$406,0)+1,1),競技会設定!$AC$25:$AC$47,0),1)),"")</f>
        <v/>
      </c>
      <c r="X4" s="1" t="str">
        <f>IF(W4=37,リレーエントリー!$I$27,_xlfn.IFNA(INDEX(女子エントリー!$J$7:$AH$406,MATCH($G4&amp;RIGHT(Y$1,1),女子エントリー!$AH$7:$AH$406,0),3),""))</f>
        <v/>
      </c>
      <c r="Y4" s="1" t="str">
        <f t="shared" si="1"/>
        <v/>
      </c>
      <c r="Z4" s="1" t="str">
        <f t="shared" si="2"/>
        <v/>
      </c>
      <c r="AA4" s="1" t="str">
        <f t="shared" si="3"/>
        <v/>
      </c>
      <c r="AB4" s="1" t="str" cm="1">
        <f t="array" ref="AB4">_xlfn.IFNA(_xlfn.IFNA(INDEX(競技会設定!$X$25:$AC$47,MATCH(INDEX(女子エントリー!$J$7:$AH$406,MATCH($G4&amp;RIGHT(AB$1,1),女子エントリー!$AH$7:$AH$406,0),1),競技会設定!$AC$25:$AC$47,0),1),INDEX(競技会設定!$X$25:$AC$47,MATCH(INDEX(女子エントリー!$R$6:$V$406,MATCH($G4&amp;RIGHT(AB$1,1),女子エントリー!$V$6:$V$406,0)-MATCH($G4&amp;RIGHT(AB$1,1),女子エントリー!$V$6:$V$406,0)+1,1),競技会設定!$AC$25:$AC$47,0),1)),"")</f>
        <v/>
      </c>
      <c r="AC4" s="1" t="str">
        <f>IF(AB4=37,リレーエントリー!$I$27,_xlfn.IFNA(INDEX(女子エントリー!$J$7:$AH$406,MATCH($G4&amp;RIGHT(AD$1,1),女子エントリー!$AH$7:$AH$406,0),3),""))</f>
        <v/>
      </c>
      <c r="AD4" s="1" t="str">
        <f t="shared" si="4"/>
        <v/>
      </c>
      <c r="AE4" s="1" t="str">
        <f t="shared" si="5"/>
        <v/>
      </c>
      <c r="AF4" s="1" t="str">
        <f t="shared" si="6"/>
        <v/>
      </c>
      <c r="AG4" s="1" t="str" cm="1">
        <f t="array" ref="AG4">_xlfn.IFNA(_xlfn.IFNA(INDEX(競技会設定!$X$25:$AC$47,MATCH(INDEX(女子エントリー!$J$7:$AH$406,MATCH($G4&amp;RIGHT(AG$1,1),女子エントリー!$AH$7:$AH$406,0),1),競技会設定!$AC$25:$AC$47,0),1),INDEX(競技会設定!$X$25:$AC$47,MATCH(INDEX(女子エントリー!$R$6:$V$406,MATCH($G4&amp;RIGHT(AG$1,1),女子エントリー!$V$6:$V$406,0)-MATCH($G4&amp;RIGHT(AG$1,1),女子エントリー!$V$6:$V$406,0)+1,1),競技会設定!$AC$25:$AC$47,0),1)),"")</f>
        <v/>
      </c>
      <c r="AH4" s="1" t="str">
        <f>IF(AG4=37,リレーエントリー!$I$27,_xlfn.IFNA(INDEX(女子エントリー!$J$7:$AH$406,MATCH($G4&amp;RIGHT(AI$1,1),女子エントリー!$AH$7:$AH$406,0),3),""))</f>
        <v/>
      </c>
      <c r="AI4" s="1" t="str">
        <f t="shared" si="7"/>
        <v/>
      </c>
      <c r="AJ4" s="1" t="str">
        <f t="shared" si="8"/>
        <v/>
      </c>
      <c r="AK4" s="1" t="str">
        <f t="shared" si="9"/>
        <v/>
      </c>
      <c r="AL4" s="1" t="str" cm="1">
        <f t="array" ref="AL4">_xlfn.IFNA(_xlfn.IFNA(INDEX(競技会設定!$X$25:$AC$47,MATCH(INDEX(女子エントリー!$J$7:$AH$406,MATCH($G4&amp;RIGHT(AL$1,1),女子エントリー!$AH$7:$AH$406,0),1),競技会設定!$AC$25:$AC$47,0),1),INDEX(競技会設定!$X$25:$AC$47,MATCH(INDEX(女子エントリー!$R$6:$V$406,MATCH($G4&amp;RIGHT(AL$1,1),女子エントリー!$V$6:$V$406,0)-MATCH($G4&amp;RIGHT(AL$1,1),女子エントリー!$V$6:$V$406,0)+1,1),競技会設定!$AC$25:$AC$47,0),1)),"")</f>
        <v/>
      </c>
      <c r="AM4" s="1" t="str">
        <f>IF(AL4=37,リレーエントリー!$I$27,_xlfn.IFNA(INDEX(女子エントリー!$J$7:$AH$406,MATCH($G4&amp;RIGHT(AN$1,1),女子エントリー!$AH$7:$AH$406,0),3),""))</f>
        <v/>
      </c>
      <c r="AN4" s="1" t="str">
        <f t="shared" si="10"/>
        <v/>
      </c>
      <c r="AO4" s="1" t="str">
        <f t="shared" si="11"/>
        <v/>
      </c>
      <c r="AP4" s="1" t="str">
        <f t="shared" si="12"/>
        <v/>
      </c>
    </row>
    <row r="5" spans="1:42">
      <c r="A5" s="1">
        <v>4</v>
      </c>
      <c r="B5" s="92" t="str">
        <f>女子エントリー!D19</f>
        <v/>
      </c>
      <c r="C5" s="1" t="str">
        <f>基本情報!$E$6</f>
        <v/>
      </c>
      <c r="D5" s="1" t="str">
        <f>基本情報!$E$7</f>
        <v/>
      </c>
      <c r="F5" s="92">
        <f>女子エントリー!C19</f>
        <v>0</v>
      </c>
      <c r="G5" s="92" t="str">
        <f>女子エントリー!E19</f>
        <v/>
      </c>
      <c r="H5" s="92" t="str">
        <f>女子エントリー!F19</f>
        <v/>
      </c>
      <c r="I5" s="1" t="str">
        <f t="shared" si="13"/>
        <v/>
      </c>
      <c r="J5" s="1" t="e">
        <f>LEFT(女子エントリー!E21,FIND(",",LEFT(女子エントリー!E21,LEN(女子エントリー!E21)-5))-1)&amp;LEFT(RIGHT(女子エントリー!E21,LEN(女子エントリー!E21)-FIND(",",女子エントリー!E21)),LEN(RIGHT(女子エントリー!E21,LEN(女子エントリー!E21)-FIND(",",女子エントリー!E21)))-5)</f>
        <v>#VALUE!</v>
      </c>
      <c r="K5" s="92" t="str">
        <f>女子エントリー!G21</f>
        <v/>
      </c>
      <c r="L5" s="1" t="str">
        <f t="shared" si="0"/>
        <v/>
      </c>
      <c r="M5" s="92" t="str">
        <f>女子エントリー!G19</f>
        <v/>
      </c>
      <c r="N5" s="92" t="e">
        <f>MID(女子エントリー!E21,FIND("(",女子エントリー!E21)+1,2)</f>
        <v>#VALUE!</v>
      </c>
      <c r="O5" s="1">
        <v>0</v>
      </c>
      <c r="P5" s="92" t="e">
        <f>VLOOKUP(女子エントリー!G20,競技会設定!$F$3:$I$50,2,0)</f>
        <v>#N/A</v>
      </c>
      <c r="R5" s="1" t="str" cm="1">
        <f t="array" ref="R5">_xlfn.IFNA(_xlfn.IFNA(INDEX(競技会設定!$X$25:$AC$47,MATCH(INDEX(女子エントリー!$J$7:$AH$406,MATCH($G5&amp;RIGHT(R$1,1),女子エントリー!$AH$7:$AH$406,0),1),競技会設定!$AC$25:$AC$47,0),1),INDEX(競技会設定!$X$25:$AC$47,MATCH(INDEX(女子エントリー!$R$6:$V$406,MATCH($G5&amp;RIGHT(R$1,1),女子エントリー!$V$6:$V$406,0)-MATCH($G5&amp;RIGHT(R$1,1),女子エントリー!$V$6:$V$406,0)+1,1),競技会設定!$AC$25:$AC$47,0),1)),"")</f>
        <v/>
      </c>
      <c r="S5" s="1" t="str">
        <f>IF(R5=37,リレーエントリー!$I$27,_xlfn.IFNA(INDEX(女子エントリー!$J$7:$AH$406,MATCH($G5&amp;RIGHT(T$1,1),女子エントリー!$AH$7:$AH$406,0),3),""))</f>
        <v/>
      </c>
      <c r="T5" s="1" t="str">
        <f t="shared" si="14"/>
        <v/>
      </c>
      <c r="U5" s="1" t="str">
        <f t="shared" si="15"/>
        <v/>
      </c>
      <c r="V5" s="1" t="str">
        <f t="shared" si="16"/>
        <v/>
      </c>
      <c r="W5" s="1" t="str" cm="1">
        <f t="array" ref="W5">_xlfn.IFNA(_xlfn.IFNA(INDEX(競技会設定!$X$25:$AC$47,MATCH(INDEX(女子エントリー!$J$7:$AH$406,MATCH($G5&amp;RIGHT(W$1,1),女子エントリー!$AH$7:$AH$406,0),1),競技会設定!$AC$25:$AC$47,0),1),INDEX(競技会設定!$X$25:$AC$47,MATCH(INDEX(女子エントリー!$R$6:$V$406,MATCH($G5&amp;RIGHT(W$1,1),女子エントリー!$V$6:$V$406,0)-MATCH($G5&amp;RIGHT(W$1,1),女子エントリー!$V$6:$V$406,0)+1,1),競技会設定!$AC$25:$AC$47,0),1)),"")</f>
        <v/>
      </c>
      <c r="X5" s="1" t="str">
        <f>IF(W5=37,リレーエントリー!$I$27,_xlfn.IFNA(INDEX(女子エントリー!$J$7:$AH$406,MATCH($G5&amp;RIGHT(Y$1,1),女子エントリー!$AH$7:$AH$406,0),3),""))</f>
        <v/>
      </c>
      <c r="Y5" s="1" t="str">
        <f t="shared" si="1"/>
        <v/>
      </c>
      <c r="Z5" s="1" t="str">
        <f t="shared" si="2"/>
        <v/>
      </c>
      <c r="AA5" s="1" t="str">
        <f t="shared" si="3"/>
        <v/>
      </c>
      <c r="AB5" s="1" t="str" cm="1">
        <f t="array" ref="AB5">_xlfn.IFNA(_xlfn.IFNA(INDEX(競技会設定!$X$25:$AC$47,MATCH(INDEX(女子エントリー!$J$7:$AH$406,MATCH($G5&amp;RIGHT(AB$1,1),女子エントリー!$AH$7:$AH$406,0),1),競技会設定!$AC$25:$AC$47,0),1),INDEX(競技会設定!$X$25:$AC$47,MATCH(INDEX(女子エントリー!$R$6:$V$406,MATCH($G5&amp;RIGHT(AB$1,1),女子エントリー!$V$6:$V$406,0)-MATCH($G5&amp;RIGHT(AB$1,1),女子エントリー!$V$6:$V$406,0)+1,1),競技会設定!$AC$25:$AC$47,0),1)),"")</f>
        <v/>
      </c>
      <c r="AC5" s="1" t="str">
        <f>IF(AB5=37,リレーエントリー!$I$27,_xlfn.IFNA(INDEX(女子エントリー!$J$7:$AH$406,MATCH($G5&amp;RIGHT(AD$1,1),女子エントリー!$AH$7:$AH$406,0),3),""))</f>
        <v/>
      </c>
      <c r="AD5" s="1" t="str">
        <f t="shared" si="4"/>
        <v/>
      </c>
      <c r="AE5" s="1" t="str">
        <f t="shared" si="5"/>
        <v/>
      </c>
      <c r="AF5" s="1" t="str">
        <f t="shared" si="6"/>
        <v/>
      </c>
      <c r="AG5" s="1" t="str" cm="1">
        <f t="array" ref="AG5">_xlfn.IFNA(_xlfn.IFNA(INDEX(競技会設定!$X$25:$AC$47,MATCH(INDEX(女子エントリー!$J$7:$AH$406,MATCH($G5&amp;RIGHT(AG$1,1),女子エントリー!$AH$7:$AH$406,0),1),競技会設定!$AC$25:$AC$47,0),1),INDEX(競技会設定!$X$25:$AC$47,MATCH(INDEX(女子エントリー!$R$6:$V$406,MATCH($G5&amp;RIGHT(AG$1,1),女子エントリー!$V$6:$V$406,0)-MATCH($G5&amp;RIGHT(AG$1,1),女子エントリー!$V$6:$V$406,0)+1,1),競技会設定!$AC$25:$AC$47,0),1)),"")</f>
        <v/>
      </c>
      <c r="AH5" s="1" t="str">
        <f>IF(AG5=37,リレーエントリー!$I$27,_xlfn.IFNA(INDEX(女子エントリー!$J$7:$AH$406,MATCH($G5&amp;RIGHT(AI$1,1),女子エントリー!$AH$7:$AH$406,0),3),""))</f>
        <v/>
      </c>
      <c r="AI5" s="1" t="str">
        <f t="shared" si="7"/>
        <v/>
      </c>
      <c r="AJ5" s="1" t="str">
        <f t="shared" si="8"/>
        <v/>
      </c>
      <c r="AK5" s="1" t="str">
        <f t="shared" si="9"/>
        <v/>
      </c>
      <c r="AL5" s="1" t="str" cm="1">
        <f t="array" ref="AL5">_xlfn.IFNA(_xlfn.IFNA(INDEX(競技会設定!$X$25:$AC$47,MATCH(INDEX(女子エントリー!$J$7:$AH$406,MATCH($G5&amp;RIGHT(AL$1,1),女子エントリー!$AH$7:$AH$406,0),1),競技会設定!$AC$25:$AC$47,0),1),INDEX(競技会設定!$X$25:$AC$47,MATCH(INDEX(女子エントリー!$R$6:$V$406,MATCH($G5&amp;RIGHT(AL$1,1),女子エントリー!$V$6:$V$406,0)-MATCH($G5&amp;RIGHT(AL$1,1),女子エントリー!$V$6:$V$406,0)+1,1),競技会設定!$AC$25:$AC$47,0),1)),"")</f>
        <v/>
      </c>
      <c r="AM5" s="1" t="str">
        <f>IF(AL5=37,リレーエントリー!$I$27,_xlfn.IFNA(INDEX(女子エントリー!$J$7:$AH$406,MATCH($G5&amp;RIGHT(AN$1,1),女子エントリー!$AH$7:$AH$406,0),3),""))</f>
        <v/>
      </c>
      <c r="AN5" s="1" t="str">
        <f t="shared" si="10"/>
        <v/>
      </c>
      <c r="AO5" s="1" t="str">
        <f t="shared" si="11"/>
        <v/>
      </c>
      <c r="AP5" s="1" t="str">
        <f t="shared" si="12"/>
        <v/>
      </c>
    </row>
    <row r="6" spans="1:42">
      <c r="A6" s="1">
        <v>5</v>
      </c>
      <c r="B6" s="92" t="str">
        <f>女子エントリー!D23</f>
        <v/>
      </c>
      <c r="C6" s="1" t="str">
        <f>基本情報!$E$6</f>
        <v/>
      </c>
      <c r="D6" s="1" t="str">
        <f>基本情報!$E$7</f>
        <v/>
      </c>
      <c r="F6" s="92">
        <f>女子エントリー!C23</f>
        <v>0</v>
      </c>
      <c r="G6" s="92" t="str">
        <f>女子エントリー!E23</f>
        <v/>
      </c>
      <c r="H6" s="92" t="str">
        <f>女子エントリー!F23</f>
        <v/>
      </c>
      <c r="I6" s="1" t="str">
        <f t="shared" si="13"/>
        <v/>
      </c>
      <c r="J6" s="1" t="e">
        <f>LEFT(女子エントリー!E25,FIND(",",LEFT(女子エントリー!E25,LEN(女子エントリー!E25)-5))-1)&amp;LEFT(RIGHT(女子エントリー!E25,LEN(女子エントリー!E25)-FIND(",",女子エントリー!E25)),LEN(RIGHT(女子エントリー!E25,LEN(女子エントリー!E25)-FIND(",",女子エントリー!E25)))-5)</f>
        <v>#VALUE!</v>
      </c>
      <c r="K6" s="92" t="str">
        <f>女子エントリー!G25</f>
        <v/>
      </c>
      <c r="L6" s="1" t="str">
        <f t="shared" si="0"/>
        <v/>
      </c>
      <c r="M6" s="92" t="str">
        <f>女子エントリー!G23</f>
        <v/>
      </c>
      <c r="N6" s="92" t="e">
        <f>MID(女子エントリー!E25,FIND("(",女子エントリー!E25)+1,2)</f>
        <v>#VALUE!</v>
      </c>
      <c r="O6" s="1">
        <v>0</v>
      </c>
      <c r="P6" s="92" t="e">
        <f>VLOOKUP(女子エントリー!G24,競技会設定!$F$3:$I$50,2,0)</f>
        <v>#N/A</v>
      </c>
      <c r="R6" s="1" t="str" cm="1">
        <f t="array" ref="R6">_xlfn.IFNA(_xlfn.IFNA(INDEX(競技会設定!$X$25:$AC$47,MATCH(INDEX(女子エントリー!$J$7:$AH$406,MATCH($G6&amp;RIGHT(R$1,1),女子エントリー!$AH$7:$AH$406,0),1),競技会設定!$AC$25:$AC$47,0),1),INDEX(競技会設定!$X$25:$AC$47,MATCH(INDEX(女子エントリー!$R$6:$V$406,MATCH($G6&amp;RIGHT(R$1,1),女子エントリー!$V$6:$V$406,0)-MATCH($G6&amp;RIGHT(R$1,1),女子エントリー!$V$6:$V$406,0)+1,1),競技会設定!$AC$25:$AC$47,0),1)),"")</f>
        <v/>
      </c>
      <c r="S6" s="1" t="str">
        <f>IF(R6=37,リレーエントリー!$I$27,_xlfn.IFNA(INDEX(女子エントリー!$J$7:$AH$406,MATCH($G6&amp;RIGHT(T$1,1),女子エントリー!$AH$7:$AH$406,0),3),""))</f>
        <v/>
      </c>
      <c r="T6" s="1" t="str">
        <f t="shared" si="14"/>
        <v/>
      </c>
      <c r="U6" s="1" t="str">
        <f t="shared" si="15"/>
        <v/>
      </c>
      <c r="V6" s="1" t="str">
        <f t="shared" si="16"/>
        <v/>
      </c>
      <c r="W6" s="1" t="str" cm="1">
        <f t="array" ref="W6">_xlfn.IFNA(_xlfn.IFNA(INDEX(競技会設定!$X$25:$AC$47,MATCH(INDEX(女子エントリー!$J$7:$AH$406,MATCH($G6&amp;RIGHT(W$1,1),女子エントリー!$AH$7:$AH$406,0),1),競技会設定!$AC$25:$AC$47,0),1),INDEX(競技会設定!$X$25:$AC$47,MATCH(INDEX(女子エントリー!$R$6:$V$406,MATCH($G6&amp;RIGHT(W$1,1),女子エントリー!$V$6:$V$406,0)-MATCH($G6&amp;RIGHT(W$1,1),女子エントリー!$V$6:$V$406,0)+1,1),競技会設定!$AC$25:$AC$47,0),1)),"")</f>
        <v/>
      </c>
      <c r="X6" s="1" t="str">
        <f>IF(W6=37,リレーエントリー!$I$27,_xlfn.IFNA(INDEX(女子エントリー!$J$7:$AH$406,MATCH($G6&amp;RIGHT(Y$1,1),女子エントリー!$AH$7:$AH$406,0),3),""))</f>
        <v/>
      </c>
      <c r="Y6" s="1" t="str">
        <f t="shared" si="1"/>
        <v/>
      </c>
      <c r="Z6" s="1" t="str">
        <f t="shared" si="2"/>
        <v/>
      </c>
      <c r="AA6" s="1" t="str">
        <f t="shared" si="3"/>
        <v/>
      </c>
      <c r="AB6" s="1" t="str" cm="1">
        <f t="array" ref="AB6">_xlfn.IFNA(_xlfn.IFNA(INDEX(競技会設定!$X$25:$AC$47,MATCH(INDEX(女子エントリー!$J$7:$AH$406,MATCH($G6&amp;RIGHT(AB$1,1),女子エントリー!$AH$7:$AH$406,0),1),競技会設定!$AC$25:$AC$47,0),1),INDEX(競技会設定!$X$25:$AC$47,MATCH(INDEX(女子エントリー!$R$6:$V$406,MATCH($G6&amp;RIGHT(AB$1,1),女子エントリー!$V$6:$V$406,0)-MATCH($G6&amp;RIGHT(AB$1,1),女子エントリー!$V$6:$V$406,0)+1,1),競技会設定!$AC$25:$AC$47,0),1)),"")</f>
        <v/>
      </c>
      <c r="AC6" s="1" t="str">
        <f>IF(AB6=37,リレーエントリー!$I$27,_xlfn.IFNA(INDEX(女子エントリー!$J$7:$AH$406,MATCH($G6&amp;RIGHT(AD$1,1),女子エントリー!$AH$7:$AH$406,0),3),""))</f>
        <v/>
      </c>
      <c r="AD6" s="1" t="str">
        <f t="shared" si="4"/>
        <v/>
      </c>
      <c r="AE6" s="1" t="str">
        <f t="shared" si="5"/>
        <v/>
      </c>
      <c r="AF6" s="1" t="str">
        <f t="shared" si="6"/>
        <v/>
      </c>
      <c r="AG6" s="1" t="str" cm="1">
        <f t="array" ref="AG6">_xlfn.IFNA(_xlfn.IFNA(INDEX(競技会設定!$X$25:$AC$47,MATCH(INDEX(女子エントリー!$J$7:$AH$406,MATCH($G6&amp;RIGHT(AG$1,1),女子エントリー!$AH$7:$AH$406,0),1),競技会設定!$AC$25:$AC$47,0),1),INDEX(競技会設定!$X$25:$AC$47,MATCH(INDEX(女子エントリー!$R$6:$V$406,MATCH($G6&amp;RIGHT(AG$1,1),女子エントリー!$V$6:$V$406,0)-MATCH($G6&amp;RIGHT(AG$1,1),女子エントリー!$V$6:$V$406,0)+1,1),競技会設定!$AC$25:$AC$47,0),1)),"")</f>
        <v/>
      </c>
      <c r="AH6" s="1" t="str">
        <f>IF(AG6=37,リレーエントリー!$I$27,_xlfn.IFNA(INDEX(女子エントリー!$J$7:$AH$406,MATCH($G6&amp;RIGHT(AI$1,1),女子エントリー!$AH$7:$AH$406,0),3),""))</f>
        <v/>
      </c>
      <c r="AI6" s="1" t="str">
        <f t="shared" si="7"/>
        <v/>
      </c>
      <c r="AJ6" s="1" t="str">
        <f t="shared" si="8"/>
        <v/>
      </c>
      <c r="AK6" s="1" t="str">
        <f t="shared" si="9"/>
        <v/>
      </c>
      <c r="AL6" s="1" t="str" cm="1">
        <f t="array" ref="AL6">_xlfn.IFNA(_xlfn.IFNA(INDEX(競技会設定!$X$25:$AC$47,MATCH(INDEX(女子エントリー!$J$7:$AH$406,MATCH($G6&amp;RIGHT(AL$1,1),女子エントリー!$AH$7:$AH$406,0),1),競技会設定!$AC$25:$AC$47,0),1),INDEX(競技会設定!$X$25:$AC$47,MATCH(INDEX(女子エントリー!$R$6:$V$406,MATCH($G6&amp;RIGHT(AL$1,1),女子エントリー!$V$6:$V$406,0)-MATCH($G6&amp;RIGHT(AL$1,1),女子エントリー!$V$6:$V$406,0)+1,1),競技会設定!$AC$25:$AC$47,0),1)),"")</f>
        <v/>
      </c>
      <c r="AM6" s="1" t="str">
        <f>IF(AL6=37,リレーエントリー!$I$27,_xlfn.IFNA(INDEX(女子エントリー!$J$7:$AH$406,MATCH($G6&amp;RIGHT(AN$1,1),女子エントリー!$AH$7:$AH$406,0),3),""))</f>
        <v/>
      </c>
      <c r="AN6" s="1" t="str">
        <f t="shared" si="10"/>
        <v/>
      </c>
      <c r="AO6" s="1" t="str">
        <f t="shared" si="11"/>
        <v/>
      </c>
      <c r="AP6" s="1" t="str">
        <f t="shared" si="12"/>
        <v/>
      </c>
    </row>
    <row r="7" spans="1:42">
      <c r="A7" s="1">
        <v>6</v>
      </c>
      <c r="B7" s="92" t="str">
        <f>女子エントリー!D27</f>
        <v/>
      </c>
      <c r="C7" s="1" t="str">
        <f>基本情報!$E$6</f>
        <v/>
      </c>
      <c r="D7" s="1" t="str">
        <f>基本情報!$E$7</f>
        <v/>
      </c>
      <c r="F7" s="92">
        <f>女子エントリー!C27</f>
        <v>0</v>
      </c>
      <c r="G7" s="92" t="str">
        <f>女子エントリー!E27</f>
        <v/>
      </c>
      <c r="H7" s="92" t="str">
        <f>女子エントリー!F27</f>
        <v/>
      </c>
      <c r="I7" s="1" t="str">
        <f t="shared" si="13"/>
        <v/>
      </c>
      <c r="J7" s="1" t="e">
        <f>LEFT(女子エントリー!E29,FIND(",",LEFT(女子エントリー!E29,LEN(女子エントリー!E29)-5))-1)&amp;LEFT(RIGHT(女子エントリー!E29,LEN(女子エントリー!E29)-FIND(",",女子エントリー!E29)),LEN(RIGHT(女子エントリー!E29,LEN(女子エントリー!E29)-FIND(",",女子エントリー!E29)))-5)</f>
        <v>#VALUE!</v>
      </c>
      <c r="K7" s="92" t="str">
        <f>女子エントリー!G29</f>
        <v/>
      </c>
      <c r="L7" s="1" t="str">
        <f t="shared" si="0"/>
        <v/>
      </c>
      <c r="M7" s="92" t="str">
        <f>女子エントリー!G27</f>
        <v/>
      </c>
      <c r="N7" s="92" t="e">
        <f>MID(女子エントリー!E29,FIND("(",女子エントリー!E29)+1,2)</f>
        <v>#VALUE!</v>
      </c>
      <c r="O7" s="1">
        <v>0</v>
      </c>
      <c r="P7" s="92" t="e">
        <f>VLOOKUP(女子エントリー!G28,競技会設定!$F$3:$I$50,2,0)</f>
        <v>#N/A</v>
      </c>
      <c r="R7" s="1" t="str" cm="1">
        <f t="array" ref="R7">_xlfn.IFNA(_xlfn.IFNA(INDEX(競技会設定!$X$25:$AC$47,MATCH(INDEX(女子エントリー!$J$7:$AH$406,MATCH($G7&amp;RIGHT(R$1,1),女子エントリー!$AH$7:$AH$406,0),1),競技会設定!$AC$25:$AC$47,0),1),INDEX(競技会設定!$X$25:$AC$47,MATCH(INDEX(女子エントリー!$R$6:$V$406,MATCH($G7&amp;RIGHT(R$1,1),女子エントリー!$V$6:$V$406,0)-MATCH($G7&amp;RIGHT(R$1,1),女子エントリー!$V$6:$V$406,0)+1,1),競技会設定!$AC$25:$AC$47,0),1)),"")</f>
        <v/>
      </c>
      <c r="S7" s="1" t="str">
        <f>IF(R7=37,リレーエントリー!$I$27,_xlfn.IFNA(INDEX(女子エントリー!$J$7:$AH$406,MATCH($G7&amp;RIGHT(T$1,1),女子エントリー!$AH$7:$AH$406,0),3),""))</f>
        <v/>
      </c>
      <c r="T7" s="1" t="str">
        <f t="shared" si="14"/>
        <v/>
      </c>
      <c r="U7" s="1" t="str">
        <f t="shared" si="15"/>
        <v/>
      </c>
      <c r="V7" s="1" t="str">
        <f t="shared" si="16"/>
        <v/>
      </c>
      <c r="W7" s="1" t="str" cm="1">
        <f t="array" ref="W7">_xlfn.IFNA(_xlfn.IFNA(INDEX(競技会設定!$X$25:$AC$47,MATCH(INDEX(女子エントリー!$J$7:$AH$406,MATCH($G7&amp;RIGHT(W$1,1),女子エントリー!$AH$7:$AH$406,0),1),競技会設定!$AC$25:$AC$47,0),1),INDEX(競技会設定!$X$25:$AC$47,MATCH(INDEX(女子エントリー!$R$6:$V$406,MATCH($G7&amp;RIGHT(W$1,1),女子エントリー!$V$6:$V$406,0)-MATCH($G7&amp;RIGHT(W$1,1),女子エントリー!$V$6:$V$406,0)+1,1),競技会設定!$AC$25:$AC$47,0),1)),"")</f>
        <v/>
      </c>
      <c r="X7" s="1" t="str">
        <f>IF(W7=37,リレーエントリー!$I$27,_xlfn.IFNA(INDEX(女子エントリー!$J$7:$AH$406,MATCH($G7&amp;RIGHT(Y$1,1),女子エントリー!$AH$7:$AH$406,0),3),""))</f>
        <v/>
      </c>
      <c r="Y7" s="1" t="str">
        <f t="shared" si="1"/>
        <v/>
      </c>
      <c r="Z7" s="1" t="str">
        <f t="shared" si="2"/>
        <v/>
      </c>
      <c r="AA7" s="1" t="str">
        <f t="shared" si="3"/>
        <v/>
      </c>
      <c r="AB7" s="1" t="str" cm="1">
        <f t="array" ref="AB7">_xlfn.IFNA(_xlfn.IFNA(INDEX(競技会設定!$X$25:$AC$47,MATCH(INDEX(女子エントリー!$J$7:$AH$406,MATCH($G7&amp;RIGHT(AB$1,1),女子エントリー!$AH$7:$AH$406,0),1),競技会設定!$AC$25:$AC$47,0),1),INDEX(競技会設定!$X$25:$AC$47,MATCH(INDEX(女子エントリー!$R$6:$V$406,MATCH($G7&amp;RIGHT(AB$1,1),女子エントリー!$V$6:$V$406,0)-MATCH($G7&amp;RIGHT(AB$1,1),女子エントリー!$V$6:$V$406,0)+1,1),競技会設定!$AC$25:$AC$47,0),1)),"")</f>
        <v/>
      </c>
      <c r="AC7" s="1" t="str">
        <f>IF(AB7=37,リレーエントリー!$I$27,_xlfn.IFNA(INDEX(女子エントリー!$J$7:$AH$406,MATCH($G7&amp;RIGHT(AD$1,1),女子エントリー!$AH$7:$AH$406,0),3),""))</f>
        <v/>
      </c>
      <c r="AD7" s="1" t="str">
        <f t="shared" si="4"/>
        <v/>
      </c>
      <c r="AE7" s="1" t="str">
        <f t="shared" si="5"/>
        <v/>
      </c>
      <c r="AF7" s="1" t="str">
        <f t="shared" si="6"/>
        <v/>
      </c>
      <c r="AG7" s="1" t="str" cm="1">
        <f t="array" ref="AG7">_xlfn.IFNA(_xlfn.IFNA(INDEX(競技会設定!$X$25:$AC$47,MATCH(INDEX(女子エントリー!$J$7:$AH$406,MATCH($G7&amp;RIGHT(AG$1,1),女子エントリー!$AH$7:$AH$406,0),1),競技会設定!$AC$25:$AC$47,0),1),INDEX(競技会設定!$X$25:$AC$47,MATCH(INDEX(女子エントリー!$R$6:$V$406,MATCH($G7&amp;RIGHT(AG$1,1),女子エントリー!$V$6:$V$406,0)-MATCH($G7&amp;RIGHT(AG$1,1),女子エントリー!$V$6:$V$406,0)+1,1),競技会設定!$AC$25:$AC$47,0),1)),"")</f>
        <v/>
      </c>
      <c r="AH7" s="1" t="str">
        <f>IF(AG7=37,リレーエントリー!$I$27,_xlfn.IFNA(INDEX(女子エントリー!$J$7:$AH$406,MATCH($G7&amp;RIGHT(AI$1,1),女子エントリー!$AH$7:$AH$406,0),3),""))</f>
        <v/>
      </c>
      <c r="AI7" s="1" t="str">
        <f t="shared" si="7"/>
        <v/>
      </c>
      <c r="AJ7" s="1" t="str">
        <f t="shared" si="8"/>
        <v/>
      </c>
      <c r="AK7" s="1" t="str">
        <f t="shared" si="9"/>
        <v/>
      </c>
      <c r="AL7" s="1" t="str" cm="1">
        <f t="array" ref="AL7">_xlfn.IFNA(_xlfn.IFNA(INDEX(競技会設定!$X$25:$AC$47,MATCH(INDEX(女子エントリー!$J$7:$AH$406,MATCH($G7&amp;RIGHT(AL$1,1),女子エントリー!$AH$7:$AH$406,0),1),競技会設定!$AC$25:$AC$47,0),1),INDEX(競技会設定!$X$25:$AC$47,MATCH(INDEX(女子エントリー!$R$6:$V$406,MATCH($G7&amp;RIGHT(AL$1,1),女子エントリー!$V$6:$V$406,0)-MATCH($G7&amp;RIGHT(AL$1,1),女子エントリー!$V$6:$V$406,0)+1,1),競技会設定!$AC$25:$AC$47,0),1)),"")</f>
        <v/>
      </c>
      <c r="AM7" s="1" t="str">
        <f>IF(AL7=37,リレーエントリー!$I$27,_xlfn.IFNA(INDEX(女子エントリー!$J$7:$AH$406,MATCH($G7&amp;RIGHT(AN$1,1),女子エントリー!$AH$7:$AH$406,0),3),""))</f>
        <v/>
      </c>
      <c r="AN7" s="1" t="str">
        <f t="shared" si="10"/>
        <v/>
      </c>
      <c r="AO7" s="1" t="str">
        <f t="shared" si="11"/>
        <v/>
      </c>
      <c r="AP7" s="1" t="str">
        <f t="shared" si="12"/>
        <v/>
      </c>
    </row>
    <row r="8" spans="1:42">
      <c r="A8" s="1">
        <v>7</v>
      </c>
      <c r="B8" s="92" t="str">
        <f>女子エントリー!D31</f>
        <v/>
      </c>
      <c r="C8" s="1" t="str">
        <f>基本情報!$E$6</f>
        <v/>
      </c>
      <c r="D8" s="1" t="str">
        <f>基本情報!$E$7</f>
        <v/>
      </c>
      <c r="F8" s="92">
        <f>女子エントリー!C31</f>
        <v>0</v>
      </c>
      <c r="G8" s="92" t="str">
        <f>女子エントリー!E31</f>
        <v/>
      </c>
      <c r="H8" s="92" t="str">
        <f>女子エントリー!F31</f>
        <v/>
      </c>
      <c r="I8" s="1" t="str">
        <f t="shared" si="13"/>
        <v/>
      </c>
      <c r="J8" s="1" t="e">
        <f>LEFT(女子エントリー!E33,FIND(",",LEFT(女子エントリー!E33,LEN(女子エントリー!E33)-5))-1)&amp;LEFT(RIGHT(女子エントリー!E33,LEN(女子エントリー!E33)-FIND(",",女子エントリー!E33)),LEN(RIGHT(女子エントリー!E33,LEN(女子エントリー!E33)-FIND(",",女子エントリー!E33)))-5)</f>
        <v>#VALUE!</v>
      </c>
      <c r="K8" s="92" t="str">
        <f>女子エントリー!G33</f>
        <v/>
      </c>
      <c r="L8" s="1" t="str">
        <f t="shared" si="0"/>
        <v/>
      </c>
      <c r="M8" s="92" t="str">
        <f>女子エントリー!G31</f>
        <v/>
      </c>
      <c r="N8" s="92" t="e">
        <f>MID(女子エントリー!E33,FIND("(",女子エントリー!E33)+1,2)</f>
        <v>#VALUE!</v>
      </c>
      <c r="O8" s="1">
        <v>0</v>
      </c>
      <c r="P8" s="92" t="e">
        <f>VLOOKUP(女子エントリー!G32,競技会設定!$F$3:$I$50,2,0)</f>
        <v>#N/A</v>
      </c>
      <c r="R8" s="1" t="str" cm="1">
        <f t="array" ref="R8">_xlfn.IFNA(_xlfn.IFNA(INDEX(競技会設定!$X$25:$AC$47,MATCH(INDEX(女子エントリー!$J$7:$AH$406,MATCH($G8&amp;RIGHT(R$1,1),女子エントリー!$AH$7:$AH$406,0),1),競技会設定!$AC$25:$AC$47,0),1),INDEX(競技会設定!$X$25:$AC$47,MATCH(INDEX(女子エントリー!$R$6:$V$406,MATCH($G8&amp;RIGHT(R$1,1),女子エントリー!$V$6:$V$406,0)-MATCH($G8&amp;RIGHT(R$1,1),女子エントリー!$V$6:$V$406,0)+1,1),競技会設定!$AC$25:$AC$47,0),1)),"")</f>
        <v/>
      </c>
      <c r="S8" s="1" t="str">
        <f>IF(R8=37,リレーエントリー!$I$27,_xlfn.IFNA(INDEX(女子エントリー!$J$7:$AH$406,MATCH($G8&amp;RIGHT(T$1,1),女子エントリー!$AH$7:$AH$406,0),3),""))</f>
        <v/>
      </c>
      <c r="T8" s="1" t="str">
        <f t="shared" si="14"/>
        <v/>
      </c>
      <c r="U8" s="1" t="str">
        <f t="shared" si="15"/>
        <v/>
      </c>
      <c r="V8" s="1" t="str">
        <f t="shared" si="16"/>
        <v/>
      </c>
      <c r="W8" s="1" t="str" cm="1">
        <f t="array" ref="W8">_xlfn.IFNA(_xlfn.IFNA(INDEX(競技会設定!$X$25:$AC$47,MATCH(INDEX(女子エントリー!$J$7:$AH$406,MATCH($G8&amp;RIGHT(W$1,1),女子エントリー!$AH$7:$AH$406,0),1),競技会設定!$AC$25:$AC$47,0),1),INDEX(競技会設定!$X$25:$AC$47,MATCH(INDEX(女子エントリー!$R$6:$V$406,MATCH($G8&amp;RIGHT(W$1,1),女子エントリー!$V$6:$V$406,0)-MATCH($G8&amp;RIGHT(W$1,1),女子エントリー!$V$6:$V$406,0)+1,1),競技会設定!$AC$25:$AC$47,0),1)),"")</f>
        <v/>
      </c>
      <c r="X8" s="1" t="str">
        <f>IF(W8=37,リレーエントリー!$I$27,_xlfn.IFNA(INDEX(女子エントリー!$J$7:$AH$406,MATCH($G8&amp;RIGHT(Y$1,1),女子エントリー!$AH$7:$AH$406,0),3),""))</f>
        <v/>
      </c>
      <c r="Y8" s="1" t="str">
        <f t="shared" si="1"/>
        <v/>
      </c>
      <c r="Z8" s="1" t="str">
        <f t="shared" si="2"/>
        <v/>
      </c>
      <c r="AA8" s="1" t="str">
        <f t="shared" si="3"/>
        <v/>
      </c>
      <c r="AB8" s="1" t="str" cm="1">
        <f t="array" ref="AB8">_xlfn.IFNA(_xlfn.IFNA(INDEX(競技会設定!$X$25:$AC$47,MATCH(INDEX(女子エントリー!$J$7:$AH$406,MATCH($G8&amp;RIGHT(AB$1,1),女子エントリー!$AH$7:$AH$406,0),1),競技会設定!$AC$25:$AC$47,0),1),INDEX(競技会設定!$X$25:$AC$47,MATCH(INDEX(女子エントリー!$R$6:$V$406,MATCH($G8&amp;RIGHT(AB$1,1),女子エントリー!$V$6:$V$406,0)-MATCH($G8&amp;RIGHT(AB$1,1),女子エントリー!$V$6:$V$406,0)+1,1),競技会設定!$AC$25:$AC$47,0),1)),"")</f>
        <v/>
      </c>
      <c r="AC8" s="1" t="str">
        <f>IF(AB8=37,リレーエントリー!$I$27,_xlfn.IFNA(INDEX(女子エントリー!$J$7:$AH$406,MATCH($G8&amp;RIGHT(AD$1,1),女子エントリー!$AH$7:$AH$406,0),3),""))</f>
        <v/>
      </c>
      <c r="AD8" s="1" t="str">
        <f t="shared" si="4"/>
        <v/>
      </c>
      <c r="AE8" s="1" t="str">
        <f t="shared" si="5"/>
        <v/>
      </c>
      <c r="AF8" s="1" t="str">
        <f t="shared" si="6"/>
        <v/>
      </c>
      <c r="AG8" s="1" t="str" cm="1">
        <f t="array" ref="AG8">_xlfn.IFNA(_xlfn.IFNA(INDEX(競技会設定!$X$25:$AC$47,MATCH(INDEX(女子エントリー!$J$7:$AH$406,MATCH($G8&amp;RIGHT(AG$1,1),女子エントリー!$AH$7:$AH$406,0),1),競技会設定!$AC$25:$AC$47,0),1),INDEX(競技会設定!$X$25:$AC$47,MATCH(INDEX(女子エントリー!$R$6:$V$406,MATCH($G8&amp;RIGHT(AG$1,1),女子エントリー!$V$6:$V$406,0)-MATCH($G8&amp;RIGHT(AG$1,1),女子エントリー!$V$6:$V$406,0)+1,1),競技会設定!$AC$25:$AC$47,0),1)),"")</f>
        <v/>
      </c>
      <c r="AH8" s="1" t="str">
        <f>IF(AG8=37,リレーエントリー!$I$27,_xlfn.IFNA(INDEX(女子エントリー!$J$7:$AH$406,MATCH($G8&amp;RIGHT(AI$1,1),女子エントリー!$AH$7:$AH$406,0),3),""))</f>
        <v/>
      </c>
      <c r="AI8" s="1" t="str">
        <f t="shared" si="7"/>
        <v/>
      </c>
      <c r="AJ8" s="1" t="str">
        <f t="shared" si="8"/>
        <v/>
      </c>
      <c r="AK8" s="1" t="str">
        <f t="shared" si="9"/>
        <v/>
      </c>
      <c r="AL8" s="1" t="str" cm="1">
        <f t="array" ref="AL8">_xlfn.IFNA(_xlfn.IFNA(INDEX(競技会設定!$X$25:$AC$47,MATCH(INDEX(女子エントリー!$J$7:$AH$406,MATCH($G8&amp;RIGHT(AL$1,1),女子エントリー!$AH$7:$AH$406,0),1),競技会設定!$AC$25:$AC$47,0),1),INDEX(競技会設定!$X$25:$AC$47,MATCH(INDEX(女子エントリー!$R$6:$V$406,MATCH($G8&amp;RIGHT(AL$1,1),女子エントリー!$V$6:$V$406,0)-MATCH($G8&amp;RIGHT(AL$1,1),女子エントリー!$V$6:$V$406,0)+1,1),競技会設定!$AC$25:$AC$47,0),1)),"")</f>
        <v/>
      </c>
      <c r="AM8" s="1" t="str">
        <f>IF(AL8=37,リレーエントリー!$I$27,_xlfn.IFNA(INDEX(女子エントリー!$J$7:$AH$406,MATCH($G8&amp;RIGHT(AN$1,1),女子エントリー!$AH$7:$AH$406,0),3),""))</f>
        <v/>
      </c>
      <c r="AN8" s="1" t="str">
        <f t="shared" si="10"/>
        <v/>
      </c>
      <c r="AO8" s="1" t="str">
        <f t="shared" si="11"/>
        <v/>
      </c>
      <c r="AP8" s="1" t="str">
        <f t="shared" si="12"/>
        <v/>
      </c>
    </row>
    <row r="9" spans="1:42">
      <c r="A9" s="1">
        <v>8</v>
      </c>
      <c r="B9" s="92" t="str">
        <f>女子エントリー!D35</f>
        <v/>
      </c>
      <c r="C9" s="1" t="str">
        <f>基本情報!$E$6</f>
        <v/>
      </c>
      <c r="D9" s="1" t="str">
        <f>基本情報!$E$7</f>
        <v/>
      </c>
      <c r="F9" s="92">
        <f>女子エントリー!C35</f>
        <v>0</v>
      </c>
      <c r="G9" s="92" t="str">
        <f>女子エントリー!E35</f>
        <v/>
      </c>
      <c r="H9" s="92" t="str">
        <f>女子エントリー!F35</f>
        <v/>
      </c>
      <c r="I9" s="1" t="str">
        <f t="shared" si="13"/>
        <v/>
      </c>
      <c r="J9" s="1" t="e">
        <f>LEFT(女子エントリー!E37,FIND(",",LEFT(女子エントリー!E37,LEN(女子エントリー!E37)-5))-1)&amp;LEFT(RIGHT(女子エントリー!E37,LEN(女子エントリー!E37)-FIND(",",女子エントリー!E37)),LEN(RIGHT(女子エントリー!E37,LEN(女子エントリー!E37)-FIND(",",女子エントリー!E37)))-5)</f>
        <v>#VALUE!</v>
      </c>
      <c r="K9" s="92" t="str">
        <f>女子エントリー!G37</f>
        <v/>
      </c>
      <c r="L9" s="1" t="str">
        <f t="shared" si="0"/>
        <v/>
      </c>
      <c r="M9" s="92" t="str">
        <f>女子エントリー!G35</f>
        <v/>
      </c>
      <c r="N9" s="92" t="e">
        <f>MID(女子エントリー!E37,FIND("(",女子エントリー!E37)+1,2)</f>
        <v>#VALUE!</v>
      </c>
      <c r="O9" s="1">
        <v>0</v>
      </c>
      <c r="P9" s="92" t="e">
        <f>VLOOKUP(女子エントリー!G36,競技会設定!$F$3:$I$50,2,0)</f>
        <v>#N/A</v>
      </c>
      <c r="R9" s="1" t="str" cm="1">
        <f t="array" ref="R9">_xlfn.IFNA(_xlfn.IFNA(INDEX(競技会設定!$X$25:$AC$47,MATCH(INDEX(女子エントリー!$J$7:$AH$406,MATCH($G9&amp;RIGHT(R$1,1),女子エントリー!$AH$7:$AH$406,0),1),競技会設定!$AC$25:$AC$47,0),1),INDEX(競技会設定!$X$25:$AC$47,MATCH(INDEX(女子エントリー!$R$6:$V$406,MATCH($G9&amp;RIGHT(R$1,1),女子エントリー!$V$6:$V$406,0)-MATCH($G9&amp;RIGHT(R$1,1),女子エントリー!$V$6:$V$406,0)+1,1),競技会設定!$AC$25:$AC$47,0),1)),"")</f>
        <v/>
      </c>
      <c r="S9" s="1" t="str">
        <f>IF(R9=37,リレーエントリー!$I$27,_xlfn.IFNA(INDEX(女子エントリー!$J$7:$AH$406,MATCH($G9&amp;RIGHT(T$1,1),女子エントリー!$AH$7:$AH$406,0),3),""))</f>
        <v/>
      </c>
      <c r="T9" s="1" t="str">
        <f t="shared" si="14"/>
        <v/>
      </c>
      <c r="U9" s="1" t="str">
        <f t="shared" si="15"/>
        <v/>
      </c>
      <c r="V9" s="1" t="str">
        <f t="shared" si="16"/>
        <v/>
      </c>
      <c r="W9" s="1" t="str" cm="1">
        <f t="array" ref="W9">_xlfn.IFNA(_xlfn.IFNA(INDEX(競技会設定!$X$25:$AC$47,MATCH(INDEX(女子エントリー!$J$7:$AH$406,MATCH($G9&amp;RIGHT(W$1,1),女子エントリー!$AH$7:$AH$406,0),1),競技会設定!$AC$25:$AC$47,0),1),INDEX(競技会設定!$X$25:$AC$47,MATCH(INDEX(女子エントリー!$R$6:$V$406,MATCH($G9&amp;RIGHT(W$1,1),女子エントリー!$V$6:$V$406,0)-MATCH($G9&amp;RIGHT(W$1,1),女子エントリー!$V$6:$V$406,0)+1,1),競技会設定!$AC$25:$AC$47,0),1)),"")</f>
        <v/>
      </c>
      <c r="X9" s="1" t="str">
        <f>IF(W9=37,リレーエントリー!$I$27,_xlfn.IFNA(INDEX(女子エントリー!$J$7:$AH$406,MATCH($G9&amp;RIGHT(Y$1,1),女子エントリー!$AH$7:$AH$406,0),3),""))</f>
        <v/>
      </c>
      <c r="Y9" s="1" t="str">
        <f t="shared" si="1"/>
        <v/>
      </c>
      <c r="Z9" s="1" t="str">
        <f t="shared" si="2"/>
        <v/>
      </c>
      <c r="AA9" s="1" t="str">
        <f t="shared" si="3"/>
        <v/>
      </c>
      <c r="AB9" s="1" t="str" cm="1">
        <f t="array" ref="AB9">_xlfn.IFNA(_xlfn.IFNA(INDEX(競技会設定!$X$25:$AC$47,MATCH(INDEX(女子エントリー!$J$7:$AH$406,MATCH($G9&amp;RIGHT(AB$1,1),女子エントリー!$AH$7:$AH$406,0),1),競技会設定!$AC$25:$AC$47,0),1),INDEX(競技会設定!$X$25:$AC$47,MATCH(INDEX(女子エントリー!$R$6:$V$406,MATCH($G9&amp;RIGHT(AB$1,1),女子エントリー!$V$6:$V$406,0)-MATCH($G9&amp;RIGHT(AB$1,1),女子エントリー!$V$6:$V$406,0)+1,1),競技会設定!$AC$25:$AC$47,0),1)),"")</f>
        <v/>
      </c>
      <c r="AC9" s="1" t="str">
        <f>IF(AB9=37,リレーエントリー!$I$27,_xlfn.IFNA(INDEX(女子エントリー!$J$7:$AH$406,MATCH($G9&amp;RIGHT(AD$1,1),女子エントリー!$AH$7:$AH$406,0),3),""))</f>
        <v/>
      </c>
      <c r="AD9" s="1" t="str">
        <f t="shared" si="4"/>
        <v/>
      </c>
      <c r="AE9" s="1" t="str">
        <f t="shared" si="5"/>
        <v/>
      </c>
      <c r="AF9" s="1" t="str">
        <f t="shared" si="6"/>
        <v/>
      </c>
      <c r="AG9" s="1" t="str" cm="1">
        <f t="array" ref="AG9">_xlfn.IFNA(_xlfn.IFNA(INDEX(競技会設定!$X$25:$AC$47,MATCH(INDEX(女子エントリー!$J$7:$AH$406,MATCH($G9&amp;RIGHT(AG$1,1),女子エントリー!$AH$7:$AH$406,0),1),競技会設定!$AC$25:$AC$47,0),1),INDEX(競技会設定!$X$25:$AC$47,MATCH(INDEX(女子エントリー!$R$6:$V$406,MATCH($G9&amp;RIGHT(AG$1,1),女子エントリー!$V$6:$V$406,0)-MATCH($G9&amp;RIGHT(AG$1,1),女子エントリー!$V$6:$V$406,0)+1,1),競技会設定!$AC$25:$AC$47,0),1)),"")</f>
        <v/>
      </c>
      <c r="AH9" s="1" t="str">
        <f>IF(AG9=37,リレーエントリー!$I$27,_xlfn.IFNA(INDEX(女子エントリー!$J$7:$AH$406,MATCH($G9&amp;RIGHT(AI$1,1),女子エントリー!$AH$7:$AH$406,0),3),""))</f>
        <v/>
      </c>
      <c r="AI9" s="1" t="str">
        <f t="shared" si="7"/>
        <v/>
      </c>
      <c r="AJ9" s="1" t="str">
        <f t="shared" si="8"/>
        <v/>
      </c>
      <c r="AK9" s="1" t="str">
        <f t="shared" si="9"/>
        <v/>
      </c>
      <c r="AL9" s="1" t="str" cm="1">
        <f t="array" ref="AL9">_xlfn.IFNA(_xlfn.IFNA(INDEX(競技会設定!$X$25:$AC$47,MATCH(INDEX(女子エントリー!$J$7:$AH$406,MATCH($G9&amp;RIGHT(AL$1,1),女子エントリー!$AH$7:$AH$406,0),1),競技会設定!$AC$25:$AC$47,0),1),INDEX(競技会設定!$X$25:$AC$47,MATCH(INDEX(女子エントリー!$R$6:$V$406,MATCH($G9&amp;RIGHT(AL$1,1),女子エントリー!$V$6:$V$406,0)-MATCH($G9&amp;RIGHT(AL$1,1),女子エントリー!$V$6:$V$406,0)+1,1),競技会設定!$AC$25:$AC$47,0),1)),"")</f>
        <v/>
      </c>
      <c r="AM9" s="1" t="str">
        <f>IF(AL9=37,リレーエントリー!$I$27,_xlfn.IFNA(INDEX(女子エントリー!$J$7:$AH$406,MATCH($G9&amp;RIGHT(AN$1,1),女子エントリー!$AH$7:$AH$406,0),3),""))</f>
        <v/>
      </c>
      <c r="AN9" s="1" t="str">
        <f t="shared" si="10"/>
        <v/>
      </c>
      <c r="AO9" s="1" t="str">
        <f t="shared" si="11"/>
        <v/>
      </c>
      <c r="AP9" s="1" t="str">
        <f t="shared" si="12"/>
        <v/>
      </c>
    </row>
    <row r="10" spans="1:42">
      <c r="A10" s="1">
        <v>9</v>
      </c>
      <c r="B10" s="92" t="str">
        <f>女子エントリー!D39</f>
        <v/>
      </c>
      <c r="C10" s="1" t="str">
        <f>基本情報!$E$6</f>
        <v/>
      </c>
      <c r="D10" s="1" t="str">
        <f>基本情報!$E$7</f>
        <v/>
      </c>
      <c r="F10" s="92">
        <f>女子エントリー!C39</f>
        <v>0</v>
      </c>
      <c r="G10" s="92" t="str">
        <f>女子エントリー!E39</f>
        <v/>
      </c>
      <c r="H10" s="92" t="str">
        <f>女子エントリー!F39</f>
        <v/>
      </c>
      <c r="I10" s="1" t="str">
        <f t="shared" si="13"/>
        <v/>
      </c>
      <c r="J10" s="1" t="e">
        <f>LEFT(女子エントリー!E41,FIND(",",LEFT(女子エントリー!E41,LEN(女子エントリー!E41)-5))-1)&amp;LEFT(RIGHT(女子エントリー!E41,LEN(女子エントリー!E41)-FIND(",",女子エントリー!E41)),LEN(RIGHT(女子エントリー!E41,LEN(女子エントリー!E41)-FIND(",",女子エントリー!E41)))-5)</f>
        <v>#VALUE!</v>
      </c>
      <c r="K10" s="92" t="str">
        <f>女子エントリー!G41</f>
        <v/>
      </c>
      <c r="L10" s="1" t="str">
        <f t="shared" si="0"/>
        <v/>
      </c>
      <c r="M10" s="92" t="str">
        <f>女子エントリー!G39</f>
        <v/>
      </c>
      <c r="N10" s="92" t="e">
        <f>MID(女子エントリー!E41,FIND("(",女子エントリー!E41)+1,2)</f>
        <v>#VALUE!</v>
      </c>
      <c r="O10" s="1">
        <v>0</v>
      </c>
      <c r="P10" s="92" t="e">
        <f>VLOOKUP(女子エントリー!G40,競技会設定!$F$3:$I$50,2,0)</f>
        <v>#N/A</v>
      </c>
      <c r="R10" s="1" t="str" cm="1">
        <f t="array" ref="R10">_xlfn.IFNA(_xlfn.IFNA(INDEX(競技会設定!$X$25:$AC$47,MATCH(INDEX(女子エントリー!$J$7:$AH$406,MATCH($G10&amp;RIGHT(R$1,1),女子エントリー!$AH$7:$AH$406,0),1),競技会設定!$AC$25:$AC$47,0),1),INDEX(競技会設定!$X$25:$AC$47,MATCH(INDEX(女子エントリー!$R$6:$V$406,MATCH($G10&amp;RIGHT(R$1,1),女子エントリー!$V$6:$V$406,0)-MATCH($G10&amp;RIGHT(R$1,1),女子エントリー!$V$6:$V$406,0)+1,1),競技会設定!$AC$25:$AC$47,0),1)),"")</f>
        <v/>
      </c>
      <c r="S10" s="1" t="str">
        <f>IF(R10=37,リレーエントリー!$I$27,_xlfn.IFNA(INDEX(女子エントリー!$J$7:$AH$406,MATCH($G10&amp;RIGHT(T$1,1),女子エントリー!$AH$7:$AH$406,0),3),""))</f>
        <v/>
      </c>
      <c r="T10" s="1" t="str">
        <f t="shared" si="14"/>
        <v/>
      </c>
      <c r="U10" s="1" t="str">
        <f t="shared" si="15"/>
        <v/>
      </c>
      <c r="V10" s="1" t="str">
        <f t="shared" si="16"/>
        <v/>
      </c>
      <c r="W10" s="1" t="str" cm="1">
        <f t="array" ref="W10">_xlfn.IFNA(_xlfn.IFNA(INDEX(競技会設定!$X$25:$AC$47,MATCH(INDEX(女子エントリー!$J$7:$AH$406,MATCH($G10&amp;RIGHT(W$1,1),女子エントリー!$AH$7:$AH$406,0),1),競技会設定!$AC$25:$AC$47,0),1),INDEX(競技会設定!$X$25:$AC$47,MATCH(INDEX(女子エントリー!$R$6:$V$406,MATCH($G10&amp;RIGHT(W$1,1),女子エントリー!$V$6:$V$406,0)-MATCH($G10&amp;RIGHT(W$1,1),女子エントリー!$V$6:$V$406,0)+1,1),競技会設定!$AC$25:$AC$47,0),1)),"")</f>
        <v/>
      </c>
      <c r="X10" s="1" t="str">
        <f>IF(W10=37,リレーエントリー!$I$27,_xlfn.IFNA(INDEX(女子エントリー!$J$7:$AH$406,MATCH($G10&amp;RIGHT(Y$1,1),女子エントリー!$AH$7:$AH$406,0),3),""))</f>
        <v/>
      </c>
      <c r="Y10" s="1" t="str">
        <f t="shared" si="1"/>
        <v/>
      </c>
      <c r="Z10" s="1" t="str">
        <f t="shared" si="2"/>
        <v/>
      </c>
      <c r="AA10" s="1" t="str">
        <f t="shared" si="3"/>
        <v/>
      </c>
      <c r="AB10" s="1" t="str" cm="1">
        <f t="array" ref="AB10">_xlfn.IFNA(_xlfn.IFNA(INDEX(競技会設定!$X$25:$AC$47,MATCH(INDEX(女子エントリー!$J$7:$AH$406,MATCH($G10&amp;RIGHT(AB$1,1),女子エントリー!$AH$7:$AH$406,0),1),競技会設定!$AC$25:$AC$47,0),1),INDEX(競技会設定!$X$25:$AC$47,MATCH(INDEX(女子エントリー!$R$6:$V$406,MATCH($G10&amp;RIGHT(AB$1,1),女子エントリー!$V$6:$V$406,0)-MATCH($G10&amp;RIGHT(AB$1,1),女子エントリー!$V$6:$V$406,0)+1,1),競技会設定!$AC$25:$AC$47,0),1)),"")</f>
        <v/>
      </c>
      <c r="AC10" s="1" t="str">
        <f>IF(AB10=37,リレーエントリー!$I$27,_xlfn.IFNA(INDEX(女子エントリー!$J$7:$AH$406,MATCH($G10&amp;RIGHT(AD$1,1),女子エントリー!$AH$7:$AH$406,0),3),""))</f>
        <v/>
      </c>
      <c r="AD10" s="1" t="str">
        <f t="shared" si="4"/>
        <v/>
      </c>
      <c r="AE10" s="1" t="str">
        <f t="shared" si="5"/>
        <v/>
      </c>
      <c r="AF10" s="1" t="str">
        <f t="shared" si="6"/>
        <v/>
      </c>
      <c r="AG10" s="1" t="str" cm="1">
        <f t="array" ref="AG10">_xlfn.IFNA(_xlfn.IFNA(INDEX(競技会設定!$X$25:$AC$47,MATCH(INDEX(女子エントリー!$J$7:$AH$406,MATCH($G10&amp;RIGHT(AG$1,1),女子エントリー!$AH$7:$AH$406,0),1),競技会設定!$AC$25:$AC$47,0),1),INDEX(競技会設定!$X$25:$AC$47,MATCH(INDEX(女子エントリー!$R$6:$V$406,MATCH($G10&amp;RIGHT(AG$1,1),女子エントリー!$V$6:$V$406,0)-MATCH($G10&amp;RIGHT(AG$1,1),女子エントリー!$V$6:$V$406,0)+1,1),競技会設定!$AC$25:$AC$47,0),1)),"")</f>
        <v/>
      </c>
      <c r="AH10" s="1" t="str">
        <f>IF(AG10=37,リレーエントリー!$I$27,_xlfn.IFNA(INDEX(女子エントリー!$J$7:$AH$406,MATCH($G10&amp;RIGHT(AI$1,1),女子エントリー!$AH$7:$AH$406,0),3),""))</f>
        <v/>
      </c>
      <c r="AI10" s="1" t="str">
        <f t="shared" si="7"/>
        <v/>
      </c>
      <c r="AJ10" s="1" t="str">
        <f t="shared" si="8"/>
        <v/>
      </c>
      <c r="AK10" s="1" t="str">
        <f t="shared" si="9"/>
        <v/>
      </c>
      <c r="AL10" s="1" t="str" cm="1">
        <f t="array" ref="AL10">_xlfn.IFNA(_xlfn.IFNA(INDEX(競技会設定!$X$25:$AC$47,MATCH(INDEX(女子エントリー!$J$7:$AH$406,MATCH($G10&amp;RIGHT(AL$1,1),女子エントリー!$AH$7:$AH$406,0),1),競技会設定!$AC$25:$AC$47,0),1),INDEX(競技会設定!$X$25:$AC$47,MATCH(INDEX(女子エントリー!$R$6:$V$406,MATCH($G10&amp;RIGHT(AL$1,1),女子エントリー!$V$6:$V$406,0)-MATCH($G10&amp;RIGHT(AL$1,1),女子エントリー!$V$6:$V$406,0)+1,1),競技会設定!$AC$25:$AC$47,0),1)),"")</f>
        <v/>
      </c>
      <c r="AM10" s="1" t="str">
        <f>IF(AL10=37,リレーエントリー!$I$27,_xlfn.IFNA(INDEX(女子エントリー!$J$7:$AH$406,MATCH($G10&amp;RIGHT(AN$1,1),女子エントリー!$AH$7:$AH$406,0),3),""))</f>
        <v/>
      </c>
      <c r="AN10" s="1" t="str">
        <f t="shared" si="10"/>
        <v/>
      </c>
      <c r="AO10" s="1" t="str">
        <f t="shared" si="11"/>
        <v/>
      </c>
      <c r="AP10" s="1" t="str">
        <f t="shared" si="12"/>
        <v/>
      </c>
    </row>
    <row r="11" spans="1:42">
      <c r="A11" s="1">
        <v>10</v>
      </c>
      <c r="B11" s="92" t="str">
        <f>女子エントリー!D43</f>
        <v/>
      </c>
      <c r="C11" s="1" t="str">
        <f>基本情報!$E$6</f>
        <v/>
      </c>
      <c r="D11" s="1" t="str">
        <f>基本情報!$E$7</f>
        <v/>
      </c>
      <c r="F11" s="92">
        <f>女子エントリー!C43</f>
        <v>0</v>
      </c>
      <c r="G11" s="92" t="str">
        <f>女子エントリー!E43</f>
        <v/>
      </c>
      <c r="H11" s="92" t="str">
        <f>女子エントリー!F43</f>
        <v/>
      </c>
      <c r="I11" s="1" t="str">
        <f t="shared" si="13"/>
        <v/>
      </c>
      <c r="J11" s="1" t="e">
        <f>LEFT(女子エントリー!E45,FIND(",",LEFT(女子エントリー!E45,LEN(女子エントリー!E45)-5))-1)&amp;LEFT(RIGHT(女子エントリー!E45,LEN(女子エントリー!E45)-FIND(",",女子エントリー!E45)),LEN(RIGHT(女子エントリー!E45,LEN(女子エントリー!E45)-FIND(",",女子エントリー!E45)))-5)</f>
        <v>#VALUE!</v>
      </c>
      <c r="K11" s="92" t="str">
        <f>女子エントリー!G45</f>
        <v/>
      </c>
      <c r="L11" s="1" t="str">
        <f t="shared" si="0"/>
        <v/>
      </c>
      <c r="M11" s="92" t="str">
        <f>女子エントリー!G43</f>
        <v/>
      </c>
      <c r="N11" s="92" t="e">
        <f>MID(女子エントリー!E45,FIND("(",女子エントリー!E45)+1,2)</f>
        <v>#VALUE!</v>
      </c>
      <c r="O11" s="1">
        <v>0</v>
      </c>
      <c r="P11" s="92" t="e">
        <f>VLOOKUP(女子エントリー!G44,競技会設定!$F$3:$I$50,2,0)</f>
        <v>#N/A</v>
      </c>
      <c r="R11" s="1" t="str" cm="1">
        <f t="array" ref="R11">_xlfn.IFNA(_xlfn.IFNA(INDEX(競技会設定!$X$25:$AC$47,MATCH(INDEX(女子エントリー!$J$7:$AH$406,MATCH($G11&amp;RIGHT(R$1,1),女子エントリー!$AH$7:$AH$406,0),1),競技会設定!$AC$25:$AC$47,0),1),INDEX(競技会設定!$X$25:$AC$47,MATCH(INDEX(女子エントリー!$R$6:$V$406,MATCH($G11&amp;RIGHT(R$1,1),女子エントリー!$V$6:$V$406,0)-MATCH($G11&amp;RIGHT(R$1,1),女子エントリー!$V$6:$V$406,0)+1,1),競技会設定!$AC$25:$AC$47,0),1)),"")</f>
        <v/>
      </c>
      <c r="S11" s="1" t="str">
        <f>IF(R11=37,リレーエントリー!$I$27,_xlfn.IFNA(INDEX(女子エントリー!$J$7:$AH$406,MATCH($G11&amp;RIGHT(T$1,1),女子エントリー!$AH$7:$AH$406,0),3),""))</f>
        <v/>
      </c>
      <c r="T11" s="1" t="str">
        <f t="shared" si="14"/>
        <v/>
      </c>
      <c r="U11" s="1" t="str">
        <f t="shared" si="15"/>
        <v/>
      </c>
      <c r="V11" s="1" t="str">
        <f t="shared" si="16"/>
        <v/>
      </c>
      <c r="W11" s="1" t="str" cm="1">
        <f t="array" ref="W11">_xlfn.IFNA(_xlfn.IFNA(INDEX(競技会設定!$X$25:$AC$47,MATCH(INDEX(女子エントリー!$J$7:$AH$406,MATCH($G11&amp;RIGHT(W$1,1),女子エントリー!$AH$7:$AH$406,0),1),競技会設定!$AC$25:$AC$47,0),1),INDEX(競技会設定!$X$25:$AC$47,MATCH(INDEX(女子エントリー!$R$6:$V$406,MATCH($G11&amp;RIGHT(W$1,1),女子エントリー!$V$6:$V$406,0)-MATCH($G11&amp;RIGHT(W$1,1),女子エントリー!$V$6:$V$406,0)+1,1),競技会設定!$AC$25:$AC$47,0),1)),"")</f>
        <v/>
      </c>
      <c r="X11" s="1" t="str">
        <f>IF(W11=37,リレーエントリー!$I$27,_xlfn.IFNA(INDEX(女子エントリー!$J$7:$AH$406,MATCH($G11&amp;RIGHT(Y$1,1),女子エントリー!$AH$7:$AH$406,0),3),""))</f>
        <v/>
      </c>
      <c r="Y11" s="1" t="str">
        <f t="shared" si="1"/>
        <v/>
      </c>
      <c r="Z11" s="1" t="str">
        <f t="shared" si="2"/>
        <v/>
      </c>
      <c r="AA11" s="1" t="str">
        <f t="shared" si="3"/>
        <v/>
      </c>
      <c r="AB11" s="1" t="str" cm="1">
        <f t="array" ref="AB11">_xlfn.IFNA(_xlfn.IFNA(INDEX(競技会設定!$X$25:$AC$47,MATCH(INDEX(女子エントリー!$J$7:$AH$406,MATCH($G11&amp;RIGHT(AB$1,1),女子エントリー!$AH$7:$AH$406,0),1),競技会設定!$AC$25:$AC$47,0),1),INDEX(競技会設定!$X$25:$AC$47,MATCH(INDEX(女子エントリー!$R$6:$V$406,MATCH($G11&amp;RIGHT(AB$1,1),女子エントリー!$V$6:$V$406,0)-MATCH($G11&amp;RIGHT(AB$1,1),女子エントリー!$V$6:$V$406,0)+1,1),競技会設定!$AC$25:$AC$47,0),1)),"")</f>
        <v/>
      </c>
      <c r="AC11" s="1" t="str">
        <f>IF(AB11=37,リレーエントリー!$I$27,_xlfn.IFNA(INDEX(女子エントリー!$J$7:$AH$406,MATCH($G11&amp;RIGHT(AD$1,1),女子エントリー!$AH$7:$AH$406,0),3),""))</f>
        <v/>
      </c>
      <c r="AD11" s="1" t="str">
        <f t="shared" si="4"/>
        <v/>
      </c>
      <c r="AE11" s="1" t="str">
        <f t="shared" si="5"/>
        <v/>
      </c>
      <c r="AF11" s="1" t="str">
        <f t="shared" si="6"/>
        <v/>
      </c>
      <c r="AG11" s="1" t="str" cm="1">
        <f t="array" ref="AG11">_xlfn.IFNA(_xlfn.IFNA(INDEX(競技会設定!$X$25:$AC$47,MATCH(INDEX(女子エントリー!$J$7:$AH$406,MATCH($G11&amp;RIGHT(AG$1,1),女子エントリー!$AH$7:$AH$406,0),1),競技会設定!$AC$25:$AC$47,0),1),INDEX(競技会設定!$X$25:$AC$47,MATCH(INDEX(女子エントリー!$R$6:$V$406,MATCH($G11&amp;RIGHT(AG$1,1),女子エントリー!$V$6:$V$406,0)-MATCH($G11&amp;RIGHT(AG$1,1),女子エントリー!$V$6:$V$406,0)+1,1),競技会設定!$AC$25:$AC$47,0),1)),"")</f>
        <v/>
      </c>
      <c r="AH11" s="1" t="str">
        <f>IF(AG11=37,リレーエントリー!$I$27,_xlfn.IFNA(INDEX(女子エントリー!$J$7:$AH$406,MATCH($G11&amp;RIGHT(AI$1,1),女子エントリー!$AH$7:$AH$406,0),3),""))</f>
        <v/>
      </c>
      <c r="AI11" s="1" t="str">
        <f t="shared" si="7"/>
        <v/>
      </c>
      <c r="AJ11" s="1" t="str">
        <f t="shared" si="8"/>
        <v/>
      </c>
      <c r="AK11" s="1" t="str">
        <f t="shared" si="9"/>
        <v/>
      </c>
      <c r="AL11" s="1" t="str" cm="1">
        <f t="array" ref="AL11">_xlfn.IFNA(_xlfn.IFNA(INDEX(競技会設定!$X$25:$AC$47,MATCH(INDEX(女子エントリー!$J$7:$AH$406,MATCH($G11&amp;RIGHT(AL$1,1),女子エントリー!$AH$7:$AH$406,0),1),競技会設定!$AC$25:$AC$47,0),1),INDEX(競技会設定!$X$25:$AC$47,MATCH(INDEX(女子エントリー!$R$6:$V$406,MATCH($G11&amp;RIGHT(AL$1,1),女子エントリー!$V$6:$V$406,0)-MATCH($G11&amp;RIGHT(AL$1,1),女子エントリー!$V$6:$V$406,0)+1,1),競技会設定!$AC$25:$AC$47,0),1)),"")</f>
        <v/>
      </c>
      <c r="AM11" s="1" t="str">
        <f>IF(AL11=37,リレーエントリー!$I$27,_xlfn.IFNA(INDEX(女子エントリー!$J$7:$AH$406,MATCH($G11&amp;RIGHT(AN$1,1),女子エントリー!$AH$7:$AH$406,0),3),""))</f>
        <v/>
      </c>
      <c r="AN11" s="1" t="str">
        <f t="shared" si="10"/>
        <v/>
      </c>
      <c r="AO11" s="1" t="str">
        <f t="shared" si="11"/>
        <v/>
      </c>
      <c r="AP11" s="1" t="str">
        <f t="shared" si="12"/>
        <v/>
      </c>
    </row>
    <row r="12" spans="1:42">
      <c r="A12" s="1">
        <v>11</v>
      </c>
      <c r="B12" s="92" t="str">
        <f>女子エントリー!D47</f>
        <v/>
      </c>
      <c r="C12" s="1" t="str">
        <f>基本情報!$E$6</f>
        <v/>
      </c>
      <c r="D12" s="1" t="str">
        <f>基本情報!$E$7</f>
        <v/>
      </c>
      <c r="F12" s="92">
        <f>女子エントリー!C47</f>
        <v>0</v>
      </c>
      <c r="G12" s="92" t="str">
        <f>女子エントリー!E47</f>
        <v/>
      </c>
      <c r="H12" s="92" t="str">
        <f>女子エントリー!F47</f>
        <v/>
      </c>
      <c r="I12" s="1" t="str">
        <f t="shared" si="13"/>
        <v/>
      </c>
      <c r="J12" s="1" t="e">
        <f>LEFT(女子エントリー!E49,FIND(",",LEFT(女子エントリー!E49,LEN(女子エントリー!E49)-5))-1)&amp;LEFT(RIGHT(女子エントリー!E49,LEN(女子エントリー!E49)-FIND(",",女子エントリー!E49)),LEN(RIGHT(女子エントリー!E49,LEN(女子エントリー!E49)-FIND(",",女子エントリー!E49)))-5)</f>
        <v>#VALUE!</v>
      </c>
      <c r="K12" s="92" t="str">
        <f>女子エントリー!G49</f>
        <v/>
      </c>
      <c r="L12" s="1" t="str">
        <f t="shared" si="0"/>
        <v/>
      </c>
      <c r="M12" s="92" t="str">
        <f>女子エントリー!G47</f>
        <v/>
      </c>
      <c r="N12" s="92" t="e">
        <f>MID(女子エントリー!E49,FIND("(",女子エントリー!E49)+1,2)</f>
        <v>#VALUE!</v>
      </c>
      <c r="O12" s="1">
        <v>0</v>
      </c>
      <c r="P12" s="92" t="e">
        <f>VLOOKUP(女子エントリー!G48,競技会設定!$F$3:$I$50,2,0)</f>
        <v>#N/A</v>
      </c>
      <c r="R12" s="1" t="str" cm="1">
        <f t="array" ref="R12">_xlfn.IFNA(_xlfn.IFNA(INDEX(競技会設定!$X$25:$AC$47,MATCH(INDEX(女子エントリー!$J$7:$AH$406,MATCH($G12&amp;RIGHT(R$1,1),女子エントリー!$AH$7:$AH$406,0),1),競技会設定!$AC$25:$AC$47,0),1),INDEX(競技会設定!$X$25:$AC$47,MATCH(INDEX(女子エントリー!$R$6:$V$406,MATCH($G12&amp;RIGHT(R$1,1),女子エントリー!$V$6:$V$406,0)-MATCH($G12&amp;RIGHT(R$1,1),女子エントリー!$V$6:$V$406,0)+1,1),競技会設定!$AC$25:$AC$47,0),1)),"")</f>
        <v/>
      </c>
      <c r="S12" s="1" t="str">
        <f>IF(R12=37,リレーエントリー!$I$27,_xlfn.IFNA(INDEX(女子エントリー!$J$7:$AH$406,MATCH($G12&amp;RIGHT(T$1,1),女子エントリー!$AH$7:$AH$406,0),3),""))</f>
        <v/>
      </c>
      <c r="T12" s="1" t="str">
        <f t="shared" si="14"/>
        <v/>
      </c>
      <c r="U12" s="1" t="str">
        <f t="shared" si="15"/>
        <v/>
      </c>
      <c r="V12" s="1" t="str">
        <f t="shared" si="16"/>
        <v/>
      </c>
      <c r="W12" s="1" t="str" cm="1">
        <f t="array" ref="W12">_xlfn.IFNA(_xlfn.IFNA(INDEX(競技会設定!$X$25:$AC$47,MATCH(INDEX(女子エントリー!$J$7:$AH$406,MATCH($G12&amp;RIGHT(W$1,1),女子エントリー!$AH$7:$AH$406,0),1),競技会設定!$AC$25:$AC$47,0),1),INDEX(競技会設定!$X$25:$AC$47,MATCH(INDEX(女子エントリー!$R$6:$V$406,MATCH($G12&amp;RIGHT(W$1,1),女子エントリー!$V$6:$V$406,0)-MATCH($G12&amp;RIGHT(W$1,1),女子エントリー!$V$6:$V$406,0)+1,1),競技会設定!$AC$25:$AC$47,0),1)),"")</f>
        <v/>
      </c>
      <c r="X12" s="1" t="str">
        <f>IF(W12=37,リレーエントリー!$I$27,_xlfn.IFNA(INDEX(女子エントリー!$J$7:$AH$406,MATCH($G12&amp;RIGHT(Y$1,1),女子エントリー!$AH$7:$AH$406,0),3),""))</f>
        <v/>
      </c>
      <c r="Y12" s="1" t="str">
        <f t="shared" si="1"/>
        <v/>
      </c>
      <c r="Z12" s="1" t="str">
        <f t="shared" si="2"/>
        <v/>
      </c>
      <c r="AA12" s="1" t="str">
        <f t="shared" si="3"/>
        <v/>
      </c>
      <c r="AB12" s="1" t="str" cm="1">
        <f t="array" ref="AB12">_xlfn.IFNA(_xlfn.IFNA(INDEX(競技会設定!$X$25:$AC$47,MATCH(INDEX(女子エントリー!$J$7:$AH$406,MATCH($G12&amp;RIGHT(AB$1,1),女子エントリー!$AH$7:$AH$406,0),1),競技会設定!$AC$25:$AC$47,0),1),INDEX(競技会設定!$X$25:$AC$47,MATCH(INDEX(女子エントリー!$R$6:$V$406,MATCH($G12&amp;RIGHT(AB$1,1),女子エントリー!$V$6:$V$406,0)-MATCH($G12&amp;RIGHT(AB$1,1),女子エントリー!$V$6:$V$406,0)+1,1),競技会設定!$AC$25:$AC$47,0),1)),"")</f>
        <v/>
      </c>
      <c r="AC12" s="1" t="str">
        <f>IF(AB12=37,リレーエントリー!$I$27,_xlfn.IFNA(INDEX(女子エントリー!$J$7:$AH$406,MATCH($G12&amp;RIGHT(AD$1,1),女子エントリー!$AH$7:$AH$406,0),3),""))</f>
        <v/>
      </c>
      <c r="AD12" s="1" t="str">
        <f t="shared" si="4"/>
        <v/>
      </c>
      <c r="AE12" s="1" t="str">
        <f t="shared" si="5"/>
        <v/>
      </c>
      <c r="AF12" s="1" t="str">
        <f t="shared" si="6"/>
        <v/>
      </c>
      <c r="AG12" s="1" t="str" cm="1">
        <f t="array" ref="AG12">_xlfn.IFNA(_xlfn.IFNA(INDEX(競技会設定!$X$25:$AC$47,MATCH(INDEX(女子エントリー!$J$7:$AH$406,MATCH($G12&amp;RIGHT(AG$1,1),女子エントリー!$AH$7:$AH$406,0),1),競技会設定!$AC$25:$AC$47,0),1),INDEX(競技会設定!$X$25:$AC$47,MATCH(INDEX(女子エントリー!$R$6:$V$406,MATCH($G12&amp;RIGHT(AG$1,1),女子エントリー!$V$6:$V$406,0)-MATCH($G12&amp;RIGHT(AG$1,1),女子エントリー!$V$6:$V$406,0)+1,1),競技会設定!$AC$25:$AC$47,0),1)),"")</f>
        <v/>
      </c>
      <c r="AH12" s="1" t="str">
        <f>IF(AG12=37,リレーエントリー!$I$27,_xlfn.IFNA(INDEX(女子エントリー!$J$7:$AH$406,MATCH($G12&amp;RIGHT(AI$1,1),女子エントリー!$AH$7:$AH$406,0),3),""))</f>
        <v/>
      </c>
      <c r="AI12" s="1" t="str">
        <f t="shared" si="7"/>
        <v/>
      </c>
      <c r="AJ12" s="1" t="str">
        <f t="shared" si="8"/>
        <v/>
      </c>
      <c r="AK12" s="1" t="str">
        <f t="shared" si="9"/>
        <v/>
      </c>
      <c r="AL12" s="1" t="str" cm="1">
        <f t="array" ref="AL12">_xlfn.IFNA(_xlfn.IFNA(INDEX(競技会設定!$X$25:$AC$47,MATCH(INDEX(女子エントリー!$J$7:$AH$406,MATCH($G12&amp;RIGHT(AL$1,1),女子エントリー!$AH$7:$AH$406,0),1),競技会設定!$AC$25:$AC$47,0),1),INDEX(競技会設定!$X$25:$AC$47,MATCH(INDEX(女子エントリー!$R$6:$V$406,MATCH($G12&amp;RIGHT(AL$1,1),女子エントリー!$V$6:$V$406,0)-MATCH($G12&amp;RIGHT(AL$1,1),女子エントリー!$V$6:$V$406,0)+1,1),競技会設定!$AC$25:$AC$47,0),1)),"")</f>
        <v/>
      </c>
      <c r="AM12" s="1" t="str">
        <f>IF(AL12=37,リレーエントリー!$I$27,_xlfn.IFNA(INDEX(女子エントリー!$J$7:$AH$406,MATCH($G12&amp;RIGHT(AN$1,1),女子エントリー!$AH$7:$AH$406,0),3),""))</f>
        <v/>
      </c>
      <c r="AN12" s="1" t="str">
        <f t="shared" si="10"/>
        <v/>
      </c>
      <c r="AO12" s="1" t="str">
        <f t="shared" si="11"/>
        <v/>
      </c>
      <c r="AP12" s="1" t="str">
        <f t="shared" si="12"/>
        <v/>
      </c>
    </row>
    <row r="13" spans="1:42">
      <c r="A13" s="1">
        <v>12</v>
      </c>
      <c r="B13" s="92" t="str">
        <f>女子エントリー!D51</f>
        <v/>
      </c>
      <c r="C13" s="1" t="str">
        <f>基本情報!$E$6</f>
        <v/>
      </c>
      <c r="D13" s="1" t="str">
        <f>基本情報!$E$7</f>
        <v/>
      </c>
      <c r="F13" s="92">
        <f>女子エントリー!C51</f>
        <v>0</v>
      </c>
      <c r="G13" s="92" t="str">
        <f>女子エントリー!E51</f>
        <v/>
      </c>
      <c r="H13" s="92" t="str">
        <f>女子エントリー!F51</f>
        <v/>
      </c>
      <c r="I13" s="1" t="str">
        <f t="shared" si="13"/>
        <v/>
      </c>
      <c r="J13" s="1" t="e">
        <f>LEFT(女子エントリー!E53,FIND(",",LEFT(女子エントリー!E53,LEN(女子エントリー!E53)-5))-1)&amp;LEFT(RIGHT(女子エントリー!E53,LEN(女子エントリー!E53)-FIND(",",女子エントリー!E53)),LEN(RIGHT(女子エントリー!E53,LEN(女子エントリー!E53)-FIND(",",女子エントリー!E53)))-5)</f>
        <v>#VALUE!</v>
      </c>
      <c r="K13" s="92" t="str">
        <f>女子エントリー!G53</f>
        <v/>
      </c>
      <c r="L13" s="1" t="str">
        <f t="shared" si="0"/>
        <v/>
      </c>
      <c r="M13" s="92" t="str">
        <f>女子エントリー!G51</f>
        <v/>
      </c>
      <c r="N13" s="92" t="e">
        <f>MID(女子エントリー!E53,FIND("(",女子エントリー!E53)+1,2)</f>
        <v>#VALUE!</v>
      </c>
      <c r="O13" s="1">
        <v>0</v>
      </c>
      <c r="P13" s="92" t="e">
        <f>VLOOKUP(女子エントリー!G52,競技会設定!$F$3:$I$50,2,0)</f>
        <v>#N/A</v>
      </c>
      <c r="R13" s="1" t="str" cm="1">
        <f t="array" ref="R13">_xlfn.IFNA(_xlfn.IFNA(INDEX(競技会設定!$X$25:$AC$47,MATCH(INDEX(女子エントリー!$J$7:$AH$406,MATCH($G13&amp;RIGHT(R$1,1),女子エントリー!$AH$7:$AH$406,0),1),競技会設定!$AC$25:$AC$47,0),1),INDEX(競技会設定!$X$25:$AC$47,MATCH(INDEX(女子エントリー!$R$6:$V$406,MATCH($G13&amp;RIGHT(R$1,1),女子エントリー!$V$6:$V$406,0)-MATCH($G13&amp;RIGHT(R$1,1),女子エントリー!$V$6:$V$406,0)+1,1),競技会設定!$AC$25:$AC$47,0),1)),"")</f>
        <v/>
      </c>
      <c r="S13" s="1" t="str">
        <f>IF(R13=37,リレーエントリー!$I$27,_xlfn.IFNA(INDEX(女子エントリー!$J$7:$AH$406,MATCH($G13&amp;RIGHT(T$1,1),女子エントリー!$AH$7:$AH$406,0),3),""))</f>
        <v/>
      </c>
      <c r="T13" s="1" t="str">
        <f t="shared" si="14"/>
        <v/>
      </c>
      <c r="U13" s="1" t="str">
        <f t="shared" si="15"/>
        <v/>
      </c>
      <c r="V13" s="1" t="str">
        <f t="shared" si="16"/>
        <v/>
      </c>
      <c r="W13" s="1" t="str" cm="1">
        <f t="array" ref="W13">_xlfn.IFNA(_xlfn.IFNA(INDEX(競技会設定!$X$25:$AC$47,MATCH(INDEX(女子エントリー!$J$7:$AH$406,MATCH($G13&amp;RIGHT(W$1,1),女子エントリー!$AH$7:$AH$406,0),1),競技会設定!$AC$25:$AC$47,0),1),INDEX(競技会設定!$X$25:$AC$47,MATCH(INDEX(女子エントリー!$R$6:$V$406,MATCH($G13&amp;RIGHT(W$1,1),女子エントリー!$V$6:$V$406,0)-MATCH($G13&amp;RIGHT(W$1,1),女子エントリー!$V$6:$V$406,0)+1,1),競技会設定!$AC$25:$AC$47,0),1)),"")</f>
        <v/>
      </c>
      <c r="X13" s="1" t="str">
        <f>IF(W13=37,リレーエントリー!$I$27,_xlfn.IFNA(INDEX(女子エントリー!$J$7:$AH$406,MATCH($G13&amp;RIGHT(Y$1,1),女子エントリー!$AH$7:$AH$406,0),3),""))</f>
        <v/>
      </c>
      <c r="Y13" s="1" t="str">
        <f t="shared" si="1"/>
        <v/>
      </c>
      <c r="Z13" s="1" t="str">
        <f t="shared" si="2"/>
        <v/>
      </c>
      <c r="AA13" s="1" t="str">
        <f t="shared" si="3"/>
        <v/>
      </c>
      <c r="AB13" s="1" t="str" cm="1">
        <f t="array" ref="AB13">_xlfn.IFNA(_xlfn.IFNA(INDEX(競技会設定!$X$25:$AC$47,MATCH(INDEX(女子エントリー!$J$7:$AH$406,MATCH($G13&amp;RIGHT(AB$1,1),女子エントリー!$AH$7:$AH$406,0),1),競技会設定!$AC$25:$AC$47,0),1),INDEX(競技会設定!$X$25:$AC$47,MATCH(INDEX(女子エントリー!$R$6:$V$406,MATCH($G13&amp;RIGHT(AB$1,1),女子エントリー!$V$6:$V$406,0)-MATCH($G13&amp;RIGHT(AB$1,1),女子エントリー!$V$6:$V$406,0)+1,1),競技会設定!$AC$25:$AC$47,0),1)),"")</f>
        <v/>
      </c>
      <c r="AC13" s="1" t="str">
        <f>IF(AB13=37,リレーエントリー!$I$27,_xlfn.IFNA(INDEX(女子エントリー!$J$7:$AH$406,MATCH($G13&amp;RIGHT(AD$1,1),女子エントリー!$AH$7:$AH$406,0),3),""))</f>
        <v/>
      </c>
      <c r="AD13" s="1" t="str">
        <f t="shared" si="4"/>
        <v/>
      </c>
      <c r="AE13" s="1" t="str">
        <f t="shared" si="5"/>
        <v/>
      </c>
      <c r="AF13" s="1" t="str">
        <f t="shared" si="6"/>
        <v/>
      </c>
      <c r="AG13" s="1" t="str" cm="1">
        <f t="array" ref="AG13">_xlfn.IFNA(_xlfn.IFNA(INDEX(競技会設定!$X$25:$AC$47,MATCH(INDEX(女子エントリー!$J$7:$AH$406,MATCH($G13&amp;RIGHT(AG$1,1),女子エントリー!$AH$7:$AH$406,0),1),競技会設定!$AC$25:$AC$47,0),1),INDEX(競技会設定!$X$25:$AC$47,MATCH(INDEX(女子エントリー!$R$6:$V$406,MATCH($G13&amp;RIGHT(AG$1,1),女子エントリー!$V$6:$V$406,0)-MATCH($G13&amp;RIGHT(AG$1,1),女子エントリー!$V$6:$V$406,0)+1,1),競技会設定!$AC$25:$AC$47,0),1)),"")</f>
        <v/>
      </c>
      <c r="AH13" s="1" t="str">
        <f>IF(AG13=37,リレーエントリー!$I$27,_xlfn.IFNA(INDEX(女子エントリー!$J$7:$AH$406,MATCH($G13&amp;RIGHT(AI$1,1),女子エントリー!$AH$7:$AH$406,0),3),""))</f>
        <v/>
      </c>
      <c r="AI13" s="1" t="str">
        <f t="shared" si="7"/>
        <v/>
      </c>
      <c r="AJ13" s="1" t="str">
        <f t="shared" si="8"/>
        <v/>
      </c>
      <c r="AK13" s="1" t="str">
        <f t="shared" si="9"/>
        <v/>
      </c>
      <c r="AL13" s="1" t="str" cm="1">
        <f t="array" ref="AL13">_xlfn.IFNA(_xlfn.IFNA(INDEX(競技会設定!$X$25:$AC$47,MATCH(INDEX(女子エントリー!$J$7:$AH$406,MATCH($G13&amp;RIGHT(AL$1,1),女子エントリー!$AH$7:$AH$406,0),1),競技会設定!$AC$25:$AC$47,0),1),INDEX(競技会設定!$X$25:$AC$47,MATCH(INDEX(女子エントリー!$R$6:$V$406,MATCH($G13&amp;RIGHT(AL$1,1),女子エントリー!$V$6:$V$406,0)-MATCH($G13&amp;RIGHT(AL$1,1),女子エントリー!$V$6:$V$406,0)+1,1),競技会設定!$AC$25:$AC$47,0),1)),"")</f>
        <v/>
      </c>
      <c r="AM13" s="1" t="str">
        <f>IF(AL13=37,リレーエントリー!$I$27,_xlfn.IFNA(INDEX(女子エントリー!$J$7:$AH$406,MATCH($G13&amp;RIGHT(AN$1,1),女子エントリー!$AH$7:$AH$406,0),3),""))</f>
        <v/>
      </c>
      <c r="AN13" s="1" t="str">
        <f t="shared" si="10"/>
        <v/>
      </c>
      <c r="AO13" s="1" t="str">
        <f t="shared" si="11"/>
        <v/>
      </c>
      <c r="AP13" s="1" t="str">
        <f t="shared" si="12"/>
        <v/>
      </c>
    </row>
    <row r="14" spans="1:42">
      <c r="A14" s="1">
        <v>13</v>
      </c>
      <c r="B14" s="92" t="str">
        <f>女子エントリー!D55</f>
        <v/>
      </c>
      <c r="C14" s="1" t="str">
        <f>基本情報!$E$6</f>
        <v/>
      </c>
      <c r="D14" s="1" t="str">
        <f>基本情報!$E$7</f>
        <v/>
      </c>
      <c r="F14" s="92">
        <f>女子エントリー!C55</f>
        <v>0</v>
      </c>
      <c r="G14" s="92" t="str">
        <f>女子エントリー!E55</f>
        <v/>
      </c>
      <c r="H14" s="92" t="str">
        <f>女子エントリー!F55</f>
        <v/>
      </c>
      <c r="I14" s="1" t="str">
        <f t="shared" si="13"/>
        <v/>
      </c>
      <c r="J14" s="1" t="e">
        <f>LEFT(女子エントリー!E57,FIND(",",LEFT(女子エントリー!E57,LEN(女子エントリー!E57)-5))-1)&amp;LEFT(RIGHT(女子エントリー!E57,LEN(女子エントリー!E57)-FIND(",",女子エントリー!E57)),LEN(RIGHT(女子エントリー!E57,LEN(女子エントリー!E57)-FIND(",",女子エントリー!E57)))-5)</f>
        <v>#VALUE!</v>
      </c>
      <c r="K14" s="92" t="str">
        <f>女子エントリー!G57</f>
        <v/>
      </c>
      <c r="L14" s="1" t="str">
        <f t="shared" si="0"/>
        <v/>
      </c>
      <c r="M14" s="92" t="str">
        <f>女子エントリー!G55</f>
        <v/>
      </c>
      <c r="N14" s="92" t="e">
        <f>MID(女子エントリー!E57,FIND("(",女子エントリー!E57)+1,2)</f>
        <v>#VALUE!</v>
      </c>
      <c r="O14" s="1">
        <v>0</v>
      </c>
      <c r="P14" s="92" t="e">
        <f>VLOOKUP(女子エントリー!G56,競技会設定!$F$3:$I$50,2,0)</f>
        <v>#N/A</v>
      </c>
      <c r="R14" s="1" t="str" cm="1">
        <f t="array" ref="R14">_xlfn.IFNA(_xlfn.IFNA(INDEX(競技会設定!$X$25:$AC$47,MATCH(INDEX(女子エントリー!$J$7:$AH$406,MATCH($G14&amp;RIGHT(R$1,1),女子エントリー!$AH$7:$AH$406,0),1),競技会設定!$AC$25:$AC$47,0),1),INDEX(競技会設定!$X$25:$AC$47,MATCH(INDEX(女子エントリー!$R$6:$V$406,MATCH($G14&amp;RIGHT(R$1,1),女子エントリー!$V$6:$V$406,0)-MATCH($G14&amp;RIGHT(R$1,1),女子エントリー!$V$6:$V$406,0)+1,1),競技会設定!$AC$25:$AC$47,0),1)),"")</f>
        <v/>
      </c>
      <c r="S14" s="1" t="str">
        <f>IF(R14=37,リレーエントリー!$I$27,_xlfn.IFNA(INDEX(女子エントリー!$J$7:$AH$406,MATCH($G14&amp;RIGHT(T$1,1),女子エントリー!$AH$7:$AH$406,0),3),""))</f>
        <v/>
      </c>
      <c r="T14" s="1" t="str">
        <f t="shared" si="14"/>
        <v/>
      </c>
      <c r="U14" s="1" t="str">
        <f t="shared" si="15"/>
        <v/>
      </c>
      <c r="V14" s="1" t="str">
        <f t="shared" si="16"/>
        <v/>
      </c>
      <c r="W14" s="1" t="str" cm="1">
        <f t="array" ref="W14">_xlfn.IFNA(_xlfn.IFNA(INDEX(競技会設定!$X$25:$AC$47,MATCH(INDEX(女子エントリー!$J$7:$AH$406,MATCH($G14&amp;RIGHT(W$1,1),女子エントリー!$AH$7:$AH$406,0),1),競技会設定!$AC$25:$AC$47,0),1),INDEX(競技会設定!$X$25:$AC$47,MATCH(INDEX(女子エントリー!$R$6:$V$406,MATCH($G14&amp;RIGHT(W$1,1),女子エントリー!$V$6:$V$406,0)-MATCH($G14&amp;RIGHT(W$1,1),女子エントリー!$V$6:$V$406,0)+1,1),競技会設定!$AC$25:$AC$47,0),1)),"")</f>
        <v/>
      </c>
      <c r="X14" s="1" t="str">
        <f>IF(W14=37,リレーエントリー!$I$27,_xlfn.IFNA(INDEX(女子エントリー!$J$7:$AH$406,MATCH($G14&amp;RIGHT(Y$1,1),女子エントリー!$AH$7:$AH$406,0),3),""))</f>
        <v/>
      </c>
      <c r="Y14" s="1" t="str">
        <f t="shared" si="1"/>
        <v/>
      </c>
      <c r="Z14" s="1" t="str">
        <f t="shared" si="2"/>
        <v/>
      </c>
      <c r="AA14" s="1" t="str">
        <f t="shared" si="3"/>
        <v/>
      </c>
      <c r="AB14" s="1" t="str" cm="1">
        <f t="array" ref="AB14">_xlfn.IFNA(_xlfn.IFNA(INDEX(競技会設定!$X$25:$AC$47,MATCH(INDEX(女子エントリー!$J$7:$AH$406,MATCH($G14&amp;RIGHT(AB$1,1),女子エントリー!$AH$7:$AH$406,0),1),競技会設定!$AC$25:$AC$47,0),1),INDEX(競技会設定!$X$25:$AC$47,MATCH(INDEX(女子エントリー!$R$6:$V$406,MATCH($G14&amp;RIGHT(AB$1,1),女子エントリー!$V$6:$V$406,0)-MATCH($G14&amp;RIGHT(AB$1,1),女子エントリー!$V$6:$V$406,0)+1,1),競技会設定!$AC$25:$AC$47,0),1)),"")</f>
        <v/>
      </c>
      <c r="AC14" s="1" t="str">
        <f>IF(AB14=37,リレーエントリー!$I$27,_xlfn.IFNA(INDEX(女子エントリー!$J$7:$AH$406,MATCH($G14&amp;RIGHT(AD$1,1),女子エントリー!$AH$7:$AH$406,0),3),""))</f>
        <v/>
      </c>
      <c r="AD14" s="1" t="str">
        <f t="shared" si="4"/>
        <v/>
      </c>
      <c r="AE14" s="1" t="str">
        <f t="shared" si="5"/>
        <v/>
      </c>
      <c r="AF14" s="1" t="str">
        <f t="shared" si="6"/>
        <v/>
      </c>
      <c r="AG14" s="1" t="str" cm="1">
        <f t="array" ref="AG14">_xlfn.IFNA(_xlfn.IFNA(INDEX(競技会設定!$X$25:$AC$47,MATCH(INDEX(女子エントリー!$J$7:$AH$406,MATCH($G14&amp;RIGHT(AG$1,1),女子エントリー!$AH$7:$AH$406,0),1),競技会設定!$AC$25:$AC$47,0),1),INDEX(競技会設定!$X$25:$AC$47,MATCH(INDEX(女子エントリー!$R$6:$V$406,MATCH($G14&amp;RIGHT(AG$1,1),女子エントリー!$V$6:$V$406,0)-MATCH($G14&amp;RIGHT(AG$1,1),女子エントリー!$V$6:$V$406,0)+1,1),競技会設定!$AC$25:$AC$47,0),1)),"")</f>
        <v/>
      </c>
      <c r="AH14" s="1" t="str">
        <f>IF(AG14=37,リレーエントリー!$I$27,_xlfn.IFNA(INDEX(女子エントリー!$J$7:$AH$406,MATCH($G14&amp;RIGHT(AI$1,1),女子エントリー!$AH$7:$AH$406,0),3),""))</f>
        <v/>
      </c>
      <c r="AI14" s="1" t="str">
        <f t="shared" si="7"/>
        <v/>
      </c>
      <c r="AJ14" s="1" t="str">
        <f t="shared" si="8"/>
        <v/>
      </c>
      <c r="AK14" s="1" t="str">
        <f t="shared" si="9"/>
        <v/>
      </c>
      <c r="AL14" s="1" t="str" cm="1">
        <f t="array" ref="AL14">_xlfn.IFNA(_xlfn.IFNA(INDEX(競技会設定!$X$25:$AC$47,MATCH(INDEX(女子エントリー!$J$7:$AH$406,MATCH($G14&amp;RIGHT(AL$1,1),女子エントリー!$AH$7:$AH$406,0),1),競技会設定!$AC$25:$AC$47,0),1),INDEX(競技会設定!$X$25:$AC$47,MATCH(INDEX(女子エントリー!$R$6:$V$406,MATCH($G14&amp;RIGHT(AL$1,1),女子エントリー!$V$6:$V$406,0)-MATCH($G14&amp;RIGHT(AL$1,1),女子エントリー!$V$6:$V$406,0)+1,1),競技会設定!$AC$25:$AC$47,0),1)),"")</f>
        <v/>
      </c>
      <c r="AM14" s="1" t="str">
        <f>IF(AL14=37,リレーエントリー!$I$27,_xlfn.IFNA(INDEX(女子エントリー!$J$7:$AH$406,MATCH($G14&amp;RIGHT(AN$1,1),女子エントリー!$AH$7:$AH$406,0),3),""))</f>
        <v/>
      </c>
      <c r="AN14" s="1" t="str">
        <f t="shared" si="10"/>
        <v/>
      </c>
      <c r="AO14" s="1" t="str">
        <f t="shared" si="11"/>
        <v/>
      </c>
      <c r="AP14" s="1" t="str">
        <f t="shared" si="12"/>
        <v/>
      </c>
    </row>
    <row r="15" spans="1:42">
      <c r="A15" s="1">
        <v>14</v>
      </c>
      <c r="B15" s="92" t="str">
        <f>女子エントリー!D59</f>
        <v/>
      </c>
      <c r="C15" s="1" t="str">
        <f>基本情報!$E$6</f>
        <v/>
      </c>
      <c r="D15" s="1" t="str">
        <f>基本情報!$E$7</f>
        <v/>
      </c>
      <c r="F15" s="92">
        <f>女子エントリー!C59</f>
        <v>0</v>
      </c>
      <c r="G15" s="92" t="str">
        <f>女子エントリー!E59</f>
        <v/>
      </c>
      <c r="H15" s="92" t="str">
        <f>女子エントリー!F59</f>
        <v/>
      </c>
      <c r="I15" s="1" t="str">
        <f t="shared" si="13"/>
        <v/>
      </c>
      <c r="J15" s="1" t="e">
        <f>LEFT(女子エントリー!E61,FIND(",",LEFT(女子エントリー!E61,LEN(女子エントリー!E61)-5))-1)&amp;LEFT(RIGHT(女子エントリー!E61,LEN(女子エントリー!E61)-FIND(",",女子エントリー!E61)),LEN(RIGHT(女子エントリー!E61,LEN(女子エントリー!E61)-FIND(",",女子エントリー!E61)))-5)</f>
        <v>#VALUE!</v>
      </c>
      <c r="K15" s="92" t="str">
        <f>女子エントリー!G61</f>
        <v/>
      </c>
      <c r="L15" s="1" t="str">
        <f t="shared" si="0"/>
        <v/>
      </c>
      <c r="M15" s="92" t="str">
        <f>女子エントリー!G59</f>
        <v/>
      </c>
      <c r="N15" s="92" t="e">
        <f>MID(女子エントリー!E61,FIND("(",女子エントリー!E61)+1,2)</f>
        <v>#VALUE!</v>
      </c>
      <c r="O15" s="1">
        <v>0</v>
      </c>
      <c r="P15" s="92" t="e">
        <f>VLOOKUP(女子エントリー!G60,競技会設定!$F$3:$I$50,2,0)</f>
        <v>#N/A</v>
      </c>
      <c r="R15" s="1" t="str" cm="1">
        <f t="array" ref="R15">_xlfn.IFNA(_xlfn.IFNA(INDEX(競技会設定!$X$25:$AC$47,MATCH(INDEX(女子エントリー!$J$7:$AH$406,MATCH($G15&amp;RIGHT(R$1,1),女子エントリー!$AH$7:$AH$406,0),1),競技会設定!$AC$25:$AC$47,0),1),INDEX(競技会設定!$X$25:$AC$47,MATCH(INDEX(女子エントリー!$R$6:$V$406,MATCH($G15&amp;RIGHT(R$1,1),女子エントリー!$V$6:$V$406,0)-MATCH($G15&amp;RIGHT(R$1,1),女子エントリー!$V$6:$V$406,0)+1,1),競技会設定!$AC$25:$AC$47,0),1)),"")</f>
        <v/>
      </c>
      <c r="S15" s="1" t="str">
        <f>IF(R15=37,リレーエントリー!$I$27,_xlfn.IFNA(INDEX(女子エントリー!$J$7:$AH$406,MATCH($G15&amp;RIGHT(T$1,1),女子エントリー!$AH$7:$AH$406,0),3),""))</f>
        <v/>
      </c>
      <c r="T15" s="1" t="str">
        <f t="shared" si="14"/>
        <v/>
      </c>
      <c r="U15" s="1" t="str">
        <f t="shared" si="15"/>
        <v/>
      </c>
      <c r="V15" s="1" t="str">
        <f t="shared" si="16"/>
        <v/>
      </c>
      <c r="W15" s="1" t="str" cm="1">
        <f t="array" ref="W15">_xlfn.IFNA(_xlfn.IFNA(INDEX(競技会設定!$X$25:$AC$47,MATCH(INDEX(女子エントリー!$J$7:$AH$406,MATCH($G15&amp;RIGHT(W$1,1),女子エントリー!$AH$7:$AH$406,0),1),競技会設定!$AC$25:$AC$47,0),1),INDEX(競技会設定!$X$25:$AC$47,MATCH(INDEX(女子エントリー!$R$6:$V$406,MATCH($G15&amp;RIGHT(W$1,1),女子エントリー!$V$6:$V$406,0)-MATCH($G15&amp;RIGHT(W$1,1),女子エントリー!$V$6:$V$406,0)+1,1),競技会設定!$AC$25:$AC$47,0),1)),"")</f>
        <v/>
      </c>
      <c r="X15" s="1" t="str">
        <f>IF(W15=37,リレーエントリー!$I$27,_xlfn.IFNA(INDEX(女子エントリー!$J$7:$AH$406,MATCH($G15&amp;RIGHT(Y$1,1),女子エントリー!$AH$7:$AH$406,0),3),""))</f>
        <v/>
      </c>
      <c r="Y15" s="1" t="str">
        <f t="shared" si="1"/>
        <v/>
      </c>
      <c r="Z15" s="1" t="str">
        <f t="shared" si="2"/>
        <v/>
      </c>
      <c r="AA15" s="1" t="str">
        <f t="shared" si="3"/>
        <v/>
      </c>
      <c r="AB15" s="1" t="str" cm="1">
        <f t="array" ref="AB15">_xlfn.IFNA(_xlfn.IFNA(INDEX(競技会設定!$X$25:$AC$47,MATCH(INDEX(女子エントリー!$J$7:$AH$406,MATCH($G15&amp;RIGHT(AB$1,1),女子エントリー!$AH$7:$AH$406,0),1),競技会設定!$AC$25:$AC$47,0),1),INDEX(競技会設定!$X$25:$AC$47,MATCH(INDEX(女子エントリー!$R$6:$V$406,MATCH($G15&amp;RIGHT(AB$1,1),女子エントリー!$V$6:$V$406,0)-MATCH($G15&amp;RIGHT(AB$1,1),女子エントリー!$V$6:$V$406,0)+1,1),競技会設定!$AC$25:$AC$47,0),1)),"")</f>
        <v/>
      </c>
      <c r="AC15" s="1" t="str">
        <f>IF(AB15=37,リレーエントリー!$I$27,_xlfn.IFNA(INDEX(女子エントリー!$J$7:$AH$406,MATCH($G15&amp;RIGHT(AD$1,1),女子エントリー!$AH$7:$AH$406,0),3),""))</f>
        <v/>
      </c>
      <c r="AD15" s="1" t="str">
        <f t="shared" si="4"/>
        <v/>
      </c>
      <c r="AE15" s="1" t="str">
        <f t="shared" si="5"/>
        <v/>
      </c>
      <c r="AF15" s="1" t="str">
        <f t="shared" si="6"/>
        <v/>
      </c>
      <c r="AG15" s="1" t="str" cm="1">
        <f t="array" ref="AG15">_xlfn.IFNA(_xlfn.IFNA(INDEX(競技会設定!$X$25:$AC$47,MATCH(INDEX(女子エントリー!$J$7:$AH$406,MATCH($G15&amp;RIGHT(AG$1,1),女子エントリー!$AH$7:$AH$406,0),1),競技会設定!$AC$25:$AC$47,0),1),INDEX(競技会設定!$X$25:$AC$47,MATCH(INDEX(女子エントリー!$R$6:$V$406,MATCH($G15&amp;RIGHT(AG$1,1),女子エントリー!$V$6:$V$406,0)-MATCH($G15&amp;RIGHT(AG$1,1),女子エントリー!$V$6:$V$406,0)+1,1),競技会設定!$AC$25:$AC$47,0),1)),"")</f>
        <v/>
      </c>
      <c r="AH15" s="1" t="str">
        <f>IF(AG15=37,リレーエントリー!$I$27,_xlfn.IFNA(INDEX(女子エントリー!$J$7:$AH$406,MATCH($G15&amp;RIGHT(AI$1,1),女子エントリー!$AH$7:$AH$406,0),3),""))</f>
        <v/>
      </c>
      <c r="AI15" s="1" t="str">
        <f t="shared" si="7"/>
        <v/>
      </c>
      <c r="AJ15" s="1" t="str">
        <f t="shared" si="8"/>
        <v/>
      </c>
      <c r="AK15" s="1" t="str">
        <f t="shared" si="9"/>
        <v/>
      </c>
      <c r="AL15" s="1" t="str" cm="1">
        <f t="array" ref="AL15">_xlfn.IFNA(_xlfn.IFNA(INDEX(競技会設定!$X$25:$AC$47,MATCH(INDEX(女子エントリー!$J$7:$AH$406,MATCH($G15&amp;RIGHT(AL$1,1),女子エントリー!$AH$7:$AH$406,0),1),競技会設定!$AC$25:$AC$47,0),1),INDEX(競技会設定!$X$25:$AC$47,MATCH(INDEX(女子エントリー!$R$6:$V$406,MATCH($G15&amp;RIGHT(AL$1,1),女子エントリー!$V$6:$V$406,0)-MATCH($G15&amp;RIGHT(AL$1,1),女子エントリー!$V$6:$V$406,0)+1,1),競技会設定!$AC$25:$AC$47,0),1)),"")</f>
        <v/>
      </c>
      <c r="AM15" s="1" t="str">
        <f>IF(AL15=37,リレーエントリー!$I$27,_xlfn.IFNA(INDEX(女子エントリー!$J$7:$AH$406,MATCH($G15&amp;RIGHT(AN$1,1),女子エントリー!$AH$7:$AH$406,0),3),""))</f>
        <v/>
      </c>
      <c r="AN15" s="1" t="str">
        <f t="shared" si="10"/>
        <v/>
      </c>
      <c r="AO15" s="1" t="str">
        <f t="shared" si="11"/>
        <v/>
      </c>
      <c r="AP15" s="1" t="str">
        <f t="shared" si="12"/>
        <v/>
      </c>
    </row>
    <row r="16" spans="1:42">
      <c r="A16" s="1">
        <v>15</v>
      </c>
      <c r="B16" s="92" t="str">
        <f>女子エントリー!D63</f>
        <v/>
      </c>
      <c r="C16" s="1" t="str">
        <f>基本情報!$E$6</f>
        <v/>
      </c>
      <c r="D16" s="1" t="str">
        <f>基本情報!$E$7</f>
        <v/>
      </c>
      <c r="F16" s="92">
        <f>女子エントリー!C63</f>
        <v>0</v>
      </c>
      <c r="G16" s="92" t="str">
        <f>女子エントリー!E63</f>
        <v/>
      </c>
      <c r="H16" s="92" t="str">
        <f>女子エントリー!F63</f>
        <v/>
      </c>
      <c r="I16" s="1" t="str">
        <f t="shared" si="13"/>
        <v/>
      </c>
      <c r="J16" s="1" t="e">
        <f>LEFT(女子エントリー!E65,FIND(",",LEFT(女子エントリー!E65,LEN(女子エントリー!E65)-5))-1)&amp;LEFT(RIGHT(女子エントリー!E65,LEN(女子エントリー!E65)-FIND(",",女子エントリー!E65)),LEN(RIGHT(女子エントリー!E65,LEN(女子エントリー!E65)-FIND(",",女子エントリー!E65)))-5)</f>
        <v>#VALUE!</v>
      </c>
      <c r="K16" s="92" t="str">
        <f>女子エントリー!G65</f>
        <v/>
      </c>
      <c r="L16" s="1" t="str">
        <f t="shared" si="0"/>
        <v/>
      </c>
      <c r="M16" s="92" t="str">
        <f>女子エントリー!G63</f>
        <v/>
      </c>
      <c r="N16" s="92" t="e">
        <f>MID(女子エントリー!E65,FIND("(",女子エントリー!E65)+1,2)</f>
        <v>#VALUE!</v>
      </c>
      <c r="O16" s="1">
        <v>0</v>
      </c>
      <c r="P16" s="92" t="e">
        <f>VLOOKUP(女子エントリー!G64,競技会設定!$F$3:$I$50,2,0)</f>
        <v>#N/A</v>
      </c>
      <c r="R16" s="1" t="str" cm="1">
        <f t="array" ref="R16">_xlfn.IFNA(_xlfn.IFNA(INDEX(競技会設定!$X$25:$AC$47,MATCH(INDEX(女子エントリー!$J$7:$AH$406,MATCH($G16&amp;RIGHT(R$1,1),女子エントリー!$AH$7:$AH$406,0),1),競技会設定!$AC$25:$AC$47,0),1),INDEX(競技会設定!$X$25:$AC$47,MATCH(INDEX(女子エントリー!$R$6:$V$406,MATCH($G16&amp;RIGHT(R$1,1),女子エントリー!$V$6:$V$406,0)-MATCH($G16&amp;RIGHT(R$1,1),女子エントリー!$V$6:$V$406,0)+1,1),競技会設定!$AC$25:$AC$47,0),1)),"")</f>
        <v/>
      </c>
      <c r="S16" s="1" t="str">
        <f>IF(R16=37,リレーエントリー!$I$27,_xlfn.IFNA(INDEX(女子エントリー!$J$7:$AH$406,MATCH($G16&amp;RIGHT(T$1,1),女子エントリー!$AH$7:$AH$406,0),3),""))</f>
        <v/>
      </c>
      <c r="T16" s="1" t="str">
        <f t="shared" si="14"/>
        <v/>
      </c>
      <c r="U16" s="1" t="str">
        <f t="shared" si="15"/>
        <v/>
      </c>
      <c r="V16" s="1" t="str">
        <f t="shared" si="16"/>
        <v/>
      </c>
      <c r="W16" s="1" t="str" cm="1">
        <f t="array" ref="W16">_xlfn.IFNA(_xlfn.IFNA(INDEX(競技会設定!$X$25:$AC$47,MATCH(INDEX(女子エントリー!$J$7:$AH$406,MATCH($G16&amp;RIGHT(W$1,1),女子エントリー!$AH$7:$AH$406,0),1),競技会設定!$AC$25:$AC$47,0),1),INDEX(競技会設定!$X$25:$AC$47,MATCH(INDEX(女子エントリー!$R$6:$V$406,MATCH($G16&amp;RIGHT(W$1,1),女子エントリー!$V$6:$V$406,0)-MATCH($G16&amp;RIGHT(W$1,1),女子エントリー!$V$6:$V$406,0)+1,1),競技会設定!$AC$25:$AC$47,0),1)),"")</f>
        <v/>
      </c>
      <c r="X16" s="1" t="str">
        <f>IF(W16=37,リレーエントリー!$I$27,_xlfn.IFNA(INDEX(女子エントリー!$J$7:$AH$406,MATCH($G16&amp;RIGHT(Y$1,1),女子エントリー!$AH$7:$AH$406,0),3),""))</f>
        <v/>
      </c>
      <c r="Y16" s="1" t="str">
        <f t="shared" si="1"/>
        <v/>
      </c>
      <c r="Z16" s="1" t="str">
        <f t="shared" si="2"/>
        <v/>
      </c>
      <c r="AA16" s="1" t="str">
        <f t="shared" si="3"/>
        <v/>
      </c>
      <c r="AB16" s="1" t="str" cm="1">
        <f t="array" ref="AB16">_xlfn.IFNA(_xlfn.IFNA(INDEX(競技会設定!$X$25:$AC$47,MATCH(INDEX(女子エントリー!$J$7:$AH$406,MATCH($G16&amp;RIGHT(AB$1,1),女子エントリー!$AH$7:$AH$406,0),1),競技会設定!$AC$25:$AC$47,0),1),INDEX(競技会設定!$X$25:$AC$47,MATCH(INDEX(女子エントリー!$R$6:$V$406,MATCH($G16&amp;RIGHT(AB$1,1),女子エントリー!$V$6:$V$406,0)-MATCH($G16&amp;RIGHT(AB$1,1),女子エントリー!$V$6:$V$406,0)+1,1),競技会設定!$AC$25:$AC$47,0),1)),"")</f>
        <v/>
      </c>
      <c r="AC16" s="1" t="str">
        <f>IF(AB16=37,リレーエントリー!$I$27,_xlfn.IFNA(INDEX(女子エントリー!$J$7:$AH$406,MATCH($G16&amp;RIGHT(AD$1,1),女子エントリー!$AH$7:$AH$406,0),3),""))</f>
        <v/>
      </c>
      <c r="AD16" s="1" t="str">
        <f t="shared" si="4"/>
        <v/>
      </c>
      <c r="AE16" s="1" t="str">
        <f t="shared" si="5"/>
        <v/>
      </c>
      <c r="AF16" s="1" t="str">
        <f t="shared" si="6"/>
        <v/>
      </c>
      <c r="AG16" s="1" t="str" cm="1">
        <f t="array" ref="AG16">_xlfn.IFNA(_xlfn.IFNA(INDEX(競技会設定!$X$25:$AC$47,MATCH(INDEX(女子エントリー!$J$7:$AH$406,MATCH($G16&amp;RIGHT(AG$1,1),女子エントリー!$AH$7:$AH$406,0),1),競技会設定!$AC$25:$AC$47,0),1),INDEX(競技会設定!$X$25:$AC$47,MATCH(INDEX(女子エントリー!$R$6:$V$406,MATCH($G16&amp;RIGHT(AG$1,1),女子エントリー!$V$6:$V$406,0)-MATCH($G16&amp;RIGHT(AG$1,1),女子エントリー!$V$6:$V$406,0)+1,1),競技会設定!$AC$25:$AC$47,0),1)),"")</f>
        <v/>
      </c>
      <c r="AH16" s="1" t="str">
        <f>IF(AG16=37,リレーエントリー!$I$27,_xlfn.IFNA(INDEX(女子エントリー!$J$7:$AH$406,MATCH($G16&amp;RIGHT(AI$1,1),女子エントリー!$AH$7:$AH$406,0),3),""))</f>
        <v/>
      </c>
      <c r="AI16" s="1" t="str">
        <f t="shared" si="7"/>
        <v/>
      </c>
      <c r="AJ16" s="1" t="str">
        <f t="shared" si="8"/>
        <v/>
      </c>
      <c r="AK16" s="1" t="str">
        <f t="shared" si="9"/>
        <v/>
      </c>
      <c r="AL16" s="1" t="str" cm="1">
        <f t="array" ref="AL16">_xlfn.IFNA(_xlfn.IFNA(INDEX(競技会設定!$X$25:$AC$47,MATCH(INDEX(女子エントリー!$J$7:$AH$406,MATCH($G16&amp;RIGHT(AL$1,1),女子エントリー!$AH$7:$AH$406,0),1),競技会設定!$AC$25:$AC$47,0),1),INDEX(競技会設定!$X$25:$AC$47,MATCH(INDEX(女子エントリー!$R$6:$V$406,MATCH($G16&amp;RIGHT(AL$1,1),女子エントリー!$V$6:$V$406,0)-MATCH($G16&amp;RIGHT(AL$1,1),女子エントリー!$V$6:$V$406,0)+1,1),競技会設定!$AC$25:$AC$47,0),1)),"")</f>
        <v/>
      </c>
      <c r="AM16" s="1" t="str">
        <f>IF(AL16=37,リレーエントリー!$I$27,_xlfn.IFNA(INDEX(女子エントリー!$J$7:$AH$406,MATCH($G16&amp;RIGHT(AN$1,1),女子エントリー!$AH$7:$AH$406,0),3),""))</f>
        <v/>
      </c>
      <c r="AN16" s="1" t="str">
        <f t="shared" si="10"/>
        <v/>
      </c>
      <c r="AO16" s="1" t="str">
        <f t="shared" si="11"/>
        <v/>
      </c>
      <c r="AP16" s="1" t="str">
        <f t="shared" si="12"/>
        <v/>
      </c>
    </row>
    <row r="17" spans="1:42">
      <c r="A17" s="1">
        <v>16</v>
      </c>
      <c r="B17" s="92" t="str">
        <f>女子エントリー!D67</f>
        <v/>
      </c>
      <c r="C17" s="1" t="str">
        <f>基本情報!$E$6</f>
        <v/>
      </c>
      <c r="D17" s="1" t="str">
        <f>基本情報!$E$7</f>
        <v/>
      </c>
      <c r="F17" s="92">
        <f>女子エントリー!C67</f>
        <v>0</v>
      </c>
      <c r="G17" s="92" t="str">
        <f>女子エントリー!E67</f>
        <v/>
      </c>
      <c r="H17" s="92" t="str">
        <f>女子エントリー!F67</f>
        <v/>
      </c>
      <c r="I17" s="1" t="str">
        <f t="shared" si="13"/>
        <v/>
      </c>
      <c r="J17" s="1" t="e">
        <f>LEFT(女子エントリー!E69,FIND(",",LEFT(女子エントリー!E69,LEN(女子エントリー!E69)-5))-1)&amp;LEFT(RIGHT(女子エントリー!E69,LEN(女子エントリー!E69)-FIND(",",女子エントリー!E69)),LEN(RIGHT(女子エントリー!E69,LEN(女子エントリー!E69)-FIND(",",女子エントリー!E69)))-5)</f>
        <v>#VALUE!</v>
      </c>
      <c r="K17" s="92" t="str">
        <f>女子エントリー!G69</f>
        <v/>
      </c>
      <c r="L17" s="1" t="str">
        <f t="shared" si="0"/>
        <v/>
      </c>
      <c r="M17" s="92" t="str">
        <f>女子エントリー!G67</f>
        <v/>
      </c>
      <c r="N17" s="92" t="e">
        <f>MID(女子エントリー!E69,FIND("(",女子エントリー!E69)+1,2)</f>
        <v>#VALUE!</v>
      </c>
      <c r="O17" s="1">
        <v>0</v>
      </c>
      <c r="P17" s="92" t="e">
        <f>VLOOKUP(女子エントリー!G68,競技会設定!$F$3:$I$50,2,0)</f>
        <v>#N/A</v>
      </c>
      <c r="R17" s="1" t="str" cm="1">
        <f t="array" ref="R17">_xlfn.IFNA(_xlfn.IFNA(INDEX(競技会設定!$X$25:$AC$47,MATCH(INDEX(女子エントリー!$J$7:$AH$406,MATCH($G17&amp;RIGHT(R$1,1),女子エントリー!$AH$7:$AH$406,0),1),競技会設定!$AC$25:$AC$47,0),1),INDEX(競技会設定!$X$25:$AC$47,MATCH(INDEX(女子エントリー!$R$6:$V$406,MATCH($G17&amp;RIGHT(R$1,1),女子エントリー!$V$6:$V$406,0)-MATCH($G17&amp;RIGHT(R$1,1),女子エントリー!$V$6:$V$406,0)+1,1),競技会設定!$AC$25:$AC$47,0),1)),"")</f>
        <v/>
      </c>
      <c r="S17" s="1" t="str">
        <f>IF(R17=37,リレーエントリー!$I$27,_xlfn.IFNA(INDEX(女子エントリー!$J$7:$AH$406,MATCH($G17&amp;RIGHT(T$1,1),女子エントリー!$AH$7:$AH$406,0),3),""))</f>
        <v/>
      </c>
      <c r="T17" s="1" t="str">
        <f t="shared" si="14"/>
        <v/>
      </c>
      <c r="U17" s="1" t="str">
        <f t="shared" si="15"/>
        <v/>
      </c>
      <c r="V17" s="1" t="str">
        <f t="shared" si="16"/>
        <v/>
      </c>
      <c r="W17" s="1" t="str" cm="1">
        <f t="array" ref="W17">_xlfn.IFNA(_xlfn.IFNA(INDEX(競技会設定!$X$25:$AC$47,MATCH(INDEX(女子エントリー!$J$7:$AH$406,MATCH($G17&amp;RIGHT(W$1,1),女子エントリー!$AH$7:$AH$406,0),1),競技会設定!$AC$25:$AC$47,0),1),INDEX(競技会設定!$X$25:$AC$47,MATCH(INDEX(女子エントリー!$R$6:$V$406,MATCH($G17&amp;RIGHT(W$1,1),女子エントリー!$V$6:$V$406,0)-MATCH($G17&amp;RIGHT(W$1,1),女子エントリー!$V$6:$V$406,0)+1,1),競技会設定!$AC$25:$AC$47,0),1)),"")</f>
        <v/>
      </c>
      <c r="X17" s="1" t="str">
        <f>IF(W17=37,リレーエントリー!$I$27,_xlfn.IFNA(INDEX(女子エントリー!$J$7:$AH$406,MATCH($G17&amp;RIGHT(Y$1,1),女子エントリー!$AH$7:$AH$406,0),3),""))</f>
        <v/>
      </c>
      <c r="Y17" s="1" t="str">
        <f t="shared" si="1"/>
        <v/>
      </c>
      <c r="Z17" s="1" t="str">
        <f t="shared" si="2"/>
        <v/>
      </c>
      <c r="AA17" s="1" t="str">
        <f t="shared" si="3"/>
        <v/>
      </c>
      <c r="AB17" s="1" t="str" cm="1">
        <f t="array" ref="AB17">_xlfn.IFNA(_xlfn.IFNA(INDEX(競技会設定!$X$25:$AC$47,MATCH(INDEX(女子エントリー!$J$7:$AH$406,MATCH($G17&amp;RIGHT(AB$1,1),女子エントリー!$AH$7:$AH$406,0),1),競技会設定!$AC$25:$AC$47,0),1),INDEX(競技会設定!$X$25:$AC$47,MATCH(INDEX(女子エントリー!$R$6:$V$406,MATCH($G17&amp;RIGHT(AB$1,1),女子エントリー!$V$6:$V$406,0)-MATCH($G17&amp;RIGHT(AB$1,1),女子エントリー!$V$6:$V$406,0)+1,1),競技会設定!$AC$25:$AC$47,0),1)),"")</f>
        <v/>
      </c>
      <c r="AC17" s="1" t="str">
        <f>IF(AB17=37,リレーエントリー!$I$27,_xlfn.IFNA(INDEX(女子エントリー!$J$7:$AH$406,MATCH($G17&amp;RIGHT(AD$1,1),女子エントリー!$AH$7:$AH$406,0),3),""))</f>
        <v/>
      </c>
      <c r="AD17" s="1" t="str">
        <f t="shared" si="4"/>
        <v/>
      </c>
      <c r="AE17" s="1" t="str">
        <f t="shared" si="5"/>
        <v/>
      </c>
      <c r="AF17" s="1" t="str">
        <f t="shared" si="6"/>
        <v/>
      </c>
      <c r="AG17" s="1" t="str" cm="1">
        <f t="array" ref="AG17">_xlfn.IFNA(_xlfn.IFNA(INDEX(競技会設定!$X$25:$AC$47,MATCH(INDEX(女子エントリー!$J$7:$AH$406,MATCH($G17&amp;RIGHT(AG$1,1),女子エントリー!$AH$7:$AH$406,0),1),競技会設定!$AC$25:$AC$47,0),1),INDEX(競技会設定!$X$25:$AC$47,MATCH(INDEX(女子エントリー!$R$6:$V$406,MATCH($G17&amp;RIGHT(AG$1,1),女子エントリー!$V$6:$V$406,0)-MATCH($G17&amp;RIGHT(AG$1,1),女子エントリー!$V$6:$V$406,0)+1,1),競技会設定!$AC$25:$AC$47,0),1)),"")</f>
        <v/>
      </c>
      <c r="AH17" s="1" t="str">
        <f>IF(AG17=37,リレーエントリー!$I$27,_xlfn.IFNA(INDEX(女子エントリー!$J$7:$AH$406,MATCH($G17&amp;RIGHT(AI$1,1),女子エントリー!$AH$7:$AH$406,0),3),""))</f>
        <v/>
      </c>
      <c r="AI17" s="1" t="str">
        <f t="shared" si="7"/>
        <v/>
      </c>
      <c r="AJ17" s="1" t="str">
        <f t="shared" si="8"/>
        <v/>
      </c>
      <c r="AK17" s="1" t="str">
        <f t="shared" si="9"/>
        <v/>
      </c>
      <c r="AL17" s="1" t="str" cm="1">
        <f t="array" ref="AL17">_xlfn.IFNA(_xlfn.IFNA(INDEX(競技会設定!$X$25:$AC$47,MATCH(INDEX(女子エントリー!$J$7:$AH$406,MATCH($G17&amp;RIGHT(AL$1,1),女子エントリー!$AH$7:$AH$406,0),1),競技会設定!$AC$25:$AC$47,0),1),INDEX(競技会設定!$X$25:$AC$47,MATCH(INDEX(女子エントリー!$R$6:$V$406,MATCH($G17&amp;RIGHT(AL$1,1),女子エントリー!$V$6:$V$406,0)-MATCH($G17&amp;RIGHT(AL$1,1),女子エントリー!$V$6:$V$406,0)+1,1),競技会設定!$AC$25:$AC$47,0),1)),"")</f>
        <v/>
      </c>
      <c r="AM17" s="1" t="str">
        <f>IF(AL17=37,リレーエントリー!$I$27,_xlfn.IFNA(INDEX(女子エントリー!$J$7:$AH$406,MATCH($G17&amp;RIGHT(AN$1,1),女子エントリー!$AH$7:$AH$406,0),3),""))</f>
        <v/>
      </c>
      <c r="AN17" s="1" t="str">
        <f t="shared" si="10"/>
        <v/>
      </c>
      <c r="AO17" s="1" t="str">
        <f t="shared" si="11"/>
        <v/>
      </c>
      <c r="AP17" s="1" t="str">
        <f t="shared" si="12"/>
        <v/>
      </c>
    </row>
    <row r="18" spans="1:42">
      <c r="A18" s="1">
        <v>17</v>
      </c>
      <c r="B18" s="92" t="str">
        <f>女子エントリー!D71</f>
        <v/>
      </c>
      <c r="C18" s="1" t="str">
        <f>基本情報!$E$6</f>
        <v/>
      </c>
      <c r="D18" s="1" t="str">
        <f>基本情報!$E$7</f>
        <v/>
      </c>
      <c r="F18" s="92">
        <f>女子エントリー!C71</f>
        <v>0</v>
      </c>
      <c r="G18" s="92" t="str">
        <f>女子エントリー!E71</f>
        <v/>
      </c>
      <c r="H18" s="92" t="str">
        <f>女子エントリー!F71</f>
        <v/>
      </c>
      <c r="I18" s="1" t="str">
        <f t="shared" si="13"/>
        <v/>
      </c>
      <c r="J18" s="1" t="e">
        <f>LEFT(女子エントリー!E73,FIND(",",LEFT(女子エントリー!E73,LEN(女子エントリー!E73)-5))-1)&amp;LEFT(RIGHT(女子エントリー!E73,LEN(女子エントリー!E73)-FIND(",",女子エントリー!E73)),LEN(RIGHT(女子エントリー!E73,LEN(女子エントリー!E73)-FIND(",",女子エントリー!E73)))-5)</f>
        <v>#VALUE!</v>
      </c>
      <c r="K18" s="92" t="str">
        <f>女子エントリー!G73</f>
        <v/>
      </c>
      <c r="L18" s="1" t="str">
        <f t="shared" si="0"/>
        <v/>
      </c>
      <c r="M18" s="92" t="str">
        <f>女子エントリー!G71</f>
        <v/>
      </c>
      <c r="N18" s="92" t="e">
        <f>MID(女子エントリー!E73,FIND("(",女子エントリー!E73)+1,2)</f>
        <v>#VALUE!</v>
      </c>
      <c r="O18" s="1">
        <v>0</v>
      </c>
      <c r="P18" s="92" t="e">
        <f>VLOOKUP(女子エントリー!G72,競技会設定!$F$3:$I$50,2,0)</f>
        <v>#N/A</v>
      </c>
      <c r="R18" s="1" t="str" cm="1">
        <f t="array" ref="R18">_xlfn.IFNA(_xlfn.IFNA(INDEX(競技会設定!$X$25:$AC$47,MATCH(INDEX(女子エントリー!$J$7:$AH$406,MATCH($G18&amp;RIGHT(R$1,1),女子エントリー!$AH$7:$AH$406,0),1),競技会設定!$AC$25:$AC$47,0),1),INDEX(競技会設定!$X$25:$AC$47,MATCH(INDEX(女子エントリー!$R$6:$V$406,MATCH($G18&amp;RIGHT(R$1,1),女子エントリー!$V$6:$V$406,0)-MATCH($G18&amp;RIGHT(R$1,1),女子エントリー!$V$6:$V$406,0)+1,1),競技会設定!$AC$25:$AC$47,0),1)),"")</f>
        <v/>
      </c>
      <c r="S18" s="1" t="str">
        <f>IF(R18=37,リレーエントリー!$I$27,_xlfn.IFNA(INDEX(女子エントリー!$J$7:$AH$406,MATCH($G18&amp;RIGHT(T$1,1),女子エントリー!$AH$7:$AH$406,0),3),""))</f>
        <v/>
      </c>
      <c r="T18" s="1" t="str">
        <f t="shared" si="14"/>
        <v/>
      </c>
      <c r="U18" s="1" t="str">
        <f t="shared" si="15"/>
        <v/>
      </c>
      <c r="V18" s="1" t="str">
        <f t="shared" si="16"/>
        <v/>
      </c>
      <c r="W18" s="1" t="str" cm="1">
        <f t="array" ref="W18">_xlfn.IFNA(_xlfn.IFNA(INDEX(競技会設定!$X$25:$AC$47,MATCH(INDEX(女子エントリー!$J$7:$AH$406,MATCH($G18&amp;RIGHT(W$1,1),女子エントリー!$AH$7:$AH$406,0),1),競技会設定!$AC$25:$AC$47,0),1),INDEX(競技会設定!$X$25:$AC$47,MATCH(INDEX(女子エントリー!$R$6:$V$406,MATCH($G18&amp;RIGHT(W$1,1),女子エントリー!$V$6:$V$406,0)-MATCH($G18&amp;RIGHT(W$1,1),女子エントリー!$V$6:$V$406,0)+1,1),競技会設定!$AC$25:$AC$47,0),1)),"")</f>
        <v/>
      </c>
      <c r="X18" s="1" t="str">
        <f>IF(W18=37,リレーエントリー!$I$27,_xlfn.IFNA(INDEX(女子エントリー!$J$7:$AH$406,MATCH($G18&amp;RIGHT(Y$1,1),女子エントリー!$AH$7:$AH$406,0),3),""))</f>
        <v/>
      </c>
      <c r="Y18" s="1" t="str">
        <f t="shared" si="1"/>
        <v/>
      </c>
      <c r="Z18" s="1" t="str">
        <f t="shared" si="2"/>
        <v/>
      </c>
      <c r="AA18" s="1" t="str">
        <f t="shared" si="3"/>
        <v/>
      </c>
      <c r="AB18" s="1" t="str" cm="1">
        <f t="array" ref="AB18">_xlfn.IFNA(_xlfn.IFNA(INDEX(競技会設定!$X$25:$AC$47,MATCH(INDEX(女子エントリー!$J$7:$AH$406,MATCH($G18&amp;RIGHT(AB$1,1),女子エントリー!$AH$7:$AH$406,0),1),競技会設定!$AC$25:$AC$47,0),1),INDEX(競技会設定!$X$25:$AC$47,MATCH(INDEX(女子エントリー!$R$6:$V$406,MATCH($G18&amp;RIGHT(AB$1,1),女子エントリー!$V$6:$V$406,0)-MATCH($G18&amp;RIGHT(AB$1,1),女子エントリー!$V$6:$V$406,0)+1,1),競技会設定!$AC$25:$AC$47,0),1)),"")</f>
        <v/>
      </c>
      <c r="AC18" s="1" t="str">
        <f>IF(AB18=37,リレーエントリー!$I$27,_xlfn.IFNA(INDEX(女子エントリー!$J$7:$AH$406,MATCH($G18&amp;RIGHT(AD$1,1),女子エントリー!$AH$7:$AH$406,0),3),""))</f>
        <v/>
      </c>
      <c r="AD18" s="1" t="str">
        <f t="shared" si="4"/>
        <v/>
      </c>
      <c r="AE18" s="1" t="str">
        <f t="shared" si="5"/>
        <v/>
      </c>
      <c r="AF18" s="1" t="str">
        <f t="shared" si="6"/>
        <v/>
      </c>
      <c r="AG18" s="1" t="str" cm="1">
        <f t="array" ref="AG18">_xlfn.IFNA(_xlfn.IFNA(INDEX(競技会設定!$X$25:$AC$47,MATCH(INDEX(女子エントリー!$J$7:$AH$406,MATCH($G18&amp;RIGHT(AG$1,1),女子エントリー!$AH$7:$AH$406,0),1),競技会設定!$AC$25:$AC$47,0),1),INDEX(競技会設定!$X$25:$AC$47,MATCH(INDEX(女子エントリー!$R$6:$V$406,MATCH($G18&amp;RIGHT(AG$1,1),女子エントリー!$V$6:$V$406,0)-MATCH($G18&amp;RIGHT(AG$1,1),女子エントリー!$V$6:$V$406,0)+1,1),競技会設定!$AC$25:$AC$47,0),1)),"")</f>
        <v/>
      </c>
      <c r="AH18" s="1" t="str">
        <f>IF(AG18=37,リレーエントリー!$I$27,_xlfn.IFNA(INDEX(女子エントリー!$J$7:$AH$406,MATCH($G18&amp;RIGHT(AI$1,1),女子エントリー!$AH$7:$AH$406,0),3),""))</f>
        <v/>
      </c>
      <c r="AI18" s="1" t="str">
        <f t="shared" si="7"/>
        <v/>
      </c>
      <c r="AJ18" s="1" t="str">
        <f t="shared" si="8"/>
        <v/>
      </c>
      <c r="AK18" s="1" t="str">
        <f t="shared" si="9"/>
        <v/>
      </c>
      <c r="AL18" s="1" t="str" cm="1">
        <f t="array" ref="AL18">_xlfn.IFNA(_xlfn.IFNA(INDEX(競技会設定!$X$25:$AC$47,MATCH(INDEX(女子エントリー!$J$7:$AH$406,MATCH($G18&amp;RIGHT(AL$1,1),女子エントリー!$AH$7:$AH$406,0),1),競技会設定!$AC$25:$AC$47,0),1),INDEX(競技会設定!$X$25:$AC$47,MATCH(INDEX(女子エントリー!$R$6:$V$406,MATCH($G18&amp;RIGHT(AL$1,1),女子エントリー!$V$6:$V$406,0)-MATCH($G18&amp;RIGHT(AL$1,1),女子エントリー!$V$6:$V$406,0)+1,1),競技会設定!$AC$25:$AC$47,0),1)),"")</f>
        <v/>
      </c>
      <c r="AM18" s="1" t="str">
        <f>IF(AL18=37,リレーエントリー!$I$27,_xlfn.IFNA(INDEX(女子エントリー!$J$7:$AH$406,MATCH($G18&amp;RIGHT(AN$1,1),女子エントリー!$AH$7:$AH$406,0),3),""))</f>
        <v/>
      </c>
      <c r="AN18" s="1" t="str">
        <f t="shared" si="10"/>
        <v/>
      </c>
      <c r="AO18" s="1" t="str">
        <f t="shared" si="11"/>
        <v/>
      </c>
      <c r="AP18" s="1" t="str">
        <f t="shared" si="12"/>
        <v/>
      </c>
    </row>
    <row r="19" spans="1:42">
      <c r="A19" s="1">
        <v>18</v>
      </c>
      <c r="B19" s="92" t="str">
        <f>女子エントリー!D75</f>
        <v/>
      </c>
      <c r="C19" s="1" t="str">
        <f>基本情報!$E$6</f>
        <v/>
      </c>
      <c r="D19" s="1" t="str">
        <f>基本情報!$E$7</f>
        <v/>
      </c>
      <c r="F19" s="92">
        <f>女子エントリー!C75</f>
        <v>0</v>
      </c>
      <c r="G19" s="92" t="str">
        <f>女子エントリー!E75</f>
        <v/>
      </c>
      <c r="H19" s="92" t="str">
        <f>女子エントリー!F75</f>
        <v/>
      </c>
      <c r="I19" s="1" t="str">
        <f t="shared" si="13"/>
        <v/>
      </c>
      <c r="J19" s="1" t="e">
        <f>LEFT(女子エントリー!E77,FIND(",",LEFT(女子エントリー!E77,LEN(女子エントリー!E77)-5))-1)&amp;LEFT(RIGHT(女子エントリー!E77,LEN(女子エントリー!E77)-FIND(",",女子エントリー!E77)),LEN(RIGHT(女子エントリー!E77,LEN(女子エントリー!E77)-FIND(",",女子エントリー!E77)))-5)</f>
        <v>#VALUE!</v>
      </c>
      <c r="K19" s="92" t="str">
        <f>女子エントリー!G77</f>
        <v/>
      </c>
      <c r="L19" s="1" t="str">
        <f t="shared" si="0"/>
        <v/>
      </c>
      <c r="M19" s="92" t="str">
        <f>女子エントリー!G75</f>
        <v/>
      </c>
      <c r="N19" s="92" t="e">
        <f>MID(女子エントリー!E77,FIND("(",女子エントリー!E77)+1,2)</f>
        <v>#VALUE!</v>
      </c>
      <c r="O19" s="1">
        <v>0</v>
      </c>
      <c r="P19" s="92" t="e">
        <f>VLOOKUP(女子エントリー!G76,競技会設定!$F$3:$I$50,2,0)</f>
        <v>#N/A</v>
      </c>
      <c r="R19" s="1" t="str" cm="1">
        <f t="array" ref="R19">_xlfn.IFNA(_xlfn.IFNA(INDEX(競技会設定!$X$25:$AC$47,MATCH(INDEX(女子エントリー!$J$7:$AH$406,MATCH($G19&amp;RIGHT(R$1,1),女子エントリー!$AH$7:$AH$406,0),1),競技会設定!$AC$25:$AC$47,0),1),INDEX(競技会設定!$X$25:$AC$47,MATCH(INDEX(女子エントリー!$R$6:$V$406,MATCH($G19&amp;RIGHT(R$1,1),女子エントリー!$V$6:$V$406,0)-MATCH($G19&amp;RIGHT(R$1,1),女子エントリー!$V$6:$V$406,0)+1,1),競技会設定!$AC$25:$AC$47,0),1)),"")</f>
        <v/>
      </c>
      <c r="S19" s="1" t="str">
        <f>IF(R19=37,リレーエントリー!$I$27,_xlfn.IFNA(INDEX(女子エントリー!$J$7:$AH$406,MATCH($G19&amp;RIGHT(T$1,1),女子エントリー!$AH$7:$AH$406,0),3),""))</f>
        <v/>
      </c>
      <c r="T19" s="1" t="str">
        <f t="shared" si="14"/>
        <v/>
      </c>
      <c r="U19" s="1" t="str">
        <f t="shared" si="15"/>
        <v/>
      </c>
      <c r="V19" s="1" t="str">
        <f t="shared" si="16"/>
        <v/>
      </c>
      <c r="W19" s="1" t="str" cm="1">
        <f t="array" ref="W19">_xlfn.IFNA(_xlfn.IFNA(INDEX(競技会設定!$X$25:$AC$47,MATCH(INDEX(女子エントリー!$J$7:$AH$406,MATCH($G19&amp;RIGHT(W$1,1),女子エントリー!$AH$7:$AH$406,0),1),競技会設定!$AC$25:$AC$47,0),1),INDEX(競技会設定!$X$25:$AC$47,MATCH(INDEX(女子エントリー!$R$6:$V$406,MATCH($G19&amp;RIGHT(W$1,1),女子エントリー!$V$6:$V$406,0)-MATCH($G19&amp;RIGHT(W$1,1),女子エントリー!$V$6:$V$406,0)+1,1),競技会設定!$AC$25:$AC$47,0),1)),"")</f>
        <v/>
      </c>
      <c r="X19" s="1" t="str">
        <f>IF(W19=37,リレーエントリー!$I$27,_xlfn.IFNA(INDEX(女子エントリー!$J$7:$AH$406,MATCH($G19&amp;RIGHT(Y$1,1),女子エントリー!$AH$7:$AH$406,0),3),""))</f>
        <v/>
      </c>
      <c r="Y19" s="1" t="str">
        <f t="shared" si="1"/>
        <v/>
      </c>
      <c r="Z19" s="1" t="str">
        <f t="shared" si="2"/>
        <v/>
      </c>
      <c r="AA19" s="1" t="str">
        <f t="shared" si="3"/>
        <v/>
      </c>
      <c r="AB19" s="1" t="str" cm="1">
        <f t="array" ref="AB19">_xlfn.IFNA(_xlfn.IFNA(INDEX(競技会設定!$X$25:$AC$47,MATCH(INDEX(女子エントリー!$J$7:$AH$406,MATCH($G19&amp;RIGHT(AB$1,1),女子エントリー!$AH$7:$AH$406,0),1),競技会設定!$AC$25:$AC$47,0),1),INDEX(競技会設定!$X$25:$AC$47,MATCH(INDEX(女子エントリー!$R$6:$V$406,MATCH($G19&amp;RIGHT(AB$1,1),女子エントリー!$V$6:$V$406,0)-MATCH($G19&amp;RIGHT(AB$1,1),女子エントリー!$V$6:$V$406,0)+1,1),競技会設定!$AC$25:$AC$47,0),1)),"")</f>
        <v/>
      </c>
      <c r="AC19" s="1" t="str">
        <f>IF(AB19=37,リレーエントリー!$I$27,_xlfn.IFNA(INDEX(女子エントリー!$J$7:$AH$406,MATCH($G19&amp;RIGHT(AD$1,1),女子エントリー!$AH$7:$AH$406,0),3),""))</f>
        <v/>
      </c>
      <c r="AD19" s="1" t="str">
        <f t="shared" si="4"/>
        <v/>
      </c>
      <c r="AE19" s="1" t="str">
        <f t="shared" si="5"/>
        <v/>
      </c>
      <c r="AF19" s="1" t="str">
        <f t="shared" si="6"/>
        <v/>
      </c>
      <c r="AG19" s="1" t="str" cm="1">
        <f t="array" ref="AG19">_xlfn.IFNA(_xlfn.IFNA(INDEX(競技会設定!$X$25:$AC$47,MATCH(INDEX(女子エントリー!$J$7:$AH$406,MATCH($G19&amp;RIGHT(AG$1,1),女子エントリー!$AH$7:$AH$406,0),1),競技会設定!$AC$25:$AC$47,0),1),INDEX(競技会設定!$X$25:$AC$47,MATCH(INDEX(女子エントリー!$R$6:$V$406,MATCH($G19&amp;RIGHT(AG$1,1),女子エントリー!$V$6:$V$406,0)-MATCH($G19&amp;RIGHT(AG$1,1),女子エントリー!$V$6:$V$406,0)+1,1),競技会設定!$AC$25:$AC$47,0),1)),"")</f>
        <v/>
      </c>
      <c r="AH19" s="1" t="str">
        <f>IF(AG19=37,リレーエントリー!$I$27,_xlfn.IFNA(INDEX(女子エントリー!$J$7:$AH$406,MATCH($G19&amp;RIGHT(AI$1,1),女子エントリー!$AH$7:$AH$406,0),3),""))</f>
        <v/>
      </c>
      <c r="AI19" s="1" t="str">
        <f t="shared" si="7"/>
        <v/>
      </c>
      <c r="AJ19" s="1" t="str">
        <f t="shared" si="8"/>
        <v/>
      </c>
      <c r="AK19" s="1" t="str">
        <f t="shared" si="9"/>
        <v/>
      </c>
      <c r="AL19" s="1" t="str" cm="1">
        <f t="array" ref="AL19">_xlfn.IFNA(_xlfn.IFNA(INDEX(競技会設定!$X$25:$AC$47,MATCH(INDEX(女子エントリー!$J$7:$AH$406,MATCH($G19&amp;RIGHT(AL$1,1),女子エントリー!$AH$7:$AH$406,0),1),競技会設定!$AC$25:$AC$47,0),1),INDEX(競技会設定!$X$25:$AC$47,MATCH(INDEX(女子エントリー!$R$6:$V$406,MATCH($G19&amp;RIGHT(AL$1,1),女子エントリー!$V$6:$V$406,0)-MATCH($G19&amp;RIGHT(AL$1,1),女子エントリー!$V$6:$V$406,0)+1,1),競技会設定!$AC$25:$AC$47,0),1)),"")</f>
        <v/>
      </c>
      <c r="AM19" s="1" t="str">
        <f>IF(AL19=37,リレーエントリー!$I$27,_xlfn.IFNA(INDEX(女子エントリー!$J$7:$AH$406,MATCH($G19&amp;RIGHT(AN$1,1),女子エントリー!$AH$7:$AH$406,0),3),""))</f>
        <v/>
      </c>
      <c r="AN19" s="1" t="str">
        <f t="shared" si="10"/>
        <v/>
      </c>
      <c r="AO19" s="1" t="str">
        <f t="shared" si="11"/>
        <v/>
      </c>
      <c r="AP19" s="1" t="str">
        <f t="shared" si="12"/>
        <v/>
      </c>
    </row>
    <row r="20" spans="1:42">
      <c r="A20" s="1">
        <v>19</v>
      </c>
      <c r="B20" s="92" t="str">
        <f>女子エントリー!D79</f>
        <v/>
      </c>
      <c r="C20" s="1" t="str">
        <f>基本情報!$E$6</f>
        <v/>
      </c>
      <c r="D20" s="1" t="str">
        <f>基本情報!$E$7</f>
        <v/>
      </c>
      <c r="F20" s="92">
        <f>女子エントリー!C79</f>
        <v>0</v>
      </c>
      <c r="G20" s="92" t="str">
        <f>女子エントリー!E79</f>
        <v/>
      </c>
      <c r="H20" s="92" t="str">
        <f>女子エントリー!F79</f>
        <v/>
      </c>
      <c r="I20" s="1" t="str">
        <f t="shared" si="13"/>
        <v/>
      </c>
      <c r="J20" s="1" t="e">
        <f>LEFT(女子エントリー!E81,FIND(",",LEFT(女子エントリー!E81,LEN(女子エントリー!E81)-5))-1)&amp;LEFT(RIGHT(女子エントリー!E81,LEN(女子エントリー!E81)-FIND(",",女子エントリー!E81)),LEN(RIGHT(女子エントリー!E81,LEN(女子エントリー!E81)-FIND(",",女子エントリー!E81)))-5)</f>
        <v>#VALUE!</v>
      </c>
      <c r="K20" s="92" t="str">
        <f>女子エントリー!G81</f>
        <v/>
      </c>
      <c r="L20" s="1" t="str">
        <f t="shared" si="0"/>
        <v/>
      </c>
      <c r="M20" s="92" t="str">
        <f>女子エントリー!G79</f>
        <v/>
      </c>
      <c r="N20" s="92" t="e">
        <f>MID(女子エントリー!E81,FIND("(",女子エントリー!E81)+1,2)</f>
        <v>#VALUE!</v>
      </c>
      <c r="O20" s="1">
        <v>0</v>
      </c>
      <c r="P20" s="92" t="e">
        <f>VLOOKUP(女子エントリー!G80,競技会設定!$F$3:$I$50,2,0)</f>
        <v>#N/A</v>
      </c>
      <c r="R20" s="1" t="str" cm="1">
        <f t="array" ref="R20">_xlfn.IFNA(_xlfn.IFNA(INDEX(競技会設定!$X$25:$AC$47,MATCH(INDEX(女子エントリー!$J$7:$AH$406,MATCH($G20&amp;RIGHT(R$1,1),女子エントリー!$AH$7:$AH$406,0),1),競技会設定!$AC$25:$AC$47,0),1),INDEX(競技会設定!$X$25:$AC$47,MATCH(INDEX(女子エントリー!$R$6:$V$406,MATCH($G20&amp;RIGHT(R$1,1),女子エントリー!$V$6:$V$406,0)-MATCH($G20&amp;RIGHT(R$1,1),女子エントリー!$V$6:$V$406,0)+1,1),競技会設定!$AC$25:$AC$47,0),1)),"")</f>
        <v/>
      </c>
      <c r="S20" s="1" t="str">
        <f>IF(R20=37,リレーエントリー!$I$27,_xlfn.IFNA(INDEX(女子エントリー!$J$7:$AH$406,MATCH($G20&amp;RIGHT(T$1,1),女子エントリー!$AH$7:$AH$406,0),3),""))</f>
        <v/>
      </c>
      <c r="T20" s="1" t="str">
        <f t="shared" si="14"/>
        <v/>
      </c>
      <c r="U20" s="1" t="str">
        <f t="shared" si="15"/>
        <v/>
      </c>
      <c r="V20" s="1" t="str">
        <f t="shared" si="16"/>
        <v/>
      </c>
      <c r="W20" s="1" t="str" cm="1">
        <f t="array" ref="W20">_xlfn.IFNA(_xlfn.IFNA(INDEX(競技会設定!$X$25:$AC$47,MATCH(INDEX(女子エントリー!$J$7:$AH$406,MATCH($G20&amp;RIGHT(W$1,1),女子エントリー!$AH$7:$AH$406,0),1),競技会設定!$AC$25:$AC$47,0),1),INDEX(競技会設定!$X$25:$AC$47,MATCH(INDEX(女子エントリー!$R$6:$V$406,MATCH($G20&amp;RIGHT(W$1,1),女子エントリー!$V$6:$V$406,0)-MATCH($G20&amp;RIGHT(W$1,1),女子エントリー!$V$6:$V$406,0)+1,1),競技会設定!$AC$25:$AC$47,0),1)),"")</f>
        <v/>
      </c>
      <c r="X20" s="1" t="str">
        <f>IF(W20=37,リレーエントリー!$I$27,_xlfn.IFNA(INDEX(女子エントリー!$J$7:$AH$406,MATCH($G20&amp;RIGHT(Y$1,1),女子エントリー!$AH$7:$AH$406,0),3),""))</f>
        <v/>
      </c>
      <c r="Y20" s="1" t="str">
        <f t="shared" si="1"/>
        <v/>
      </c>
      <c r="Z20" s="1" t="str">
        <f t="shared" si="2"/>
        <v/>
      </c>
      <c r="AA20" s="1" t="str">
        <f t="shared" si="3"/>
        <v/>
      </c>
      <c r="AB20" s="1" t="str" cm="1">
        <f t="array" ref="AB20">_xlfn.IFNA(_xlfn.IFNA(INDEX(競技会設定!$X$25:$AC$47,MATCH(INDEX(女子エントリー!$J$7:$AH$406,MATCH($G20&amp;RIGHT(AB$1,1),女子エントリー!$AH$7:$AH$406,0),1),競技会設定!$AC$25:$AC$47,0),1),INDEX(競技会設定!$X$25:$AC$47,MATCH(INDEX(女子エントリー!$R$6:$V$406,MATCH($G20&amp;RIGHT(AB$1,1),女子エントリー!$V$6:$V$406,0)-MATCH($G20&amp;RIGHT(AB$1,1),女子エントリー!$V$6:$V$406,0)+1,1),競技会設定!$AC$25:$AC$47,0),1)),"")</f>
        <v/>
      </c>
      <c r="AC20" s="1" t="str">
        <f>IF(AB20=37,リレーエントリー!$I$27,_xlfn.IFNA(INDEX(女子エントリー!$J$7:$AH$406,MATCH($G20&amp;RIGHT(AD$1,1),女子エントリー!$AH$7:$AH$406,0),3),""))</f>
        <v/>
      </c>
      <c r="AD20" s="1" t="str">
        <f t="shared" si="4"/>
        <v/>
      </c>
      <c r="AE20" s="1" t="str">
        <f t="shared" si="5"/>
        <v/>
      </c>
      <c r="AF20" s="1" t="str">
        <f t="shared" si="6"/>
        <v/>
      </c>
      <c r="AG20" s="1" t="str" cm="1">
        <f t="array" ref="AG20">_xlfn.IFNA(_xlfn.IFNA(INDEX(競技会設定!$X$25:$AC$47,MATCH(INDEX(女子エントリー!$J$7:$AH$406,MATCH($G20&amp;RIGHT(AG$1,1),女子エントリー!$AH$7:$AH$406,0),1),競技会設定!$AC$25:$AC$47,0),1),INDEX(競技会設定!$X$25:$AC$47,MATCH(INDEX(女子エントリー!$R$6:$V$406,MATCH($G20&amp;RIGHT(AG$1,1),女子エントリー!$V$6:$V$406,0)-MATCH($G20&amp;RIGHT(AG$1,1),女子エントリー!$V$6:$V$406,0)+1,1),競技会設定!$AC$25:$AC$47,0),1)),"")</f>
        <v/>
      </c>
      <c r="AH20" s="1" t="str">
        <f>IF(AG20=37,リレーエントリー!$I$27,_xlfn.IFNA(INDEX(女子エントリー!$J$7:$AH$406,MATCH($G20&amp;RIGHT(AI$1,1),女子エントリー!$AH$7:$AH$406,0),3),""))</f>
        <v/>
      </c>
      <c r="AI20" s="1" t="str">
        <f t="shared" si="7"/>
        <v/>
      </c>
      <c r="AJ20" s="1" t="str">
        <f t="shared" si="8"/>
        <v/>
      </c>
      <c r="AK20" s="1" t="str">
        <f t="shared" si="9"/>
        <v/>
      </c>
      <c r="AL20" s="1" t="str" cm="1">
        <f t="array" ref="AL20">_xlfn.IFNA(_xlfn.IFNA(INDEX(競技会設定!$X$25:$AC$47,MATCH(INDEX(女子エントリー!$J$7:$AH$406,MATCH($G20&amp;RIGHT(AL$1,1),女子エントリー!$AH$7:$AH$406,0),1),競技会設定!$AC$25:$AC$47,0),1),INDEX(競技会設定!$X$25:$AC$47,MATCH(INDEX(女子エントリー!$R$6:$V$406,MATCH($G20&amp;RIGHT(AL$1,1),女子エントリー!$V$6:$V$406,0)-MATCH($G20&amp;RIGHT(AL$1,1),女子エントリー!$V$6:$V$406,0)+1,1),競技会設定!$AC$25:$AC$47,0),1)),"")</f>
        <v/>
      </c>
      <c r="AM20" s="1" t="str">
        <f>IF(AL20=37,リレーエントリー!$I$27,_xlfn.IFNA(INDEX(女子エントリー!$J$7:$AH$406,MATCH($G20&amp;RIGHT(AN$1,1),女子エントリー!$AH$7:$AH$406,0),3),""))</f>
        <v/>
      </c>
      <c r="AN20" s="1" t="str">
        <f t="shared" si="10"/>
        <v/>
      </c>
      <c r="AO20" s="1" t="str">
        <f t="shared" si="11"/>
        <v/>
      </c>
      <c r="AP20" s="1" t="str">
        <f t="shared" si="12"/>
        <v/>
      </c>
    </row>
    <row r="21" spans="1:42">
      <c r="A21" s="1">
        <v>20</v>
      </c>
      <c r="B21" s="92" t="str">
        <f>女子エントリー!D83</f>
        <v/>
      </c>
      <c r="C21" s="1" t="str">
        <f>基本情報!$E$6</f>
        <v/>
      </c>
      <c r="D21" s="1" t="str">
        <f>基本情報!$E$7</f>
        <v/>
      </c>
      <c r="F21" s="92">
        <f>女子エントリー!C83</f>
        <v>0</v>
      </c>
      <c r="G21" s="92" t="str">
        <f>女子エントリー!E83</f>
        <v/>
      </c>
      <c r="H21" s="92" t="str">
        <f>女子エントリー!F83</f>
        <v/>
      </c>
      <c r="I21" s="1" t="str">
        <f t="shared" si="13"/>
        <v/>
      </c>
      <c r="J21" s="1" t="e">
        <f>LEFT(女子エントリー!E85,FIND(",",LEFT(女子エントリー!E85,LEN(女子エントリー!E85)-5))-1)&amp;LEFT(RIGHT(女子エントリー!E85,LEN(女子エントリー!E85)-FIND(",",女子エントリー!E85)),LEN(RIGHT(女子エントリー!E85,LEN(女子エントリー!E85)-FIND(",",女子エントリー!E85)))-5)</f>
        <v>#VALUE!</v>
      </c>
      <c r="K21" s="92" t="str">
        <f>女子エントリー!G85</f>
        <v/>
      </c>
      <c r="L21" s="1" t="str">
        <f t="shared" si="0"/>
        <v/>
      </c>
      <c r="M21" s="92" t="str">
        <f>女子エントリー!G83</f>
        <v/>
      </c>
      <c r="N21" s="92" t="e">
        <f>MID(女子エントリー!E85,FIND("(",女子エントリー!E85)+1,2)</f>
        <v>#VALUE!</v>
      </c>
      <c r="O21" s="1">
        <v>0</v>
      </c>
      <c r="P21" s="92" t="e">
        <f>VLOOKUP(女子エントリー!G84,競技会設定!$F$3:$I$50,2,0)</f>
        <v>#N/A</v>
      </c>
      <c r="R21" s="1" t="str" cm="1">
        <f t="array" ref="R21">_xlfn.IFNA(_xlfn.IFNA(INDEX(競技会設定!$X$25:$AC$47,MATCH(INDEX(女子エントリー!$J$7:$AH$406,MATCH($G21&amp;RIGHT(R$1,1),女子エントリー!$AH$7:$AH$406,0),1),競技会設定!$AC$25:$AC$47,0),1),INDEX(競技会設定!$X$25:$AC$47,MATCH(INDEX(女子エントリー!$R$6:$V$406,MATCH($G21&amp;RIGHT(R$1,1),女子エントリー!$V$6:$V$406,0)-MATCH($G21&amp;RIGHT(R$1,1),女子エントリー!$V$6:$V$406,0)+1,1),競技会設定!$AC$25:$AC$47,0),1)),"")</f>
        <v/>
      </c>
      <c r="S21" s="1" t="str">
        <f>IF(R21=37,リレーエントリー!$I$27,_xlfn.IFNA(INDEX(女子エントリー!$J$7:$AH$406,MATCH($G21&amp;RIGHT(T$1,1),女子エントリー!$AH$7:$AH$406,0),3),""))</f>
        <v/>
      </c>
      <c r="T21" s="1" t="str">
        <f t="shared" si="14"/>
        <v/>
      </c>
      <c r="U21" s="1" t="str">
        <f t="shared" si="15"/>
        <v/>
      </c>
      <c r="V21" s="1" t="str">
        <f t="shared" si="16"/>
        <v/>
      </c>
      <c r="W21" s="1" t="str" cm="1">
        <f t="array" ref="W21">_xlfn.IFNA(_xlfn.IFNA(INDEX(競技会設定!$X$25:$AC$47,MATCH(INDEX(女子エントリー!$J$7:$AH$406,MATCH($G21&amp;RIGHT(W$1,1),女子エントリー!$AH$7:$AH$406,0),1),競技会設定!$AC$25:$AC$47,0),1),INDEX(競技会設定!$X$25:$AC$47,MATCH(INDEX(女子エントリー!$R$6:$V$406,MATCH($G21&amp;RIGHT(W$1,1),女子エントリー!$V$6:$V$406,0)-MATCH($G21&amp;RIGHT(W$1,1),女子エントリー!$V$6:$V$406,0)+1,1),競技会設定!$AC$25:$AC$47,0),1)),"")</f>
        <v/>
      </c>
      <c r="X21" s="1" t="str">
        <f>IF(W21=37,リレーエントリー!$I$27,_xlfn.IFNA(INDEX(女子エントリー!$J$7:$AH$406,MATCH($G21&amp;RIGHT(Y$1,1),女子エントリー!$AH$7:$AH$406,0),3),""))</f>
        <v/>
      </c>
      <c r="Y21" s="1" t="str">
        <f t="shared" si="1"/>
        <v/>
      </c>
      <c r="Z21" s="1" t="str">
        <f t="shared" si="2"/>
        <v/>
      </c>
      <c r="AA21" s="1" t="str">
        <f t="shared" si="3"/>
        <v/>
      </c>
      <c r="AB21" s="1" t="str" cm="1">
        <f t="array" ref="AB21">_xlfn.IFNA(_xlfn.IFNA(INDEX(競技会設定!$X$25:$AC$47,MATCH(INDEX(女子エントリー!$J$7:$AH$406,MATCH($G21&amp;RIGHT(AB$1,1),女子エントリー!$AH$7:$AH$406,0),1),競技会設定!$AC$25:$AC$47,0),1),INDEX(競技会設定!$X$25:$AC$47,MATCH(INDEX(女子エントリー!$R$6:$V$406,MATCH($G21&amp;RIGHT(AB$1,1),女子エントリー!$V$6:$V$406,0)-MATCH($G21&amp;RIGHT(AB$1,1),女子エントリー!$V$6:$V$406,0)+1,1),競技会設定!$AC$25:$AC$47,0),1)),"")</f>
        <v/>
      </c>
      <c r="AC21" s="1" t="str">
        <f>IF(AB21=37,リレーエントリー!$I$27,_xlfn.IFNA(INDEX(女子エントリー!$J$7:$AH$406,MATCH($G21&amp;RIGHT(AD$1,1),女子エントリー!$AH$7:$AH$406,0),3),""))</f>
        <v/>
      </c>
      <c r="AD21" s="1" t="str">
        <f t="shared" si="4"/>
        <v/>
      </c>
      <c r="AE21" s="1" t="str">
        <f t="shared" si="5"/>
        <v/>
      </c>
      <c r="AF21" s="1" t="str">
        <f t="shared" si="6"/>
        <v/>
      </c>
      <c r="AG21" s="1" t="str" cm="1">
        <f t="array" ref="AG21">_xlfn.IFNA(_xlfn.IFNA(INDEX(競技会設定!$X$25:$AC$47,MATCH(INDEX(女子エントリー!$J$7:$AH$406,MATCH($G21&amp;RIGHT(AG$1,1),女子エントリー!$AH$7:$AH$406,0),1),競技会設定!$AC$25:$AC$47,0),1),INDEX(競技会設定!$X$25:$AC$47,MATCH(INDEX(女子エントリー!$R$6:$V$406,MATCH($G21&amp;RIGHT(AG$1,1),女子エントリー!$V$6:$V$406,0)-MATCH($G21&amp;RIGHT(AG$1,1),女子エントリー!$V$6:$V$406,0)+1,1),競技会設定!$AC$25:$AC$47,0),1)),"")</f>
        <v/>
      </c>
      <c r="AH21" s="1" t="str">
        <f>IF(AG21=37,リレーエントリー!$I$27,_xlfn.IFNA(INDEX(女子エントリー!$J$7:$AH$406,MATCH($G21&amp;RIGHT(AI$1,1),女子エントリー!$AH$7:$AH$406,0),3),""))</f>
        <v/>
      </c>
      <c r="AI21" s="1" t="str">
        <f t="shared" si="7"/>
        <v/>
      </c>
      <c r="AJ21" s="1" t="str">
        <f t="shared" si="8"/>
        <v/>
      </c>
      <c r="AK21" s="1" t="str">
        <f t="shared" si="9"/>
        <v/>
      </c>
      <c r="AL21" s="1" t="str" cm="1">
        <f t="array" ref="AL21">_xlfn.IFNA(_xlfn.IFNA(INDEX(競技会設定!$X$25:$AC$47,MATCH(INDEX(女子エントリー!$J$7:$AH$406,MATCH($G21&amp;RIGHT(AL$1,1),女子エントリー!$AH$7:$AH$406,0),1),競技会設定!$AC$25:$AC$47,0),1),INDEX(競技会設定!$X$25:$AC$47,MATCH(INDEX(女子エントリー!$R$6:$V$406,MATCH($G21&amp;RIGHT(AL$1,1),女子エントリー!$V$6:$V$406,0)-MATCH($G21&amp;RIGHT(AL$1,1),女子エントリー!$V$6:$V$406,0)+1,1),競技会設定!$AC$25:$AC$47,0),1)),"")</f>
        <v/>
      </c>
      <c r="AM21" s="1" t="str">
        <f>IF(AL21=37,リレーエントリー!$I$27,_xlfn.IFNA(INDEX(女子エントリー!$J$7:$AH$406,MATCH($G21&amp;RIGHT(AN$1,1),女子エントリー!$AH$7:$AH$406,0),3),""))</f>
        <v/>
      </c>
      <c r="AN21" s="1" t="str">
        <f t="shared" si="10"/>
        <v/>
      </c>
      <c r="AO21" s="1" t="str">
        <f t="shared" si="11"/>
        <v/>
      </c>
      <c r="AP21" s="1" t="str">
        <f t="shared" si="12"/>
        <v/>
      </c>
    </row>
    <row r="22" spans="1:42">
      <c r="A22" s="1">
        <v>21</v>
      </c>
      <c r="B22" s="92" t="str">
        <f>女子エントリー!D87</f>
        <v/>
      </c>
      <c r="C22" s="1" t="str">
        <f>基本情報!$E$6</f>
        <v/>
      </c>
      <c r="D22" s="1" t="str">
        <f>基本情報!$E$7</f>
        <v/>
      </c>
      <c r="F22" s="92">
        <f>女子エントリー!C87</f>
        <v>0</v>
      </c>
      <c r="G22" s="92" t="str">
        <f>女子エントリー!E87</f>
        <v/>
      </c>
      <c r="H22" s="92" t="str">
        <f>女子エントリー!F87</f>
        <v/>
      </c>
      <c r="I22" s="1" t="str">
        <f t="shared" si="13"/>
        <v/>
      </c>
      <c r="J22" s="1" t="e">
        <f>LEFT(女子エントリー!E89,FIND(",",LEFT(女子エントリー!E89,LEN(女子エントリー!E89)-5))-1)&amp;LEFT(RIGHT(女子エントリー!E89,LEN(女子エントリー!E89)-FIND(",",女子エントリー!E89)),LEN(RIGHT(女子エントリー!E89,LEN(女子エントリー!E89)-FIND(",",女子エントリー!E89)))-5)</f>
        <v>#VALUE!</v>
      </c>
      <c r="K22" s="92" t="str">
        <f>女子エントリー!G89</f>
        <v/>
      </c>
      <c r="L22" s="1" t="str">
        <f t="shared" si="0"/>
        <v/>
      </c>
      <c r="M22" s="92" t="str">
        <f>女子エントリー!G87</f>
        <v/>
      </c>
      <c r="N22" s="92" t="e">
        <f>MID(女子エントリー!E89,FIND("(",女子エントリー!E89)+1,2)</f>
        <v>#VALUE!</v>
      </c>
      <c r="O22" s="1">
        <v>0</v>
      </c>
      <c r="P22" s="92" t="e">
        <f>VLOOKUP(女子エントリー!G88,競技会設定!$F$3:$I$50,2,0)</f>
        <v>#N/A</v>
      </c>
      <c r="R22" s="1" t="str" cm="1">
        <f t="array" ref="R22">_xlfn.IFNA(_xlfn.IFNA(INDEX(競技会設定!$X$25:$AC$47,MATCH(INDEX(女子エントリー!$J$7:$AH$406,MATCH($G22&amp;RIGHT(R$1,1),女子エントリー!$AH$7:$AH$406,0),1),競技会設定!$AC$25:$AC$47,0),1),INDEX(競技会設定!$X$25:$AC$47,MATCH(INDEX(女子エントリー!$R$6:$V$406,MATCH($G22&amp;RIGHT(R$1,1),女子エントリー!$V$6:$V$406,0)-MATCH($G22&amp;RIGHT(R$1,1),女子エントリー!$V$6:$V$406,0)+1,1),競技会設定!$AC$25:$AC$47,0),1)),"")</f>
        <v/>
      </c>
      <c r="S22" s="1" t="str">
        <f>IF(R22=37,リレーエントリー!$I$27,_xlfn.IFNA(INDEX(女子エントリー!$J$7:$AH$406,MATCH($G22&amp;RIGHT(T$1,1),女子エントリー!$AH$7:$AH$406,0),3),""))</f>
        <v/>
      </c>
      <c r="T22" s="1" t="str">
        <f t="shared" si="14"/>
        <v/>
      </c>
      <c r="U22" s="1" t="str">
        <f t="shared" si="15"/>
        <v/>
      </c>
      <c r="V22" s="1" t="str">
        <f t="shared" si="16"/>
        <v/>
      </c>
      <c r="W22" s="1" t="str" cm="1">
        <f t="array" ref="W22">_xlfn.IFNA(_xlfn.IFNA(INDEX(競技会設定!$X$25:$AC$47,MATCH(INDEX(女子エントリー!$J$7:$AH$406,MATCH($G22&amp;RIGHT(W$1,1),女子エントリー!$AH$7:$AH$406,0),1),競技会設定!$AC$25:$AC$47,0),1),INDEX(競技会設定!$X$25:$AC$47,MATCH(INDEX(女子エントリー!$R$6:$V$406,MATCH($G22&amp;RIGHT(W$1,1),女子エントリー!$V$6:$V$406,0)-MATCH($G22&amp;RIGHT(W$1,1),女子エントリー!$V$6:$V$406,0)+1,1),競技会設定!$AC$25:$AC$47,0),1)),"")</f>
        <v/>
      </c>
      <c r="X22" s="1" t="str">
        <f>IF(W22=37,リレーエントリー!$I$27,_xlfn.IFNA(INDEX(女子エントリー!$J$7:$AH$406,MATCH($G22&amp;RIGHT(Y$1,1),女子エントリー!$AH$7:$AH$406,0),3),""))</f>
        <v/>
      </c>
      <c r="Y22" s="1" t="str">
        <f t="shared" si="1"/>
        <v/>
      </c>
      <c r="Z22" s="1" t="str">
        <f t="shared" si="2"/>
        <v/>
      </c>
      <c r="AA22" s="1" t="str">
        <f t="shared" si="3"/>
        <v/>
      </c>
      <c r="AB22" s="1" t="str" cm="1">
        <f t="array" ref="AB22">_xlfn.IFNA(_xlfn.IFNA(INDEX(競技会設定!$X$25:$AC$47,MATCH(INDEX(女子エントリー!$J$7:$AH$406,MATCH($G22&amp;RIGHT(AB$1,1),女子エントリー!$AH$7:$AH$406,0),1),競技会設定!$AC$25:$AC$47,0),1),INDEX(競技会設定!$X$25:$AC$47,MATCH(INDEX(女子エントリー!$R$6:$V$406,MATCH($G22&amp;RIGHT(AB$1,1),女子エントリー!$V$6:$V$406,0)-MATCH($G22&amp;RIGHT(AB$1,1),女子エントリー!$V$6:$V$406,0)+1,1),競技会設定!$AC$25:$AC$47,0),1)),"")</f>
        <v/>
      </c>
      <c r="AC22" s="1" t="str">
        <f>IF(AB22=37,リレーエントリー!$I$27,_xlfn.IFNA(INDEX(女子エントリー!$J$7:$AH$406,MATCH($G22&amp;RIGHT(AD$1,1),女子エントリー!$AH$7:$AH$406,0),3),""))</f>
        <v/>
      </c>
      <c r="AD22" s="1" t="str">
        <f t="shared" si="4"/>
        <v/>
      </c>
      <c r="AE22" s="1" t="str">
        <f t="shared" si="5"/>
        <v/>
      </c>
      <c r="AF22" s="1" t="str">
        <f t="shared" si="6"/>
        <v/>
      </c>
      <c r="AG22" s="1" t="str" cm="1">
        <f t="array" ref="AG22">_xlfn.IFNA(_xlfn.IFNA(INDEX(競技会設定!$X$25:$AC$47,MATCH(INDEX(女子エントリー!$J$7:$AH$406,MATCH($G22&amp;RIGHT(AG$1,1),女子エントリー!$AH$7:$AH$406,0),1),競技会設定!$AC$25:$AC$47,0),1),INDEX(競技会設定!$X$25:$AC$47,MATCH(INDEX(女子エントリー!$R$6:$V$406,MATCH($G22&amp;RIGHT(AG$1,1),女子エントリー!$V$6:$V$406,0)-MATCH($G22&amp;RIGHT(AG$1,1),女子エントリー!$V$6:$V$406,0)+1,1),競技会設定!$AC$25:$AC$47,0),1)),"")</f>
        <v/>
      </c>
      <c r="AH22" s="1" t="str">
        <f>IF(AG22=37,リレーエントリー!$I$27,_xlfn.IFNA(INDEX(女子エントリー!$J$7:$AH$406,MATCH($G22&amp;RIGHT(AI$1,1),女子エントリー!$AH$7:$AH$406,0),3),""))</f>
        <v/>
      </c>
      <c r="AI22" s="1" t="str">
        <f t="shared" si="7"/>
        <v/>
      </c>
      <c r="AJ22" s="1" t="str">
        <f t="shared" si="8"/>
        <v/>
      </c>
      <c r="AK22" s="1" t="str">
        <f t="shared" si="9"/>
        <v/>
      </c>
      <c r="AL22" s="1" t="str" cm="1">
        <f t="array" ref="AL22">_xlfn.IFNA(_xlfn.IFNA(INDEX(競技会設定!$X$25:$AC$47,MATCH(INDEX(女子エントリー!$J$7:$AH$406,MATCH($G22&amp;RIGHT(AL$1,1),女子エントリー!$AH$7:$AH$406,0),1),競技会設定!$AC$25:$AC$47,0),1),INDEX(競技会設定!$X$25:$AC$47,MATCH(INDEX(女子エントリー!$R$6:$V$406,MATCH($G22&amp;RIGHT(AL$1,1),女子エントリー!$V$6:$V$406,0)-MATCH($G22&amp;RIGHT(AL$1,1),女子エントリー!$V$6:$V$406,0)+1,1),競技会設定!$AC$25:$AC$47,0),1)),"")</f>
        <v/>
      </c>
      <c r="AM22" s="1" t="str">
        <f>IF(AL22=37,リレーエントリー!$I$27,_xlfn.IFNA(INDEX(女子エントリー!$J$7:$AH$406,MATCH($G22&amp;RIGHT(AN$1,1),女子エントリー!$AH$7:$AH$406,0),3),""))</f>
        <v/>
      </c>
      <c r="AN22" s="1" t="str">
        <f t="shared" si="10"/>
        <v/>
      </c>
      <c r="AO22" s="1" t="str">
        <f t="shared" si="11"/>
        <v/>
      </c>
      <c r="AP22" s="1" t="str">
        <f t="shared" si="12"/>
        <v/>
      </c>
    </row>
    <row r="23" spans="1:42">
      <c r="A23" s="1">
        <v>22</v>
      </c>
      <c r="B23" s="92" t="str">
        <f>女子エントリー!D91</f>
        <v/>
      </c>
      <c r="C23" s="1" t="str">
        <f>基本情報!$E$6</f>
        <v/>
      </c>
      <c r="D23" s="1" t="str">
        <f>基本情報!$E$7</f>
        <v/>
      </c>
      <c r="F23" s="92">
        <f>女子エントリー!C91</f>
        <v>0</v>
      </c>
      <c r="G23" s="92" t="str">
        <f>女子エントリー!E91</f>
        <v/>
      </c>
      <c r="H23" s="92" t="str">
        <f>女子エントリー!F91</f>
        <v/>
      </c>
      <c r="I23" s="1" t="str">
        <f t="shared" si="13"/>
        <v/>
      </c>
      <c r="J23" s="1" t="e">
        <f>LEFT(女子エントリー!E93,FIND(",",LEFT(女子エントリー!E93,LEN(女子エントリー!E93)-5))-1)&amp;LEFT(RIGHT(女子エントリー!E93,LEN(女子エントリー!E93)-FIND(",",女子エントリー!E93)),LEN(RIGHT(女子エントリー!E93,LEN(女子エントリー!E93)-FIND(",",女子エントリー!E93)))-5)</f>
        <v>#VALUE!</v>
      </c>
      <c r="K23" s="92" t="str">
        <f>女子エントリー!G93</f>
        <v/>
      </c>
      <c r="L23" s="1" t="str">
        <f t="shared" si="0"/>
        <v/>
      </c>
      <c r="M23" s="92" t="str">
        <f>女子エントリー!G91</f>
        <v/>
      </c>
      <c r="N23" s="92" t="e">
        <f>MID(女子エントリー!E93,FIND("(",女子エントリー!E93)+1,2)</f>
        <v>#VALUE!</v>
      </c>
      <c r="O23" s="1">
        <v>0</v>
      </c>
      <c r="P23" s="92" t="e">
        <f>VLOOKUP(女子エントリー!G92,競技会設定!$F$3:$I$50,2,0)</f>
        <v>#N/A</v>
      </c>
      <c r="R23" s="1" t="str" cm="1">
        <f t="array" ref="R23">_xlfn.IFNA(_xlfn.IFNA(INDEX(競技会設定!$X$25:$AC$47,MATCH(INDEX(女子エントリー!$J$7:$AH$406,MATCH($G23&amp;RIGHT(R$1,1),女子エントリー!$AH$7:$AH$406,0),1),競技会設定!$AC$25:$AC$47,0),1),INDEX(競技会設定!$X$25:$AC$47,MATCH(INDEX(女子エントリー!$R$6:$V$406,MATCH($G23&amp;RIGHT(R$1,1),女子エントリー!$V$6:$V$406,0)-MATCH($G23&amp;RIGHT(R$1,1),女子エントリー!$V$6:$V$406,0)+1,1),競技会設定!$AC$25:$AC$47,0),1)),"")</f>
        <v/>
      </c>
      <c r="S23" s="1" t="str">
        <f>IF(R23=37,リレーエントリー!$I$27,_xlfn.IFNA(INDEX(女子エントリー!$J$7:$AH$406,MATCH($G23&amp;RIGHT(T$1,1),女子エントリー!$AH$7:$AH$406,0),3),""))</f>
        <v/>
      </c>
      <c r="T23" s="1" t="str">
        <f t="shared" si="14"/>
        <v/>
      </c>
      <c r="U23" s="1" t="str">
        <f t="shared" si="15"/>
        <v/>
      </c>
      <c r="V23" s="1" t="str">
        <f t="shared" si="16"/>
        <v/>
      </c>
      <c r="W23" s="1" t="str" cm="1">
        <f t="array" ref="W23">_xlfn.IFNA(_xlfn.IFNA(INDEX(競技会設定!$X$25:$AC$47,MATCH(INDEX(女子エントリー!$J$7:$AH$406,MATCH($G23&amp;RIGHT(W$1,1),女子エントリー!$AH$7:$AH$406,0),1),競技会設定!$AC$25:$AC$47,0),1),INDEX(競技会設定!$X$25:$AC$47,MATCH(INDEX(女子エントリー!$R$6:$V$406,MATCH($G23&amp;RIGHT(W$1,1),女子エントリー!$V$6:$V$406,0)-MATCH($G23&amp;RIGHT(W$1,1),女子エントリー!$V$6:$V$406,0)+1,1),競技会設定!$AC$25:$AC$47,0),1)),"")</f>
        <v/>
      </c>
      <c r="X23" s="1" t="str">
        <f>IF(W23=37,リレーエントリー!$I$27,_xlfn.IFNA(INDEX(女子エントリー!$J$7:$AH$406,MATCH($G23&amp;RIGHT(Y$1,1),女子エントリー!$AH$7:$AH$406,0),3),""))</f>
        <v/>
      </c>
      <c r="Y23" s="1" t="str">
        <f t="shared" si="1"/>
        <v/>
      </c>
      <c r="Z23" s="1" t="str">
        <f t="shared" si="2"/>
        <v/>
      </c>
      <c r="AA23" s="1" t="str">
        <f t="shared" si="3"/>
        <v/>
      </c>
      <c r="AB23" s="1" t="str" cm="1">
        <f t="array" ref="AB23">_xlfn.IFNA(_xlfn.IFNA(INDEX(競技会設定!$X$25:$AC$47,MATCH(INDEX(女子エントリー!$J$7:$AH$406,MATCH($G23&amp;RIGHT(AB$1,1),女子エントリー!$AH$7:$AH$406,0),1),競技会設定!$AC$25:$AC$47,0),1),INDEX(競技会設定!$X$25:$AC$47,MATCH(INDEX(女子エントリー!$R$6:$V$406,MATCH($G23&amp;RIGHT(AB$1,1),女子エントリー!$V$6:$V$406,0)-MATCH($G23&amp;RIGHT(AB$1,1),女子エントリー!$V$6:$V$406,0)+1,1),競技会設定!$AC$25:$AC$47,0),1)),"")</f>
        <v/>
      </c>
      <c r="AC23" s="1" t="str">
        <f>IF(AB23=37,リレーエントリー!$I$27,_xlfn.IFNA(INDEX(女子エントリー!$J$7:$AH$406,MATCH($G23&amp;RIGHT(AD$1,1),女子エントリー!$AH$7:$AH$406,0),3),""))</f>
        <v/>
      </c>
      <c r="AD23" s="1" t="str">
        <f t="shared" si="4"/>
        <v/>
      </c>
      <c r="AE23" s="1" t="str">
        <f t="shared" si="5"/>
        <v/>
      </c>
      <c r="AF23" s="1" t="str">
        <f t="shared" si="6"/>
        <v/>
      </c>
      <c r="AG23" s="1" t="str" cm="1">
        <f t="array" ref="AG23">_xlfn.IFNA(_xlfn.IFNA(INDEX(競技会設定!$X$25:$AC$47,MATCH(INDEX(女子エントリー!$J$7:$AH$406,MATCH($G23&amp;RIGHT(AG$1,1),女子エントリー!$AH$7:$AH$406,0),1),競技会設定!$AC$25:$AC$47,0),1),INDEX(競技会設定!$X$25:$AC$47,MATCH(INDEX(女子エントリー!$R$6:$V$406,MATCH($G23&amp;RIGHT(AG$1,1),女子エントリー!$V$6:$V$406,0)-MATCH($G23&amp;RIGHT(AG$1,1),女子エントリー!$V$6:$V$406,0)+1,1),競技会設定!$AC$25:$AC$47,0),1)),"")</f>
        <v/>
      </c>
      <c r="AH23" s="1" t="str">
        <f>IF(AG23=37,リレーエントリー!$I$27,_xlfn.IFNA(INDEX(女子エントリー!$J$7:$AH$406,MATCH($G23&amp;RIGHT(AI$1,1),女子エントリー!$AH$7:$AH$406,0),3),""))</f>
        <v/>
      </c>
      <c r="AI23" s="1" t="str">
        <f t="shared" si="7"/>
        <v/>
      </c>
      <c r="AJ23" s="1" t="str">
        <f t="shared" si="8"/>
        <v/>
      </c>
      <c r="AK23" s="1" t="str">
        <f t="shared" si="9"/>
        <v/>
      </c>
      <c r="AL23" s="1" t="str" cm="1">
        <f t="array" ref="AL23">_xlfn.IFNA(_xlfn.IFNA(INDEX(競技会設定!$X$25:$AC$47,MATCH(INDEX(女子エントリー!$J$7:$AH$406,MATCH($G23&amp;RIGHT(AL$1,1),女子エントリー!$AH$7:$AH$406,0),1),競技会設定!$AC$25:$AC$47,0),1),INDEX(競技会設定!$X$25:$AC$47,MATCH(INDEX(女子エントリー!$R$6:$V$406,MATCH($G23&amp;RIGHT(AL$1,1),女子エントリー!$V$6:$V$406,0)-MATCH($G23&amp;RIGHT(AL$1,1),女子エントリー!$V$6:$V$406,0)+1,1),競技会設定!$AC$25:$AC$47,0),1)),"")</f>
        <v/>
      </c>
      <c r="AM23" s="1" t="str">
        <f>IF(AL23=37,リレーエントリー!$I$27,_xlfn.IFNA(INDEX(女子エントリー!$J$7:$AH$406,MATCH($G23&amp;RIGHT(AN$1,1),女子エントリー!$AH$7:$AH$406,0),3),""))</f>
        <v/>
      </c>
      <c r="AN23" s="1" t="str">
        <f t="shared" si="10"/>
        <v/>
      </c>
      <c r="AO23" s="1" t="str">
        <f t="shared" si="11"/>
        <v/>
      </c>
      <c r="AP23" s="1" t="str">
        <f t="shared" si="12"/>
        <v/>
      </c>
    </row>
    <row r="24" spans="1:42">
      <c r="A24" s="1">
        <v>23</v>
      </c>
      <c r="B24" s="92" t="str">
        <f>女子エントリー!D95</f>
        <v/>
      </c>
      <c r="C24" s="1" t="str">
        <f>基本情報!$E$6</f>
        <v/>
      </c>
      <c r="D24" s="1" t="str">
        <f>基本情報!$E$7</f>
        <v/>
      </c>
      <c r="F24" s="92">
        <f>女子エントリー!C95</f>
        <v>0</v>
      </c>
      <c r="G24" s="92" t="str">
        <f>女子エントリー!E95</f>
        <v/>
      </c>
      <c r="H24" s="92" t="str">
        <f>女子エントリー!F95</f>
        <v/>
      </c>
      <c r="I24" s="1" t="str">
        <f t="shared" si="13"/>
        <v/>
      </c>
      <c r="J24" s="1" t="e">
        <f>LEFT(女子エントリー!E97,FIND(",",LEFT(女子エントリー!E97,LEN(女子エントリー!E97)-5))-1)&amp;LEFT(RIGHT(女子エントリー!E97,LEN(女子エントリー!E97)-FIND(",",女子エントリー!E97)),LEN(RIGHT(女子エントリー!E97,LEN(女子エントリー!E97)-FIND(",",女子エントリー!E97)))-5)</f>
        <v>#VALUE!</v>
      </c>
      <c r="K24" s="92" t="str">
        <f>女子エントリー!G97</f>
        <v/>
      </c>
      <c r="L24" s="1" t="str">
        <f t="shared" si="0"/>
        <v/>
      </c>
      <c r="M24" s="92" t="str">
        <f>女子エントリー!G95</f>
        <v/>
      </c>
      <c r="N24" s="92" t="e">
        <f>MID(女子エントリー!E97,FIND("(",女子エントリー!E97)+1,2)</f>
        <v>#VALUE!</v>
      </c>
      <c r="O24" s="1">
        <v>0</v>
      </c>
      <c r="P24" s="92" t="e">
        <f>VLOOKUP(女子エントリー!G96,競技会設定!$F$3:$I$50,2,0)</f>
        <v>#N/A</v>
      </c>
      <c r="R24" s="1" t="str" cm="1">
        <f t="array" ref="R24">_xlfn.IFNA(_xlfn.IFNA(INDEX(競技会設定!$X$25:$AC$47,MATCH(INDEX(女子エントリー!$J$7:$AH$406,MATCH($G24&amp;RIGHT(R$1,1),女子エントリー!$AH$7:$AH$406,0),1),競技会設定!$AC$25:$AC$47,0),1),INDEX(競技会設定!$X$25:$AC$47,MATCH(INDEX(女子エントリー!$R$6:$V$406,MATCH($G24&amp;RIGHT(R$1,1),女子エントリー!$V$6:$V$406,0)-MATCH($G24&amp;RIGHT(R$1,1),女子エントリー!$V$6:$V$406,0)+1,1),競技会設定!$AC$25:$AC$47,0),1)),"")</f>
        <v/>
      </c>
      <c r="S24" s="1" t="str">
        <f>IF(R24=37,リレーエントリー!$I$27,_xlfn.IFNA(INDEX(女子エントリー!$J$7:$AH$406,MATCH($G24&amp;RIGHT(T$1,1),女子エントリー!$AH$7:$AH$406,0),3),""))</f>
        <v/>
      </c>
      <c r="T24" s="1" t="str">
        <f t="shared" si="14"/>
        <v/>
      </c>
      <c r="U24" s="1" t="str">
        <f t="shared" si="15"/>
        <v/>
      </c>
      <c r="V24" s="1" t="str">
        <f t="shared" si="16"/>
        <v/>
      </c>
      <c r="W24" s="1" t="str" cm="1">
        <f t="array" ref="W24">_xlfn.IFNA(_xlfn.IFNA(INDEX(競技会設定!$X$25:$AC$47,MATCH(INDEX(女子エントリー!$J$7:$AH$406,MATCH($G24&amp;RIGHT(W$1,1),女子エントリー!$AH$7:$AH$406,0),1),競技会設定!$AC$25:$AC$47,0),1),INDEX(競技会設定!$X$25:$AC$47,MATCH(INDEX(女子エントリー!$R$6:$V$406,MATCH($G24&amp;RIGHT(W$1,1),女子エントリー!$V$6:$V$406,0)-MATCH($G24&amp;RIGHT(W$1,1),女子エントリー!$V$6:$V$406,0)+1,1),競技会設定!$AC$25:$AC$47,0),1)),"")</f>
        <v/>
      </c>
      <c r="X24" s="1" t="str">
        <f>IF(W24=37,リレーエントリー!$I$27,_xlfn.IFNA(INDEX(女子エントリー!$J$7:$AH$406,MATCH($G24&amp;RIGHT(Y$1,1),女子エントリー!$AH$7:$AH$406,0),3),""))</f>
        <v/>
      </c>
      <c r="Y24" s="1" t="str">
        <f t="shared" si="1"/>
        <v/>
      </c>
      <c r="Z24" s="1" t="str">
        <f t="shared" si="2"/>
        <v/>
      </c>
      <c r="AA24" s="1" t="str">
        <f t="shared" si="3"/>
        <v/>
      </c>
      <c r="AB24" s="1" t="str" cm="1">
        <f t="array" ref="AB24">_xlfn.IFNA(_xlfn.IFNA(INDEX(競技会設定!$X$25:$AC$47,MATCH(INDEX(女子エントリー!$J$7:$AH$406,MATCH($G24&amp;RIGHT(AB$1,1),女子エントリー!$AH$7:$AH$406,0),1),競技会設定!$AC$25:$AC$47,0),1),INDEX(競技会設定!$X$25:$AC$47,MATCH(INDEX(女子エントリー!$R$6:$V$406,MATCH($G24&amp;RIGHT(AB$1,1),女子エントリー!$V$6:$V$406,0)-MATCH($G24&amp;RIGHT(AB$1,1),女子エントリー!$V$6:$V$406,0)+1,1),競技会設定!$AC$25:$AC$47,0),1)),"")</f>
        <v/>
      </c>
      <c r="AC24" s="1" t="str">
        <f>IF(AB24=37,リレーエントリー!$I$27,_xlfn.IFNA(INDEX(女子エントリー!$J$7:$AH$406,MATCH($G24&amp;RIGHT(AD$1,1),女子エントリー!$AH$7:$AH$406,0),3),""))</f>
        <v/>
      </c>
      <c r="AD24" s="1" t="str">
        <f t="shared" si="4"/>
        <v/>
      </c>
      <c r="AE24" s="1" t="str">
        <f t="shared" si="5"/>
        <v/>
      </c>
      <c r="AF24" s="1" t="str">
        <f t="shared" si="6"/>
        <v/>
      </c>
      <c r="AG24" s="1" t="str" cm="1">
        <f t="array" ref="AG24">_xlfn.IFNA(_xlfn.IFNA(INDEX(競技会設定!$X$25:$AC$47,MATCH(INDEX(女子エントリー!$J$7:$AH$406,MATCH($G24&amp;RIGHT(AG$1,1),女子エントリー!$AH$7:$AH$406,0),1),競技会設定!$AC$25:$AC$47,0),1),INDEX(競技会設定!$X$25:$AC$47,MATCH(INDEX(女子エントリー!$R$6:$V$406,MATCH($G24&amp;RIGHT(AG$1,1),女子エントリー!$V$6:$V$406,0)-MATCH($G24&amp;RIGHT(AG$1,1),女子エントリー!$V$6:$V$406,0)+1,1),競技会設定!$AC$25:$AC$47,0),1)),"")</f>
        <v/>
      </c>
      <c r="AH24" s="1" t="str">
        <f>IF(AG24=37,リレーエントリー!$I$27,_xlfn.IFNA(INDEX(女子エントリー!$J$7:$AH$406,MATCH($G24&amp;RIGHT(AI$1,1),女子エントリー!$AH$7:$AH$406,0),3),""))</f>
        <v/>
      </c>
      <c r="AI24" s="1" t="str">
        <f t="shared" si="7"/>
        <v/>
      </c>
      <c r="AJ24" s="1" t="str">
        <f t="shared" si="8"/>
        <v/>
      </c>
      <c r="AK24" s="1" t="str">
        <f t="shared" si="9"/>
        <v/>
      </c>
      <c r="AL24" s="1" t="str" cm="1">
        <f t="array" ref="AL24">_xlfn.IFNA(_xlfn.IFNA(INDEX(競技会設定!$X$25:$AC$47,MATCH(INDEX(女子エントリー!$J$7:$AH$406,MATCH($G24&amp;RIGHT(AL$1,1),女子エントリー!$AH$7:$AH$406,0),1),競技会設定!$AC$25:$AC$47,0),1),INDEX(競技会設定!$X$25:$AC$47,MATCH(INDEX(女子エントリー!$R$6:$V$406,MATCH($G24&amp;RIGHT(AL$1,1),女子エントリー!$V$6:$V$406,0)-MATCH($G24&amp;RIGHT(AL$1,1),女子エントリー!$V$6:$V$406,0)+1,1),競技会設定!$AC$25:$AC$47,0),1)),"")</f>
        <v/>
      </c>
      <c r="AM24" s="1" t="str">
        <f>IF(AL24=37,リレーエントリー!$I$27,_xlfn.IFNA(INDEX(女子エントリー!$J$7:$AH$406,MATCH($G24&amp;RIGHT(AN$1,1),女子エントリー!$AH$7:$AH$406,0),3),""))</f>
        <v/>
      </c>
      <c r="AN24" s="1" t="str">
        <f t="shared" si="10"/>
        <v/>
      </c>
      <c r="AO24" s="1" t="str">
        <f t="shared" si="11"/>
        <v/>
      </c>
      <c r="AP24" s="1" t="str">
        <f t="shared" si="12"/>
        <v/>
      </c>
    </row>
    <row r="25" spans="1:42">
      <c r="A25" s="1">
        <v>24</v>
      </c>
      <c r="B25" s="92" t="str">
        <f>女子エントリー!D99</f>
        <v/>
      </c>
      <c r="C25" s="1" t="str">
        <f>基本情報!$E$6</f>
        <v/>
      </c>
      <c r="D25" s="1" t="str">
        <f>基本情報!$E$7</f>
        <v/>
      </c>
      <c r="F25" s="92">
        <f>女子エントリー!C99</f>
        <v>0</v>
      </c>
      <c r="G25" s="92" t="str">
        <f>女子エントリー!E99</f>
        <v/>
      </c>
      <c r="H25" s="92" t="str">
        <f>女子エントリー!F99</f>
        <v/>
      </c>
      <c r="I25" s="1" t="str">
        <f t="shared" si="13"/>
        <v/>
      </c>
      <c r="J25" s="1" t="e">
        <f>LEFT(女子エントリー!E101,FIND(",",LEFT(女子エントリー!E101,LEN(女子エントリー!E101)-5))-1)&amp;LEFT(RIGHT(女子エントリー!E101,LEN(女子エントリー!E101)-FIND(",",女子エントリー!E101)),LEN(RIGHT(女子エントリー!E101,LEN(女子エントリー!E101)-FIND(",",女子エントリー!E101)))-5)</f>
        <v>#VALUE!</v>
      </c>
      <c r="K25" s="92" t="str">
        <f>女子エントリー!G101</f>
        <v/>
      </c>
      <c r="L25" s="1" t="str">
        <f t="shared" si="0"/>
        <v/>
      </c>
      <c r="M25" s="92" t="str">
        <f>女子エントリー!G99</f>
        <v/>
      </c>
      <c r="N25" s="92" t="e">
        <f>MID(女子エントリー!E101,FIND("(",女子エントリー!E101)+1,2)</f>
        <v>#VALUE!</v>
      </c>
      <c r="O25" s="1">
        <v>0</v>
      </c>
      <c r="P25" s="92" t="e">
        <f>VLOOKUP(女子エントリー!G100,競技会設定!$F$3:$I$50,2,0)</f>
        <v>#N/A</v>
      </c>
      <c r="R25" s="1" t="str" cm="1">
        <f t="array" ref="R25">_xlfn.IFNA(_xlfn.IFNA(INDEX(競技会設定!$X$25:$AC$47,MATCH(INDEX(女子エントリー!$J$7:$AH$406,MATCH($G25&amp;RIGHT(R$1,1),女子エントリー!$AH$7:$AH$406,0),1),競技会設定!$AC$25:$AC$47,0),1),INDEX(競技会設定!$X$25:$AC$47,MATCH(INDEX(女子エントリー!$R$6:$V$406,MATCH($G25&amp;RIGHT(R$1,1),女子エントリー!$V$6:$V$406,0)-MATCH($G25&amp;RIGHT(R$1,1),女子エントリー!$V$6:$V$406,0)+1,1),競技会設定!$AC$25:$AC$47,0),1)),"")</f>
        <v/>
      </c>
      <c r="S25" s="1" t="str">
        <f>IF(R25=37,リレーエントリー!$I$27,_xlfn.IFNA(INDEX(女子エントリー!$J$7:$AH$406,MATCH($G25&amp;RIGHT(T$1,1),女子エントリー!$AH$7:$AH$406,0),3),""))</f>
        <v/>
      </c>
      <c r="T25" s="1" t="str">
        <f t="shared" si="14"/>
        <v/>
      </c>
      <c r="U25" s="1" t="str">
        <f t="shared" si="15"/>
        <v/>
      </c>
      <c r="V25" s="1" t="str">
        <f t="shared" si="16"/>
        <v/>
      </c>
      <c r="W25" s="1" t="str" cm="1">
        <f t="array" ref="W25">_xlfn.IFNA(_xlfn.IFNA(INDEX(競技会設定!$X$25:$AC$47,MATCH(INDEX(女子エントリー!$J$7:$AH$406,MATCH($G25&amp;RIGHT(W$1,1),女子エントリー!$AH$7:$AH$406,0),1),競技会設定!$AC$25:$AC$47,0),1),INDEX(競技会設定!$X$25:$AC$47,MATCH(INDEX(女子エントリー!$R$6:$V$406,MATCH($G25&amp;RIGHT(W$1,1),女子エントリー!$V$6:$V$406,0)-MATCH($G25&amp;RIGHT(W$1,1),女子エントリー!$V$6:$V$406,0)+1,1),競技会設定!$AC$25:$AC$47,0),1)),"")</f>
        <v/>
      </c>
      <c r="X25" s="1" t="str">
        <f>IF(W25=37,リレーエントリー!$I$27,_xlfn.IFNA(INDEX(女子エントリー!$J$7:$AH$406,MATCH($G25&amp;RIGHT(Y$1,1),女子エントリー!$AH$7:$AH$406,0),3),""))</f>
        <v/>
      </c>
      <c r="Y25" s="1" t="str">
        <f t="shared" si="1"/>
        <v/>
      </c>
      <c r="Z25" s="1" t="str">
        <f t="shared" si="2"/>
        <v/>
      </c>
      <c r="AA25" s="1" t="str">
        <f t="shared" si="3"/>
        <v/>
      </c>
      <c r="AB25" s="1" t="str" cm="1">
        <f t="array" ref="AB25">_xlfn.IFNA(_xlfn.IFNA(INDEX(競技会設定!$X$25:$AC$47,MATCH(INDEX(女子エントリー!$J$7:$AH$406,MATCH($G25&amp;RIGHT(AB$1,1),女子エントリー!$AH$7:$AH$406,0),1),競技会設定!$AC$25:$AC$47,0),1),INDEX(競技会設定!$X$25:$AC$47,MATCH(INDEX(女子エントリー!$R$6:$V$406,MATCH($G25&amp;RIGHT(AB$1,1),女子エントリー!$V$6:$V$406,0)-MATCH($G25&amp;RIGHT(AB$1,1),女子エントリー!$V$6:$V$406,0)+1,1),競技会設定!$AC$25:$AC$47,0),1)),"")</f>
        <v/>
      </c>
      <c r="AC25" s="1" t="str">
        <f>IF(AB25=37,リレーエントリー!$I$27,_xlfn.IFNA(INDEX(女子エントリー!$J$7:$AH$406,MATCH($G25&amp;RIGHT(AD$1,1),女子エントリー!$AH$7:$AH$406,0),3),""))</f>
        <v/>
      </c>
      <c r="AD25" s="1" t="str">
        <f t="shared" si="4"/>
        <v/>
      </c>
      <c r="AE25" s="1" t="str">
        <f t="shared" si="5"/>
        <v/>
      </c>
      <c r="AF25" s="1" t="str">
        <f t="shared" si="6"/>
        <v/>
      </c>
      <c r="AG25" s="1" t="str" cm="1">
        <f t="array" ref="AG25">_xlfn.IFNA(_xlfn.IFNA(INDEX(競技会設定!$X$25:$AC$47,MATCH(INDEX(女子エントリー!$J$7:$AH$406,MATCH($G25&amp;RIGHT(AG$1,1),女子エントリー!$AH$7:$AH$406,0),1),競技会設定!$AC$25:$AC$47,0),1),INDEX(競技会設定!$X$25:$AC$47,MATCH(INDEX(女子エントリー!$R$6:$V$406,MATCH($G25&amp;RIGHT(AG$1,1),女子エントリー!$V$6:$V$406,0)-MATCH($G25&amp;RIGHT(AG$1,1),女子エントリー!$V$6:$V$406,0)+1,1),競技会設定!$AC$25:$AC$47,0),1)),"")</f>
        <v/>
      </c>
      <c r="AH25" s="1" t="str">
        <f>IF(AG25=37,リレーエントリー!$I$27,_xlfn.IFNA(INDEX(女子エントリー!$J$7:$AH$406,MATCH($G25&amp;RIGHT(AI$1,1),女子エントリー!$AH$7:$AH$406,0),3),""))</f>
        <v/>
      </c>
      <c r="AI25" s="1" t="str">
        <f t="shared" si="7"/>
        <v/>
      </c>
      <c r="AJ25" s="1" t="str">
        <f t="shared" si="8"/>
        <v/>
      </c>
      <c r="AK25" s="1" t="str">
        <f t="shared" si="9"/>
        <v/>
      </c>
      <c r="AL25" s="1" t="str" cm="1">
        <f t="array" ref="AL25">_xlfn.IFNA(_xlfn.IFNA(INDEX(競技会設定!$X$25:$AC$47,MATCH(INDEX(女子エントリー!$J$7:$AH$406,MATCH($G25&amp;RIGHT(AL$1,1),女子エントリー!$AH$7:$AH$406,0),1),競技会設定!$AC$25:$AC$47,0),1),INDEX(競技会設定!$X$25:$AC$47,MATCH(INDEX(女子エントリー!$R$6:$V$406,MATCH($G25&amp;RIGHT(AL$1,1),女子エントリー!$V$6:$V$406,0)-MATCH($G25&amp;RIGHT(AL$1,1),女子エントリー!$V$6:$V$406,0)+1,1),競技会設定!$AC$25:$AC$47,0),1)),"")</f>
        <v/>
      </c>
      <c r="AM25" s="1" t="str">
        <f>IF(AL25=37,リレーエントリー!$I$27,_xlfn.IFNA(INDEX(女子エントリー!$J$7:$AH$406,MATCH($G25&amp;RIGHT(AN$1,1),女子エントリー!$AH$7:$AH$406,0),3),""))</f>
        <v/>
      </c>
      <c r="AN25" s="1" t="str">
        <f t="shared" si="10"/>
        <v/>
      </c>
      <c r="AO25" s="1" t="str">
        <f t="shared" si="11"/>
        <v/>
      </c>
      <c r="AP25" s="1" t="str">
        <f t="shared" si="12"/>
        <v/>
      </c>
    </row>
    <row r="26" spans="1:42">
      <c r="A26" s="1">
        <v>25</v>
      </c>
      <c r="B26" s="92" t="str">
        <f>女子エントリー!D103</f>
        <v/>
      </c>
      <c r="C26" s="1" t="str">
        <f>基本情報!$E$6</f>
        <v/>
      </c>
      <c r="D26" s="1" t="str">
        <f>基本情報!$E$7</f>
        <v/>
      </c>
      <c r="F26" s="92">
        <f>女子エントリー!C103</f>
        <v>0</v>
      </c>
      <c r="G26" s="92" t="str">
        <f>女子エントリー!E103</f>
        <v/>
      </c>
      <c r="H26" s="92" t="str">
        <f>女子エントリー!F103</f>
        <v/>
      </c>
      <c r="I26" s="1" t="str">
        <f t="shared" si="13"/>
        <v/>
      </c>
      <c r="J26" s="1" t="e">
        <f>LEFT(女子エントリー!E105,FIND(",",LEFT(女子エントリー!E105,LEN(女子エントリー!E105)-5))-1)&amp;LEFT(RIGHT(女子エントリー!E105,LEN(女子エントリー!E105)-FIND(",",女子エントリー!E105)),LEN(RIGHT(女子エントリー!E105,LEN(女子エントリー!E105)-FIND(",",女子エントリー!E105)))-5)</f>
        <v>#VALUE!</v>
      </c>
      <c r="K26" s="92" t="str">
        <f>女子エントリー!G105</f>
        <v/>
      </c>
      <c r="L26" s="1" t="str">
        <f t="shared" si="0"/>
        <v/>
      </c>
      <c r="M26" s="92" t="str">
        <f>女子エントリー!G103</f>
        <v/>
      </c>
      <c r="N26" s="92" t="e">
        <f>MID(女子エントリー!E105,FIND("(",女子エントリー!E105)+1,2)</f>
        <v>#VALUE!</v>
      </c>
      <c r="O26" s="1">
        <v>0</v>
      </c>
      <c r="P26" s="92" t="e">
        <f>VLOOKUP(女子エントリー!G104,競技会設定!$F$3:$I$50,2,0)</f>
        <v>#N/A</v>
      </c>
      <c r="R26" s="1" t="str" cm="1">
        <f t="array" ref="R26">_xlfn.IFNA(_xlfn.IFNA(INDEX(競技会設定!$X$25:$AC$47,MATCH(INDEX(女子エントリー!$J$7:$AH$406,MATCH($G26&amp;RIGHT(R$1,1),女子エントリー!$AH$7:$AH$406,0),1),競技会設定!$AC$25:$AC$47,0),1),INDEX(競技会設定!$X$25:$AC$47,MATCH(INDEX(女子エントリー!$R$6:$V$406,MATCH($G26&amp;RIGHT(R$1,1),女子エントリー!$V$6:$V$406,0)-MATCH($G26&amp;RIGHT(R$1,1),女子エントリー!$V$6:$V$406,0)+1,1),競技会設定!$AC$25:$AC$47,0),1)),"")</f>
        <v/>
      </c>
      <c r="S26" s="1" t="str">
        <f>IF(R26=37,リレーエントリー!$I$27,_xlfn.IFNA(INDEX(女子エントリー!$J$7:$AH$406,MATCH($G26&amp;RIGHT(T$1,1),女子エントリー!$AH$7:$AH$406,0),3),""))</f>
        <v/>
      </c>
      <c r="T26" s="1" t="str">
        <f t="shared" si="14"/>
        <v/>
      </c>
      <c r="U26" s="1" t="str">
        <f t="shared" si="15"/>
        <v/>
      </c>
      <c r="V26" s="1" t="str">
        <f t="shared" si="16"/>
        <v/>
      </c>
      <c r="W26" s="1" t="str" cm="1">
        <f t="array" ref="W26">_xlfn.IFNA(_xlfn.IFNA(INDEX(競技会設定!$X$25:$AC$47,MATCH(INDEX(女子エントリー!$J$7:$AH$406,MATCH($G26&amp;RIGHT(W$1,1),女子エントリー!$AH$7:$AH$406,0),1),競技会設定!$AC$25:$AC$47,0),1),INDEX(競技会設定!$X$25:$AC$47,MATCH(INDEX(女子エントリー!$R$6:$V$406,MATCH($G26&amp;RIGHT(W$1,1),女子エントリー!$V$6:$V$406,0)-MATCH($G26&amp;RIGHT(W$1,1),女子エントリー!$V$6:$V$406,0)+1,1),競技会設定!$AC$25:$AC$47,0),1)),"")</f>
        <v/>
      </c>
      <c r="X26" s="1" t="str">
        <f>IF(W26=37,リレーエントリー!$I$27,_xlfn.IFNA(INDEX(女子エントリー!$J$7:$AH$406,MATCH($G26&amp;RIGHT(Y$1,1),女子エントリー!$AH$7:$AH$406,0),3),""))</f>
        <v/>
      </c>
      <c r="Y26" s="1" t="str">
        <f t="shared" si="1"/>
        <v/>
      </c>
      <c r="Z26" s="1" t="str">
        <f t="shared" si="2"/>
        <v/>
      </c>
      <c r="AA26" s="1" t="str">
        <f t="shared" si="3"/>
        <v/>
      </c>
      <c r="AB26" s="1" t="str" cm="1">
        <f t="array" ref="AB26">_xlfn.IFNA(_xlfn.IFNA(INDEX(競技会設定!$X$25:$AC$47,MATCH(INDEX(女子エントリー!$J$7:$AH$406,MATCH($G26&amp;RIGHT(AB$1,1),女子エントリー!$AH$7:$AH$406,0),1),競技会設定!$AC$25:$AC$47,0),1),INDEX(競技会設定!$X$25:$AC$47,MATCH(INDEX(女子エントリー!$R$6:$V$406,MATCH($G26&amp;RIGHT(AB$1,1),女子エントリー!$V$6:$V$406,0)-MATCH($G26&amp;RIGHT(AB$1,1),女子エントリー!$V$6:$V$406,0)+1,1),競技会設定!$AC$25:$AC$47,0),1)),"")</f>
        <v/>
      </c>
      <c r="AC26" s="1" t="str">
        <f>IF(AB26=37,リレーエントリー!$I$27,_xlfn.IFNA(INDEX(女子エントリー!$J$7:$AH$406,MATCH($G26&amp;RIGHT(AD$1,1),女子エントリー!$AH$7:$AH$406,0),3),""))</f>
        <v/>
      </c>
      <c r="AD26" s="1" t="str">
        <f t="shared" si="4"/>
        <v/>
      </c>
      <c r="AE26" s="1" t="str">
        <f t="shared" si="5"/>
        <v/>
      </c>
      <c r="AF26" s="1" t="str">
        <f t="shared" si="6"/>
        <v/>
      </c>
      <c r="AG26" s="1" t="str" cm="1">
        <f t="array" ref="AG26">_xlfn.IFNA(_xlfn.IFNA(INDEX(競技会設定!$X$25:$AC$47,MATCH(INDEX(女子エントリー!$J$7:$AH$406,MATCH($G26&amp;RIGHT(AG$1,1),女子エントリー!$AH$7:$AH$406,0),1),競技会設定!$AC$25:$AC$47,0),1),INDEX(競技会設定!$X$25:$AC$47,MATCH(INDEX(女子エントリー!$R$6:$V$406,MATCH($G26&amp;RIGHT(AG$1,1),女子エントリー!$V$6:$V$406,0)-MATCH($G26&amp;RIGHT(AG$1,1),女子エントリー!$V$6:$V$406,0)+1,1),競技会設定!$AC$25:$AC$47,0),1)),"")</f>
        <v/>
      </c>
      <c r="AH26" s="1" t="str">
        <f>IF(AG26=37,リレーエントリー!$I$27,_xlfn.IFNA(INDEX(女子エントリー!$J$7:$AH$406,MATCH($G26&amp;RIGHT(AI$1,1),女子エントリー!$AH$7:$AH$406,0),3),""))</f>
        <v/>
      </c>
      <c r="AI26" s="1" t="str">
        <f t="shared" si="7"/>
        <v/>
      </c>
      <c r="AJ26" s="1" t="str">
        <f t="shared" si="8"/>
        <v/>
      </c>
      <c r="AK26" s="1" t="str">
        <f t="shared" si="9"/>
        <v/>
      </c>
      <c r="AL26" s="1" t="str" cm="1">
        <f t="array" ref="AL26">_xlfn.IFNA(_xlfn.IFNA(INDEX(競技会設定!$X$25:$AC$47,MATCH(INDEX(女子エントリー!$J$7:$AH$406,MATCH($G26&amp;RIGHT(AL$1,1),女子エントリー!$AH$7:$AH$406,0),1),競技会設定!$AC$25:$AC$47,0),1),INDEX(競技会設定!$X$25:$AC$47,MATCH(INDEX(女子エントリー!$R$6:$V$406,MATCH($G26&amp;RIGHT(AL$1,1),女子エントリー!$V$6:$V$406,0)-MATCH($G26&amp;RIGHT(AL$1,1),女子エントリー!$V$6:$V$406,0)+1,1),競技会設定!$AC$25:$AC$47,0),1)),"")</f>
        <v/>
      </c>
      <c r="AM26" s="1" t="str">
        <f>IF(AL26=37,リレーエントリー!$I$27,_xlfn.IFNA(INDEX(女子エントリー!$J$7:$AH$406,MATCH($G26&amp;RIGHT(AN$1,1),女子エントリー!$AH$7:$AH$406,0),3),""))</f>
        <v/>
      </c>
      <c r="AN26" s="1" t="str">
        <f t="shared" si="10"/>
        <v/>
      </c>
      <c r="AO26" s="1" t="str">
        <f t="shared" si="11"/>
        <v/>
      </c>
      <c r="AP26" s="1" t="str">
        <f t="shared" si="12"/>
        <v/>
      </c>
    </row>
    <row r="27" spans="1:42">
      <c r="A27" s="1">
        <v>26</v>
      </c>
      <c r="B27" s="92" t="str">
        <f>女子エントリー!D107</f>
        <v/>
      </c>
      <c r="C27" s="1" t="str">
        <f>基本情報!$E$6</f>
        <v/>
      </c>
      <c r="D27" s="1" t="str">
        <f>基本情報!$E$7</f>
        <v/>
      </c>
      <c r="F27" s="92">
        <f>女子エントリー!C107</f>
        <v>0</v>
      </c>
      <c r="G27" s="92" t="str">
        <f>女子エントリー!E107</f>
        <v/>
      </c>
      <c r="H27" s="92" t="str">
        <f>女子エントリー!F107</f>
        <v/>
      </c>
      <c r="I27" s="1" t="str">
        <f t="shared" si="13"/>
        <v/>
      </c>
      <c r="J27" s="1" t="e">
        <f>LEFT(女子エントリー!E109,FIND(",",LEFT(女子エントリー!E109,LEN(女子エントリー!E109)-5))-1)&amp;LEFT(RIGHT(女子エントリー!E109,LEN(女子エントリー!E109)-FIND(",",女子エントリー!E109)),LEN(RIGHT(女子エントリー!E109,LEN(女子エントリー!E109)-FIND(",",女子エントリー!E109)))-5)</f>
        <v>#VALUE!</v>
      </c>
      <c r="K27" s="92" t="str">
        <f>女子エントリー!G109</f>
        <v/>
      </c>
      <c r="L27" s="1" t="str">
        <f t="shared" si="0"/>
        <v/>
      </c>
      <c r="M27" s="92" t="str">
        <f>女子エントリー!G107</f>
        <v/>
      </c>
      <c r="N27" s="92" t="e">
        <f>MID(女子エントリー!E109,FIND("(",女子エントリー!E109)+1,2)</f>
        <v>#VALUE!</v>
      </c>
      <c r="O27" s="1">
        <v>0</v>
      </c>
      <c r="P27" s="92" t="e">
        <f>VLOOKUP(女子エントリー!G108,競技会設定!$F$3:$I$50,2,0)</f>
        <v>#N/A</v>
      </c>
      <c r="R27" s="1" t="str" cm="1">
        <f t="array" ref="R27">_xlfn.IFNA(_xlfn.IFNA(INDEX(競技会設定!$X$25:$AC$47,MATCH(INDEX(女子エントリー!$J$7:$AH$406,MATCH($G27&amp;RIGHT(R$1,1),女子エントリー!$AH$7:$AH$406,0),1),競技会設定!$AC$25:$AC$47,0),1),INDEX(競技会設定!$X$25:$AC$47,MATCH(INDEX(女子エントリー!$R$6:$V$406,MATCH($G27&amp;RIGHT(R$1,1),女子エントリー!$V$6:$V$406,0)-MATCH($G27&amp;RIGHT(R$1,1),女子エントリー!$V$6:$V$406,0)+1,1),競技会設定!$AC$25:$AC$47,0),1)),"")</f>
        <v/>
      </c>
      <c r="S27" s="1" t="str">
        <f>IF(R27=37,リレーエントリー!$I$27,_xlfn.IFNA(INDEX(女子エントリー!$J$7:$AH$406,MATCH($G27&amp;RIGHT(T$1,1),女子エントリー!$AH$7:$AH$406,0),3),""))</f>
        <v/>
      </c>
      <c r="T27" s="1" t="str">
        <f t="shared" si="14"/>
        <v/>
      </c>
      <c r="U27" s="1" t="str">
        <f t="shared" si="15"/>
        <v/>
      </c>
      <c r="V27" s="1" t="str">
        <f t="shared" si="16"/>
        <v/>
      </c>
      <c r="W27" s="1" t="str" cm="1">
        <f t="array" ref="W27">_xlfn.IFNA(_xlfn.IFNA(INDEX(競技会設定!$X$25:$AC$47,MATCH(INDEX(女子エントリー!$J$7:$AH$406,MATCH($G27&amp;RIGHT(W$1,1),女子エントリー!$AH$7:$AH$406,0),1),競技会設定!$AC$25:$AC$47,0),1),INDEX(競技会設定!$X$25:$AC$47,MATCH(INDEX(女子エントリー!$R$6:$V$406,MATCH($G27&amp;RIGHT(W$1,1),女子エントリー!$V$6:$V$406,0)-MATCH($G27&amp;RIGHT(W$1,1),女子エントリー!$V$6:$V$406,0)+1,1),競技会設定!$AC$25:$AC$47,0),1)),"")</f>
        <v/>
      </c>
      <c r="X27" s="1" t="str">
        <f>IF(W27=37,リレーエントリー!$I$27,_xlfn.IFNA(INDEX(女子エントリー!$J$7:$AH$406,MATCH($G27&amp;RIGHT(Y$1,1),女子エントリー!$AH$7:$AH$406,0),3),""))</f>
        <v/>
      </c>
      <c r="Y27" s="1" t="str">
        <f t="shared" si="1"/>
        <v/>
      </c>
      <c r="Z27" s="1" t="str">
        <f t="shared" si="2"/>
        <v/>
      </c>
      <c r="AA27" s="1" t="str">
        <f t="shared" si="3"/>
        <v/>
      </c>
      <c r="AB27" s="1" t="str" cm="1">
        <f t="array" ref="AB27">_xlfn.IFNA(_xlfn.IFNA(INDEX(競技会設定!$X$25:$AC$47,MATCH(INDEX(女子エントリー!$J$7:$AH$406,MATCH($G27&amp;RIGHT(AB$1,1),女子エントリー!$AH$7:$AH$406,0),1),競技会設定!$AC$25:$AC$47,0),1),INDEX(競技会設定!$X$25:$AC$47,MATCH(INDEX(女子エントリー!$R$6:$V$406,MATCH($G27&amp;RIGHT(AB$1,1),女子エントリー!$V$6:$V$406,0)-MATCH($G27&amp;RIGHT(AB$1,1),女子エントリー!$V$6:$V$406,0)+1,1),競技会設定!$AC$25:$AC$47,0),1)),"")</f>
        <v/>
      </c>
      <c r="AC27" s="1" t="str">
        <f>IF(AB27=37,リレーエントリー!$I$27,_xlfn.IFNA(INDEX(女子エントリー!$J$7:$AH$406,MATCH($G27&amp;RIGHT(AD$1,1),女子エントリー!$AH$7:$AH$406,0),3),""))</f>
        <v/>
      </c>
      <c r="AD27" s="1" t="str">
        <f t="shared" si="4"/>
        <v/>
      </c>
      <c r="AE27" s="1" t="str">
        <f t="shared" si="5"/>
        <v/>
      </c>
      <c r="AF27" s="1" t="str">
        <f t="shared" si="6"/>
        <v/>
      </c>
      <c r="AG27" s="1" t="str" cm="1">
        <f t="array" ref="AG27">_xlfn.IFNA(_xlfn.IFNA(INDEX(競技会設定!$X$25:$AC$47,MATCH(INDEX(女子エントリー!$J$7:$AH$406,MATCH($G27&amp;RIGHT(AG$1,1),女子エントリー!$AH$7:$AH$406,0),1),競技会設定!$AC$25:$AC$47,0),1),INDEX(競技会設定!$X$25:$AC$47,MATCH(INDEX(女子エントリー!$R$6:$V$406,MATCH($G27&amp;RIGHT(AG$1,1),女子エントリー!$V$6:$V$406,0)-MATCH($G27&amp;RIGHT(AG$1,1),女子エントリー!$V$6:$V$406,0)+1,1),競技会設定!$AC$25:$AC$47,0),1)),"")</f>
        <v/>
      </c>
      <c r="AH27" s="1" t="str">
        <f>IF(AG27=37,リレーエントリー!$I$27,_xlfn.IFNA(INDEX(女子エントリー!$J$7:$AH$406,MATCH($G27&amp;RIGHT(AI$1,1),女子エントリー!$AH$7:$AH$406,0),3),""))</f>
        <v/>
      </c>
      <c r="AI27" s="1" t="str">
        <f t="shared" si="7"/>
        <v/>
      </c>
      <c r="AJ27" s="1" t="str">
        <f t="shared" si="8"/>
        <v/>
      </c>
      <c r="AK27" s="1" t="str">
        <f t="shared" si="9"/>
        <v/>
      </c>
      <c r="AL27" s="1" t="str" cm="1">
        <f t="array" ref="AL27">_xlfn.IFNA(_xlfn.IFNA(INDEX(競技会設定!$X$25:$AC$47,MATCH(INDEX(女子エントリー!$J$7:$AH$406,MATCH($G27&amp;RIGHT(AL$1,1),女子エントリー!$AH$7:$AH$406,0),1),競技会設定!$AC$25:$AC$47,0),1),INDEX(競技会設定!$X$25:$AC$47,MATCH(INDEX(女子エントリー!$R$6:$V$406,MATCH($G27&amp;RIGHT(AL$1,1),女子エントリー!$V$6:$V$406,0)-MATCH($G27&amp;RIGHT(AL$1,1),女子エントリー!$V$6:$V$406,0)+1,1),競技会設定!$AC$25:$AC$47,0),1)),"")</f>
        <v/>
      </c>
      <c r="AM27" s="1" t="str">
        <f>IF(AL27=37,リレーエントリー!$I$27,_xlfn.IFNA(INDEX(女子エントリー!$J$7:$AH$406,MATCH($G27&amp;RIGHT(AN$1,1),女子エントリー!$AH$7:$AH$406,0),3),""))</f>
        <v/>
      </c>
      <c r="AN27" s="1" t="str">
        <f t="shared" si="10"/>
        <v/>
      </c>
      <c r="AO27" s="1" t="str">
        <f t="shared" si="11"/>
        <v/>
      </c>
      <c r="AP27" s="1" t="str">
        <f t="shared" si="12"/>
        <v/>
      </c>
    </row>
    <row r="28" spans="1:42">
      <c r="A28" s="1">
        <v>27</v>
      </c>
      <c r="B28" s="92" t="str">
        <f>女子エントリー!D111</f>
        <v/>
      </c>
      <c r="C28" s="1" t="str">
        <f>基本情報!$E$6</f>
        <v/>
      </c>
      <c r="D28" s="1" t="str">
        <f>基本情報!$E$7</f>
        <v/>
      </c>
      <c r="F28" s="92">
        <f>女子エントリー!C111</f>
        <v>0</v>
      </c>
      <c r="G28" s="92" t="str">
        <f>女子エントリー!E111</f>
        <v/>
      </c>
      <c r="H28" s="92" t="str">
        <f>女子エントリー!F111</f>
        <v/>
      </c>
      <c r="I28" s="1" t="str">
        <f t="shared" si="13"/>
        <v/>
      </c>
      <c r="J28" s="1" t="e">
        <f>LEFT(女子エントリー!E113,FIND(",",LEFT(女子エントリー!E113,LEN(女子エントリー!E113)-5))-1)&amp;LEFT(RIGHT(女子エントリー!E113,LEN(女子エントリー!E113)-FIND(",",女子エントリー!E113)),LEN(RIGHT(女子エントリー!E113,LEN(女子エントリー!E113)-FIND(",",女子エントリー!E113)))-5)</f>
        <v>#VALUE!</v>
      </c>
      <c r="K28" s="92" t="str">
        <f>女子エントリー!G113</f>
        <v/>
      </c>
      <c r="L28" s="1" t="str">
        <f t="shared" si="0"/>
        <v/>
      </c>
      <c r="M28" s="92" t="str">
        <f>女子エントリー!G111</f>
        <v/>
      </c>
      <c r="N28" s="92" t="e">
        <f>MID(女子エントリー!E113,FIND("(",女子エントリー!E113)+1,2)</f>
        <v>#VALUE!</v>
      </c>
      <c r="O28" s="1">
        <v>0</v>
      </c>
      <c r="P28" s="92" t="e">
        <f>VLOOKUP(女子エントリー!G112,競技会設定!$F$3:$I$50,2,0)</f>
        <v>#N/A</v>
      </c>
      <c r="R28" s="1" t="str" cm="1">
        <f t="array" ref="R28">_xlfn.IFNA(_xlfn.IFNA(INDEX(競技会設定!$X$25:$AC$47,MATCH(INDEX(女子エントリー!$J$7:$AH$406,MATCH($G28&amp;RIGHT(R$1,1),女子エントリー!$AH$7:$AH$406,0),1),競技会設定!$AC$25:$AC$47,0),1),INDEX(競技会設定!$X$25:$AC$47,MATCH(INDEX(女子エントリー!$R$6:$V$406,MATCH($G28&amp;RIGHT(R$1,1),女子エントリー!$V$6:$V$406,0)-MATCH($G28&amp;RIGHT(R$1,1),女子エントリー!$V$6:$V$406,0)+1,1),競技会設定!$AC$25:$AC$47,0),1)),"")</f>
        <v/>
      </c>
      <c r="S28" s="1" t="str">
        <f>IF(R28=37,リレーエントリー!$I$27,_xlfn.IFNA(INDEX(女子エントリー!$J$7:$AH$406,MATCH($G28&amp;RIGHT(T$1,1),女子エントリー!$AH$7:$AH$406,0),3),""))</f>
        <v/>
      </c>
      <c r="T28" s="1" t="str">
        <f t="shared" si="14"/>
        <v/>
      </c>
      <c r="U28" s="1" t="str">
        <f t="shared" si="15"/>
        <v/>
      </c>
      <c r="V28" s="1" t="str">
        <f t="shared" si="16"/>
        <v/>
      </c>
      <c r="W28" s="1" t="str" cm="1">
        <f t="array" ref="W28">_xlfn.IFNA(_xlfn.IFNA(INDEX(競技会設定!$X$25:$AC$47,MATCH(INDEX(女子エントリー!$J$7:$AH$406,MATCH($G28&amp;RIGHT(W$1,1),女子エントリー!$AH$7:$AH$406,0),1),競技会設定!$AC$25:$AC$47,0),1),INDEX(競技会設定!$X$25:$AC$47,MATCH(INDEX(女子エントリー!$R$6:$V$406,MATCH($G28&amp;RIGHT(W$1,1),女子エントリー!$V$6:$V$406,0)-MATCH($G28&amp;RIGHT(W$1,1),女子エントリー!$V$6:$V$406,0)+1,1),競技会設定!$AC$25:$AC$47,0),1)),"")</f>
        <v/>
      </c>
      <c r="X28" s="1" t="str">
        <f>IF(W28=37,リレーエントリー!$I$27,_xlfn.IFNA(INDEX(女子エントリー!$J$7:$AH$406,MATCH($G28&amp;RIGHT(Y$1,1),女子エントリー!$AH$7:$AH$406,0),3),""))</f>
        <v/>
      </c>
      <c r="Y28" s="1" t="str">
        <f t="shared" si="1"/>
        <v/>
      </c>
      <c r="Z28" s="1" t="str">
        <f t="shared" si="2"/>
        <v/>
      </c>
      <c r="AA28" s="1" t="str">
        <f t="shared" si="3"/>
        <v/>
      </c>
      <c r="AB28" s="1" t="str" cm="1">
        <f t="array" ref="AB28">_xlfn.IFNA(_xlfn.IFNA(INDEX(競技会設定!$X$25:$AC$47,MATCH(INDEX(女子エントリー!$J$7:$AH$406,MATCH($G28&amp;RIGHT(AB$1,1),女子エントリー!$AH$7:$AH$406,0),1),競技会設定!$AC$25:$AC$47,0),1),INDEX(競技会設定!$X$25:$AC$47,MATCH(INDEX(女子エントリー!$R$6:$V$406,MATCH($G28&amp;RIGHT(AB$1,1),女子エントリー!$V$6:$V$406,0)-MATCH($G28&amp;RIGHT(AB$1,1),女子エントリー!$V$6:$V$406,0)+1,1),競技会設定!$AC$25:$AC$47,0),1)),"")</f>
        <v/>
      </c>
      <c r="AC28" s="1" t="str">
        <f>IF(AB28=37,リレーエントリー!$I$27,_xlfn.IFNA(INDEX(女子エントリー!$J$7:$AH$406,MATCH($G28&amp;RIGHT(AD$1,1),女子エントリー!$AH$7:$AH$406,0),3),""))</f>
        <v/>
      </c>
      <c r="AD28" s="1" t="str">
        <f t="shared" si="4"/>
        <v/>
      </c>
      <c r="AE28" s="1" t="str">
        <f t="shared" si="5"/>
        <v/>
      </c>
      <c r="AF28" s="1" t="str">
        <f t="shared" si="6"/>
        <v/>
      </c>
      <c r="AG28" s="1" t="str" cm="1">
        <f t="array" ref="AG28">_xlfn.IFNA(_xlfn.IFNA(INDEX(競技会設定!$X$25:$AC$47,MATCH(INDEX(女子エントリー!$J$7:$AH$406,MATCH($G28&amp;RIGHT(AG$1,1),女子エントリー!$AH$7:$AH$406,0),1),競技会設定!$AC$25:$AC$47,0),1),INDEX(競技会設定!$X$25:$AC$47,MATCH(INDEX(女子エントリー!$R$6:$V$406,MATCH($G28&amp;RIGHT(AG$1,1),女子エントリー!$V$6:$V$406,0)-MATCH($G28&amp;RIGHT(AG$1,1),女子エントリー!$V$6:$V$406,0)+1,1),競技会設定!$AC$25:$AC$47,0),1)),"")</f>
        <v/>
      </c>
      <c r="AH28" s="1" t="str">
        <f>IF(AG28=37,リレーエントリー!$I$27,_xlfn.IFNA(INDEX(女子エントリー!$J$7:$AH$406,MATCH($G28&amp;RIGHT(AI$1,1),女子エントリー!$AH$7:$AH$406,0),3),""))</f>
        <v/>
      </c>
      <c r="AI28" s="1" t="str">
        <f t="shared" si="7"/>
        <v/>
      </c>
      <c r="AJ28" s="1" t="str">
        <f t="shared" si="8"/>
        <v/>
      </c>
      <c r="AK28" s="1" t="str">
        <f t="shared" si="9"/>
        <v/>
      </c>
      <c r="AL28" s="1" t="str" cm="1">
        <f t="array" ref="AL28">_xlfn.IFNA(_xlfn.IFNA(INDEX(競技会設定!$X$25:$AC$47,MATCH(INDEX(女子エントリー!$J$7:$AH$406,MATCH($G28&amp;RIGHT(AL$1,1),女子エントリー!$AH$7:$AH$406,0),1),競技会設定!$AC$25:$AC$47,0),1),INDEX(競技会設定!$X$25:$AC$47,MATCH(INDEX(女子エントリー!$R$6:$V$406,MATCH($G28&amp;RIGHT(AL$1,1),女子エントリー!$V$6:$V$406,0)-MATCH($G28&amp;RIGHT(AL$1,1),女子エントリー!$V$6:$V$406,0)+1,1),競技会設定!$AC$25:$AC$47,0),1)),"")</f>
        <v/>
      </c>
      <c r="AM28" s="1" t="str">
        <f>IF(AL28=37,リレーエントリー!$I$27,_xlfn.IFNA(INDEX(女子エントリー!$J$7:$AH$406,MATCH($G28&amp;RIGHT(AN$1,1),女子エントリー!$AH$7:$AH$406,0),3),""))</f>
        <v/>
      </c>
      <c r="AN28" s="1" t="str">
        <f t="shared" si="10"/>
        <v/>
      </c>
      <c r="AO28" s="1" t="str">
        <f t="shared" si="11"/>
        <v/>
      </c>
      <c r="AP28" s="1" t="str">
        <f t="shared" si="12"/>
        <v/>
      </c>
    </row>
    <row r="29" spans="1:42">
      <c r="A29" s="1">
        <v>28</v>
      </c>
      <c r="B29" s="92" t="str">
        <f>女子エントリー!D115</f>
        <v/>
      </c>
      <c r="C29" s="1" t="str">
        <f>基本情報!$E$6</f>
        <v/>
      </c>
      <c r="D29" s="1" t="str">
        <f>基本情報!$E$7</f>
        <v/>
      </c>
      <c r="F29" s="92">
        <f>女子エントリー!C115</f>
        <v>0</v>
      </c>
      <c r="G29" s="92" t="str">
        <f>女子エントリー!E115</f>
        <v/>
      </c>
      <c r="H29" s="92" t="str">
        <f>女子エントリー!F115</f>
        <v/>
      </c>
      <c r="I29" s="1" t="str">
        <f t="shared" si="13"/>
        <v/>
      </c>
      <c r="J29" s="1" t="e">
        <f>LEFT(女子エントリー!E117,FIND(",",LEFT(女子エントリー!E117,LEN(女子エントリー!E117)-5))-1)&amp;LEFT(RIGHT(女子エントリー!E117,LEN(女子エントリー!E117)-FIND(",",女子エントリー!E117)),LEN(RIGHT(女子エントリー!E117,LEN(女子エントリー!E117)-FIND(",",女子エントリー!E117)))-5)</f>
        <v>#VALUE!</v>
      </c>
      <c r="K29" s="92" t="str">
        <f>女子エントリー!G117</f>
        <v/>
      </c>
      <c r="L29" s="1" t="str">
        <f t="shared" si="0"/>
        <v/>
      </c>
      <c r="M29" s="92" t="str">
        <f>女子エントリー!G115</f>
        <v/>
      </c>
      <c r="N29" s="92" t="e">
        <f>MID(女子エントリー!E117,FIND("(",女子エントリー!E117)+1,2)</f>
        <v>#VALUE!</v>
      </c>
      <c r="O29" s="1">
        <v>0</v>
      </c>
      <c r="P29" s="92" t="e">
        <f>VLOOKUP(女子エントリー!G116,競技会設定!$F$3:$I$50,2,0)</f>
        <v>#N/A</v>
      </c>
      <c r="R29" s="1" t="str" cm="1">
        <f t="array" ref="R29">_xlfn.IFNA(_xlfn.IFNA(INDEX(競技会設定!$X$25:$AC$47,MATCH(INDEX(女子エントリー!$J$7:$AH$406,MATCH($G29&amp;RIGHT(R$1,1),女子エントリー!$AH$7:$AH$406,0),1),競技会設定!$AC$25:$AC$47,0),1),INDEX(競技会設定!$X$25:$AC$47,MATCH(INDEX(女子エントリー!$R$6:$V$406,MATCH($G29&amp;RIGHT(R$1,1),女子エントリー!$V$6:$V$406,0)-MATCH($G29&amp;RIGHT(R$1,1),女子エントリー!$V$6:$V$406,0)+1,1),競技会設定!$AC$25:$AC$47,0),1)),"")</f>
        <v/>
      </c>
      <c r="S29" s="1" t="str">
        <f>IF(R29=37,リレーエントリー!$I$27,_xlfn.IFNA(INDEX(女子エントリー!$J$7:$AH$406,MATCH($G29&amp;RIGHT(T$1,1),女子エントリー!$AH$7:$AH$406,0),3),""))</f>
        <v/>
      </c>
      <c r="T29" s="1" t="str">
        <f t="shared" si="14"/>
        <v/>
      </c>
      <c r="U29" s="1" t="str">
        <f t="shared" si="15"/>
        <v/>
      </c>
      <c r="V29" s="1" t="str">
        <f t="shared" si="16"/>
        <v/>
      </c>
      <c r="W29" s="1" t="str" cm="1">
        <f t="array" ref="W29">_xlfn.IFNA(_xlfn.IFNA(INDEX(競技会設定!$X$25:$AC$47,MATCH(INDEX(女子エントリー!$J$7:$AH$406,MATCH($G29&amp;RIGHT(W$1,1),女子エントリー!$AH$7:$AH$406,0),1),競技会設定!$AC$25:$AC$47,0),1),INDEX(競技会設定!$X$25:$AC$47,MATCH(INDEX(女子エントリー!$R$6:$V$406,MATCH($G29&amp;RIGHT(W$1,1),女子エントリー!$V$6:$V$406,0)-MATCH($G29&amp;RIGHT(W$1,1),女子エントリー!$V$6:$V$406,0)+1,1),競技会設定!$AC$25:$AC$47,0),1)),"")</f>
        <v/>
      </c>
      <c r="X29" s="1" t="str">
        <f>IF(W29=37,リレーエントリー!$I$27,_xlfn.IFNA(INDEX(女子エントリー!$J$7:$AH$406,MATCH($G29&amp;RIGHT(Y$1,1),女子エントリー!$AH$7:$AH$406,0),3),""))</f>
        <v/>
      </c>
      <c r="Y29" s="1" t="str">
        <f t="shared" si="1"/>
        <v/>
      </c>
      <c r="Z29" s="1" t="str">
        <f t="shared" si="2"/>
        <v/>
      </c>
      <c r="AA29" s="1" t="str">
        <f t="shared" si="3"/>
        <v/>
      </c>
      <c r="AB29" s="1" t="str" cm="1">
        <f t="array" ref="AB29">_xlfn.IFNA(_xlfn.IFNA(INDEX(競技会設定!$X$25:$AC$47,MATCH(INDEX(女子エントリー!$J$7:$AH$406,MATCH($G29&amp;RIGHT(AB$1,1),女子エントリー!$AH$7:$AH$406,0),1),競技会設定!$AC$25:$AC$47,0),1),INDEX(競技会設定!$X$25:$AC$47,MATCH(INDEX(女子エントリー!$R$6:$V$406,MATCH($G29&amp;RIGHT(AB$1,1),女子エントリー!$V$6:$V$406,0)-MATCH($G29&amp;RIGHT(AB$1,1),女子エントリー!$V$6:$V$406,0)+1,1),競技会設定!$AC$25:$AC$47,0),1)),"")</f>
        <v/>
      </c>
      <c r="AC29" s="1" t="str">
        <f>IF(AB29=37,リレーエントリー!$I$27,_xlfn.IFNA(INDEX(女子エントリー!$J$7:$AH$406,MATCH($G29&amp;RIGHT(AD$1,1),女子エントリー!$AH$7:$AH$406,0),3),""))</f>
        <v/>
      </c>
      <c r="AD29" s="1" t="str">
        <f t="shared" si="4"/>
        <v/>
      </c>
      <c r="AE29" s="1" t="str">
        <f t="shared" si="5"/>
        <v/>
      </c>
      <c r="AF29" s="1" t="str">
        <f t="shared" si="6"/>
        <v/>
      </c>
      <c r="AG29" s="1" t="str" cm="1">
        <f t="array" ref="AG29">_xlfn.IFNA(_xlfn.IFNA(INDEX(競技会設定!$X$25:$AC$47,MATCH(INDEX(女子エントリー!$J$7:$AH$406,MATCH($G29&amp;RIGHT(AG$1,1),女子エントリー!$AH$7:$AH$406,0),1),競技会設定!$AC$25:$AC$47,0),1),INDEX(競技会設定!$X$25:$AC$47,MATCH(INDEX(女子エントリー!$R$6:$V$406,MATCH($G29&amp;RIGHT(AG$1,1),女子エントリー!$V$6:$V$406,0)-MATCH($G29&amp;RIGHT(AG$1,1),女子エントリー!$V$6:$V$406,0)+1,1),競技会設定!$AC$25:$AC$47,0),1)),"")</f>
        <v/>
      </c>
      <c r="AH29" s="1" t="str">
        <f>IF(AG29=37,リレーエントリー!$I$27,_xlfn.IFNA(INDEX(女子エントリー!$J$7:$AH$406,MATCH($G29&amp;RIGHT(AI$1,1),女子エントリー!$AH$7:$AH$406,0),3),""))</f>
        <v/>
      </c>
      <c r="AI29" s="1" t="str">
        <f t="shared" si="7"/>
        <v/>
      </c>
      <c r="AJ29" s="1" t="str">
        <f t="shared" si="8"/>
        <v/>
      </c>
      <c r="AK29" s="1" t="str">
        <f t="shared" si="9"/>
        <v/>
      </c>
      <c r="AL29" s="1" t="str" cm="1">
        <f t="array" ref="AL29">_xlfn.IFNA(_xlfn.IFNA(INDEX(競技会設定!$X$25:$AC$47,MATCH(INDEX(女子エントリー!$J$7:$AH$406,MATCH($G29&amp;RIGHT(AL$1,1),女子エントリー!$AH$7:$AH$406,0),1),競技会設定!$AC$25:$AC$47,0),1),INDEX(競技会設定!$X$25:$AC$47,MATCH(INDEX(女子エントリー!$R$6:$V$406,MATCH($G29&amp;RIGHT(AL$1,1),女子エントリー!$V$6:$V$406,0)-MATCH($G29&amp;RIGHT(AL$1,1),女子エントリー!$V$6:$V$406,0)+1,1),競技会設定!$AC$25:$AC$47,0),1)),"")</f>
        <v/>
      </c>
      <c r="AM29" s="1" t="str">
        <f>IF(AL29=37,リレーエントリー!$I$27,_xlfn.IFNA(INDEX(女子エントリー!$J$7:$AH$406,MATCH($G29&amp;RIGHT(AN$1,1),女子エントリー!$AH$7:$AH$406,0),3),""))</f>
        <v/>
      </c>
      <c r="AN29" s="1" t="str">
        <f t="shared" si="10"/>
        <v/>
      </c>
      <c r="AO29" s="1" t="str">
        <f t="shared" si="11"/>
        <v/>
      </c>
      <c r="AP29" s="1" t="str">
        <f t="shared" si="12"/>
        <v/>
      </c>
    </row>
    <row r="30" spans="1:42">
      <c r="A30" s="1">
        <v>29</v>
      </c>
      <c r="B30" s="92" t="str">
        <f>女子エントリー!D119</f>
        <v/>
      </c>
      <c r="C30" s="1" t="str">
        <f>基本情報!$E$6</f>
        <v/>
      </c>
      <c r="D30" s="1" t="str">
        <f>基本情報!$E$7</f>
        <v/>
      </c>
      <c r="F30" s="92">
        <f>女子エントリー!C119</f>
        <v>0</v>
      </c>
      <c r="G30" s="92" t="str">
        <f>女子エントリー!E119</f>
        <v/>
      </c>
      <c r="H30" s="92" t="str">
        <f>女子エントリー!F119</f>
        <v/>
      </c>
      <c r="I30" s="1" t="str">
        <f t="shared" si="13"/>
        <v/>
      </c>
      <c r="J30" s="1" t="e">
        <f>LEFT(女子エントリー!E121,FIND(",",LEFT(女子エントリー!E121,LEN(女子エントリー!E121)-5))-1)&amp;LEFT(RIGHT(女子エントリー!E121,LEN(女子エントリー!E121)-FIND(",",女子エントリー!E121)),LEN(RIGHT(女子エントリー!E121,LEN(女子エントリー!E121)-FIND(",",女子エントリー!E121)))-5)</f>
        <v>#VALUE!</v>
      </c>
      <c r="K30" s="92" t="str">
        <f>女子エントリー!G121</f>
        <v/>
      </c>
      <c r="L30" s="1" t="str">
        <f t="shared" si="0"/>
        <v/>
      </c>
      <c r="M30" s="92" t="str">
        <f>女子エントリー!G119</f>
        <v/>
      </c>
      <c r="N30" s="92" t="e">
        <f>MID(女子エントリー!E121,FIND("(",女子エントリー!E121)+1,2)</f>
        <v>#VALUE!</v>
      </c>
      <c r="O30" s="1">
        <v>0</v>
      </c>
      <c r="P30" s="92" t="e">
        <f>VLOOKUP(女子エントリー!G120,競技会設定!$F$3:$I$50,2,0)</f>
        <v>#N/A</v>
      </c>
      <c r="R30" s="1" t="str" cm="1">
        <f t="array" ref="R30">_xlfn.IFNA(_xlfn.IFNA(INDEX(競技会設定!$X$25:$AC$47,MATCH(INDEX(女子エントリー!$J$7:$AH$406,MATCH($G30&amp;RIGHT(R$1,1),女子エントリー!$AH$7:$AH$406,0),1),競技会設定!$AC$25:$AC$47,0),1),INDEX(競技会設定!$X$25:$AC$47,MATCH(INDEX(女子エントリー!$R$6:$V$406,MATCH($G30&amp;RIGHT(R$1,1),女子エントリー!$V$6:$V$406,0)-MATCH($G30&amp;RIGHT(R$1,1),女子エントリー!$V$6:$V$406,0)+1,1),競技会設定!$AC$25:$AC$47,0),1)),"")</f>
        <v/>
      </c>
      <c r="S30" s="1" t="str">
        <f>IF(R30=37,リレーエントリー!$I$27,_xlfn.IFNA(INDEX(女子エントリー!$J$7:$AH$406,MATCH($G30&amp;RIGHT(T$1,1),女子エントリー!$AH$7:$AH$406,0),3),""))</f>
        <v/>
      </c>
      <c r="T30" s="1" t="str">
        <f t="shared" si="14"/>
        <v/>
      </c>
      <c r="U30" s="1" t="str">
        <f t="shared" si="15"/>
        <v/>
      </c>
      <c r="V30" s="1" t="str">
        <f t="shared" si="16"/>
        <v/>
      </c>
      <c r="W30" s="1" t="str" cm="1">
        <f t="array" ref="W30">_xlfn.IFNA(_xlfn.IFNA(INDEX(競技会設定!$X$25:$AC$47,MATCH(INDEX(女子エントリー!$J$7:$AH$406,MATCH($G30&amp;RIGHT(W$1,1),女子エントリー!$AH$7:$AH$406,0),1),競技会設定!$AC$25:$AC$47,0),1),INDEX(競技会設定!$X$25:$AC$47,MATCH(INDEX(女子エントリー!$R$6:$V$406,MATCH($G30&amp;RIGHT(W$1,1),女子エントリー!$V$6:$V$406,0)-MATCH($G30&amp;RIGHT(W$1,1),女子エントリー!$V$6:$V$406,0)+1,1),競技会設定!$AC$25:$AC$47,0),1)),"")</f>
        <v/>
      </c>
      <c r="X30" s="1" t="str">
        <f>IF(W30=37,リレーエントリー!$I$27,_xlfn.IFNA(INDEX(女子エントリー!$J$7:$AH$406,MATCH($G30&amp;RIGHT(Y$1,1),女子エントリー!$AH$7:$AH$406,0),3),""))</f>
        <v/>
      </c>
      <c r="Y30" s="1" t="str">
        <f t="shared" si="1"/>
        <v/>
      </c>
      <c r="Z30" s="1" t="str">
        <f t="shared" si="2"/>
        <v/>
      </c>
      <c r="AA30" s="1" t="str">
        <f t="shared" si="3"/>
        <v/>
      </c>
      <c r="AB30" s="1" t="str" cm="1">
        <f t="array" ref="AB30">_xlfn.IFNA(_xlfn.IFNA(INDEX(競技会設定!$X$25:$AC$47,MATCH(INDEX(女子エントリー!$J$7:$AH$406,MATCH($G30&amp;RIGHT(AB$1,1),女子エントリー!$AH$7:$AH$406,0),1),競技会設定!$AC$25:$AC$47,0),1),INDEX(競技会設定!$X$25:$AC$47,MATCH(INDEX(女子エントリー!$R$6:$V$406,MATCH($G30&amp;RIGHT(AB$1,1),女子エントリー!$V$6:$V$406,0)-MATCH($G30&amp;RIGHT(AB$1,1),女子エントリー!$V$6:$V$406,0)+1,1),競技会設定!$AC$25:$AC$47,0),1)),"")</f>
        <v/>
      </c>
      <c r="AC30" s="1" t="str">
        <f>IF(AB30=37,リレーエントリー!$I$27,_xlfn.IFNA(INDEX(女子エントリー!$J$7:$AH$406,MATCH($G30&amp;RIGHT(AD$1,1),女子エントリー!$AH$7:$AH$406,0),3),""))</f>
        <v/>
      </c>
      <c r="AD30" s="1" t="str">
        <f t="shared" si="4"/>
        <v/>
      </c>
      <c r="AE30" s="1" t="str">
        <f t="shared" si="5"/>
        <v/>
      </c>
      <c r="AF30" s="1" t="str">
        <f t="shared" si="6"/>
        <v/>
      </c>
      <c r="AG30" s="1" t="str" cm="1">
        <f t="array" ref="AG30">_xlfn.IFNA(_xlfn.IFNA(INDEX(競技会設定!$X$25:$AC$47,MATCH(INDEX(女子エントリー!$J$7:$AH$406,MATCH($G30&amp;RIGHT(AG$1,1),女子エントリー!$AH$7:$AH$406,0),1),競技会設定!$AC$25:$AC$47,0),1),INDEX(競技会設定!$X$25:$AC$47,MATCH(INDEX(女子エントリー!$R$6:$V$406,MATCH($G30&amp;RIGHT(AG$1,1),女子エントリー!$V$6:$V$406,0)-MATCH($G30&amp;RIGHT(AG$1,1),女子エントリー!$V$6:$V$406,0)+1,1),競技会設定!$AC$25:$AC$47,0),1)),"")</f>
        <v/>
      </c>
      <c r="AH30" s="1" t="str">
        <f>IF(AG30=37,リレーエントリー!$I$27,_xlfn.IFNA(INDEX(女子エントリー!$J$7:$AH$406,MATCH($G30&amp;RIGHT(AI$1,1),女子エントリー!$AH$7:$AH$406,0),3),""))</f>
        <v/>
      </c>
      <c r="AI30" s="1" t="str">
        <f t="shared" si="7"/>
        <v/>
      </c>
      <c r="AJ30" s="1" t="str">
        <f t="shared" si="8"/>
        <v/>
      </c>
      <c r="AK30" s="1" t="str">
        <f t="shared" si="9"/>
        <v/>
      </c>
      <c r="AL30" s="1" t="str" cm="1">
        <f t="array" ref="AL30">_xlfn.IFNA(_xlfn.IFNA(INDEX(競技会設定!$X$25:$AC$47,MATCH(INDEX(女子エントリー!$J$7:$AH$406,MATCH($G30&amp;RIGHT(AL$1,1),女子エントリー!$AH$7:$AH$406,0),1),競技会設定!$AC$25:$AC$47,0),1),INDEX(競技会設定!$X$25:$AC$47,MATCH(INDEX(女子エントリー!$R$6:$V$406,MATCH($G30&amp;RIGHT(AL$1,1),女子エントリー!$V$6:$V$406,0)-MATCH($G30&amp;RIGHT(AL$1,1),女子エントリー!$V$6:$V$406,0)+1,1),競技会設定!$AC$25:$AC$47,0),1)),"")</f>
        <v/>
      </c>
      <c r="AM30" s="1" t="str">
        <f>IF(AL30=37,リレーエントリー!$I$27,_xlfn.IFNA(INDEX(女子エントリー!$J$7:$AH$406,MATCH($G30&amp;RIGHT(AN$1,1),女子エントリー!$AH$7:$AH$406,0),3),""))</f>
        <v/>
      </c>
      <c r="AN30" s="1" t="str">
        <f t="shared" si="10"/>
        <v/>
      </c>
      <c r="AO30" s="1" t="str">
        <f t="shared" si="11"/>
        <v/>
      </c>
      <c r="AP30" s="1" t="str">
        <f t="shared" si="12"/>
        <v/>
      </c>
    </row>
    <row r="31" spans="1:42">
      <c r="A31" s="1">
        <v>30</v>
      </c>
      <c r="B31" s="92" t="str">
        <f>女子エントリー!D123</f>
        <v/>
      </c>
      <c r="C31" s="1" t="str">
        <f>基本情報!$E$6</f>
        <v/>
      </c>
      <c r="D31" s="1" t="str">
        <f>基本情報!$E$7</f>
        <v/>
      </c>
      <c r="F31" s="92">
        <f>女子エントリー!C123</f>
        <v>0</v>
      </c>
      <c r="G31" s="92" t="str">
        <f>女子エントリー!E123</f>
        <v/>
      </c>
      <c r="H31" s="92" t="str">
        <f>女子エントリー!F123</f>
        <v/>
      </c>
      <c r="I31" s="1" t="str">
        <f t="shared" si="13"/>
        <v/>
      </c>
      <c r="J31" s="1" t="e">
        <f>LEFT(女子エントリー!E125,FIND(",",LEFT(女子エントリー!E125,LEN(女子エントリー!E125)-5))-1)&amp;LEFT(RIGHT(女子エントリー!E125,LEN(女子エントリー!E125)-FIND(",",女子エントリー!E125)),LEN(RIGHT(女子エントリー!E125,LEN(女子エントリー!E125)-FIND(",",女子エントリー!E125)))-5)</f>
        <v>#VALUE!</v>
      </c>
      <c r="K31" s="92" t="str">
        <f>女子エントリー!G125</f>
        <v/>
      </c>
      <c r="L31" s="1" t="str">
        <f t="shared" si="0"/>
        <v/>
      </c>
      <c r="M31" s="92" t="str">
        <f>女子エントリー!G123</f>
        <v/>
      </c>
      <c r="N31" s="92" t="e">
        <f>MID(女子エントリー!E125,FIND("(",女子エントリー!E125)+1,2)</f>
        <v>#VALUE!</v>
      </c>
      <c r="O31" s="1">
        <v>0</v>
      </c>
      <c r="P31" s="92" t="e">
        <f>VLOOKUP(女子エントリー!G124,競技会設定!$F$3:$I$50,2,0)</f>
        <v>#N/A</v>
      </c>
      <c r="R31" s="1" t="str" cm="1">
        <f t="array" ref="R31">_xlfn.IFNA(_xlfn.IFNA(INDEX(競技会設定!$X$25:$AC$47,MATCH(INDEX(女子エントリー!$J$7:$AH$406,MATCH($G31&amp;RIGHT(R$1,1),女子エントリー!$AH$7:$AH$406,0),1),競技会設定!$AC$25:$AC$47,0),1),INDEX(競技会設定!$X$25:$AC$47,MATCH(INDEX(女子エントリー!$R$6:$V$406,MATCH($G31&amp;RIGHT(R$1,1),女子エントリー!$V$6:$V$406,0)-MATCH($G31&amp;RIGHT(R$1,1),女子エントリー!$V$6:$V$406,0)+1,1),競技会設定!$AC$25:$AC$47,0),1)),"")</f>
        <v/>
      </c>
      <c r="S31" s="1" t="str">
        <f>IF(R31=37,リレーエントリー!$I$27,_xlfn.IFNA(INDEX(女子エントリー!$J$7:$AH$406,MATCH($G31&amp;RIGHT(T$1,1),女子エントリー!$AH$7:$AH$406,0),3),""))</f>
        <v/>
      </c>
      <c r="T31" s="1" t="str">
        <f t="shared" si="14"/>
        <v/>
      </c>
      <c r="U31" s="1" t="str">
        <f t="shared" si="15"/>
        <v/>
      </c>
      <c r="V31" s="1" t="str">
        <f t="shared" si="16"/>
        <v/>
      </c>
      <c r="W31" s="1" t="str" cm="1">
        <f t="array" ref="W31">_xlfn.IFNA(_xlfn.IFNA(INDEX(競技会設定!$X$25:$AC$47,MATCH(INDEX(女子エントリー!$J$7:$AH$406,MATCH($G31&amp;RIGHT(W$1,1),女子エントリー!$AH$7:$AH$406,0),1),競技会設定!$AC$25:$AC$47,0),1),INDEX(競技会設定!$X$25:$AC$47,MATCH(INDEX(女子エントリー!$R$6:$V$406,MATCH($G31&amp;RIGHT(W$1,1),女子エントリー!$V$6:$V$406,0)-MATCH($G31&amp;RIGHT(W$1,1),女子エントリー!$V$6:$V$406,0)+1,1),競技会設定!$AC$25:$AC$47,0),1)),"")</f>
        <v/>
      </c>
      <c r="X31" s="1" t="str">
        <f>IF(W31=37,リレーエントリー!$I$27,_xlfn.IFNA(INDEX(女子エントリー!$J$7:$AH$406,MATCH($G31&amp;RIGHT(Y$1,1),女子エントリー!$AH$7:$AH$406,0),3),""))</f>
        <v/>
      </c>
      <c r="Y31" s="1" t="str">
        <f t="shared" si="1"/>
        <v/>
      </c>
      <c r="Z31" s="1" t="str">
        <f t="shared" si="2"/>
        <v/>
      </c>
      <c r="AA31" s="1" t="str">
        <f t="shared" si="3"/>
        <v/>
      </c>
      <c r="AB31" s="1" t="str" cm="1">
        <f t="array" ref="AB31">_xlfn.IFNA(_xlfn.IFNA(INDEX(競技会設定!$X$25:$AC$47,MATCH(INDEX(女子エントリー!$J$7:$AH$406,MATCH($G31&amp;RIGHT(AB$1,1),女子エントリー!$AH$7:$AH$406,0),1),競技会設定!$AC$25:$AC$47,0),1),INDEX(競技会設定!$X$25:$AC$47,MATCH(INDEX(女子エントリー!$R$6:$V$406,MATCH($G31&amp;RIGHT(AB$1,1),女子エントリー!$V$6:$V$406,0)-MATCH($G31&amp;RIGHT(AB$1,1),女子エントリー!$V$6:$V$406,0)+1,1),競技会設定!$AC$25:$AC$47,0),1)),"")</f>
        <v/>
      </c>
      <c r="AC31" s="1" t="str">
        <f>IF(AB31=37,リレーエントリー!$I$27,_xlfn.IFNA(INDEX(女子エントリー!$J$7:$AH$406,MATCH($G31&amp;RIGHT(AD$1,1),女子エントリー!$AH$7:$AH$406,0),3),""))</f>
        <v/>
      </c>
      <c r="AD31" s="1" t="str">
        <f t="shared" si="4"/>
        <v/>
      </c>
      <c r="AE31" s="1" t="str">
        <f t="shared" si="5"/>
        <v/>
      </c>
      <c r="AF31" s="1" t="str">
        <f t="shared" si="6"/>
        <v/>
      </c>
      <c r="AG31" s="1" t="str" cm="1">
        <f t="array" ref="AG31">_xlfn.IFNA(_xlfn.IFNA(INDEX(競技会設定!$X$25:$AC$47,MATCH(INDEX(女子エントリー!$J$7:$AH$406,MATCH($G31&amp;RIGHT(AG$1,1),女子エントリー!$AH$7:$AH$406,0),1),競技会設定!$AC$25:$AC$47,0),1),INDEX(競技会設定!$X$25:$AC$47,MATCH(INDEX(女子エントリー!$R$6:$V$406,MATCH($G31&amp;RIGHT(AG$1,1),女子エントリー!$V$6:$V$406,0)-MATCH($G31&amp;RIGHT(AG$1,1),女子エントリー!$V$6:$V$406,0)+1,1),競技会設定!$AC$25:$AC$47,0),1)),"")</f>
        <v/>
      </c>
      <c r="AH31" s="1" t="str">
        <f>IF(AG31=37,リレーエントリー!$I$27,_xlfn.IFNA(INDEX(女子エントリー!$J$7:$AH$406,MATCH($G31&amp;RIGHT(AI$1,1),女子エントリー!$AH$7:$AH$406,0),3),""))</f>
        <v/>
      </c>
      <c r="AI31" s="1" t="str">
        <f t="shared" si="7"/>
        <v/>
      </c>
      <c r="AJ31" s="1" t="str">
        <f t="shared" si="8"/>
        <v/>
      </c>
      <c r="AK31" s="1" t="str">
        <f t="shared" si="9"/>
        <v/>
      </c>
      <c r="AL31" s="1" t="str" cm="1">
        <f t="array" ref="AL31">_xlfn.IFNA(_xlfn.IFNA(INDEX(競技会設定!$X$25:$AC$47,MATCH(INDEX(女子エントリー!$J$7:$AH$406,MATCH($G31&amp;RIGHT(AL$1,1),女子エントリー!$AH$7:$AH$406,0),1),競技会設定!$AC$25:$AC$47,0),1),INDEX(競技会設定!$X$25:$AC$47,MATCH(INDEX(女子エントリー!$R$6:$V$406,MATCH($G31&amp;RIGHT(AL$1,1),女子エントリー!$V$6:$V$406,0)-MATCH($G31&amp;RIGHT(AL$1,1),女子エントリー!$V$6:$V$406,0)+1,1),競技会設定!$AC$25:$AC$47,0),1)),"")</f>
        <v/>
      </c>
      <c r="AM31" s="1" t="str">
        <f>IF(AL31=37,リレーエントリー!$I$27,_xlfn.IFNA(INDEX(女子エントリー!$J$7:$AH$406,MATCH($G31&amp;RIGHT(AN$1,1),女子エントリー!$AH$7:$AH$406,0),3),""))</f>
        <v/>
      </c>
      <c r="AN31" s="1" t="str">
        <f t="shared" si="10"/>
        <v/>
      </c>
      <c r="AO31" s="1" t="str">
        <f t="shared" si="11"/>
        <v/>
      </c>
      <c r="AP31" s="1" t="str">
        <f t="shared" si="12"/>
        <v/>
      </c>
    </row>
    <row r="32" spans="1:42">
      <c r="A32" s="1">
        <v>31</v>
      </c>
      <c r="B32" s="92" t="str">
        <f>女子エントリー!D127</f>
        <v/>
      </c>
      <c r="C32" s="1" t="str">
        <f>基本情報!$E$6</f>
        <v/>
      </c>
      <c r="D32" s="1" t="str">
        <f>基本情報!$E$7</f>
        <v/>
      </c>
      <c r="F32" s="92">
        <f>女子エントリー!C127</f>
        <v>0</v>
      </c>
      <c r="G32" s="92" t="str">
        <f>女子エントリー!E127</f>
        <v/>
      </c>
      <c r="H32" s="92" t="str">
        <f>女子エントリー!F127</f>
        <v/>
      </c>
      <c r="I32" s="1" t="str">
        <f t="shared" si="13"/>
        <v/>
      </c>
      <c r="J32" s="1" t="e">
        <f>LEFT(女子エントリー!E129,FIND(",",LEFT(女子エントリー!E129,LEN(女子エントリー!E129)-5))-1)&amp;LEFT(RIGHT(女子エントリー!E129,LEN(女子エントリー!E129)-FIND(",",女子エントリー!E129)),LEN(RIGHT(女子エントリー!E129,LEN(女子エントリー!E129)-FIND(",",女子エントリー!E129)))-5)</f>
        <v>#VALUE!</v>
      </c>
      <c r="K32" s="92" t="str">
        <f>女子エントリー!G129</f>
        <v/>
      </c>
      <c r="L32" s="1" t="str">
        <f t="shared" si="0"/>
        <v/>
      </c>
      <c r="M32" s="92" t="str">
        <f>女子エントリー!G127</f>
        <v/>
      </c>
      <c r="N32" s="92" t="e">
        <f>MID(女子エントリー!E129,FIND("(",女子エントリー!E129)+1,2)</f>
        <v>#VALUE!</v>
      </c>
      <c r="O32" s="1">
        <v>0</v>
      </c>
      <c r="P32" s="92" t="e">
        <f>VLOOKUP(女子エントリー!G128,競技会設定!$F$3:$I$50,2,0)</f>
        <v>#N/A</v>
      </c>
      <c r="R32" s="1" t="str" cm="1">
        <f t="array" ref="R32">_xlfn.IFNA(_xlfn.IFNA(INDEX(競技会設定!$X$25:$AC$47,MATCH(INDEX(女子エントリー!$J$7:$AH$406,MATCH($G32&amp;RIGHT(R$1,1),女子エントリー!$AH$7:$AH$406,0),1),競技会設定!$AC$25:$AC$47,0),1),INDEX(競技会設定!$X$25:$AC$47,MATCH(INDEX(女子エントリー!$R$6:$V$406,MATCH($G32&amp;RIGHT(R$1,1),女子エントリー!$V$6:$V$406,0)-MATCH($G32&amp;RIGHT(R$1,1),女子エントリー!$V$6:$V$406,0)+1,1),競技会設定!$AC$25:$AC$47,0),1)),"")</f>
        <v/>
      </c>
      <c r="S32" s="1" t="str">
        <f>IF(R32=37,リレーエントリー!$I$27,_xlfn.IFNA(INDEX(女子エントリー!$J$7:$AH$406,MATCH($G32&amp;RIGHT(T$1,1),女子エントリー!$AH$7:$AH$406,0),3),""))</f>
        <v/>
      </c>
      <c r="T32" s="1" t="str">
        <f t="shared" si="14"/>
        <v/>
      </c>
      <c r="U32" s="1" t="str">
        <f t="shared" si="15"/>
        <v/>
      </c>
      <c r="V32" s="1" t="str">
        <f t="shared" si="16"/>
        <v/>
      </c>
      <c r="W32" s="1" t="str" cm="1">
        <f t="array" ref="W32">_xlfn.IFNA(_xlfn.IFNA(INDEX(競技会設定!$X$25:$AC$47,MATCH(INDEX(女子エントリー!$J$7:$AH$406,MATCH($G32&amp;RIGHT(W$1,1),女子エントリー!$AH$7:$AH$406,0),1),競技会設定!$AC$25:$AC$47,0),1),INDEX(競技会設定!$X$25:$AC$47,MATCH(INDEX(女子エントリー!$R$6:$V$406,MATCH($G32&amp;RIGHT(W$1,1),女子エントリー!$V$6:$V$406,0)-MATCH($G32&amp;RIGHT(W$1,1),女子エントリー!$V$6:$V$406,0)+1,1),競技会設定!$AC$25:$AC$47,0),1)),"")</f>
        <v/>
      </c>
      <c r="X32" s="1" t="str">
        <f>IF(W32=37,リレーエントリー!$I$27,_xlfn.IFNA(INDEX(女子エントリー!$J$7:$AH$406,MATCH($G32&amp;RIGHT(Y$1,1),女子エントリー!$AH$7:$AH$406,0),3),""))</f>
        <v/>
      </c>
      <c r="Y32" s="1" t="str">
        <f t="shared" si="1"/>
        <v/>
      </c>
      <c r="Z32" s="1" t="str">
        <f t="shared" si="2"/>
        <v/>
      </c>
      <c r="AA32" s="1" t="str">
        <f t="shared" si="3"/>
        <v/>
      </c>
      <c r="AB32" s="1" t="str" cm="1">
        <f t="array" ref="AB32">_xlfn.IFNA(_xlfn.IFNA(INDEX(競技会設定!$X$25:$AC$47,MATCH(INDEX(女子エントリー!$J$7:$AH$406,MATCH($G32&amp;RIGHT(AB$1,1),女子エントリー!$AH$7:$AH$406,0),1),競技会設定!$AC$25:$AC$47,0),1),INDEX(競技会設定!$X$25:$AC$47,MATCH(INDEX(女子エントリー!$R$6:$V$406,MATCH($G32&amp;RIGHT(AB$1,1),女子エントリー!$V$6:$V$406,0)-MATCH($G32&amp;RIGHT(AB$1,1),女子エントリー!$V$6:$V$406,0)+1,1),競技会設定!$AC$25:$AC$47,0),1)),"")</f>
        <v/>
      </c>
      <c r="AC32" s="1" t="str">
        <f>IF(AB32=37,リレーエントリー!$I$27,_xlfn.IFNA(INDEX(女子エントリー!$J$7:$AH$406,MATCH($G32&amp;RIGHT(AD$1,1),女子エントリー!$AH$7:$AH$406,0),3),""))</f>
        <v/>
      </c>
      <c r="AD32" s="1" t="str">
        <f t="shared" si="4"/>
        <v/>
      </c>
      <c r="AE32" s="1" t="str">
        <f t="shared" si="5"/>
        <v/>
      </c>
      <c r="AF32" s="1" t="str">
        <f t="shared" si="6"/>
        <v/>
      </c>
      <c r="AG32" s="1" t="str" cm="1">
        <f t="array" ref="AG32">_xlfn.IFNA(_xlfn.IFNA(INDEX(競技会設定!$X$25:$AC$47,MATCH(INDEX(女子エントリー!$J$7:$AH$406,MATCH($G32&amp;RIGHT(AG$1,1),女子エントリー!$AH$7:$AH$406,0),1),競技会設定!$AC$25:$AC$47,0),1),INDEX(競技会設定!$X$25:$AC$47,MATCH(INDEX(女子エントリー!$R$6:$V$406,MATCH($G32&amp;RIGHT(AG$1,1),女子エントリー!$V$6:$V$406,0)-MATCH($G32&amp;RIGHT(AG$1,1),女子エントリー!$V$6:$V$406,0)+1,1),競技会設定!$AC$25:$AC$47,0),1)),"")</f>
        <v/>
      </c>
      <c r="AH32" s="1" t="str">
        <f>IF(AG32=37,リレーエントリー!$I$27,_xlfn.IFNA(INDEX(女子エントリー!$J$7:$AH$406,MATCH($G32&amp;RIGHT(AI$1,1),女子エントリー!$AH$7:$AH$406,0),3),""))</f>
        <v/>
      </c>
      <c r="AI32" s="1" t="str">
        <f t="shared" si="7"/>
        <v/>
      </c>
      <c r="AJ32" s="1" t="str">
        <f t="shared" si="8"/>
        <v/>
      </c>
      <c r="AK32" s="1" t="str">
        <f t="shared" si="9"/>
        <v/>
      </c>
      <c r="AL32" s="1" t="str" cm="1">
        <f t="array" ref="AL32">_xlfn.IFNA(_xlfn.IFNA(INDEX(競技会設定!$X$25:$AC$47,MATCH(INDEX(女子エントリー!$J$7:$AH$406,MATCH($G32&amp;RIGHT(AL$1,1),女子エントリー!$AH$7:$AH$406,0),1),競技会設定!$AC$25:$AC$47,0),1),INDEX(競技会設定!$X$25:$AC$47,MATCH(INDEX(女子エントリー!$R$6:$V$406,MATCH($G32&amp;RIGHT(AL$1,1),女子エントリー!$V$6:$V$406,0)-MATCH($G32&amp;RIGHT(AL$1,1),女子エントリー!$V$6:$V$406,0)+1,1),競技会設定!$AC$25:$AC$47,0),1)),"")</f>
        <v/>
      </c>
      <c r="AM32" s="1" t="str">
        <f>IF(AL32=37,リレーエントリー!$I$27,_xlfn.IFNA(INDEX(女子エントリー!$J$7:$AH$406,MATCH($G32&amp;RIGHT(AN$1,1),女子エントリー!$AH$7:$AH$406,0),3),""))</f>
        <v/>
      </c>
      <c r="AN32" s="1" t="str">
        <f t="shared" si="10"/>
        <v/>
      </c>
      <c r="AO32" s="1" t="str">
        <f t="shared" si="11"/>
        <v/>
      </c>
      <c r="AP32" s="1" t="str">
        <f t="shared" si="12"/>
        <v/>
      </c>
    </row>
    <row r="33" spans="1:42">
      <c r="A33" s="1">
        <v>32</v>
      </c>
      <c r="B33" s="92" t="str">
        <f>女子エントリー!D131</f>
        <v/>
      </c>
      <c r="C33" s="1" t="str">
        <f>基本情報!$E$6</f>
        <v/>
      </c>
      <c r="D33" s="1" t="str">
        <f>基本情報!$E$7</f>
        <v/>
      </c>
      <c r="F33" s="92">
        <f>女子エントリー!C131</f>
        <v>0</v>
      </c>
      <c r="G33" s="92" t="str">
        <f>女子エントリー!E131</f>
        <v/>
      </c>
      <c r="H33" s="92" t="str">
        <f>女子エントリー!F131</f>
        <v/>
      </c>
      <c r="I33" s="1" t="str">
        <f t="shared" si="13"/>
        <v/>
      </c>
      <c r="J33" s="1" t="e">
        <f>LEFT(女子エントリー!E133,FIND(",",LEFT(女子エントリー!E133,LEN(女子エントリー!E133)-5))-1)&amp;LEFT(RIGHT(女子エントリー!E133,LEN(女子エントリー!E133)-FIND(",",女子エントリー!E133)),LEN(RIGHT(女子エントリー!E133,LEN(女子エントリー!E133)-FIND(",",女子エントリー!E133)))-5)</f>
        <v>#VALUE!</v>
      </c>
      <c r="K33" s="92" t="str">
        <f>女子エントリー!G133</f>
        <v/>
      </c>
      <c r="L33" s="1" t="str">
        <f t="shared" si="0"/>
        <v/>
      </c>
      <c r="M33" s="92" t="str">
        <f>女子エントリー!G131</f>
        <v/>
      </c>
      <c r="N33" s="92" t="e">
        <f>MID(女子エントリー!E133,FIND("(",女子エントリー!E133)+1,2)</f>
        <v>#VALUE!</v>
      </c>
      <c r="O33" s="1">
        <v>0</v>
      </c>
      <c r="P33" s="92" t="e">
        <f>VLOOKUP(女子エントリー!G132,競技会設定!$F$3:$I$50,2,0)</f>
        <v>#N/A</v>
      </c>
      <c r="R33" s="1" t="str" cm="1">
        <f t="array" ref="R33">_xlfn.IFNA(_xlfn.IFNA(INDEX(競技会設定!$X$25:$AC$47,MATCH(INDEX(女子エントリー!$J$7:$AH$406,MATCH($G33&amp;RIGHT(R$1,1),女子エントリー!$AH$7:$AH$406,0),1),競技会設定!$AC$25:$AC$47,0),1),INDEX(競技会設定!$X$25:$AC$47,MATCH(INDEX(女子エントリー!$R$6:$V$406,MATCH($G33&amp;RIGHT(R$1,1),女子エントリー!$V$6:$V$406,0)-MATCH($G33&amp;RIGHT(R$1,1),女子エントリー!$V$6:$V$406,0)+1,1),競技会設定!$AC$25:$AC$47,0),1)),"")</f>
        <v/>
      </c>
      <c r="S33" s="1" t="str">
        <f>IF(R33=37,リレーエントリー!$I$27,_xlfn.IFNA(INDEX(女子エントリー!$J$7:$AH$406,MATCH($G33&amp;RIGHT(T$1,1),女子エントリー!$AH$7:$AH$406,0),3),""))</f>
        <v/>
      </c>
      <c r="T33" s="1" t="str">
        <f t="shared" si="14"/>
        <v/>
      </c>
      <c r="U33" s="1" t="str">
        <f t="shared" si="15"/>
        <v/>
      </c>
      <c r="V33" s="1" t="str">
        <f t="shared" si="16"/>
        <v/>
      </c>
      <c r="W33" s="1" t="str" cm="1">
        <f t="array" ref="W33">_xlfn.IFNA(_xlfn.IFNA(INDEX(競技会設定!$X$25:$AC$47,MATCH(INDEX(女子エントリー!$J$7:$AH$406,MATCH($G33&amp;RIGHT(W$1,1),女子エントリー!$AH$7:$AH$406,0),1),競技会設定!$AC$25:$AC$47,0),1),INDEX(競技会設定!$X$25:$AC$47,MATCH(INDEX(女子エントリー!$R$6:$V$406,MATCH($G33&amp;RIGHT(W$1,1),女子エントリー!$V$6:$V$406,0)-MATCH($G33&amp;RIGHT(W$1,1),女子エントリー!$V$6:$V$406,0)+1,1),競技会設定!$AC$25:$AC$47,0),1)),"")</f>
        <v/>
      </c>
      <c r="X33" s="1" t="str">
        <f>IF(W33=37,リレーエントリー!$I$27,_xlfn.IFNA(INDEX(女子エントリー!$J$7:$AH$406,MATCH($G33&amp;RIGHT(Y$1,1),女子エントリー!$AH$7:$AH$406,0),3),""))</f>
        <v/>
      </c>
      <c r="Y33" s="1" t="str">
        <f t="shared" si="1"/>
        <v/>
      </c>
      <c r="Z33" s="1" t="str">
        <f t="shared" si="2"/>
        <v/>
      </c>
      <c r="AA33" s="1" t="str">
        <f t="shared" si="3"/>
        <v/>
      </c>
      <c r="AB33" s="1" t="str" cm="1">
        <f t="array" ref="AB33">_xlfn.IFNA(_xlfn.IFNA(INDEX(競技会設定!$X$25:$AC$47,MATCH(INDEX(女子エントリー!$J$7:$AH$406,MATCH($G33&amp;RIGHT(AB$1,1),女子エントリー!$AH$7:$AH$406,0),1),競技会設定!$AC$25:$AC$47,0),1),INDEX(競技会設定!$X$25:$AC$47,MATCH(INDEX(女子エントリー!$R$6:$V$406,MATCH($G33&amp;RIGHT(AB$1,1),女子エントリー!$V$6:$V$406,0)-MATCH($G33&amp;RIGHT(AB$1,1),女子エントリー!$V$6:$V$406,0)+1,1),競技会設定!$AC$25:$AC$47,0),1)),"")</f>
        <v/>
      </c>
      <c r="AC33" s="1" t="str">
        <f>IF(AB33=37,リレーエントリー!$I$27,_xlfn.IFNA(INDEX(女子エントリー!$J$7:$AH$406,MATCH($G33&amp;RIGHT(AD$1,1),女子エントリー!$AH$7:$AH$406,0),3),""))</f>
        <v/>
      </c>
      <c r="AD33" s="1" t="str">
        <f t="shared" si="4"/>
        <v/>
      </c>
      <c r="AE33" s="1" t="str">
        <f t="shared" si="5"/>
        <v/>
      </c>
      <c r="AF33" s="1" t="str">
        <f t="shared" si="6"/>
        <v/>
      </c>
      <c r="AG33" s="1" t="str" cm="1">
        <f t="array" ref="AG33">_xlfn.IFNA(_xlfn.IFNA(INDEX(競技会設定!$X$25:$AC$47,MATCH(INDEX(女子エントリー!$J$7:$AH$406,MATCH($G33&amp;RIGHT(AG$1,1),女子エントリー!$AH$7:$AH$406,0),1),競技会設定!$AC$25:$AC$47,0),1),INDEX(競技会設定!$X$25:$AC$47,MATCH(INDEX(女子エントリー!$R$6:$V$406,MATCH($G33&amp;RIGHT(AG$1,1),女子エントリー!$V$6:$V$406,0)-MATCH($G33&amp;RIGHT(AG$1,1),女子エントリー!$V$6:$V$406,0)+1,1),競技会設定!$AC$25:$AC$47,0),1)),"")</f>
        <v/>
      </c>
      <c r="AH33" s="1" t="str">
        <f>IF(AG33=37,リレーエントリー!$I$27,_xlfn.IFNA(INDEX(女子エントリー!$J$7:$AH$406,MATCH($G33&amp;RIGHT(AI$1,1),女子エントリー!$AH$7:$AH$406,0),3),""))</f>
        <v/>
      </c>
      <c r="AI33" s="1" t="str">
        <f t="shared" si="7"/>
        <v/>
      </c>
      <c r="AJ33" s="1" t="str">
        <f t="shared" si="8"/>
        <v/>
      </c>
      <c r="AK33" s="1" t="str">
        <f t="shared" si="9"/>
        <v/>
      </c>
      <c r="AL33" s="1" t="str" cm="1">
        <f t="array" ref="AL33">_xlfn.IFNA(_xlfn.IFNA(INDEX(競技会設定!$X$25:$AC$47,MATCH(INDEX(女子エントリー!$J$7:$AH$406,MATCH($G33&amp;RIGHT(AL$1,1),女子エントリー!$AH$7:$AH$406,0),1),競技会設定!$AC$25:$AC$47,0),1),INDEX(競技会設定!$X$25:$AC$47,MATCH(INDEX(女子エントリー!$R$6:$V$406,MATCH($G33&amp;RIGHT(AL$1,1),女子エントリー!$V$6:$V$406,0)-MATCH($G33&amp;RIGHT(AL$1,1),女子エントリー!$V$6:$V$406,0)+1,1),競技会設定!$AC$25:$AC$47,0),1)),"")</f>
        <v/>
      </c>
      <c r="AM33" s="1" t="str">
        <f>IF(AL33=37,リレーエントリー!$I$27,_xlfn.IFNA(INDEX(女子エントリー!$J$7:$AH$406,MATCH($G33&amp;RIGHT(AN$1,1),女子エントリー!$AH$7:$AH$406,0),3),""))</f>
        <v/>
      </c>
      <c r="AN33" s="1" t="str">
        <f t="shared" si="10"/>
        <v/>
      </c>
      <c r="AO33" s="1" t="str">
        <f t="shared" si="11"/>
        <v/>
      </c>
      <c r="AP33" s="1" t="str">
        <f t="shared" si="12"/>
        <v/>
      </c>
    </row>
    <row r="34" spans="1:42">
      <c r="A34" s="1">
        <v>33</v>
      </c>
      <c r="B34" s="92" t="str">
        <f>女子エントリー!D135</f>
        <v/>
      </c>
      <c r="C34" s="1" t="str">
        <f>基本情報!$E$6</f>
        <v/>
      </c>
      <c r="D34" s="1" t="str">
        <f>基本情報!$E$7</f>
        <v/>
      </c>
      <c r="F34" s="92">
        <f>女子エントリー!C135</f>
        <v>0</v>
      </c>
      <c r="G34" s="92" t="str">
        <f>女子エントリー!E135</f>
        <v/>
      </c>
      <c r="H34" s="92" t="str">
        <f>女子エントリー!F135</f>
        <v/>
      </c>
      <c r="I34" s="1" t="str">
        <f t="shared" si="13"/>
        <v/>
      </c>
      <c r="J34" s="1" t="e">
        <f>LEFT(女子エントリー!E137,FIND(",",LEFT(女子エントリー!E137,LEN(女子エントリー!E137)-5))-1)&amp;LEFT(RIGHT(女子エントリー!E137,LEN(女子エントリー!E137)-FIND(",",女子エントリー!E137)),LEN(RIGHT(女子エントリー!E137,LEN(女子エントリー!E137)-FIND(",",女子エントリー!E137)))-5)</f>
        <v>#VALUE!</v>
      </c>
      <c r="K34" s="92" t="str">
        <f>女子エントリー!G137</f>
        <v/>
      </c>
      <c r="L34" s="1" t="str">
        <f t="shared" ref="L34:L65" si="17">MID(B34,3,1)</f>
        <v/>
      </c>
      <c r="M34" s="92" t="str">
        <f>女子エントリー!G135</f>
        <v/>
      </c>
      <c r="N34" s="92" t="e">
        <f>MID(女子エントリー!E137,FIND("(",女子エントリー!E137)+1,2)</f>
        <v>#VALUE!</v>
      </c>
      <c r="O34" s="1">
        <v>0</v>
      </c>
      <c r="P34" s="92" t="e">
        <f>VLOOKUP(女子エントリー!G136,競技会設定!$F$3:$I$50,2,0)</f>
        <v>#N/A</v>
      </c>
      <c r="R34" s="1" t="str" cm="1">
        <f t="array" ref="R34">_xlfn.IFNA(_xlfn.IFNA(INDEX(競技会設定!$X$25:$AC$47,MATCH(INDEX(女子エントリー!$J$7:$AH$406,MATCH($G34&amp;RIGHT(R$1,1),女子エントリー!$AH$7:$AH$406,0),1),競技会設定!$AC$25:$AC$47,0),1),INDEX(競技会設定!$X$25:$AC$47,MATCH(INDEX(女子エントリー!$R$6:$V$406,MATCH($G34&amp;RIGHT(R$1,1),女子エントリー!$V$6:$V$406,0)-MATCH($G34&amp;RIGHT(R$1,1),女子エントリー!$V$6:$V$406,0)+1,1),競技会設定!$AC$25:$AC$47,0),1)),"")</f>
        <v/>
      </c>
      <c r="S34" s="1" t="str">
        <f>IF(R34=37,リレーエントリー!$I$27,_xlfn.IFNA(INDEX(女子エントリー!$J$7:$AH$406,MATCH($G34&amp;RIGHT(T$1,1),女子エントリー!$AH$7:$AH$406,0),3),""))</f>
        <v/>
      </c>
      <c r="T34" s="1" t="str">
        <f t="shared" si="14"/>
        <v/>
      </c>
      <c r="U34" s="1" t="str">
        <f t="shared" si="15"/>
        <v/>
      </c>
      <c r="V34" s="1" t="str">
        <f t="shared" si="16"/>
        <v/>
      </c>
      <c r="W34" s="1" t="str" cm="1">
        <f t="array" ref="W34">_xlfn.IFNA(_xlfn.IFNA(INDEX(競技会設定!$X$25:$AC$47,MATCH(INDEX(女子エントリー!$J$7:$AH$406,MATCH($G34&amp;RIGHT(W$1,1),女子エントリー!$AH$7:$AH$406,0),1),競技会設定!$AC$25:$AC$47,0),1),INDEX(競技会設定!$X$25:$AC$47,MATCH(INDEX(女子エントリー!$R$6:$V$406,MATCH($G34&amp;RIGHT(W$1,1),女子エントリー!$V$6:$V$406,0)-MATCH($G34&amp;RIGHT(W$1,1),女子エントリー!$V$6:$V$406,0)+1,1),競技会設定!$AC$25:$AC$47,0),1)),"")</f>
        <v/>
      </c>
      <c r="X34" s="1" t="str">
        <f>IF(W34=37,リレーエントリー!$I$27,_xlfn.IFNA(INDEX(女子エントリー!$J$7:$AH$406,MATCH($G34&amp;RIGHT(Y$1,1),女子エントリー!$AH$7:$AH$406,0),3),""))</f>
        <v/>
      </c>
      <c r="Y34" s="1" t="str">
        <f t="shared" si="1"/>
        <v/>
      </c>
      <c r="Z34" s="1" t="str">
        <f t="shared" si="2"/>
        <v/>
      </c>
      <c r="AA34" s="1" t="str">
        <f t="shared" si="3"/>
        <v/>
      </c>
      <c r="AB34" s="1" t="str" cm="1">
        <f t="array" ref="AB34">_xlfn.IFNA(_xlfn.IFNA(INDEX(競技会設定!$X$25:$AC$47,MATCH(INDEX(女子エントリー!$J$7:$AH$406,MATCH($G34&amp;RIGHT(AB$1,1),女子エントリー!$AH$7:$AH$406,0),1),競技会設定!$AC$25:$AC$47,0),1),INDEX(競技会設定!$X$25:$AC$47,MATCH(INDEX(女子エントリー!$R$6:$V$406,MATCH($G34&amp;RIGHT(AB$1,1),女子エントリー!$V$6:$V$406,0)-MATCH($G34&amp;RIGHT(AB$1,1),女子エントリー!$V$6:$V$406,0)+1,1),競技会設定!$AC$25:$AC$47,0),1)),"")</f>
        <v/>
      </c>
      <c r="AC34" s="1" t="str">
        <f>IF(AB34=37,リレーエントリー!$I$27,_xlfn.IFNA(INDEX(女子エントリー!$J$7:$AH$406,MATCH($G34&amp;RIGHT(AD$1,1),女子エントリー!$AH$7:$AH$406,0),3),""))</f>
        <v/>
      </c>
      <c r="AD34" s="1" t="str">
        <f t="shared" si="4"/>
        <v/>
      </c>
      <c r="AE34" s="1" t="str">
        <f t="shared" si="5"/>
        <v/>
      </c>
      <c r="AF34" s="1" t="str">
        <f t="shared" si="6"/>
        <v/>
      </c>
      <c r="AG34" s="1" t="str" cm="1">
        <f t="array" ref="AG34">_xlfn.IFNA(_xlfn.IFNA(INDEX(競技会設定!$X$25:$AC$47,MATCH(INDEX(女子エントリー!$J$7:$AH$406,MATCH($G34&amp;RIGHT(AG$1,1),女子エントリー!$AH$7:$AH$406,0),1),競技会設定!$AC$25:$AC$47,0),1),INDEX(競技会設定!$X$25:$AC$47,MATCH(INDEX(女子エントリー!$R$6:$V$406,MATCH($G34&amp;RIGHT(AG$1,1),女子エントリー!$V$6:$V$406,0)-MATCH($G34&amp;RIGHT(AG$1,1),女子エントリー!$V$6:$V$406,0)+1,1),競技会設定!$AC$25:$AC$47,0),1)),"")</f>
        <v/>
      </c>
      <c r="AH34" s="1" t="str">
        <f>IF(AG34=37,リレーエントリー!$I$27,_xlfn.IFNA(INDEX(女子エントリー!$J$7:$AH$406,MATCH($G34&amp;RIGHT(AI$1,1),女子エントリー!$AH$7:$AH$406,0),3),""))</f>
        <v/>
      </c>
      <c r="AI34" s="1" t="str">
        <f t="shared" si="7"/>
        <v/>
      </c>
      <c r="AJ34" s="1" t="str">
        <f t="shared" si="8"/>
        <v/>
      </c>
      <c r="AK34" s="1" t="str">
        <f t="shared" si="9"/>
        <v/>
      </c>
      <c r="AL34" s="1" t="str" cm="1">
        <f t="array" ref="AL34">_xlfn.IFNA(_xlfn.IFNA(INDEX(競技会設定!$X$25:$AC$47,MATCH(INDEX(女子エントリー!$J$7:$AH$406,MATCH($G34&amp;RIGHT(AL$1,1),女子エントリー!$AH$7:$AH$406,0),1),競技会設定!$AC$25:$AC$47,0),1),INDEX(競技会設定!$X$25:$AC$47,MATCH(INDEX(女子エントリー!$R$6:$V$406,MATCH($G34&amp;RIGHT(AL$1,1),女子エントリー!$V$6:$V$406,0)-MATCH($G34&amp;RIGHT(AL$1,1),女子エントリー!$V$6:$V$406,0)+1,1),競技会設定!$AC$25:$AC$47,0),1)),"")</f>
        <v/>
      </c>
      <c r="AM34" s="1" t="str">
        <f>IF(AL34=37,リレーエントリー!$I$27,_xlfn.IFNA(INDEX(女子エントリー!$J$7:$AH$406,MATCH($G34&amp;RIGHT(AN$1,1),女子エントリー!$AH$7:$AH$406,0),3),""))</f>
        <v/>
      </c>
      <c r="AN34" s="1" t="str">
        <f t="shared" si="10"/>
        <v/>
      </c>
      <c r="AO34" s="1" t="str">
        <f t="shared" si="11"/>
        <v/>
      </c>
      <c r="AP34" s="1" t="str">
        <f t="shared" si="12"/>
        <v/>
      </c>
    </row>
    <row r="35" spans="1:42">
      <c r="A35" s="1">
        <v>34</v>
      </c>
      <c r="B35" s="92" t="str">
        <f>女子エントリー!D139</f>
        <v/>
      </c>
      <c r="C35" s="1" t="str">
        <f>基本情報!$E$6</f>
        <v/>
      </c>
      <c r="D35" s="1" t="str">
        <f>基本情報!$E$7</f>
        <v/>
      </c>
      <c r="F35" s="92">
        <f>女子エントリー!C139</f>
        <v>0</v>
      </c>
      <c r="G35" s="92" t="str">
        <f>女子エントリー!E139</f>
        <v/>
      </c>
      <c r="H35" s="92" t="str">
        <f>女子エントリー!F139</f>
        <v/>
      </c>
      <c r="I35" s="1" t="str">
        <f t="shared" si="13"/>
        <v/>
      </c>
      <c r="J35" s="1" t="e">
        <f>LEFT(女子エントリー!E141,FIND(",",LEFT(女子エントリー!E141,LEN(女子エントリー!E141)-5))-1)&amp;LEFT(RIGHT(女子エントリー!E141,LEN(女子エントリー!E141)-FIND(",",女子エントリー!E141)),LEN(RIGHT(女子エントリー!E141,LEN(女子エントリー!E141)-FIND(",",女子エントリー!E141)))-5)</f>
        <v>#VALUE!</v>
      </c>
      <c r="K35" s="92" t="str">
        <f>女子エントリー!G141</f>
        <v/>
      </c>
      <c r="L35" s="1" t="str">
        <f t="shared" si="17"/>
        <v/>
      </c>
      <c r="M35" s="92" t="str">
        <f>女子エントリー!G139</f>
        <v/>
      </c>
      <c r="N35" s="92" t="e">
        <f>MID(女子エントリー!E141,FIND("(",女子エントリー!E141)+1,2)</f>
        <v>#VALUE!</v>
      </c>
      <c r="O35" s="1">
        <v>0</v>
      </c>
      <c r="P35" s="92" t="e">
        <f>VLOOKUP(女子エントリー!G140,競技会設定!$F$3:$I$50,2,0)</f>
        <v>#N/A</v>
      </c>
      <c r="R35" s="1" t="str" cm="1">
        <f t="array" ref="R35">_xlfn.IFNA(_xlfn.IFNA(INDEX(競技会設定!$X$25:$AC$47,MATCH(INDEX(女子エントリー!$J$7:$AH$406,MATCH($G35&amp;RIGHT(R$1,1),女子エントリー!$AH$7:$AH$406,0),1),競技会設定!$AC$25:$AC$47,0),1),INDEX(競技会設定!$X$25:$AC$47,MATCH(INDEX(女子エントリー!$R$6:$V$406,MATCH($G35&amp;RIGHT(R$1,1),女子エントリー!$V$6:$V$406,0)-MATCH($G35&amp;RIGHT(R$1,1),女子エントリー!$V$6:$V$406,0)+1,1),競技会設定!$AC$25:$AC$47,0),1)),"")</f>
        <v/>
      </c>
      <c r="S35" s="1" t="str">
        <f>IF(R35=37,リレーエントリー!$I$27,_xlfn.IFNA(INDEX(女子エントリー!$J$7:$AH$406,MATCH($G35&amp;RIGHT(T$1,1),女子エントリー!$AH$7:$AH$406,0),3),""))</f>
        <v/>
      </c>
      <c r="T35" s="1" t="str">
        <f t="shared" si="14"/>
        <v/>
      </c>
      <c r="U35" s="1" t="str">
        <f t="shared" si="15"/>
        <v/>
      </c>
      <c r="V35" s="1" t="str">
        <f t="shared" si="16"/>
        <v/>
      </c>
      <c r="W35" s="1" t="str" cm="1">
        <f t="array" ref="W35">_xlfn.IFNA(_xlfn.IFNA(INDEX(競技会設定!$X$25:$AC$47,MATCH(INDEX(女子エントリー!$J$7:$AH$406,MATCH($G35&amp;RIGHT(W$1,1),女子エントリー!$AH$7:$AH$406,0),1),競技会設定!$AC$25:$AC$47,0),1),INDEX(競技会設定!$X$25:$AC$47,MATCH(INDEX(女子エントリー!$R$6:$V$406,MATCH($G35&amp;RIGHT(W$1,1),女子エントリー!$V$6:$V$406,0)-MATCH($G35&amp;RIGHT(W$1,1),女子エントリー!$V$6:$V$406,0)+1,1),競技会設定!$AC$25:$AC$47,0),1)),"")</f>
        <v/>
      </c>
      <c r="X35" s="1" t="str">
        <f>IF(W35=37,リレーエントリー!$I$27,_xlfn.IFNA(INDEX(女子エントリー!$J$7:$AH$406,MATCH($G35&amp;RIGHT(Y$1,1),女子エントリー!$AH$7:$AH$406,0),3),""))</f>
        <v/>
      </c>
      <c r="Y35" s="1" t="str">
        <f t="shared" si="1"/>
        <v/>
      </c>
      <c r="Z35" s="1" t="str">
        <f t="shared" si="2"/>
        <v/>
      </c>
      <c r="AA35" s="1" t="str">
        <f t="shared" si="3"/>
        <v/>
      </c>
      <c r="AB35" s="1" t="str" cm="1">
        <f t="array" ref="AB35">_xlfn.IFNA(_xlfn.IFNA(INDEX(競技会設定!$X$25:$AC$47,MATCH(INDEX(女子エントリー!$J$7:$AH$406,MATCH($G35&amp;RIGHT(AB$1,1),女子エントリー!$AH$7:$AH$406,0),1),競技会設定!$AC$25:$AC$47,0),1),INDEX(競技会設定!$X$25:$AC$47,MATCH(INDEX(女子エントリー!$R$6:$V$406,MATCH($G35&amp;RIGHT(AB$1,1),女子エントリー!$V$6:$V$406,0)-MATCH($G35&amp;RIGHT(AB$1,1),女子エントリー!$V$6:$V$406,0)+1,1),競技会設定!$AC$25:$AC$47,0),1)),"")</f>
        <v/>
      </c>
      <c r="AC35" s="1" t="str">
        <f>IF(AB35=37,リレーエントリー!$I$27,_xlfn.IFNA(INDEX(女子エントリー!$J$7:$AH$406,MATCH($G35&amp;RIGHT(AD$1,1),女子エントリー!$AH$7:$AH$406,0),3),""))</f>
        <v/>
      </c>
      <c r="AD35" s="1" t="str">
        <f t="shared" si="4"/>
        <v/>
      </c>
      <c r="AE35" s="1" t="str">
        <f t="shared" si="5"/>
        <v/>
      </c>
      <c r="AF35" s="1" t="str">
        <f t="shared" si="6"/>
        <v/>
      </c>
      <c r="AG35" s="1" t="str" cm="1">
        <f t="array" ref="AG35">_xlfn.IFNA(_xlfn.IFNA(INDEX(競技会設定!$X$25:$AC$47,MATCH(INDEX(女子エントリー!$J$7:$AH$406,MATCH($G35&amp;RIGHT(AG$1,1),女子エントリー!$AH$7:$AH$406,0),1),競技会設定!$AC$25:$AC$47,0),1),INDEX(競技会設定!$X$25:$AC$47,MATCH(INDEX(女子エントリー!$R$6:$V$406,MATCH($G35&amp;RIGHT(AG$1,1),女子エントリー!$V$6:$V$406,0)-MATCH($G35&amp;RIGHT(AG$1,1),女子エントリー!$V$6:$V$406,0)+1,1),競技会設定!$AC$25:$AC$47,0),1)),"")</f>
        <v/>
      </c>
      <c r="AH35" s="1" t="str">
        <f>IF(AG35=37,リレーエントリー!$I$27,_xlfn.IFNA(INDEX(女子エントリー!$J$7:$AH$406,MATCH($G35&amp;RIGHT(AI$1,1),女子エントリー!$AH$7:$AH$406,0),3),""))</f>
        <v/>
      </c>
      <c r="AI35" s="1" t="str">
        <f t="shared" si="7"/>
        <v/>
      </c>
      <c r="AJ35" s="1" t="str">
        <f t="shared" si="8"/>
        <v/>
      </c>
      <c r="AK35" s="1" t="str">
        <f t="shared" si="9"/>
        <v/>
      </c>
      <c r="AL35" s="1" t="str" cm="1">
        <f t="array" ref="AL35">_xlfn.IFNA(_xlfn.IFNA(INDEX(競技会設定!$X$25:$AC$47,MATCH(INDEX(女子エントリー!$J$7:$AH$406,MATCH($G35&amp;RIGHT(AL$1,1),女子エントリー!$AH$7:$AH$406,0),1),競技会設定!$AC$25:$AC$47,0),1),INDEX(競技会設定!$X$25:$AC$47,MATCH(INDEX(女子エントリー!$R$6:$V$406,MATCH($G35&amp;RIGHT(AL$1,1),女子エントリー!$V$6:$V$406,0)-MATCH($G35&amp;RIGHT(AL$1,1),女子エントリー!$V$6:$V$406,0)+1,1),競技会設定!$AC$25:$AC$47,0),1)),"")</f>
        <v/>
      </c>
      <c r="AM35" s="1" t="str">
        <f>IF(AL35=37,リレーエントリー!$I$27,_xlfn.IFNA(INDEX(女子エントリー!$J$7:$AH$406,MATCH($G35&amp;RIGHT(AN$1,1),女子エントリー!$AH$7:$AH$406,0),3),""))</f>
        <v/>
      </c>
      <c r="AN35" s="1" t="str">
        <f t="shared" si="10"/>
        <v/>
      </c>
      <c r="AO35" s="1" t="str">
        <f t="shared" si="11"/>
        <v/>
      </c>
      <c r="AP35" s="1" t="str">
        <f t="shared" si="12"/>
        <v/>
      </c>
    </row>
    <row r="36" spans="1:42">
      <c r="A36" s="1">
        <v>35</v>
      </c>
      <c r="B36" s="92" t="str">
        <f>女子エントリー!D143</f>
        <v/>
      </c>
      <c r="C36" s="1" t="str">
        <f>基本情報!$E$6</f>
        <v/>
      </c>
      <c r="D36" s="1" t="str">
        <f>基本情報!$E$7</f>
        <v/>
      </c>
      <c r="F36" s="92">
        <f>女子エントリー!C143</f>
        <v>0</v>
      </c>
      <c r="G36" s="92" t="str">
        <f>女子エントリー!E143</f>
        <v/>
      </c>
      <c r="H36" s="92" t="str">
        <f>女子エントリー!F143</f>
        <v/>
      </c>
      <c r="I36" s="1" t="str">
        <f t="shared" si="13"/>
        <v/>
      </c>
      <c r="J36" s="1" t="e">
        <f>LEFT(女子エントリー!E145,FIND(",",LEFT(女子エントリー!E145,LEN(女子エントリー!E145)-5))-1)&amp;LEFT(RIGHT(女子エントリー!E145,LEN(女子エントリー!E145)-FIND(",",女子エントリー!E145)),LEN(RIGHT(女子エントリー!E145,LEN(女子エントリー!E145)-FIND(",",女子エントリー!E145)))-5)</f>
        <v>#VALUE!</v>
      </c>
      <c r="K36" s="92" t="str">
        <f>女子エントリー!G145</f>
        <v/>
      </c>
      <c r="L36" s="1" t="str">
        <f t="shared" si="17"/>
        <v/>
      </c>
      <c r="M36" s="92" t="str">
        <f>女子エントリー!G143</f>
        <v/>
      </c>
      <c r="N36" s="92" t="e">
        <f>MID(女子エントリー!E145,FIND("(",女子エントリー!E145)+1,2)</f>
        <v>#VALUE!</v>
      </c>
      <c r="O36" s="1">
        <v>0</v>
      </c>
      <c r="P36" s="92" t="e">
        <f>VLOOKUP(女子エントリー!G144,競技会設定!$F$3:$I$50,2,0)</f>
        <v>#N/A</v>
      </c>
      <c r="R36" s="1" t="str" cm="1">
        <f t="array" ref="R36">_xlfn.IFNA(_xlfn.IFNA(INDEX(競技会設定!$X$25:$AC$47,MATCH(INDEX(女子エントリー!$J$7:$AH$406,MATCH($G36&amp;RIGHT(R$1,1),女子エントリー!$AH$7:$AH$406,0),1),競技会設定!$AC$25:$AC$47,0),1),INDEX(競技会設定!$X$25:$AC$47,MATCH(INDEX(女子エントリー!$R$6:$V$406,MATCH($G36&amp;RIGHT(R$1,1),女子エントリー!$V$6:$V$406,0)-MATCH($G36&amp;RIGHT(R$1,1),女子エントリー!$V$6:$V$406,0)+1,1),競技会設定!$AC$25:$AC$47,0),1)),"")</f>
        <v/>
      </c>
      <c r="S36" s="1" t="str">
        <f>IF(R36=37,リレーエントリー!$I$27,_xlfn.IFNA(INDEX(女子エントリー!$J$7:$AH$406,MATCH($G36&amp;RIGHT(T$1,1),女子エントリー!$AH$7:$AH$406,0),3),""))</f>
        <v/>
      </c>
      <c r="T36" s="1" t="str">
        <f t="shared" si="14"/>
        <v/>
      </c>
      <c r="U36" s="1" t="str">
        <f t="shared" si="15"/>
        <v/>
      </c>
      <c r="V36" s="1" t="str">
        <f t="shared" si="16"/>
        <v/>
      </c>
      <c r="W36" s="1" t="str" cm="1">
        <f t="array" ref="W36">_xlfn.IFNA(_xlfn.IFNA(INDEX(競技会設定!$X$25:$AC$47,MATCH(INDEX(女子エントリー!$J$7:$AH$406,MATCH($G36&amp;RIGHT(W$1,1),女子エントリー!$AH$7:$AH$406,0),1),競技会設定!$AC$25:$AC$47,0),1),INDEX(競技会設定!$X$25:$AC$47,MATCH(INDEX(女子エントリー!$R$6:$V$406,MATCH($G36&amp;RIGHT(W$1,1),女子エントリー!$V$6:$V$406,0)-MATCH($G36&amp;RIGHT(W$1,1),女子エントリー!$V$6:$V$406,0)+1,1),競技会設定!$AC$25:$AC$47,0),1)),"")</f>
        <v/>
      </c>
      <c r="X36" s="1" t="str">
        <f>IF(W36=37,リレーエントリー!$I$27,_xlfn.IFNA(INDEX(女子エントリー!$J$7:$AH$406,MATCH($G36&amp;RIGHT(Y$1,1),女子エントリー!$AH$7:$AH$406,0),3),""))</f>
        <v/>
      </c>
      <c r="Y36" s="1" t="str">
        <f t="shared" si="1"/>
        <v/>
      </c>
      <c r="Z36" s="1" t="str">
        <f t="shared" si="2"/>
        <v/>
      </c>
      <c r="AA36" s="1" t="str">
        <f t="shared" si="3"/>
        <v/>
      </c>
      <c r="AB36" s="1" t="str" cm="1">
        <f t="array" ref="AB36">_xlfn.IFNA(_xlfn.IFNA(INDEX(競技会設定!$X$25:$AC$47,MATCH(INDEX(女子エントリー!$J$7:$AH$406,MATCH($G36&amp;RIGHT(AB$1,1),女子エントリー!$AH$7:$AH$406,0),1),競技会設定!$AC$25:$AC$47,0),1),INDEX(競技会設定!$X$25:$AC$47,MATCH(INDEX(女子エントリー!$R$6:$V$406,MATCH($G36&amp;RIGHT(AB$1,1),女子エントリー!$V$6:$V$406,0)-MATCH($G36&amp;RIGHT(AB$1,1),女子エントリー!$V$6:$V$406,0)+1,1),競技会設定!$AC$25:$AC$47,0),1)),"")</f>
        <v/>
      </c>
      <c r="AC36" s="1" t="str">
        <f>IF(AB36=37,リレーエントリー!$I$27,_xlfn.IFNA(INDEX(女子エントリー!$J$7:$AH$406,MATCH($G36&amp;RIGHT(AD$1,1),女子エントリー!$AH$7:$AH$406,0),3),""))</f>
        <v/>
      </c>
      <c r="AD36" s="1" t="str">
        <f t="shared" si="4"/>
        <v/>
      </c>
      <c r="AE36" s="1" t="str">
        <f t="shared" si="5"/>
        <v/>
      </c>
      <c r="AF36" s="1" t="str">
        <f t="shared" si="6"/>
        <v/>
      </c>
      <c r="AG36" s="1" t="str" cm="1">
        <f t="array" ref="AG36">_xlfn.IFNA(_xlfn.IFNA(INDEX(競技会設定!$X$25:$AC$47,MATCH(INDEX(女子エントリー!$J$7:$AH$406,MATCH($G36&amp;RIGHT(AG$1,1),女子エントリー!$AH$7:$AH$406,0),1),競技会設定!$AC$25:$AC$47,0),1),INDEX(競技会設定!$X$25:$AC$47,MATCH(INDEX(女子エントリー!$R$6:$V$406,MATCH($G36&amp;RIGHT(AG$1,1),女子エントリー!$V$6:$V$406,0)-MATCH($G36&amp;RIGHT(AG$1,1),女子エントリー!$V$6:$V$406,0)+1,1),競技会設定!$AC$25:$AC$47,0),1)),"")</f>
        <v/>
      </c>
      <c r="AH36" s="1" t="str">
        <f>IF(AG36=37,リレーエントリー!$I$27,_xlfn.IFNA(INDEX(女子エントリー!$J$7:$AH$406,MATCH($G36&amp;RIGHT(AI$1,1),女子エントリー!$AH$7:$AH$406,0),3),""))</f>
        <v/>
      </c>
      <c r="AI36" s="1" t="str">
        <f t="shared" si="7"/>
        <v/>
      </c>
      <c r="AJ36" s="1" t="str">
        <f t="shared" si="8"/>
        <v/>
      </c>
      <c r="AK36" s="1" t="str">
        <f t="shared" si="9"/>
        <v/>
      </c>
      <c r="AL36" s="1" t="str" cm="1">
        <f t="array" ref="AL36">_xlfn.IFNA(_xlfn.IFNA(INDEX(競技会設定!$X$25:$AC$47,MATCH(INDEX(女子エントリー!$J$7:$AH$406,MATCH($G36&amp;RIGHT(AL$1,1),女子エントリー!$AH$7:$AH$406,0),1),競技会設定!$AC$25:$AC$47,0),1),INDEX(競技会設定!$X$25:$AC$47,MATCH(INDEX(女子エントリー!$R$6:$V$406,MATCH($G36&amp;RIGHT(AL$1,1),女子エントリー!$V$6:$V$406,0)-MATCH($G36&amp;RIGHT(AL$1,1),女子エントリー!$V$6:$V$406,0)+1,1),競技会設定!$AC$25:$AC$47,0),1)),"")</f>
        <v/>
      </c>
      <c r="AM36" s="1" t="str">
        <f>IF(AL36=37,リレーエントリー!$I$27,_xlfn.IFNA(INDEX(女子エントリー!$J$7:$AH$406,MATCH($G36&amp;RIGHT(AN$1,1),女子エントリー!$AH$7:$AH$406,0),3),""))</f>
        <v/>
      </c>
      <c r="AN36" s="1" t="str">
        <f t="shared" si="10"/>
        <v/>
      </c>
      <c r="AO36" s="1" t="str">
        <f t="shared" si="11"/>
        <v/>
      </c>
      <c r="AP36" s="1" t="str">
        <f t="shared" si="12"/>
        <v/>
      </c>
    </row>
    <row r="37" spans="1:42">
      <c r="A37" s="1">
        <v>36</v>
      </c>
      <c r="B37" s="92" t="str">
        <f>女子エントリー!D147</f>
        <v/>
      </c>
      <c r="C37" s="1" t="str">
        <f>基本情報!$E$6</f>
        <v/>
      </c>
      <c r="D37" s="1" t="str">
        <f>基本情報!$E$7</f>
        <v/>
      </c>
      <c r="F37" s="92">
        <f>女子エントリー!C147</f>
        <v>0</v>
      </c>
      <c r="G37" s="92" t="str">
        <f>女子エントリー!E147</f>
        <v/>
      </c>
      <c r="H37" s="92" t="str">
        <f>女子エントリー!F147</f>
        <v/>
      </c>
      <c r="I37" s="1" t="str">
        <f t="shared" si="13"/>
        <v/>
      </c>
      <c r="J37" s="1" t="e">
        <f>LEFT(女子エントリー!E149,FIND(",",LEFT(女子エントリー!E149,LEN(女子エントリー!E149)-5))-1)&amp;LEFT(RIGHT(女子エントリー!E149,LEN(女子エントリー!E149)-FIND(",",女子エントリー!E149)),LEN(RIGHT(女子エントリー!E149,LEN(女子エントリー!E149)-FIND(",",女子エントリー!E149)))-5)</f>
        <v>#VALUE!</v>
      </c>
      <c r="K37" s="92" t="str">
        <f>女子エントリー!G149</f>
        <v/>
      </c>
      <c r="L37" s="1" t="str">
        <f t="shared" si="17"/>
        <v/>
      </c>
      <c r="M37" s="92" t="str">
        <f>女子エントリー!G147</f>
        <v/>
      </c>
      <c r="N37" s="92" t="e">
        <f>MID(女子エントリー!E149,FIND("(",女子エントリー!E149)+1,2)</f>
        <v>#VALUE!</v>
      </c>
      <c r="O37" s="1">
        <v>0</v>
      </c>
      <c r="P37" s="92" t="e">
        <f>VLOOKUP(女子エントリー!G148,競技会設定!$F$3:$I$50,2,0)</f>
        <v>#N/A</v>
      </c>
      <c r="R37" s="1" t="str" cm="1">
        <f t="array" ref="R37">_xlfn.IFNA(_xlfn.IFNA(INDEX(競技会設定!$X$25:$AC$47,MATCH(INDEX(女子エントリー!$J$7:$AH$406,MATCH($G37&amp;RIGHT(R$1,1),女子エントリー!$AH$7:$AH$406,0),1),競技会設定!$AC$25:$AC$47,0),1),INDEX(競技会設定!$X$25:$AC$47,MATCH(INDEX(女子エントリー!$R$6:$V$406,MATCH($G37&amp;RIGHT(R$1,1),女子エントリー!$V$6:$V$406,0)-MATCH($G37&amp;RIGHT(R$1,1),女子エントリー!$V$6:$V$406,0)+1,1),競技会設定!$AC$25:$AC$47,0),1)),"")</f>
        <v/>
      </c>
      <c r="S37" s="1" t="str">
        <f>IF(R37=37,リレーエントリー!$I$27,_xlfn.IFNA(INDEX(女子エントリー!$J$7:$AH$406,MATCH($G37&amp;RIGHT(T$1,1),女子エントリー!$AH$7:$AH$406,0),3),""))</f>
        <v/>
      </c>
      <c r="T37" s="1" t="str">
        <f t="shared" si="14"/>
        <v/>
      </c>
      <c r="U37" s="1" t="str">
        <f t="shared" si="15"/>
        <v/>
      </c>
      <c r="V37" s="1" t="str">
        <f t="shared" si="16"/>
        <v/>
      </c>
      <c r="W37" s="1" t="str" cm="1">
        <f t="array" ref="W37">_xlfn.IFNA(_xlfn.IFNA(INDEX(競技会設定!$X$25:$AC$47,MATCH(INDEX(女子エントリー!$J$7:$AH$406,MATCH($G37&amp;RIGHT(W$1,1),女子エントリー!$AH$7:$AH$406,0),1),競技会設定!$AC$25:$AC$47,0),1),INDEX(競技会設定!$X$25:$AC$47,MATCH(INDEX(女子エントリー!$R$6:$V$406,MATCH($G37&amp;RIGHT(W$1,1),女子エントリー!$V$6:$V$406,0)-MATCH($G37&amp;RIGHT(W$1,1),女子エントリー!$V$6:$V$406,0)+1,1),競技会設定!$AC$25:$AC$47,0),1)),"")</f>
        <v/>
      </c>
      <c r="X37" s="1" t="str">
        <f>IF(W37=37,リレーエントリー!$I$27,_xlfn.IFNA(INDEX(女子エントリー!$J$7:$AH$406,MATCH($G37&amp;RIGHT(Y$1,1),女子エントリー!$AH$7:$AH$406,0),3),""))</f>
        <v/>
      </c>
      <c r="Y37" s="1" t="str">
        <f t="shared" si="1"/>
        <v/>
      </c>
      <c r="Z37" s="1" t="str">
        <f t="shared" si="2"/>
        <v/>
      </c>
      <c r="AA37" s="1" t="str">
        <f t="shared" si="3"/>
        <v/>
      </c>
      <c r="AB37" s="1" t="str" cm="1">
        <f t="array" ref="AB37">_xlfn.IFNA(_xlfn.IFNA(INDEX(競技会設定!$X$25:$AC$47,MATCH(INDEX(女子エントリー!$J$7:$AH$406,MATCH($G37&amp;RIGHT(AB$1,1),女子エントリー!$AH$7:$AH$406,0),1),競技会設定!$AC$25:$AC$47,0),1),INDEX(競技会設定!$X$25:$AC$47,MATCH(INDEX(女子エントリー!$R$6:$V$406,MATCH($G37&amp;RIGHT(AB$1,1),女子エントリー!$V$6:$V$406,0)-MATCH($G37&amp;RIGHT(AB$1,1),女子エントリー!$V$6:$V$406,0)+1,1),競技会設定!$AC$25:$AC$47,0),1)),"")</f>
        <v/>
      </c>
      <c r="AC37" s="1" t="str">
        <f>IF(AB37=37,リレーエントリー!$I$27,_xlfn.IFNA(INDEX(女子エントリー!$J$7:$AH$406,MATCH($G37&amp;RIGHT(AD$1,1),女子エントリー!$AH$7:$AH$406,0),3),""))</f>
        <v/>
      </c>
      <c r="AD37" s="1" t="str">
        <f t="shared" si="4"/>
        <v/>
      </c>
      <c r="AE37" s="1" t="str">
        <f t="shared" si="5"/>
        <v/>
      </c>
      <c r="AF37" s="1" t="str">
        <f t="shared" si="6"/>
        <v/>
      </c>
      <c r="AG37" s="1" t="str" cm="1">
        <f t="array" ref="AG37">_xlfn.IFNA(_xlfn.IFNA(INDEX(競技会設定!$X$25:$AC$47,MATCH(INDEX(女子エントリー!$J$7:$AH$406,MATCH($G37&amp;RIGHT(AG$1,1),女子エントリー!$AH$7:$AH$406,0),1),競技会設定!$AC$25:$AC$47,0),1),INDEX(競技会設定!$X$25:$AC$47,MATCH(INDEX(女子エントリー!$R$6:$V$406,MATCH($G37&amp;RIGHT(AG$1,1),女子エントリー!$V$6:$V$406,0)-MATCH($G37&amp;RIGHT(AG$1,1),女子エントリー!$V$6:$V$406,0)+1,1),競技会設定!$AC$25:$AC$47,0),1)),"")</f>
        <v/>
      </c>
      <c r="AH37" s="1" t="str">
        <f>IF(AG37=37,リレーエントリー!$I$27,_xlfn.IFNA(INDEX(女子エントリー!$J$7:$AH$406,MATCH($G37&amp;RIGHT(AI$1,1),女子エントリー!$AH$7:$AH$406,0),3),""))</f>
        <v/>
      </c>
      <c r="AI37" s="1" t="str">
        <f t="shared" si="7"/>
        <v/>
      </c>
      <c r="AJ37" s="1" t="str">
        <f t="shared" si="8"/>
        <v/>
      </c>
      <c r="AK37" s="1" t="str">
        <f t="shared" si="9"/>
        <v/>
      </c>
      <c r="AL37" s="1" t="str" cm="1">
        <f t="array" ref="AL37">_xlfn.IFNA(_xlfn.IFNA(INDEX(競技会設定!$X$25:$AC$47,MATCH(INDEX(女子エントリー!$J$7:$AH$406,MATCH($G37&amp;RIGHT(AL$1,1),女子エントリー!$AH$7:$AH$406,0),1),競技会設定!$AC$25:$AC$47,0),1),INDEX(競技会設定!$X$25:$AC$47,MATCH(INDEX(女子エントリー!$R$6:$V$406,MATCH($G37&amp;RIGHT(AL$1,1),女子エントリー!$V$6:$V$406,0)-MATCH($G37&amp;RIGHT(AL$1,1),女子エントリー!$V$6:$V$406,0)+1,1),競技会設定!$AC$25:$AC$47,0),1)),"")</f>
        <v/>
      </c>
      <c r="AM37" s="1" t="str">
        <f>IF(AL37=37,リレーエントリー!$I$27,_xlfn.IFNA(INDEX(女子エントリー!$J$7:$AH$406,MATCH($G37&amp;RIGHT(AN$1,1),女子エントリー!$AH$7:$AH$406,0),3),""))</f>
        <v/>
      </c>
      <c r="AN37" s="1" t="str">
        <f t="shared" si="10"/>
        <v/>
      </c>
      <c r="AO37" s="1" t="str">
        <f t="shared" si="11"/>
        <v/>
      </c>
      <c r="AP37" s="1" t="str">
        <f t="shared" si="12"/>
        <v/>
      </c>
    </row>
    <row r="38" spans="1:42">
      <c r="A38" s="1">
        <v>37</v>
      </c>
      <c r="B38" s="92" t="str">
        <f>女子エントリー!D151</f>
        <v/>
      </c>
      <c r="C38" s="1" t="str">
        <f>基本情報!$E$6</f>
        <v/>
      </c>
      <c r="D38" s="1" t="str">
        <f>基本情報!$E$7</f>
        <v/>
      </c>
      <c r="F38" s="92">
        <f>女子エントリー!C151</f>
        <v>0</v>
      </c>
      <c r="G38" s="92" t="str">
        <f>女子エントリー!E151</f>
        <v/>
      </c>
      <c r="H38" s="92" t="str">
        <f>女子エントリー!F151</f>
        <v/>
      </c>
      <c r="I38" s="1" t="str">
        <f t="shared" si="13"/>
        <v/>
      </c>
      <c r="J38" s="1" t="e">
        <f>LEFT(女子エントリー!E153,FIND(",",LEFT(女子エントリー!E153,LEN(女子エントリー!E153)-5))-1)&amp;LEFT(RIGHT(女子エントリー!E153,LEN(女子エントリー!E153)-FIND(",",女子エントリー!E153)),LEN(RIGHT(女子エントリー!E153,LEN(女子エントリー!E153)-FIND(",",女子エントリー!E153)))-5)</f>
        <v>#VALUE!</v>
      </c>
      <c r="K38" s="92" t="str">
        <f>女子エントリー!G153</f>
        <v/>
      </c>
      <c r="L38" s="1" t="str">
        <f t="shared" si="17"/>
        <v/>
      </c>
      <c r="M38" s="92" t="str">
        <f>女子エントリー!G151</f>
        <v/>
      </c>
      <c r="N38" s="92" t="e">
        <f>MID(女子エントリー!E153,FIND("(",女子エントリー!E153)+1,2)</f>
        <v>#VALUE!</v>
      </c>
      <c r="O38" s="1">
        <v>0</v>
      </c>
      <c r="P38" s="92" t="e">
        <f>VLOOKUP(女子エントリー!G152,競技会設定!$F$3:$I$50,2,0)</f>
        <v>#N/A</v>
      </c>
      <c r="R38" s="1" t="str" cm="1">
        <f t="array" ref="R38">_xlfn.IFNA(_xlfn.IFNA(INDEX(競技会設定!$X$25:$AC$47,MATCH(INDEX(女子エントリー!$J$7:$AH$406,MATCH($G38&amp;RIGHT(R$1,1),女子エントリー!$AH$7:$AH$406,0),1),競技会設定!$AC$25:$AC$47,0),1),INDEX(競技会設定!$X$25:$AC$47,MATCH(INDEX(女子エントリー!$R$6:$V$406,MATCH($G38&amp;RIGHT(R$1,1),女子エントリー!$V$6:$V$406,0)-MATCH($G38&amp;RIGHT(R$1,1),女子エントリー!$V$6:$V$406,0)+1,1),競技会設定!$AC$25:$AC$47,0),1)),"")</f>
        <v/>
      </c>
      <c r="S38" s="1" t="str">
        <f>IF(R38=37,リレーエントリー!$I$27,_xlfn.IFNA(INDEX(女子エントリー!$J$7:$AH$406,MATCH($G38&amp;RIGHT(T$1,1),女子エントリー!$AH$7:$AH$406,0),3),""))</f>
        <v/>
      </c>
      <c r="T38" s="1" t="str">
        <f t="shared" si="14"/>
        <v/>
      </c>
      <c r="U38" s="1" t="str">
        <f t="shared" si="15"/>
        <v/>
      </c>
      <c r="V38" s="1" t="str">
        <f t="shared" si="16"/>
        <v/>
      </c>
      <c r="W38" s="1" t="str" cm="1">
        <f t="array" ref="W38">_xlfn.IFNA(_xlfn.IFNA(INDEX(競技会設定!$X$25:$AC$47,MATCH(INDEX(女子エントリー!$J$7:$AH$406,MATCH($G38&amp;RIGHT(W$1,1),女子エントリー!$AH$7:$AH$406,0),1),競技会設定!$AC$25:$AC$47,0),1),INDEX(競技会設定!$X$25:$AC$47,MATCH(INDEX(女子エントリー!$R$6:$V$406,MATCH($G38&amp;RIGHT(W$1,1),女子エントリー!$V$6:$V$406,0)-MATCH($G38&amp;RIGHT(W$1,1),女子エントリー!$V$6:$V$406,0)+1,1),競技会設定!$AC$25:$AC$47,0),1)),"")</f>
        <v/>
      </c>
      <c r="X38" s="1" t="str">
        <f>IF(W38=37,リレーエントリー!$I$27,_xlfn.IFNA(INDEX(女子エントリー!$J$7:$AH$406,MATCH($G38&amp;RIGHT(Y$1,1),女子エントリー!$AH$7:$AH$406,0),3),""))</f>
        <v/>
      </c>
      <c r="Y38" s="1" t="str">
        <f t="shared" si="1"/>
        <v/>
      </c>
      <c r="Z38" s="1" t="str">
        <f t="shared" si="2"/>
        <v/>
      </c>
      <c r="AA38" s="1" t="str">
        <f t="shared" si="3"/>
        <v/>
      </c>
      <c r="AB38" s="1" t="str" cm="1">
        <f t="array" ref="AB38">_xlfn.IFNA(_xlfn.IFNA(INDEX(競技会設定!$X$25:$AC$47,MATCH(INDEX(女子エントリー!$J$7:$AH$406,MATCH($G38&amp;RIGHT(AB$1,1),女子エントリー!$AH$7:$AH$406,0),1),競技会設定!$AC$25:$AC$47,0),1),INDEX(競技会設定!$X$25:$AC$47,MATCH(INDEX(女子エントリー!$R$6:$V$406,MATCH($G38&amp;RIGHT(AB$1,1),女子エントリー!$V$6:$V$406,0)-MATCH($G38&amp;RIGHT(AB$1,1),女子エントリー!$V$6:$V$406,0)+1,1),競技会設定!$AC$25:$AC$47,0),1)),"")</f>
        <v/>
      </c>
      <c r="AC38" s="1" t="str">
        <f>IF(AB38=37,リレーエントリー!$I$27,_xlfn.IFNA(INDEX(女子エントリー!$J$7:$AH$406,MATCH($G38&amp;RIGHT(AD$1,1),女子エントリー!$AH$7:$AH$406,0),3),""))</f>
        <v/>
      </c>
      <c r="AD38" s="1" t="str">
        <f t="shared" si="4"/>
        <v/>
      </c>
      <c r="AE38" s="1" t="str">
        <f t="shared" si="5"/>
        <v/>
      </c>
      <c r="AF38" s="1" t="str">
        <f t="shared" si="6"/>
        <v/>
      </c>
      <c r="AG38" s="1" t="str" cm="1">
        <f t="array" ref="AG38">_xlfn.IFNA(_xlfn.IFNA(INDEX(競技会設定!$X$25:$AC$47,MATCH(INDEX(女子エントリー!$J$7:$AH$406,MATCH($G38&amp;RIGHT(AG$1,1),女子エントリー!$AH$7:$AH$406,0),1),競技会設定!$AC$25:$AC$47,0),1),INDEX(競技会設定!$X$25:$AC$47,MATCH(INDEX(女子エントリー!$R$6:$V$406,MATCH($G38&amp;RIGHT(AG$1,1),女子エントリー!$V$6:$V$406,0)-MATCH($G38&amp;RIGHT(AG$1,1),女子エントリー!$V$6:$V$406,0)+1,1),競技会設定!$AC$25:$AC$47,0),1)),"")</f>
        <v/>
      </c>
      <c r="AH38" s="1" t="str">
        <f>IF(AG38=37,リレーエントリー!$I$27,_xlfn.IFNA(INDEX(女子エントリー!$J$7:$AH$406,MATCH($G38&amp;RIGHT(AI$1,1),女子エントリー!$AH$7:$AH$406,0),3),""))</f>
        <v/>
      </c>
      <c r="AI38" s="1" t="str">
        <f t="shared" si="7"/>
        <v/>
      </c>
      <c r="AJ38" s="1" t="str">
        <f t="shared" si="8"/>
        <v/>
      </c>
      <c r="AK38" s="1" t="str">
        <f t="shared" si="9"/>
        <v/>
      </c>
      <c r="AL38" s="1" t="str" cm="1">
        <f t="array" ref="AL38">_xlfn.IFNA(_xlfn.IFNA(INDEX(競技会設定!$X$25:$AC$47,MATCH(INDEX(女子エントリー!$J$7:$AH$406,MATCH($G38&amp;RIGHT(AL$1,1),女子エントリー!$AH$7:$AH$406,0),1),競技会設定!$AC$25:$AC$47,0),1),INDEX(競技会設定!$X$25:$AC$47,MATCH(INDEX(女子エントリー!$R$6:$V$406,MATCH($G38&amp;RIGHT(AL$1,1),女子エントリー!$V$6:$V$406,0)-MATCH($G38&amp;RIGHT(AL$1,1),女子エントリー!$V$6:$V$406,0)+1,1),競技会設定!$AC$25:$AC$47,0),1)),"")</f>
        <v/>
      </c>
      <c r="AM38" s="1" t="str">
        <f>IF(AL38=37,リレーエントリー!$I$27,_xlfn.IFNA(INDEX(女子エントリー!$J$7:$AH$406,MATCH($G38&amp;RIGHT(AN$1,1),女子エントリー!$AH$7:$AH$406,0),3),""))</f>
        <v/>
      </c>
      <c r="AN38" s="1" t="str">
        <f t="shared" si="10"/>
        <v/>
      </c>
      <c r="AO38" s="1" t="str">
        <f t="shared" si="11"/>
        <v/>
      </c>
      <c r="AP38" s="1" t="str">
        <f t="shared" si="12"/>
        <v/>
      </c>
    </row>
    <row r="39" spans="1:42">
      <c r="A39" s="1">
        <v>38</v>
      </c>
      <c r="B39" s="92" t="str">
        <f>女子エントリー!D155</f>
        <v/>
      </c>
      <c r="C39" s="1" t="str">
        <f>基本情報!$E$6</f>
        <v/>
      </c>
      <c r="D39" s="1" t="str">
        <f>基本情報!$E$7</f>
        <v/>
      </c>
      <c r="F39" s="92">
        <f>女子エントリー!C155</f>
        <v>0</v>
      </c>
      <c r="G39" s="92" t="str">
        <f>女子エントリー!E155</f>
        <v/>
      </c>
      <c r="H39" s="92" t="str">
        <f>女子エントリー!F155</f>
        <v/>
      </c>
      <c r="I39" s="1" t="str">
        <f t="shared" si="13"/>
        <v/>
      </c>
      <c r="J39" s="1" t="e">
        <f>LEFT(女子エントリー!E157,FIND(",",LEFT(女子エントリー!E157,LEN(女子エントリー!E157)-5))-1)&amp;LEFT(RIGHT(女子エントリー!E157,LEN(女子エントリー!E157)-FIND(",",女子エントリー!E157)),LEN(RIGHT(女子エントリー!E157,LEN(女子エントリー!E157)-FIND(",",女子エントリー!E157)))-5)</f>
        <v>#VALUE!</v>
      </c>
      <c r="K39" s="92" t="str">
        <f>女子エントリー!G157</f>
        <v/>
      </c>
      <c r="L39" s="1" t="str">
        <f t="shared" si="17"/>
        <v/>
      </c>
      <c r="M39" s="92" t="str">
        <f>女子エントリー!G155</f>
        <v/>
      </c>
      <c r="N39" s="92" t="e">
        <f>MID(女子エントリー!E157,FIND("(",女子エントリー!E157)+1,2)</f>
        <v>#VALUE!</v>
      </c>
      <c r="O39" s="1">
        <v>0</v>
      </c>
      <c r="P39" s="92" t="e">
        <f>VLOOKUP(女子エントリー!G156,競技会設定!$F$3:$I$50,2,0)</f>
        <v>#N/A</v>
      </c>
      <c r="R39" s="1" t="str" cm="1">
        <f t="array" ref="R39">_xlfn.IFNA(_xlfn.IFNA(INDEX(競技会設定!$X$25:$AC$47,MATCH(INDEX(女子エントリー!$J$7:$AH$406,MATCH($G39&amp;RIGHT(R$1,1),女子エントリー!$AH$7:$AH$406,0),1),競技会設定!$AC$25:$AC$47,0),1),INDEX(競技会設定!$X$25:$AC$47,MATCH(INDEX(女子エントリー!$R$6:$V$406,MATCH($G39&amp;RIGHT(R$1,1),女子エントリー!$V$6:$V$406,0)-MATCH($G39&amp;RIGHT(R$1,1),女子エントリー!$V$6:$V$406,0)+1,1),競技会設定!$AC$25:$AC$47,0),1)),"")</f>
        <v/>
      </c>
      <c r="S39" s="1" t="str">
        <f>IF(R39=37,リレーエントリー!$I$27,_xlfn.IFNA(INDEX(女子エントリー!$J$7:$AH$406,MATCH($G39&amp;RIGHT(T$1,1),女子エントリー!$AH$7:$AH$406,0),3),""))</f>
        <v/>
      </c>
      <c r="T39" s="1" t="str">
        <f t="shared" si="14"/>
        <v/>
      </c>
      <c r="U39" s="1" t="str">
        <f t="shared" si="15"/>
        <v/>
      </c>
      <c r="V39" s="1" t="str">
        <f t="shared" si="16"/>
        <v/>
      </c>
      <c r="W39" s="1" t="str" cm="1">
        <f t="array" ref="W39">_xlfn.IFNA(_xlfn.IFNA(INDEX(競技会設定!$X$25:$AC$47,MATCH(INDEX(女子エントリー!$J$7:$AH$406,MATCH($G39&amp;RIGHT(W$1,1),女子エントリー!$AH$7:$AH$406,0),1),競技会設定!$AC$25:$AC$47,0),1),INDEX(競技会設定!$X$25:$AC$47,MATCH(INDEX(女子エントリー!$R$6:$V$406,MATCH($G39&amp;RIGHT(W$1,1),女子エントリー!$V$6:$V$406,0)-MATCH($G39&amp;RIGHT(W$1,1),女子エントリー!$V$6:$V$406,0)+1,1),競技会設定!$AC$25:$AC$47,0),1)),"")</f>
        <v/>
      </c>
      <c r="X39" s="1" t="str">
        <f>IF(W39=37,リレーエントリー!$I$27,_xlfn.IFNA(INDEX(女子エントリー!$J$7:$AH$406,MATCH($G39&amp;RIGHT(Y$1,1),女子エントリー!$AH$7:$AH$406,0),3),""))</f>
        <v/>
      </c>
      <c r="Y39" s="1" t="str">
        <f t="shared" si="1"/>
        <v/>
      </c>
      <c r="Z39" s="1" t="str">
        <f t="shared" si="2"/>
        <v/>
      </c>
      <c r="AA39" s="1" t="str">
        <f t="shared" si="3"/>
        <v/>
      </c>
      <c r="AB39" s="1" t="str" cm="1">
        <f t="array" ref="AB39">_xlfn.IFNA(_xlfn.IFNA(INDEX(競技会設定!$X$25:$AC$47,MATCH(INDEX(女子エントリー!$J$7:$AH$406,MATCH($G39&amp;RIGHT(AB$1,1),女子エントリー!$AH$7:$AH$406,0),1),競技会設定!$AC$25:$AC$47,0),1),INDEX(競技会設定!$X$25:$AC$47,MATCH(INDEX(女子エントリー!$R$6:$V$406,MATCH($G39&amp;RIGHT(AB$1,1),女子エントリー!$V$6:$V$406,0)-MATCH($G39&amp;RIGHT(AB$1,1),女子エントリー!$V$6:$V$406,0)+1,1),競技会設定!$AC$25:$AC$47,0),1)),"")</f>
        <v/>
      </c>
      <c r="AC39" s="1" t="str">
        <f>IF(AB39=37,リレーエントリー!$I$27,_xlfn.IFNA(INDEX(女子エントリー!$J$7:$AH$406,MATCH($G39&amp;RIGHT(AD$1,1),女子エントリー!$AH$7:$AH$406,0),3),""))</f>
        <v/>
      </c>
      <c r="AD39" s="1" t="str">
        <f t="shared" si="4"/>
        <v/>
      </c>
      <c r="AE39" s="1" t="str">
        <f t="shared" si="5"/>
        <v/>
      </c>
      <c r="AF39" s="1" t="str">
        <f t="shared" si="6"/>
        <v/>
      </c>
      <c r="AG39" s="1" t="str" cm="1">
        <f t="array" ref="AG39">_xlfn.IFNA(_xlfn.IFNA(INDEX(競技会設定!$X$25:$AC$47,MATCH(INDEX(女子エントリー!$J$7:$AH$406,MATCH($G39&amp;RIGHT(AG$1,1),女子エントリー!$AH$7:$AH$406,0),1),競技会設定!$AC$25:$AC$47,0),1),INDEX(競技会設定!$X$25:$AC$47,MATCH(INDEX(女子エントリー!$R$6:$V$406,MATCH($G39&amp;RIGHT(AG$1,1),女子エントリー!$V$6:$V$406,0)-MATCH($G39&amp;RIGHT(AG$1,1),女子エントリー!$V$6:$V$406,0)+1,1),競技会設定!$AC$25:$AC$47,0),1)),"")</f>
        <v/>
      </c>
      <c r="AH39" s="1" t="str">
        <f>IF(AG39=37,リレーエントリー!$I$27,_xlfn.IFNA(INDEX(女子エントリー!$J$7:$AH$406,MATCH($G39&amp;RIGHT(AI$1,1),女子エントリー!$AH$7:$AH$406,0),3),""))</f>
        <v/>
      </c>
      <c r="AI39" s="1" t="str">
        <f t="shared" si="7"/>
        <v/>
      </c>
      <c r="AJ39" s="1" t="str">
        <f t="shared" si="8"/>
        <v/>
      </c>
      <c r="AK39" s="1" t="str">
        <f t="shared" si="9"/>
        <v/>
      </c>
      <c r="AL39" s="1" t="str" cm="1">
        <f t="array" ref="AL39">_xlfn.IFNA(_xlfn.IFNA(INDEX(競技会設定!$X$25:$AC$47,MATCH(INDEX(女子エントリー!$J$7:$AH$406,MATCH($G39&amp;RIGHT(AL$1,1),女子エントリー!$AH$7:$AH$406,0),1),競技会設定!$AC$25:$AC$47,0),1),INDEX(競技会設定!$X$25:$AC$47,MATCH(INDEX(女子エントリー!$R$6:$V$406,MATCH($G39&amp;RIGHT(AL$1,1),女子エントリー!$V$6:$V$406,0)-MATCH($G39&amp;RIGHT(AL$1,1),女子エントリー!$V$6:$V$406,0)+1,1),競技会設定!$AC$25:$AC$47,0),1)),"")</f>
        <v/>
      </c>
      <c r="AM39" s="1" t="str">
        <f>IF(AL39=37,リレーエントリー!$I$27,_xlfn.IFNA(INDEX(女子エントリー!$J$7:$AH$406,MATCH($G39&amp;RIGHT(AN$1,1),女子エントリー!$AH$7:$AH$406,0),3),""))</f>
        <v/>
      </c>
      <c r="AN39" s="1" t="str">
        <f t="shared" si="10"/>
        <v/>
      </c>
      <c r="AO39" s="1" t="str">
        <f t="shared" si="11"/>
        <v/>
      </c>
      <c r="AP39" s="1" t="str">
        <f t="shared" si="12"/>
        <v/>
      </c>
    </row>
    <row r="40" spans="1:42">
      <c r="A40" s="1">
        <v>39</v>
      </c>
      <c r="B40" s="92" t="str">
        <f>女子エントリー!D159</f>
        <v/>
      </c>
      <c r="C40" s="1" t="str">
        <f>基本情報!$E$6</f>
        <v/>
      </c>
      <c r="D40" s="1" t="str">
        <f>基本情報!$E$7</f>
        <v/>
      </c>
      <c r="F40" s="92">
        <f>女子エントリー!C159</f>
        <v>0</v>
      </c>
      <c r="G40" s="92" t="str">
        <f>女子エントリー!E159</f>
        <v/>
      </c>
      <c r="H40" s="92" t="str">
        <f>女子エントリー!F159</f>
        <v/>
      </c>
      <c r="I40" s="1" t="str">
        <f t="shared" si="13"/>
        <v/>
      </c>
      <c r="J40" s="1" t="e">
        <f>LEFT(女子エントリー!E161,FIND(",",LEFT(女子エントリー!E161,LEN(女子エントリー!E161)-5))-1)&amp;LEFT(RIGHT(女子エントリー!E161,LEN(女子エントリー!E161)-FIND(",",女子エントリー!E161)),LEN(RIGHT(女子エントリー!E161,LEN(女子エントリー!E161)-FIND(",",女子エントリー!E161)))-5)</f>
        <v>#VALUE!</v>
      </c>
      <c r="K40" s="92" t="str">
        <f>女子エントリー!G161</f>
        <v/>
      </c>
      <c r="L40" s="1" t="str">
        <f t="shared" si="17"/>
        <v/>
      </c>
      <c r="M40" s="92" t="str">
        <f>女子エントリー!G159</f>
        <v/>
      </c>
      <c r="N40" s="92" t="e">
        <f>MID(女子エントリー!E161,FIND("(",女子エントリー!E161)+1,2)</f>
        <v>#VALUE!</v>
      </c>
      <c r="O40" s="1">
        <v>0</v>
      </c>
      <c r="P40" s="92" t="e">
        <f>VLOOKUP(女子エントリー!G160,競技会設定!$F$3:$I$50,2,0)</f>
        <v>#N/A</v>
      </c>
      <c r="R40" s="1" t="str" cm="1">
        <f t="array" ref="R40">_xlfn.IFNA(_xlfn.IFNA(INDEX(競技会設定!$X$25:$AC$47,MATCH(INDEX(女子エントリー!$J$7:$AH$406,MATCH($G40&amp;RIGHT(R$1,1),女子エントリー!$AH$7:$AH$406,0),1),競技会設定!$AC$25:$AC$47,0),1),INDEX(競技会設定!$X$25:$AC$47,MATCH(INDEX(女子エントリー!$R$6:$V$406,MATCH($G40&amp;RIGHT(R$1,1),女子エントリー!$V$6:$V$406,0)-MATCH($G40&amp;RIGHT(R$1,1),女子エントリー!$V$6:$V$406,0)+1,1),競技会設定!$AC$25:$AC$47,0),1)),"")</f>
        <v/>
      </c>
      <c r="S40" s="1" t="str">
        <f>IF(R40=37,リレーエントリー!$I$27,_xlfn.IFNA(INDEX(女子エントリー!$J$7:$AH$406,MATCH($G40&amp;RIGHT(T$1,1),女子エントリー!$AH$7:$AH$406,0),3),""))</f>
        <v/>
      </c>
      <c r="T40" s="1" t="str">
        <f t="shared" si="14"/>
        <v/>
      </c>
      <c r="U40" s="1" t="str">
        <f t="shared" si="15"/>
        <v/>
      </c>
      <c r="V40" s="1" t="str">
        <f t="shared" si="16"/>
        <v/>
      </c>
      <c r="W40" s="1" t="str" cm="1">
        <f t="array" ref="W40">_xlfn.IFNA(_xlfn.IFNA(INDEX(競技会設定!$X$25:$AC$47,MATCH(INDEX(女子エントリー!$J$7:$AH$406,MATCH($G40&amp;RIGHT(W$1,1),女子エントリー!$AH$7:$AH$406,0),1),競技会設定!$AC$25:$AC$47,0),1),INDEX(競技会設定!$X$25:$AC$47,MATCH(INDEX(女子エントリー!$R$6:$V$406,MATCH($G40&amp;RIGHT(W$1,1),女子エントリー!$V$6:$V$406,0)-MATCH($G40&amp;RIGHT(W$1,1),女子エントリー!$V$6:$V$406,0)+1,1),競技会設定!$AC$25:$AC$47,0),1)),"")</f>
        <v/>
      </c>
      <c r="X40" s="1" t="str">
        <f>IF(W40=37,リレーエントリー!$I$27,_xlfn.IFNA(INDEX(女子エントリー!$J$7:$AH$406,MATCH($G40&amp;RIGHT(Y$1,1),女子エントリー!$AH$7:$AH$406,0),3),""))</f>
        <v/>
      </c>
      <c r="Y40" s="1" t="str">
        <f t="shared" si="1"/>
        <v/>
      </c>
      <c r="Z40" s="1" t="str">
        <f t="shared" si="2"/>
        <v/>
      </c>
      <c r="AA40" s="1" t="str">
        <f t="shared" si="3"/>
        <v/>
      </c>
      <c r="AB40" s="1" t="str" cm="1">
        <f t="array" ref="AB40">_xlfn.IFNA(_xlfn.IFNA(INDEX(競技会設定!$X$25:$AC$47,MATCH(INDEX(女子エントリー!$J$7:$AH$406,MATCH($G40&amp;RIGHT(AB$1,1),女子エントリー!$AH$7:$AH$406,0),1),競技会設定!$AC$25:$AC$47,0),1),INDEX(競技会設定!$X$25:$AC$47,MATCH(INDEX(女子エントリー!$R$6:$V$406,MATCH($G40&amp;RIGHT(AB$1,1),女子エントリー!$V$6:$V$406,0)-MATCH($G40&amp;RIGHT(AB$1,1),女子エントリー!$V$6:$V$406,0)+1,1),競技会設定!$AC$25:$AC$47,0),1)),"")</f>
        <v/>
      </c>
      <c r="AC40" s="1" t="str">
        <f>IF(AB40=37,リレーエントリー!$I$27,_xlfn.IFNA(INDEX(女子エントリー!$J$7:$AH$406,MATCH($G40&amp;RIGHT(AD$1,1),女子エントリー!$AH$7:$AH$406,0),3),""))</f>
        <v/>
      </c>
      <c r="AD40" s="1" t="str">
        <f t="shared" si="4"/>
        <v/>
      </c>
      <c r="AE40" s="1" t="str">
        <f t="shared" si="5"/>
        <v/>
      </c>
      <c r="AF40" s="1" t="str">
        <f t="shared" si="6"/>
        <v/>
      </c>
      <c r="AG40" s="1" t="str" cm="1">
        <f t="array" ref="AG40">_xlfn.IFNA(_xlfn.IFNA(INDEX(競技会設定!$X$25:$AC$47,MATCH(INDEX(女子エントリー!$J$7:$AH$406,MATCH($G40&amp;RIGHT(AG$1,1),女子エントリー!$AH$7:$AH$406,0),1),競技会設定!$AC$25:$AC$47,0),1),INDEX(競技会設定!$X$25:$AC$47,MATCH(INDEX(女子エントリー!$R$6:$V$406,MATCH($G40&amp;RIGHT(AG$1,1),女子エントリー!$V$6:$V$406,0)-MATCH($G40&amp;RIGHT(AG$1,1),女子エントリー!$V$6:$V$406,0)+1,1),競技会設定!$AC$25:$AC$47,0),1)),"")</f>
        <v/>
      </c>
      <c r="AH40" s="1" t="str">
        <f>IF(AG40=37,リレーエントリー!$I$27,_xlfn.IFNA(INDEX(女子エントリー!$J$7:$AH$406,MATCH($G40&amp;RIGHT(AI$1,1),女子エントリー!$AH$7:$AH$406,0),3),""))</f>
        <v/>
      </c>
      <c r="AI40" s="1" t="str">
        <f t="shared" si="7"/>
        <v/>
      </c>
      <c r="AJ40" s="1" t="str">
        <f t="shared" si="8"/>
        <v/>
      </c>
      <c r="AK40" s="1" t="str">
        <f t="shared" si="9"/>
        <v/>
      </c>
      <c r="AL40" s="1" t="str" cm="1">
        <f t="array" ref="AL40">_xlfn.IFNA(_xlfn.IFNA(INDEX(競技会設定!$X$25:$AC$47,MATCH(INDEX(女子エントリー!$J$7:$AH$406,MATCH($G40&amp;RIGHT(AL$1,1),女子エントリー!$AH$7:$AH$406,0),1),競技会設定!$AC$25:$AC$47,0),1),INDEX(競技会設定!$X$25:$AC$47,MATCH(INDEX(女子エントリー!$R$6:$V$406,MATCH($G40&amp;RIGHT(AL$1,1),女子エントリー!$V$6:$V$406,0)-MATCH($G40&amp;RIGHT(AL$1,1),女子エントリー!$V$6:$V$406,0)+1,1),競技会設定!$AC$25:$AC$47,0),1)),"")</f>
        <v/>
      </c>
      <c r="AM40" s="1" t="str">
        <f>IF(AL40=37,リレーエントリー!$I$27,_xlfn.IFNA(INDEX(女子エントリー!$J$7:$AH$406,MATCH($G40&amp;RIGHT(AN$1,1),女子エントリー!$AH$7:$AH$406,0),3),""))</f>
        <v/>
      </c>
      <c r="AN40" s="1" t="str">
        <f t="shared" si="10"/>
        <v/>
      </c>
      <c r="AO40" s="1" t="str">
        <f t="shared" si="11"/>
        <v/>
      </c>
      <c r="AP40" s="1" t="str">
        <f t="shared" si="12"/>
        <v/>
      </c>
    </row>
    <row r="41" spans="1:42">
      <c r="A41" s="1">
        <v>40</v>
      </c>
      <c r="B41" s="92" t="str">
        <f>女子エントリー!D163</f>
        <v/>
      </c>
      <c r="C41" s="1" t="str">
        <f>基本情報!$E$6</f>
        <v/>
      </c>
      <c r="D41" s="1" t="str">
        <f>基本情報!$E$7</f>
        <v/>
      </c>
      <c r="F41" s="92">
        <f>女子エントリー!C163</f>
        <v>0</v>
      </c>
      <c r="G41" s="92" t="str">
        <f>女子エントリー!E163</f>
        <v/>
      </c>
      <c r="H41" s="92" t="str">
        <f>女子エントリー!F163</f>
        <v/>
      </c>
      <c r="I41" s="1" t="str">
        <f t="shared" si="13"/>
        <v/>
      </c>
      <c r="J41" s="1" t="e">
        <f>LEFT(女子エントリー!E165,FIND(",",LEFT(女子エントリー!E165,LEN(女子エントリー!E165)-5))-1)&amp;LEFT(RIGHT(女子エントリー!E165,LEN(女子エントリー!E165)-FIND(",",女子エントリー!E165)),LEN(RIGHT(女子エントリー!E165,LEN(女子エントリー!E165)-FIND(",",女子エントリー!E165)))-5)</f>
        <v>#VALUE!</v>
      </c>
      <c r="K41" s="92" t="str">
        <f>女子エントリー!G165</f>
        <v/>
      </c>
      <c r="L41" s="1" t="str">
        <f t="shared" si="17"/>
        <v/>
      </c>
      <c r="M41" s="92" t="str">
        <f>女子エントリー!G163</f>
        <v/>
      </c>
      <c r="N41" s="92" t="e">
        <f>MID(女子エントリー!E165,FIND("(",女子エントリー!E165)+1,2)</f>
        <v>#VALUE!</v>
      </c>
      <c r="O41" s="1">
        <v>0</v>
      </c>
      <c r="P41" s="92" t="e">
        <f>VLOOKUP(女子エントリー!G164,競技会設定!$F$3:$I$50,2,0)</f>
        <v>#N/A</v>
      </c>
      <c r="R41" s="1" t="str" cm="1">
        <f t="array" ref="R41">_xlfn.IFNA(_xlfn.IFNA(INDEX(競技会設定!$X$25:$AC$47,MATCH(INDEX(女子エントリー!$J$7:$AH$406,MATCH($G41&amp;RIGHT(R$1,1),女子エントリー!$AH$7:$AH$406,0),1),競技会設定!$AC$25:$AC$47,0),1),INDEX(競技会設定!$X$25:$AC$47,MATCH(INDEX(女子エントリー!$R$6:$V$406,MATCH($G41&amp;RIGHT(R$1,1),女子エントリー!$V$6:$V$406,0)-MATCH($G41&amp;RIGHT(R$1,1),女子エントリー!$V$6:$V$406,0)+1,1),競技会設定!$AC$25:$AC$47,0),1)),"")</f>
        <v/>
      </c>
      <c r="S41" s="1" t="str">
        <f>IF(R41=37,リレーエントリー!$I$27,_xlfn.IFNA(INDEX(女子エントリー!$J$7:$AH$406,MATCH($G41&amp;RIGHT(T$1,1),女子エントリー!$AH$7:$AH$406,0),3),""))</f>
        <v/>
      </c>
      <c r="T41" s="1" t="str">
        <f t="shared" si="14"/>
        <v/>
      </c>
      <c r="U41" s="1" t="str">
        <f t="shared" si="15"/>
        <v/>
      </c>
      <c r="V41" s="1" t="str">
        <f t="shared" si="16"/>
        <v/>
      </c>
      <c r="W41" s="1" t="str" cm="1">
        <f t="array" ref="W41">_xlfn.IFNA(_xlfn.IFNA(INDEX(競技会設定!$X$25:$AC$47,MATCH(INDEX(女子エントリー!$J$7:$AH$406,MATCH($G41&amp;RIGHT(W$1,1),女子エントリー!$AH$7:$AH$406,0),1),競技会設定!$AC$25:$AC$47,0),1),INDEX(競技会設定!$X$25:$AC$47,MATCH(INDEX(女子エントリー!$R$6:$V$406,MATCH($G41&amp;RIGHT(W$1,1),女子エントリー!$V$6:$V$406,0)-MATCH($G41&amp;RIGHT(W$1,1),女子エントリー!$V$6:$V$406,0)+1,1),競技会設定!$AC$25:$AC$47,0),1)),"")</f>
        <v/>
      </c>
      <c r="X41" s="1" t="str">
        <f>IF(W41=37,リレーエントリー!$I$27,_xlfn.IFNA(INDEX(女子エントリー!$J$7:$AH$406,MATCH($G41&amp;RIGHT(Y$1,1),女子エントリー!$AH$7:$AH$406,0),3),""))</f>
        <v/>
      </c>
      <c r="Y41" s="1" t="str">
        <f t="shared" si="1"/>
        <v/>
      </c>
      <c r="Z41" s="1" t="str">
        <f t="shared" si="2"/>
        <v/>
      </c>
      <c r="AA41" s="1" t="str">
        <f t="shared" si="3"/>
        <v/>
      </c>
      <c r="AB41" s="1" t="str" cm="1">
        <f t="array" ref="AB41">_xlfn.IFNA(_xlfn.IFNA(INDEX(競技会設定!$X$25:$AC$47,MATCH(INDEX(女子エントリー!$J$7:$AH$406,MATCH($G41&amp;RIGHT(AB$1,1),女子エントリー!$AH$7:$AH$406,0),1),競技会設定!$AC$25:$AC$47,0),1),INDEX(競技会設定!$X$25:$AC$47,MATCH(INDEX(女子エントリー!$R$6:$V$406,MATCH($G41&amp;RIGHT(AB$1,1),女子エントリー!$V$6:$V$406,0)-MATCH($G41&amp;RIGHT(AB$1,1),女子エントリー!$V$6:$V$406,0)+1,1),競技会設定!$AC$25:$AC$47,0),1)),"")</f>
        <v/>
      </c>
      <c r="AC41" s="1" t="str">
        <f>IF(AB41=37,リレーエントリー!$I$27,_xlfn.IFNA(INDEX(女子エントリー!$J$7:$AH$406,MATCH($G41&amp;RIGHT(AD$1,1),女子エントリー!$AH$7:$AH$406,0),3),""))</f>
        <v/>
      </c>
      <c r="AD41" s="1" t="str">
        <f t="shared" si="4"/>
        <v/>
      </c>
      <c r="AE41" s="1" t="str">
        <f t="shared" si="5"/>
        <v/>
      </c>
      <c r="AF41" s="1" t="str">
        <f t="shared" si="6"/>
        <v/>
      </c>
      <c r="AG41" s="1" t="str" cm="1">
        <f t="array" ref="AG41">_xlfn.IFNA(_xlfn.IFNA(INDEX(競技会設定!$X$25:$AC$47,MATCH(INDEX(女子エントリー!$J$7:$AH$406,MATCH($G41&amp;RIGHT(AG$1,1),女子エントリー!$AH$7:$AH$406,0),1),競技会設定!$AC$25:$AC$47,0),1),INDEX(競技会設定!$X$25:$AC$47,MATCH(INDEX(女子エントリー!$R$6:$V$406,MATCH($G41&amp;RIGHT(AG$1,1),女子エントリー!$V$6:$V$406,0)-MATCH($G41&amp;RIGHT(AG$1,1),女子エントリー!$V$6:$V$406,0)+1,1),競技会設定!$AC$25:$AC$47,0),1)),"")</f>
        <v/>
      </c>
      <c r="AH41" s="1" t="str">
        <f>IF(AG41=37,リレーエントリー!$I$27,_xlfn.IFNA(INDEX(女子エントリー!$J$7:$AH$406,MATCH($G41&amp;RIGHT(AI$1,1),女子エントリー!$AH$7:$AH$406,0),3),""))</f>
        <v/>
      </c>
      <c r="AI41" s="1" t="str">
        <f t="shared" si="7"/>
        <v/>
      </c>
      <c r="AJ41" s="1" t="str">
        <f t="shared" si="8"/>
        <v/>
      </c>
      <c r="AK41" s="1" t="str">
        <f t="shared" si="9"/>
        <v/>
      </c>
      <c r="AL41" s="1" t="str" cm="1">
        <f t="array" ref="AL41">_xlfn.IFNA(_xlfn.IFNA(INDEX(競技会設定!$X$25:$AC$47,MATCH(INDEX(女子エントリー!$J$7:$AH$406,MATCH($G41&amp;RIGHT(AL$1,1),女子エントリー!$AH$7:$AH$406,0),1),競技会設定!$AC$25:$AC$47,0),1),INDEX(競技会設定!$X$25:$AC$47,MATCH(INDEX(女子エントリー!$R$6:$V$406,MATCH($G41&amp;RIGHT(AL$1,1),女子エントリー!$V$6:$V$406,0)-MATCH($G41&amp;RIGHT(AL$1,1),女子エントリー!$V$6:$V$406,0)+1,1),競技会設定!$AC$25:$AC$47,0),1)),"")</f>
        <v/>
      </c>
      <c r="AM41" s="1" t="str">
        <f>IF(AL41=37,リレーエントリー!$I$27,_xlfn.IFNA(INDEX(女子エントリー!$J$7:$AH$406,MATCH($G41&amp;RIGHT(AN$1,1),女子エントリー!$AH$7:$AH$406,0),3),""))</f>
        <v/>
      </c>
      <c r="AN41" s="1" t="str">
        <f t="shared" si="10"/>
        <v/>
      </c>
      <c r="AO41" s="1" t="str">
        <f t="shared" si="11"/>
        <v/>
      </c>
      <c r="AP41" s="1" t="str">
        <f t="shared" si="12"/>
        <v/>
      </c>
    </row>
    <row r="42" spans="1:42">
      <c r="A42" s="1">
        <v>41</v>
      </c>
      <c r="B42" s="92" t="str">
        <f>女子エントリー!D167</f>
        <v/>
      </c>
      <c r="C42" s="1" t="str">
        <f>基本情報!$E$6</f>
        <v/>
      </c>
      <c r="D42" s="1" t="str">
        <f>基本情報!$E$7</f>
        <v/>
      </c>
      <c r="F42" s="92">
        <f>女子エントリー!C167</f>
        <v>0</v>
      </c>
      <c r="G42" s="92" t="str">
        <f>女子エントリー!E167</f>
        <v/>
      </c>
      <c r="H42" s="92" t="str">
        <f>女子エントリー!F167</f>
        <v/>
      </c>
      <c r="I42" s="1" t="str">
        <f t="shared" si="13"/>
        <v/>
      </c>
      <c r="J42" s="1" t="e">
        <f>LEFT(女子エントリー!E169,FIND(",",LEFT(女子エントリー!E169,LEN(女子エントリー!E169)-5))-1)&amp;LEFT(RIGHT(女子エントリー!E169,LEN(女子エントリー!E169)-FIND(",",女子エントリー!E169)),LEN(RIGHT(女子エントリー!E169,LEN(女子エントリー!E169)-FIND(",",女子エントリー!E169)))-5)</f>
        <v>#VALUE!</v>
      </c>
      <c r="K42" s="92" t="str">
        <f>女子エントリー!G169</f>
        <v/>
      </c>
      <c r="L42" s="1" t="str">
        <f t="shared" si="17"/>
        <v/>
      </c>
      <c r="M42" s="92" t="str">
        <f>女子エントリー!G167</f>
        <v/>
      </c>
      <c r="N42" s="92" t="e">
        <f>MID(女子エントリー!E169,FIND("(",女子エントリー!E169)+1,2)</f>
        <v>#VALUE!</v>
      </c>
      <c r="O42" s="1">
        <v>0</v>
      </c>
      <c r="P42" s="92" t="e">
        <f>VLOOKUP(女子エントリー!G168,競技会設定!$F$3:$I$50,2,0)</f>
        <v>#N/A</v>
      </c>
      <c r="R42" s="1" t="str" cm="1">
        <f t="array" ref="R42">_xlfn.IFNA(_xlfn.IFNA(INDEX(競技会設定!$X$25:$AC$47,MATCH(INDEX(女子エントリー!$J$7:$AH$406,MATCH($G42&amp;RIGHT(R$1,1),女子エントリー!$AH$7:$AH$406,0),1),競技会設定!$AC$25:$AC$47,0),1),INDEX(競技会設定!$X$25:$AC$47,MATCH(INDEX(女子エントリー!$R$6:$V$406,MATCH($G42&amp;RIGHT(R$1,1),女子エントリー!$V$6:$V$406,0)-MATCH($G42&amp;RIGHT(R$1,1),女子エントリー!$V$6:$V$406,0)+1,1),競技会設定!$AC$25:$AC$47,0),1)),"")</f>
        <v/>
      </c>
      <c r="S42" s="1" t="str">
        <f>IF(R42=37,リレーエントリー!$I$27,_xlfn.IFNA(INDEX(女子エントリー!$J$7:$AH$406,MATCH($G42&amp;RIGHT(T$1,1),女子エントリー!$AH$7:$AH$406,0),3),""))</f>
        <v/>
      </c>
      <c r="T42" s="1" t="str">
        <f t="shared" si="14"/>
        <v/>
      </c>
      <c r="U42" s="1" t="str">
        <f t="shared" si="15"/>
        <v/>
      </c>
      <c r="V42" s="1" t="str">
        <f t="shared" si="16"/>
        <v/>
      </c>
      <c r="W42" s="1" t="str" cm="1">
        <f t="array" ref="W42">_xlfn.IFNA(_xlfn.IFNA(INDEX(競技会設定!$X$25:$AC$47,MATCH(INDEX(女子エントリー!$J$7:$AH$406,MATCH($G42&amp;RIGHT(W$1,1),女子エントリー!$AH$7:$AH$406,0),1),競技会設定!$AC$25:$AC$47,0),1),INDEX(競技会設定!$X$25:$AC$47,MATCH(INDEX(女子エントリー!$R$6:$V$406,MATCH($G42&amp;RIGHT(W$1,1),女子エントリー!$V$6:$V$406,0)-MATCH($G42&amp;RIGHT(W$1,1),女子エントリー!$V$6:$V$406,0)+1,1),競技会設定!$AC$25:$AC$47,0),1)),"")</f>
        <v/>
      </c>
      <c r="X42" s="1" t="str">
        <f>IF(W42=37,リレーエントリー!$I$27,_xlfn.IFNA(INDEX(女子エントリー!$J$7:$AH$406,MATCH($G42&amp;RIGHT(Y$1,1),女子エントリー!$AH$7:$AH$406,0),3),""))</f>
        <v/>
      </c>
      <c r="Y42" s="1" t="str">
        <f t="shared" si="1"/>
        <v/>
      </c>
      <c r="Z42" s="1" t="str">
        <f t="shared" si="2"/>
        <v/>
      </c>
      <c r="AA42" s="1" t="str">
        <f t="shared" si="3"/>
        <v/>
      </c>
      <c r="AB42" s="1" t="str" cm="1">
        <f t="array" ref="AB42">_xlfn.IFNA(_xlfn.IFNA(INDEX(競技会設定!$X$25:$AC$47,MATCH(INDEX(女子エントリー!$J$7:$AH$406,MATCH($G42&amp;RIGHT(AB$1,1),女子エントリー!$AH$7:$AH$406,0),1),競技会設定!$AC$25:$AC$47,0),1),INDEX(競技会設定!$X$25:$AC$47,MATCH(INDEX(女子エントリー!$R$6:$V$406,MATCH($G42&amp;RIGHT(AB$1,1),女子エントリー!$V$6:$V$406,0)-MATCH($G42&amp;RIGHT(AB$1,1),女子エントリー!$V$6:$V$406,0)+1,1),競技会設定!$AC$25:$AC$47,0),1)),"")</f>
        <v/>
      </c>
      <c r="AC42" s="1" t="str">
        <f>IF(AB42=37,リレーエントリー!$I$27,_xlfn.IFNA(INDEX(女子エントリー!$J$7:$AH$406,MATCH($G42&amp;RIGHT(AD$1,1),女子エントリー!$AH$7:$AH$406,0),3),""))</f>
        <v/>
      </c>
      <c r="AD42" s="1" t="str">
        <f t="shared" si="4"/>
        <v/>
      </c>
      <c r="AE42" s="1" t="str">
        <f t="shared" si="5"/>
        <v/>
      </c>
      <c r="AF42" s="1" t="str">
        <f t="shared" si="6"/>
        <v/>
      </c>
      <c r="AG42" s="1" t="str" cm="1">
        <f t="array" ref="AG42">_xlfn.IFNA(_xlfn.IFNA(INDEX(競技会設定!$X$25:$AC$47,MATCH(INDEX(女子エントリー!$J$7:$AH$406,MATCH($G42&amp;RIGHT(AG$1,1),女子エントリー!$AH$7:$AH$406,0),1),競技会設定!$AC$25:$AC$47,0),1),INDEX(競技会設定!$X$25:$AC$47,MATCH(INDEX(女子エントリー!$R$6:$V$406,MATCH($G42&amp;RIGHT(AG$1,1),女子エントリー!$V$6:$V$406,0)-MATCH($G42&amp;RIGHT(AG$1,1),女子エントリー!$V$6:$V$406,0)+1,1),競技会設定!$AC$25:$AC$47,0),1)),"")</f>
        <v/>
      </c>
      <c r="AH42" s="1" t="str">
        <f>IF(AG42=37,リレーエントリー!$I$27,_xlfn.IFNA(INDEX(女子エントリー!$J$7:$AH$406,MATCH($G42&amp;RIGHT(AI$1,1),女子エントリー!$AH$7:$AH$406,0),3),""))</f>
        <v/>
      </c>
      <c r="AI42" s="1" t="str">
        <f t="shared" si="7"/>
        <v/>
      </c>
      <c r="AJ42" s="1" t="str">
        <f t="shared" si="8"/>
        <v/>
      </c>
      <c r="AK42" s="1" t="str">
        <f t="shared" si="9"/>
        <v/>
      </c>
      <c r="AL42" s="1" t="str" cm="1">
        <f t="array" ref="AL42">_xlfn.IFNA(_xlfn.IFNA(INDEX(競技会設定!$X$25:$AC$47,MATCH(INDEX(女子エントリー!$J$7:$AH$406,MATCH($G42&amp;RIGHT(AL$1,1),女子エントリー!$AH$7:$AH$406,0),1),競技会設定!$AC$25:$AC$47,0),1),INDEX(競技会設定!$X$25:$AC$47,MATCH(INDEX(女子エントリー!$R$6:$V$406,MATCH($G42&amp;RIGHT(AL$1,1),女子エントリー!$V$6:$V$406,0)-MATCH($G42&amp;RIGHT(AL$1,1),女子エントリー!$V$6:$V$406,0)+1,1),競技会設定!$AC$25:$AC$47,0),1)),"")</f>
        <v/>
      </c>
      <c r="AM42" s="1" t="str">
        <f>IF(AL42=37,リレーエントリー!$I$27,_xlfn.IFNA(INDEX(女子エントリー!$J$7:$AH$406,MATCH($G42&amp;RIGHT(AN$1,1),女子エントリー!$AH$7:$AH$406,0),3),""))</f>
        <v/>
      </c>
      <c r="AN42" s="1" t="str">
        <f t="shared" si="10"/>
        <v/>
      </c>
      <c r="AO42" s="1" t="str">
        <f t="shared" si="11"/>
        <v/>
      </c>
      <c r="AP42" s="1" t="str">
        <f t="shared" si="12"/>
        <v/>
      </c>
    </row>
    <row r="43" spans="1:42">
      <c r="A43" s="1">
        <v>42</v>
      </c>
      <c r="B43" s="92" t="str">
        <f>女子エントリー!D171</f>
        <v/>
      </c>
      <c r="C43" s="1" t="str">
        <f>基本情報!$E$6</f>
        <v/>
      </c>
      <c r="D43" s="1" t="str">
        <f>基本情報!$E$7</f>
        <v/>
      </c>
      <c r="F43" s="92">
        <f>女子エントリー!C171</f>
        <v>0</v>
      </c>
      <c r="G43" s="92" t="str">
        <f>女子エントリー!E171</f>
        <v/>
      </c>
      <c r="H43" s="92" t="str">
        <f>女子エントリー!F171</f>
        <v/>
      </c>
      <c r="I43" s="1" t="str">
        <f t="shared" si="13"/>
        <v/>
      </c>
      <c r="J43" s="1" t="e">
        <f>LEFT(女子エントリー!E173,FIND(",",LEFT(女子エントリー!E173,LEN(女子エントリー!E173)-5))-1)&amp;LEFT(RIGHT(女子エントリー!E173,LEN(女子エントリー!E173)-FIND(",",女子エントリー!E173)),LEN(RIGHT(女子エントリー!E173,LEN(女子エントリー!E173)-FIND(",",女子エントリー!E173)))-5)</f>
        <v>#VALUE!</v>
      </c>
      <c r="K43" s="92" t="str">
        <f>女子エントリー!G173</f>
        <v/>
      </c>
      <c r="L43" s="1" t="str">
        <f t="shared" si="17"/>
        <v/>
      </c>
      <c r="M43" s="92" t="str">
        <f>女子エントリー!G171</f>
        <v/>
      </c>
      <c r="N43" s="92" t="e">
        <f>MID(女子エントリー!E173,FIND("(",女子エントリー!E173)+1,2)</f>
        <v>#VALUE!</v>
      </c>
      <c r="O43" s="1">
        <v>0</v>
      </c>
      <c r="P43" s="92" t="e">
        <f>VLOOKUP(女子エントリー!G172,競技会設定!$F$3:$I$50,2,0)</f>
        <v>#N/A</v>
      </c>
      <c r="R43" s="1" t="str" cm="1">
        <f t="array" ref="R43">_xlfn.IFNA(_xlfn.IFNA(INDEX(競技会設定!$X$25:$AC$47,MATCH(INDEX(女子エントリー!$J$7:$AH$406,MATCH($G43&amp;RIGHT(R$1,1),女子エントリー!$AH$7:$AH$406,0),1),競技会設定!$AC$25:$AC$47,0),1),INDEX(競技会設定!$X$25:$AC$47,MATCH(INDEX(女子エントリー!$R$6:$V$406,MATCH($G43&amp;RIGHT(R$1,1),女子エントリー!$V$6:$V$406,0)-MATCH($G43&amp;RIGHT(R$1,1),女子エントリー!$V$6:$V$406,0)+1,1),競技会設定!$AC$25:$AC$47,0),1)),"")</f>
        <v/>
      </c>
      <c r="S43" s="1" t="str">
        <f>IF(R43=37,リレーエントリー!$I$27,_xlfn.IFNA(INDEX(女子エントリー!$J$7:$AH$406,MATCH($G43&amp;RIGHT(T$1,1),女子エントリー!$AH$7:$AH$406,0),3),""))</f>
        <v/>
      </c>
      <c r="T43" s="1" t="str">
        <f t="shared" si="14"/>
        <v/>
      </c>
      <c r="U43" s="1" t="str">
        <f t="shared" si="15"/>
        <v/>
      </c>
      <c r="V43" s="1" t="str">
        <f t="shared" si="16"/>
        <v/>
      </c>
      <c r="W43" s="1" t="str" cm="1">
        <f t="array" ref="W43">_xlfn.IFNA(_xlfn.IFNA(INDEX(競技会設定!$X$25:$AC$47,MATCH(INDEX(女子エントリー!$J$7:$AH$406,MATCH($G43&amp;RIGHT(W$1,1),女子エントリー!$AH$7:$AH$406,0),1),競技会設定!$AC$25:$AC$47,0),1),INDEX(競技会設定!$X$25:$AC$47,MATCH(INDEX(女子エントリー!$R$6:$V$406,MATCH($G43&amp;RIGHT(W$1,1),女子エントリー!$V$6:$V$406,0)-MATCH($G43&amp;RIGHT(W$1,1),女子エントリー!$V$6:$V$406,0)+1,1),競技会設定!$AC$25:$AC$47,0),1)),"")</f>
        <v/>
      </c>
      <c r="X43" s="1" t="str">
        <f>IF(W43=37,リレーエントリー!$I$27,_xlfn.IFNA(INDEX(女子エントリー!$J$7:$AH$406,MATCH($G43&amp;RIGHT(Y$1,1),女子エントリー!$AH$7:$AH$406,0),3),""))</f>
        <v/>
      </c>
      <c r="Y43" s="1" t="str">
        <f t="shared" si="1"/>
        <v/>
      </c>
      <c r="Z43" s="1" t="str">
        <f t="shared" si="2"/>
        <v/>
      </c>
      <c r="AA43" s="1" t="str">
        <f t="shared" si="3"/>
        <v/>
      </c>
      <c r="AB43" s="1" t="str" cm="1">
        <f t="array" ref="AB43">_xlfn.IFNA(_xlfn.IFNA(INDEX(競技会設定!$X$25:$AC$47,MATCH(INDEX(女子エントリー!$J$7:$AH$406,MATCH($G43&amp;RIGHT(AB$1,1),女子エントリー!$AH$7:$AH$406,0),1),競技会設定!$AC$25:$AC$47,0),1),INDEX(競技会設定!$X$25:$AC$47,MATCH(INDEX(女子エントリー!$R$6:$V$406,MATCH($G43&amp;RIGHT(AB$1,1),女子エントリー!$V$6:$V$406,0)-MATCH($G43&amp;RIGHT(AB$1,1),女子エントリー!$V$6:$V$406,0)+1,1),競技会設定!$AC$25:$AC$47,0),1)),"")</f>
        <v/>
      </c>
      <c r="AC43" s="1" t="str">
        <f>IF(AB43=37,リレーエントリー!$I$27,_xlfn.IFNA(INDEX(女子エントリー!$J$7:$AH$406,MATCH($G43&amp;RIGHT(AD$1,1),女子エントリー!$AH$7:$AH$406,0),3),""))</f>
        <v/>
      </c>
      <c r="AD43" s="1" t="str">
        <f t="shared" si="4"/>
        <v/>
      </c>
      <c r="AE43" s="1" t="str">
        <f t="shared" si="5"/>
        <v/>
      </c>
      <c r="AF43" s="1" t="str">
        <f t="shared" si="6"/>
        <v/>
      </c>
      <c r="AG43" s="1" t="str" cm="1">
        <f t="array" ref="AG43">_xlfn.IFNA(_xlfn.IFNA(INDEX(競技会設定!$X$25:$AC$47,MATCH(INDEX(女子エントリー!$J$7:$AH$406,MATCH($G43&amp;RIGHT(AG$1,1),女子エントリー!$AH$7:$AH$406,0),1),競技会設定!$AC$25:$AC$47,0),1),INDEX(競技会設定!$X$25:$AC$47,MATCH(INDEX(女子エントリー!$R$6:$V$406,MATCH($G43&amp;RIGHT(AG$1,1),女子エントリー!$V$6:$V$406,0)-MATCH($G43&amp;RIGHT(AG$1,1),女子エントリー!$V$6:$V$406,0)+1,1),競技会設定!$AC$25:$AC$47,0),1)),"")</f>
        <v/>
      </c>
      <c r="AH43" s="1" t="str">
        <f>IF(AG43=37,リレーエントリー!$I$27,_xlfn.IFNA(INDEX(女子エントリー!$J$7:$AH$406,MATCH($G43&amp;RIGHT(AI$1,1),女子エントリー!$AH$7:$AH$406,0),3),""))</f>
        <v/>
      </c>
      <c r="AI43" s="1" t="str">
        <f t="shared" si="7"/>
        <v/>
      </c>
      <c r="AJ43" s="1" t="str">
        <f t="shared" si="8"/>
        <v/>
      </c>
      <c r="AK43" s="1" t="str">
        <f t="shared" si="9"/>
        <v/>
      </c>
      <c r="AL43" s="1" t="str" cm="1">
        <f t="array" ref="AL43">_xlfn.IFNA(_xlfn.IFNA(INDEX(競技会設定!$X$25:$AC$47,MATCH(INDEX(女子エントリー!$J$7:$AH$406,MATCH($G43&amp;RIGHT(AL$1,1),女子エントリー!$AH$7:$AH$406,0),1),競技会設定!$AC$25:$AC$47,0),1),INDEX(競技会設定!$X$25:$AC$47,MATCH(INDEX(女子エントリー!$R$6:$V$406,MATCH($G43&amp;RIGHT(AL$1,1),女子エントリー!$V$6:$V$406,0)-MATCH($G43&amp;RIGHT(AL$1,1),女子エントリー!$V$6:$V$406,0)+1,1),競技会設定!$AC$25:$AC$47,0),1)),"")</f>
        <v/>
      </c>
      <c r="AM43" s="1" t="str">
        <f>IF(AL43=37,リレーエントリー!$I$27,_xlfn.IFNA(INDEX(女子エントリー!$J$7:$AH$406,MATCH($G43&amp;RIGHT(AN$1,1),女子エントリー!$AH$7:$AH$406,0),3),""))</f>
        <v/>
      </c>
      <c r="AN43" s="1" t="str">
        <f t="shared" si="10"/>
        <v/>
      </c>
      <c r="AO43" s="1" t="str">
        <f t="shared" si="11"/>
        <v/>
      </c>
      <c r="AP43" s="1" t="str">
        <f t="shared" si="12"/>
        <v/>
      </c>
    </row>
    <row r="44" spans="1:42">
      <c r="A44" s="1">
        <v>43</v>
      </c>
      <c r="B44" s="92" t="str">
        <f>女子エントリー!D175</f>
        <v/>
      </c>
      <c r="C44" s="1" t="str">
        <f>基本情報!$E$6</f>
        <v/>
      </c>
      <c r="D44" s="1" t="str">
        <f>基本情報!$E$7</f>
        <v/>
      </c>
      <c r="F44" s="92">
        <f>女子エントリー!C175</f>
        <v>0</v>
      </c>
      <c r="G44" s="92" t="str">
        <f>女子エントリー!E175</f>
        <v/>
      </c>
      <c r="H44" s="92" t="str">
        <f>女子エントリー!F175</f>
        <v/>
      </c>
      <c r="I44" s="1" t="str">
        <f t="shared" si="13"/>
        <v/>
      </c>
      <c r="J44" s="1" t="e">
        <f>LEFT(女子エントリー!E177,FIND(",",LEFT(女子エントリー!E177,LEN(女子エントリー!E177)-5))-1)&amp;LEFT(RIGHT(女子エントリー!E177,LEN(女子エントリー!E177)-FIND(",",女子エントリー!E177)),LEN(RIGHT(女子エントリー!E177,LEN(女子エントリー!E177)-FIND(",",女子エントリー!E177)))-5)</f>
        <v>#VALUE!</v>
      </c>
      <c r="K44" s="92" t="str">
        <f>女子エントリー!G177</f>
        <v/>
      </c>
      <c r="L44" s="1" t="str">
        <f t="shared" si="17"/>
        <v/>
      </c>
      <c r="M44" s="92" t="str">
        <f>女子エントリー!G175</f>
        <v/>
      </c>
      <c r="N44" s="92" t="e">
        <f>MID(女子エントリー!E177,FIND("(",女子エントリー!E177)+1,2)</f>
        <v>#VALUE!</v>
      </c>
      <c r="O44" s="1">
        <v>0</v>
      </c>
      <c r="P44" s="92" t="e">
        <f>VLOOKUP(女子エントリー!G176,競技会設定!$F$3:$I$50,2,0)</f>
        <v>#N/A</v>
      </c>
      <c r="R44" s="1" t="str" cm="1">
        <f t="array" ref="R44">_xlfn.IFNA(_xlfn.IFNA(INDEX(競技会設定!$X$25:$AC$47,MATCH(INDEX(女子エントリー!$J$7:$AH$406,MATCH($G44&amp;RIGHT(R$1,1),女子エントリー!$AH$7:$AH$406,0),1),競技会設定!$AC$25:$AC$47,0),1),INDEX(競技会設定!$X$25:$AC$47,MATCH(INDEX(女子エントリー!$R$6:$V$406,MATCH($G44&amp;RIGHT(R$1,1),女子エントリー!$V$6:$V$406,0)-MATCH($G44&amp;RIGHT(R$1,1),女子エントリー!$V$6:$V$406,0)+1,1),競技会設定!$AC$25:$AC$47,0),1)),"")</f>
        <v/>
      </c>
      <c r="S44" s="1" t="str">
        <f>IF(R44=37,リレーエントリー!$I$27,_xlfn.IFNA(INDEX(女子エントリー!$J$7:$AH$406,MATCH($G44&amp;RIGHT(T$1,1),女子エントリー!$AH$7:$AH$406,0),3),""))</f>
        <v/>
      </c>
      <c r="T44" s="1" t="str">
        <f t="shared" si="14"/>
        <v/>
      </c>
      <c r="U44" s="1" t="str">
        <f t="shared" si="15"/>
        <v/>
      </c>
      <c r="V44" s="1" t="str">
        <f t="shared" si="16"/>
        <v/>
      </c>
      <c r="W44" s="1" t="str" cm="1">
        <f t="array" ref="W44">_xlfn.IFNA(_xlfn.IFNA(INDEX(競技会設定!$X$25:$AC$47,MATCH(INDEX(女子エントリー!$J$7:$AH$406,MATCH($G44&amp;RIGHT(W$1,1),女子エントリー!$AH$7:$AH$406,0),1),競技会設定!$AC$25:$AC$47,0),1),INDEX(競技会設定!$X$25:$AC$47,MATCH(INDEX(女子エントリー!$R$6:$V$406,MATCH($G44&amp;RIGHT(W$1,1),女子エントリー!$V$6:$V$406,0)-MATCH($G44&amp;RIGHT(W$1,1),女子エントリー!$V$6:$V$406,0)+1,1),競技会設定!$AC$25:$AC$47,0),1)),"")</f>
        <v/>
      </c>
      <c r="X44" s="1" t="str">
        <f>IF(W44=37,リレーエントリー!$I$27,_xlfn.IFNA(INDEX(女子エントリー!$J$7:$AH$406,MATCH($G44&amp;RIGHT(Y$1,1),女子エントリー!$AH$7:$AH$406,0),3),""))</f>
        <v/>
      </c>
      <c r="Y44" s="1" t="str">
        <f t="shared" si="1"/>
        <v/>
      </c>
      <c r="Z44" s="1" t="str">
        <f t="shared" si="2"/>
        <v/>
      </c>
      <c r="AA44" s="1" t="str">
        <f t="shared" si="3"/>
        <v/>
      </c>
      <c r="AB44" s="1" t="str" cm="1">
        <f t="array" ref="AB44">_xlfn.IFNA(_xlfn.IFNA(INDEX(競技会設定!$X$25:$AC$47,MATCH(INDEX(女子エントリー!$J$7:$AH$406,MATCH($G44&amp;RIGHT(AB$1,1),女子エントリー!$AH$7:$AH$406,0),1),競技会設定!$AC$25:$AC$47,0),1),INDEX(競技会設定!$X$25:$AC$47,MATCH(INDEX(女子エントリー!$R$6:$V$406,MATCH($G44&amp;RIGHT(AB$1,1),女子エントリー!$V$6:$V$406,0)-MATCH($G44&amp;RIGHT(AB$1,1),女子エントリー!$V$6:$V$406,0)+1,1),競技会設定!$AC$25:$AC$47,0),1)),"")</f>
        <v/>
      </c>
      <c r="AC44" s="1" t="str">
        <f>IF(AB44=37,リレーエントリー!$I$27,_xlfn.IFNA(INDEX(女子エントリー!$J$7:$AH$406,MATCH($G44&amp;RIGHT(AD$1,1),女子エントリー!$AH$7:$AH$406,0),3),""))</f>
        <v/>
      </c>
      <c r="AD44" s="1" t="str">
        <f t="shared" si="4"/>
        <v/>
      </c>
      <c r="AE44" s="1" t="str">
        <f t="shared" si="5"/>
        <v/>
      </c>
      <c r="AF44" s="1" t="str">
        <f t="shared" si="6"/>
        <v/>
      </c>
      <c r="AG44" s="1" t="str" cm="1">
        <f t="array" ref="AG44">_xlfn.IFNA(_xlfn.IFNA(INDEX(競技会設定!$X$25:$AC$47,MATCH(INDEX(女子エントリー!$J$7:$AH$406,MATCH($G44&amp;RIGHT(AG$1,1),女子エントリー!$AH$7:$AH$406,0),1),競技会設定!$AC$25:$AC$47,0),1),INDEX(競技会設定!$X$25:$AC$47,MATCH(INDEX(女子エントリー!$R$6:$V$406,MATCH($G44&amp;RIGHT(AG$1,1),女子エントリー!$V$6:$V$406,0)-MATCH($G44&amp;RIGHT(AG$1,1),女子エントリー!$V$6:$V$406,0)+1,1),競技会設定!$AC$25:$AC$47,0),1)),"")</f>
        <v/>
      </c>
      <c r="AH44" s="1" t="str">
        <f>IF(AG44=37,リレーエントリー!$I$27,_xlfn.IFNA(INDEX(女子エントリー!$J$7:$AH$406,MATCH($G44&amp;RIGHT(AI$1,1),女子エントリー!$AH$7:$AH$406,0),3),""))</f>
        <v/>
      </c>
      <c r="AI44" s="1" t="str">
        <f t="shared" si="7"/>
        <v/>
      </c>
      <c r="AJ44" s="1" t="str">
        <f t="shared" si="8"/>
        <v/>
      </c>
      <c r="AK44" s="1" t="str">
        <f t="shared" si="9"/>
        <v/>
      </c>
      <c r="AL44" s="1" t="str" cm="1">
        <f t="array" ref="AL44">_xlfn.IFNA(_xlfn.IFNA(INDEX(競技会設定!$X$25:$AC$47,MATCH(INDEX(女子エントリー!$J$7:$AH$406,MATCH($G44&amp;RIGHT(AL$1,1),女子エントリー!$AH$7:$AH$406,0),1),競技会設定!$AC$25:$AC$47,0),1),INDEX(競技会設定!$X$25:$AC$47,MATCH(INDEX(女子エントリー!$R$6:$V$406,MATCH($G44&amp;RIGHT(AL$1,1),女子エントリー!$V$6:$V$406,0)-MATCH($G44&amp;RIGHT(AL$1,1),女子エントリー!$V$6:$V$406,0)+1,1),競技会設定!$AC$25:$AC$47,0),1)),"")</f>
        <v/>
      </c>
      <c r="AM44" s="1" t="str">
        <f>IF(AL44=37,リレーエントリー!$I$27,_xlfn.IFNA(INDEX(女子エントリー!$J$7:$AH$406,MATCH($G44&amp;RIGHT(AN$1,1),女子エントリー!$AH$7:$AH$406,0),3),""))</f>
        <v/>
      </c>
      <c r="AN44" s="1" t="str">
        <f t="shared" si="10"/>
        <v/>
      </c>
      <c r="AO44" s="1" t="str">
        <f t="shared" si="11"/>
        <v/>
      </c>
      <c r="AP44" s="1" t="str">
        <f t="shared" si="12"/>
        <v/>
      </c>
    </row>
    <row r="45" spans="1:42">
      <c r="A45" s="1">
        <v>44</v>
      </c>
      <c r="B45" s="92" t="str">
        <f>女子エントリー!D179</f>
        <v/>
      </c>
      <c r="C45" s="1" t="str">
        <f>基本情報!$E$6</f>
        <v/>
      </c>
      <c r="D45" s="1" t="str">
        <f>基本情報!$E$7</f>
        <v/>
      </c>
      <c r="F45" s="92">
        <f>女子エントリー!C179</f>
        <v>0</v>
      </c>
      <c r="G45" s="92" t="str">
        <f>女子エントリー!E179</f>
        <v/>
      </c>
      <c r="H45" s="92" t="str">
        <f>女子エントリー!F179</f>
        <v/>
      </c>
      <c r="I45" s="1" t="str">
        <f t="shared" si="13"/>
        <v/>
      </c>
      <c r="J45" s="1" t="e">
        <f>LEFT(女子エントリー!E181,FIND(",",LEFT(女子エントリー!E181,LEN(女子エントリー!E181)-5))-1)&amp;LEFT(RIGHT(女子エントリー!E181,LEN(女子エントリー!E181)-FIND(",",女子エントリー!E181)),LEN(RIGHT(女子エントリー!E181,LEN(女子エントリー!E181)-FIND(",",女子エントリー!E181)))-5)</f>
        <v>#VALUE!</v>
      </c>
      <c r="K45" s="92" t="str">
        <f>女子エントリー!G181</f>
        <v/>
      </c>
      <c r="L45" s="1" t="str">
        <f t="shared" si="17"/>
        <v/>
      </c>
      <c r="M45" s="92" t="str">
        <f>女子エントリー!G179</f>
        <v/>
      </c>
      <c r="N45" s="92" t="e">
        <f>MID(女子エントリー!E181,FIND("(",女子エントリー!E181)+1,2)</f>
        <v>#VALUE!</v>
      </c>
      <c r="O45" s="1">
        <v>0</v>
      </c>
      <c r="P45" s="92" t="e">
        <f>VLOOKUP(女子エントリー!G180,競技会設定!$F$3:$I$50,2,0)</f>
        <v>#N/A</v>
      </c>
      <c r="R45" s="1" t="str" cm="1">
        <f t="array" ref="R45">_xlfn.IFNA(_xlfn.IFNA(INDEX(競技会設定!$X$25:$AC$47,MATCH(INDEX(女子エントリー!$J$7:$AH$406,MATCH($G45&amp;RIGHT(R$1,1),女子エントリー!$AH$7:$AH$406,0),1),競技会設定!$AC$25:$AC$47,0),1),INDEX(競技会設定!$X$25:$AC$47,MATCH(INDEX(女子エントリー!$R$6:$V$406,MATCH($G45&amp;RIGHT(R$1,1),女子エントリー!$V$6:$V$406,0)-MATCH($G45&amp;RIGHT(R$1,1),女子エントリー!$V$6:$V$406,0)+1,1),競技会設定!$AC$25:$AC$47,0),1)),"")</f>
        <v/>
      </c>
      <c r="S45" s="1" t="str">
        <f>IF(R45=37,リレーエントリー!$I$27,_xlfn.IFNA(INDEX(女子エントリー!$J$7:$AH$406,MATCH($G45&amp;RIGHT(T$1,1),女子エントリー!$AH$7:$AH$406,0),3),""))</f>
        <v/>
      </c>
      <c r="T45" s="1" t="str">
        <f t="shared" si="14"/>
        <v/>
      </c>
      <c r="U45" s="1" t="str">
        <f t="shared" si="15"/>
        <v/>
      </c>
      <c r="V45" s="1" t="str">
        <f t="shared" si="16"/>
        <v/>
      </c>
      <c r="W45" s="1" t="str" cm="1">
        <f t="array" ref="W45">_xlfn.IFNA(_xlfn.IFNA(INDEX(競技会設定!$X$25:$AC$47,MATCH(INDEX(女子エントリー!$J$7:$AH$406,MATCH($G45&amp;RIGHT(W$1,1),女子エントリー!$AH$7:$AH$406,0),1),競技会設定!$AC$25:$AC$47,0),1),INDEX(競技会設定!$X$25:$AC$47,MATCH(INDEX(女子エントリー!$R$6:$V$406,MATCH($G45&amp;RIGHT(W$1,1),女子エントリー!$V$6:$V$406,0)-MATCH($G45&amp;RIGHT(W$1,1),女子エントリー!$V$6:$V$406,0)+1,1),競技会設定!$AC$25:$AC$47,0),1)),"")</f>
        <v/>
      </c>
      <c r="X45" s="1" t="str">
        <f>IF(W45=37,リレーエントリー!$I$27,_xlfn.IFNA(INDEX(女子エントリー!$J$7:$AH$406,MATCH($G45&amp;RIGHT(Y$1,1),女子エントリー!$AH$7:$AH$406,0),3),""))</f>
        <v/>
      </c>
      <c r="Y45" s="1" t="str">
        <f t="shared" si="1"/>
        <v/>
      </c>
      <c r="Z45" s="1" t="str">
        <f t="shared" si="2"/>
        <v/>
      </c>
      <c r="AA45" s="1" t="str">
        <f t="shared" si="3"/>
        <v/>
      </c>
      <c r="AB45" s="1" t="str" cm="1">
        <f t="array" ref="AB45">_xlfn.IFNA(_xlfn.IFNA(INDEX(競技会設定!$X$25:$AC$47,MATCH(INDEX(女子エントリー!$J$7:$AH$406,MATCH($G45&amp;RIGHT(AB$1,1),女子エントリー!$AH$7:$AH$406,0),1),競技会設定!$AC$25:$AC$47,0),1),INDEX(競技会設定!$X$25:$AC$47,MATCH(INDEX(女子エントリー!$R$6:$V$406,MATCH($G45&amp;RIGHT(AB$1,1),女子エントリー!$V$6:$V$406,0)-MATCH($G45&amp;RIGHT(AB$1,1),女子エントリー!$V$6:$V$406,0)+1,1),競技会設定!$AC$25:$AC$47,0),1)),"")</f>
        <v/>
      </c>
      <c r="AC45" s="1" t="str">
        <f>IF(AB45=37,リレーエントリー!$I$27,_xlfn.IFNA(INDEX(女子エントリー!$J$7:$AH$406,MATCH($G45&amp;RIGHT(AD$1,1),女子エントリー!$AH$7:$AH$406,0),3),""))</f>
        <v/>
      </c>
      <c r="AD45" s="1" t="str">
        <f t="shared" si="4"/>
        <v/>
      </c>
      <c r="AE45" s="1" t="str">
        <f t="shared" si="5"/>
        <v/>
      </c>
      <c r="AF45" s="1" t="str">
        <f t="shared" si="6"/>
        <v/>
      </c>
      <c r="AG45" s="1" t="str" cm="1">
        <f t="array" ref="AG45">_xlfn.IFNA(_xlfn.IFNA(INDEX(競技会設定!$X$25:$AC$47,MATCH(INDEX(女子エントリー!$J$7:$AH$406,MATCH($G45&amp;RIGHT(AG$1,1),女子エントリー!$AH$7:$AH$406,0),1),競技会設定!$AC$25:$AC$47,0),1),INDEX(競技会設定!$X$25:$AC$47,MATCH(INDEX(女子エントリー!$R$6:$V$406,MATCH($G45&amp;RIGHT(AG$1,1),女子エントリー!$V$6:$V$406,0)-MATCH($G45&amp;RIGHT(AG$1,1),女子エントリー!$V$6:$V$406,0)+1,1),競技会設定!$AC$25:$AC$47,0),1)),"")</f>
        <v/>
      </c>
      <c r="AH45" s="1" t="str">
        <f>IF(AG45=37,リレーエントリー!$I$27,_xlfn.IFNA(INDEX(女子エントリー!$J$7:$AH$406,MATCH($G45&amp;RIGHT(AI$1,1),女子エントリー!$AH$7:$AH$406,0),3),""))</f>
        <v/>
      </c>
      <c r="AI45" s="1" t="str">
        <f t="shared" si="7"/>
        <v/>
      </c>
      <c r="AJ45" s="1" t="str">
        <f t="shared" si="8"/>
        <v/>
      </c>
      <c r="AK45" s="1" t="str">
        <f t="shared" si="9"/>
        <v/>
      </c>
      <c r="AL45" s="1" t="str" cm="1">
        <f t="array" ref="AL45">_xlfn.IFNA(_xlfn.IFNA(INDEX(競技会設定!$X$25:$AC$47,MATCH(INDEX(女子エントリー!$J$7:$AH$406,MATCH($G45&amp;RIGHT(AL$1,1),女子エントリー!$AH$7:$AH$406,0),1),競技会設定!$AC$25:$AC$47,0),1),INDEX(競技会設定!$X$25:$AC$47,MATCH(INDEX(女子エントリー!$R$6:$V$406,MATCH($G45&amp;RIGHT(AL$1,1),女子エントリー!$V$6:$V$406,0)-MATCH($G45&amp;RIGHT(AL$1,1),女子エントリー!$V$6:$V$406,0)+1,1),競技会設定!$AC$25:$AC$47,0),1)),"")</f>
        <v/>
      </c>
      <c r="AM45" s="1" t="str">
        <f>IF(AL45=37,リレーエントリー!$I$27,_xlfn.IFNA(INDEX(女子エントリー!$J$7:$AH$406,MATCH($G45&amp;RIGHT(AN$1,1),女子エントリー!$AH$7:$AH$406,0),3),""))</f>
        <v/>
      </c>
      <c r="AN45" s="1" t="str">
        <f t="shared" si="10"/>
        <v/>
      </c>
      <c r="AO45" s="1" t="str">
        <f t="shared" si="11"/>
        <v/>
      </c>
      <c r="AP45" s="1" t="str">
        <f t="shared" si="12"/>
        <v/>
      </c>
    </row>
    <row r="46" spans="1:42">
      <c r="A46" s="1">
        <v>45</v>
      </c>
      <c r="B46" s="92" t="str">
        <f>女子エントリー!D183</f>
        <v/>
      </c>
      <c r="C46" s="1" t="str">
        <f>基本情報!$E$6</f>
        <v/>
      </c>
      <c r="D46" s="1" t="str">
        <f>基本情報!$E$7</f>
        <v/>
      </c>
      <c r="F46" s="92">
        <f>女子エントリー!C183</f>
        <v>0</v>
      </c>
      <c r="G46" s="92" t="str">
        <f>女子エントリー!E183</f>
        <v/>
      </c>
      <c r="H46" s="92" t="str">
        <f>女子エントリー!F183</f>
        <v/>
      </c>
      <c r="I46" s="1" t="str">
        <f t="shared" si="13"/>
        <v/>
      </c>
      <c r="J46" s="1" t="e">
        <f>LEFT(女子エントリー!E185,FIND(",",LEFT(女子エントリー!E185,LEN(女子エントリー!E185)-5))-1)&amp;LEFT(RIGHT(女子エントリー!E185,LEN(女子エントリー!E185)-FIND(",",女子エントリー!E185)),LEN(RIGHT(女子エントリー!E185,LEN(女子エントリー!E185)-FIND(",",女子エントリー!E185)))-5)</f>
        <v>#VALUE!</v>
      </c>
      <c r="K46" s="92" t="str">
        <f>女子エントリー!G185</f>
        <v/>
      </c>
      <c r="L46" s="1" t="str">
        <f t="shared" si="17"/>
        <v/>
      </c>
      <c r="M46" s="92" t="str">
        <f>女子エントリー!G183</f>
        <v/>
      </c>
      <c r="N46" s="92" t="e">
        <f>MID(女子エントリー!E185,FIND("(",女子エントリー!E185)+1,2)</f>
        <v>#VALUE!</v>
      </c>
      <c r="O46" s="1">
        <v>0</v>
      </c>
      <c r="P46" s="92" t="e">
        <f>VLOOKUP(女子エントリー!G184,競技会設定!$F$3:$I$50,2,0)</f>
        <v>#N/A</v>
      </c>
      <c r="R46" s="1" t="str" cm="1">
        <f t="array" ref="R46">_xlfn.IFNA(_xlfn.IFNA(INDEX(競技会設定!$X$25:$AC$47,MATCH(INDEX(女子エントリー!$J$7:$AH$406,MATCH($G46&amp;RIGHT(R$1,1),女子エントリー!$AH$7:$AH$406,0),1),競技会設定!$AC$25:$AC$47,0),1),INDEX(競技会設定!$X$25:$AC$47,MATCH(INDEX(女子エントリー!$R$6:$V$406,MATCH($G46&amp;RIGHT(R$1,1),女子エントリー!$V$6:$V$406,0)-MATCH($G46&amp;RIGHT(R$1,1),女子エントリー!$V$6:$V$406,0)+1,1),競技会設定!$AC$25:$AC$47,0),1)),"")</f>
        <v/>
      </c>
      <c r="S46" s="1" t="str">
        <f>IF(R46=37,リレーエントリー!$I$27,_xlfn.IFNA(INDEX(女子エントリー!$J$7:$AH$406,MATCH($G46&amp;RIGHT(T$1,1),女子エントリー!$AH$7:$AH$406,0),3),""))</f>
        <v/>
      </c>
      <c r="T46" s="1" t="str">
        <f t="shared" si="14"/>
        <v/>
      </c>
      <c r="U46" s="1" t="str">
        <f t="shared" si="15"/>
        <v/>
      </c>
      <c r="V46" s="1" t="str">
        <f t="shared" si="16"/>
        <v/>
      </c>
      <c r="W46" s="1" t="str" cm="1">
        <f t="array" ref="W46">_xlfn.IFNA(_xlfn.IFNA(INDEX(競技会設定!$X$25:$AC$47,MATCH(INDEX(女子エントリー!$J$7:$AH$406,MATCH($G46&amp;RIGHT(W$1,1),女子エントリー!$AH$7:$AH$406,0),1),競技会設定!$AC$25:$AC$47,0),1),INDEX(競技会設定!$X$25:$AC$47,MATCH(INDEX(女子エントリー!$R$6:$V$406,MATCH($G46&amp;RIGHT(W$1,1),女子エントリー!$V$6:$V$406,0)-MATCH($G46&amp;RIGHT(W$1,1),女子エントリー!$V$6:$V$406,0)+1,1),競技会設定!$AC$25:$AC$47,0),1)),"")</f>
        <v/>
      </c>
      <c r="X46" s="1" t="str">
        <f>IF(W46=37,リレーエントリー!$I$27,_xlfn.IFNA(INDEX(女子エントリー!$J$7:$AH$406,MATCH($G46&amp;RIGHT(Y$1,1),女子エントリー!$AH$7:$AH$406,0),3),""))</f>
        <v/>
      </c>
      <c r="Y46" s="1" t="str">
        <f t="shared" si="1"/>
        <v/>
      </c>
      <c r="Z46" s="1" t="str">
        <f t="shared" si="2"/>
        <v/>
      </c>
      <c r="AA46" s="1" t="str">
        <f t="shared" si="3"/>
        <v/>
      </c>
      <c r="AB46" s="1" t="str" cm="1">
        <f t="array" ref="AB46">_xlfn.IFNA(_xlfn.IFNA(INDEX(競技会設定!$X$25:$AC$47,MATCH(INDEX(女子エントリー!$J$7:$AH$406,MATCH($G46&amp;RIGHT(AB$1,1),女子エントリー!$AH$7:$AH$406,0),1),競技会設定!$AC$25:$AC$47,0),1),INDEX(競技会設定!$X$25:$AC$47,MATCH(INDEX(女子エントリー!$R$6:$V$406,MATCH($G46&amp;RIGHT(AB$1,1),女子エントリー!$V$6:$V$406,0)-MATCH($G46&amp;RIGHT(AB$1,1),女子エントリー!$V$6:$V$406,0)+1,1),競技会設定!$AC$25:$AC$47,0),1)),"")</f>
        <v/>
      </c>
      <c r="AC46" s="1" t="str">
        <f>IF(AB46=37,リレーエントリー!$I$27,_xlfn.IFNA(INDEX(女子エントリー!$J$7:$AH$406,MATCH($G46&amp;RIGHT(AD$1,1),女子エントリー!$AH$7:$AH$406,0),3),""))</f>
        <v/>
      </c>
      <c r="AD46" s="1" t="str">
        <f t="shared" si="4"/>
        <v/>
      </c>
      <c r="AE46" s="1" t="str">
        <f t="shared" si="5"/>
        <v/>
      </c>
      <c r="AF46" s="1" t="str">
        <f t="shared" si="6"/>
        <v/>
      </c>
      <c r="AG46" s="1" t="str" cm="1">
        <f t="array" ref="AG46">_xlfn.IFNA(_xlfn.IFNA(INDEX(競技会設定!$X$25:$AC$47,MATCH(INDEX(女子エントリー!$J$7:$AH$406,MATCH($G46&amp;RIGHT(AG$1,1),女子エントリー!$AH$7:$AH$406,0),1),競技会設定!$AC$25:$AC$47,0),1),INDEX(競技会設定!$X$25:$AC$47,MATCH(INDEX(女子エントリー!$R$6:$V$406,MATCH($G46&amp;RIGHT(AG$1,1),女子エントリー!$V$6:$V$406,0)-MATCH($G46&amp;RIGHT(AG$1,1),女子エントリー!$V$6:$V$406,0)+1,1),競技会設定!$AC$25:$AC$47,0),1)),"")</f>
        <v/>
      </c>
      <c r="AH46" s="1" t="str">
        <f>IF(AG46=37,リレーエントリー!$I$27,_xlfn.IFNA(INDEX(女子エントリー!$J$7:$AH$406,MATCH($G46&amp;RIGHT(AI$1,1),女子エントリー!$AH$7:$AH$406,0),3),""))</f>
        <v/>
      </c>
      <c r="AI46" s="1" t="str">
        <f t="shared" si="7"/>
        <v/>
      </c>
      <c r="AJ46" s="1" t="str">
        <f t="shared" si="8"/>
        <v/>
      </c>
      <c r="AK46" s="1" t="str">
        <f t="shared" si="9"/>
        <v/>
      </c>
      <c r="AL46" s="1" t="str" cm="1">
        <f t="array" ref="AL46">_xlfn.IFNA(_xlfn.IFNA(INDEX(競技会設定!$X$25:$AC$47,MATCH(INDEX(女子エントリー!$J$7:$AH$406,MATCH($G46&amp;RIGHT(AL$1,1),女子エントリー!$AH$7:$AH$406,0),1),競技会設定!$AC$25:$AC$47,0),1),INDEX(競技会設定!$X$25:$AC$47,MATCH(INDEX(女子エントリー!$R$6:$V$406,MATCH($G46&amp;RIGHT(AL$1,1),女子エントリー!$V$6:$V$406,0)-MATCH($G46&amp;RIGHT(AL$1,1),女子エントリー!$V$6:$V$406,0)+1,1),競技会設定!$AC$25:$AC$47,0),1)),"")</f>
        <v/>
      </c>
      <c r="AM46" s="1" t="str">
        <f>IF(AL46=37,リレーエントリー!$I$27,_xlfn.IFNA(INDEX(女子エントリー!$J$7:$AH$406,MATCH($G46&amp;RIGHT(AN$1,1),女子エントリー!$AH$7:$AH$406,0),3),""))</f>
        <v/>
      </c>
      <c r="AN46" s="1" t="str">
        <f t="shared" si="10"/>
        <v/>
      </c>
      <c r="AO46" s="1" t="str">
        <f t="shared" si="11"/>
        <v/>
      </c>
      <c r="AP46" s="1" t="str">
        <f t="shared" si="12"/>
        <v/>
      </c>
    </row>
    <row r="47" spans="1:42">
      <c r="A47" s="1">
        <v>46</v>
      </c>
      <c r="B47" s="92" t="str">
        <f>女子エントリー!D187</f>
        <v/>
      </c>
      <c r="C47" s="1" t="str">
        <f>基本情報!$E$6</f>
        <v/>
      </c>
      <c r="D47" s="1" t="str">
        <f>基本情報!$E$7</f>
        <v/>
      </c>
      <c r="F47" s="92">
        <f>女子エントリー!C187</f>
        <v>0</v>
      </c>
      <c r="G47" s="92" t="str">
        <f>女子エントリー!E187</f>
        <v/>
      </c>
      <c r="H47" s="92" t="str">
        <f>女子エントリー!F187</f>
        <v/>
      </c>
      <c r="I47" s="1" t="str">
        <f t="shared" si="13"/>
        <v/>
      </c>
      <c r="J47" s="1" t="e">
        <f>LEFT(女子エントリー!E189,FIND(",",LEFT(女子エントリー!E189,LEN(女子エントリー!E189)-5))-1)&amp;LEFT(RIGHT(女子エントリー!E189,LEN(女子エントリー!E189)-FIND(",",女子エントリー!E189)),LEN(RIGHT(女子エントリー!E189,LEN(女子エントリー!E189)-FIND(",",女子エントリー!E189)))-5)</f>
        <v>#VALUE!</v>
      </c>
      <c r="K47" s="92" t="str">
        <f>女子エントリー!G189</f>
        <v/>
      </c>
      <c r="L47" s="1" t="str">
        <f t="shared" si="17"/>
        <v/>
      </c>
      <c r="M47" s="92" t="str">
        <f>女子エントリー!G187</f>
        <v/>
      </c>
      <c r="N47" s="92" t="e">
        <f>MID(女子エントリー!E189,FIND("(",女子エントリー!E189)+1,2)</f>
        <v>#VALUE!</v>
      </c>
      <c r="O47" s="1">
        <v>0</v>
      </c>
      <c r="P47" s="92" t="e">
        <f>VLOOKUP(女子エントリー!G188,競技会設定!$F$3:$I$50,2,0)</f>
        <v>#N/A</v>
      </c>
      <c r="R47" s="1" t="str" cm="1">
        <f t="array" ref="R47">_xlfn.IFNA(_xlfn.IFNA(INDEX(競技会設定!$X$25:$AC$47,MATCH(INDEX(女子エントリー!$J$7:$AH$406,MATCH($G47&amp;RIGHT(R$1,1),女子エントリー!$AH$7:$AH$406,0),1),競技会設定!$AC$25:$AC$47,0),1),INDEX(競技会設定!$X$25:$AC$47,MATCH(INDEX(女子エントリー!$R$6:$V$406,MATCH($G47&amp;RIGHT(R$1,1),女子エントリー!$V$6:$V$406,0)-MATCH($G47&amp;RIGHT(R$1,1),女子エントリー!$V$6:$V$406,0)+1,1),競技会設定!$AC$25:$AC$47,0),1)),"")</f>
        <v/>
      </c>
      <c r="S47" s="1" t="str">
        <f>IF(R47=37,リレーエントリー!$I$27,_xlfn.IFNA(INDEX(女子エントリー!$J$7:$AH$406,MATCH($G47&amp;RIGHT(T$1,1),女子エントリー!$AH$7:$AH$406,0),3),""))</f>
        <v/>
      </c>
      <c r="T47" s="1" t="str">
        <f t="shared" si="14"/>
        <v/>
      </c>
      <c r="U47" s="1" t="str">
        <f t="shared" si="15"/>
        <v/>
      </c>
      <c r="V47" s="1" t="str">
        <f t="shared" si="16"/>
        <v/>
      </c>
      <c r="W47" s="1" t="str" cm="1">
        <f t="array" ref="W47">_xlfn.IFNA(_xlfn.IFNA(INDEX(競技会設定!$X$25:$AC$47,MATCH(INDEX(女子エントリー!$J$7:$AH$406,MATCH($G47&amp;RIGHT(W$1,1),女子エントリー!$AH$7:$AH$406,0),1),競技会設定!$AC$25:$AC$47,0),1),INDEX(競技会設定!$X$25:$AC$47,MATCH(INDEX(女子エントリー!$R$6:$V$406,MATCH($G47&amp;RIGHT(W$1,1),女子エントリー!$V$6:$V$406,0)-MATCH($G47&amp;RIGHT(W$1,1),女子エントリー!$V$6:$V$406,0)+1,1),競技会設定!$AC$25:$AC$47,0),1)),"")</f>
        <v/>
      </c>
      <c r="X47" s="1" t="str">
        <f>IF(W47=37,リレーエントリー!$I$27,_xlfn.IFNA(INDEX(女子エントリー!$J$7:$AH$406,MATCH($G47&amp;RIGHT(Y$1,1),女子エントリー!$AH$7:$AH$406,0),3),""))</f>
        <v/>
      </c>
      <c r="Y47" s="1" t="str">
        <f t="shared" si="1"/>
        <v/>
      </c>
      <c r="Z47" s="1" t="str">
        <f t="shared" si="2"/>
        <v/>
      </c>
      <c r="AA47" s="1" t="str">
        <f t="shared" si="3"/>
        <v/>
      </c>
      <c r="AB47" s="1" t="str" cm="1">
        <f t="array" ref="AB47">_xlfn.IFNA(_xlfn.IFNA(INDEX(競技会設定!$X$25:$AC$47,MATCH(INDEX(女子エントリー!$J$7:$AH$406,MATCH($G47&amp;RIGHT(AB$1,1),女子エントリー!$AH$7:$AH$406,0),1),競技会設定!$AC$25:$AC$47,0),1),INDEX(競技会設定!$X$25:$AC$47,MATCH(INDEX(女子エントリー!$R$6:$V$406,MATCH($G47&amp;RIGHT(AB$1,1),女子エントリー!$V$6:$V$406,0)-MATCH($G47&amp;RIGHT(AB$1,1),女子エントリー!$V$6:$V$406,0)+1,1),競技会設定!$AC$25:$AC$47,0),1)),"")</f>
        <v/>
      </c>
      <c r="AC47" s="1" t="str">
        <f>IF(AB47=37,リレーエントリー!$I$27,_xlfn.IFNA(INDEX(女子エントリー!$J$7:$AH$406,MATCH($G47&amp;RIGHT(AD$1,1),女子エントリー!$AH$7:$AH$406,0),3),""))</f>
        <v/>
      </c>
      <c r="AD47" s="1" t="str">
        <f t="shared" si="4"/>
        <v/>
      </c>
      <c r="AE47" s="1" t="str">
        <f t="shared" si="5"/>
        <v/>
      </c>
      <c r="AF47" s="1" t="str">
        <f t="shared" si="6"/>
        <v/>
      </c>
      <c r="AG47" s="1" t="str" cm="1">
        <f t="array" ref="AG47">_xlfn.IFNA(_xlfn.IFNA(INDEX(競技会設定!$X$25:$AC$47,MATCH(INDEX(女子エントリー!$J$7:$AH$406,MATCH($G47&amp;RIGHT(AG$1,1),女子エントリー!$AH$7:$AH$406,0),1),競技会設定!$AC$25:$AC$47,0),1),INDEX(競技会設定!$X$25:$AC$47,MATCH(INDEX(女子エントリー!$R$6:$V$406,MATCH($G47&amp;RIGHT(AG$1,1),女子エントリー!$V$6:$V$406,0)-MATCH($G47&amp;RIGHT(AG$1,1),女子エントリー!$V$6:$V$406,0)+1,1),競技会設定!$AC$25:$AC$47,0),1)),"")</f>
        <v/>
      </c>
      <c r="AH47" s="1" t="str">
        <f>IF(AG47=37,リレーエントリー!$I$27,_xlfn.IFNA(INDEX(女子エントリー!$J$7:$AH$406,MATCH($G47&amp;RIGHT(AI$1,1),女子エントリー!$AH$7:$AH$406,0),3),""))</f>
        <v/>
      </c>
      <c r="AI47" s="1" t="str">
        <f t="shared" si="7"/>
        <v/>
      </c>
      <c r="AJ47" s="1" t="str">
        <f t="shared" si="8"/>
        <v/>
      </c>
      <c r="AK47" s="1" t="str">
        <f t="shared" si="9"/>
        <v/>
      </c>
      <c r="AL47" s="1" t="str" cm="1">
        <f t="array" ref="AL47">_xlfn.IFNA(_xlfn.IFNA(INDEX(競技会設定!$X$25:$AC$47,MATCH(INDEX(女子エントリー!$J$7:$AH$406,MATCH($G47&amp;RIGHT(AL$1,1),女子エントリー!$AH$7:$AH$406,0),1),競技会設定!$AC$25:$AC$47,0),1),INDEX(競技会設定!$X$25:$AC$47,MATCH(INDEX(女子エントリー!$R$6:$V$406,MATCH($G47&amp;RIGHT(AL$1,1),女子エントリー!$V$6:$V$406,0)-MATCH($G47&amp;RIGHT(AL$1,1),女子エントリー!$V$6:$V$406,0)+1,1),競技会設定!$AC$25:$AC$47,0),1)),"")</f>
        <v/>
      </c>
      <c r="AM47" s="1" t="str">
        <f>IF(AL47=37,リレーエントリー!$I$27,_xlfn.IFNA(INDEX(女子エントリー!$J$7:$AH$406,MATCH($G47&amp;RIGHT(AN$1,1),女子エントリー!$AH$7:$AH$406,0),3),""))</f>
        <v/>
      </c>
      <c r="AN47" s="1" t="str">
        <f t="shared" si="10"/>
        <v/>
      </c>
      <c r="AO47" s="1" t="str">
        <f t="shared" si="11"/>
        <v/>
      </c>
      <c r="AP47" s="1" t="str">
        <f t="shared" si="12"/>
        <v/>
      </c>
    </row>
    <row r="48" spans="1:42">
      <c r="A48" s="1">
        <v>47</v>
      </c>
      <c r="B48" s="92" t="str">
        <f>女子エントリー!D191</f>
        <v/>
      </c>
      <c r="C48" s="1" t="str">
        <f>基本情報!$E$6</f>
        <v/>
      </c>
      <c r="D48" s="1" t="str">
        <f>基本情報!$E$7</f>
        <v/>
      </c>
      <c r="F48" s="92">
        <f>女子エントリー!C191</f>
        <v>0</v>
      </c>
      <c r="G48" s="92" t="str">
        <f>女子エントリー!E191</f>
        <v/>
      </c>
      <c r="H48" s="92" t="str">
        <f>女子エントリー!F191</f>
        <v/>
      </c>
      <c r="I48" s="1" t="str">
        <f t="shared" si="13"/>
        <v/>
      </c>
      <c r="J48" s="1" t="e">
        <f>LEFT(女子エントリー!E193,FIND(",",LEFT(女子エントリー!E193,LEN(女子エントリー!E193)-5))-1)&amp;LEFT(RIGHT(女子エントリー!E193,LEN(女子エントリー!E193)-FIND(",",女子エントリー!E193)),LEN(RIGHT(女子エントリー!E193,LEN(女子エントリー!E193)-FIND(",",女子エントリー!E193)))-5)</f>
        <v>#VALUE!</v>
      </c>
      <c r="K48" s="92" t="str">
        <f>女子エントリー!G193</f>
        <v/>
      </c>
      <c r="L48" s="1" t="str">
        <f t="shared" si="17"/>
        <v/>
      </c>
      <c r="M48" s="92" t="str">
        <f>女子エントリー!G191</f>
        <v/>
      </c>
      <c r="N48" s="92" t="e">
        <f>MID(女子エントリー!E193,FIND("(",女子エントリー!E193)+1,2)</f>
        <v>#VALUE!</v>
      </c>
      <c r="O48" s="1">
        <v>0</v>
      </c>
      <c r="P48" s="92" t="e">
        <f>VLOOKUP(女子エントリー!G192,競技会設定!$F$3:$I$50,2,0)</f>
        <v>#N/A</v>
      </c>
      <c r="R48" s="1" t="str" cm="1">
        <f t="array" ref="R48">_xlfn.IFNA(_xlfn.IFNA(INDEX(競技会設定!$X$25:$AC$47,MATCH(INDEX(女子エントリー!$J$7:$AH$406,MATCH($G48&amp;RIGHT(R$1,1),女子エントリー!$AH$7:$AH$406,0),1),競技会設定!$AC$25:$AC$47,0),1),INDEX(競技会設定!$X$25:$AC$47,MATCH(INDEX(女子エントリー!$R$6:$V$406,MATCH($G48&amp;RIGHT(R$1,1),女子エントリー!$V$6:$V$406,0)-MATCH($G48&amp;RIGHT(R$1,1),女子エントリー!$V$6:$V$406,0)+1,1),競技会設定!$AC$25:$AC$47,0),1)),"")</f>
        <v/>
      </c>
      <c r="S48" s="1" t="str">
        <f>IF(R48=37,リレーエントリー!$I$27,_xlfn.IFNA(INDEX(女子エントリー!$J$7:$AH$406,MATCH($G48&amp;RIGHT(T$1,1),女子エントリー!$AH$7:$AH$406,0),3),""))</f>
        <v/>
      </c>
      <c r="T48" s="1" t="str">
        <f t="shared" si="14"/>
        <v/>
      </c>
      <c r="U48" s="1" t="str">
        <f t="shared" si="15"/>
        <v/>
      </c>
      <c r="V48" s="1" t="str">
        <f t="shared" si="16"/>
        <v/>
      </c>
      <c r="W48" s="1" t="str" cm="1">
        <f t="array" ref="W48">_xlfn.IFNA(_xlfn.IFNA(INDEX(競技会設定!$X$25:$AC$47,MATCH(INDEX(女子エントリー!$J$7:$AH$406,MATCH($G48&amp;RIGHT(W$1,1),女子エントリー!$AH$7:$AH$406,0),1),競技会設定!$AC$25:$AC$47,0),1),INDEX(競技会設定!$X$25:$AC$47,MATCH(INDEX(女子エントリー!$R$6:$V$406,MATCH($G48&amp;RIGHT(W$1,1),女子エントリー!$V$6:$V$406,0)-MATCH($G48&amp;RIGHT(W$1,1),女子エントリー!$V$6:$V$406,0)+1,1),競技会設定!$AC$25:$AC$47,0),1)),"")</f>
        <v/>
      </c>
      <c r="X48" s="1" t="str">
        <f>IF(W48=37,リレーエントリー!$I$27,_xlfn.IFNA(INDEX(女子エントリー!$J$7:$AH$406,MATCH($G48&amp;RIGHT(Y$1,1),女子エントリー!$AH$7:$AH$406,0),3),""))</f>
        <v/>
      </c>
      <c r="Y48" s="1" t="str">
        <f t="shared" si="1"/>
        <v/>
      </c>
      <c r="Z48" s="1" t="str">
        <f t="shared" si="2"/>
        <v/>
      </c>
      <c r="AA48" s="1" t="str">
        <f t="shared" si="3"/>
        <v/>
      </c>
      <c r="AB48" s="1" t="str" cm="1">
        <f t="array" ref="AB48">_xlfn.IFNA(_xlfn.IFNA(INDEX(競技会設定!$X$25:$AC$47,MATCH(INDEX(女子エントリー!$J$7:$AH$406,MATCH($G48&amp;RIGHT(AB$1,1),女子エントリー!$AH$7:$AH$406,0),1),競技会設定!$AC$25:$AC$47,0),1),INDEX(競技会設定!$X$25:$AC$47,MATCH(INDEX(女子エントリー!$R$6:$V$406,MATCH($G48&amp;RIGHT(AB$1,1),女子エントリー!$V$6:$V$406,0)-MATCH($G48&amp;RIGHT(AB$1,1),女子エントリー!$V$6:$V$406,0)+1,1),競技会設定!$AC$25:$AC$47,0),1)),"")</f>
        <v/>
      </c>
      <c r="AC48" s="1" t="str">
        <f>IF(AB48=37,リレーエントリー!$I$27,_xlfn.IFNA(INDEX(女子エントリー!$J$7:$AH$406,MATCH($G48&amp;RIGHT(AD$1,1),女子エントリー!$AH$7:$AH$406,0),3),""))</f>
        <v/>
      </c>
      <c r="AD48" s="1" t="str">
        <f t="shared" si="4"/>
        <v/>
      </c>
      <c r="AE48" s="1" t="str">
        <f t="shared" si="5"/>
        <v/>
      </c>
      <c r="AF48" s="1" t="str">
        <f t="shared" si="6"/>
        <v/>
      </c>
      <c r="AG48" s="1" t="str" cm="1">
        <f t="array" ref="AG48">_xlfn.IFNA(_xlfn.IFNA(INDEX(競技会設定!$X$25:$AC$47,MATCH(INDEX(女子エントリー!$J$7:$AH$406,MATCH($G48&amp;RIGHT(AG$1,1),女子エントリー!$AH$7:$AH$406,0),1),競技会設定!$AC$25:$AC$47,0),1),INDEX(競技会設定!$X$25:$AC$47,MATCH(INDEX(女子エントリー!$R$6:$V$406,MATCH($G48&amp;RIGHT(AG$1,1),女子エントリー!$V$6:$V$406,0)-MATCH($G48&amp;RIGHT(AG$1,1),女子エントリー!$V$6:$V$406,0)+1,1),競技会設定!$AC$25:$AC$47,0),1)),"")</f>
        <v/>
      </c>
      <c r="AH48" s="1" t="str">
        <f>IF(AG48=37,リレーエントリー!$I$27,_xlfn.IFNA(INDEX(女子エントリー!$J$7:$AH$406,MATCH($G48&amp;RIGHT(AI$1,1),女子エントリー!$AH$7:$AH$406,0),3),""))</f>
        <v/>
      </c>
      <c r="AI48" s="1" t="str">
        <f t="shared" si="7"/>
        <v/>
      </c>
      <c r="AJ48" s="1" t="str">
        <f t="shared" si="8"/>
        <v/>
      </c>
      <c r="AK48" s="1" t="str">
        <f t="shared" si="9"/>
        <v/>
      </c>
      <c r="AL48" s="1" t="str" cm="1">
        <f t="array" ref="AL48">_xlfn.IFNA(_xlfn.IFNA(INDEX(競技会設定!$X$25:$AC$47,MATCH(INDEX(女子エントリー!$J$7:$AH$406,MATCH($G48&amp;RIGHT(AL$1,1),女子エントリー!$AH$7:$AH$406,0),1),競技会設定!$AC$25:$AC$47,0),1),INDEX(競技会設定!$X$25:$AC$47,MATCH(INDEX(女子エントリー!$R$6:$V$406,MATCH($G48&amp;RIGHT(AL$1,1),女子エントリー!$V$6:$V$406,0)-MATCH($G48&amp;RIGHT(AL$1,1),女子エントリー!$V$6:$V$406,0)+1,1),競技会設定!$AC$25:$AC$47,0),1)),"")</f>
        <v/>
      </c>
      <c r="AM48" s="1" t="str">
        <f>IF(AL48=37,リレーエントリー!$I$27,_xlfn.IFNA(INDEX(女子エントリー!$J$7:$AH$406,MATCH($G48&amp;RIGHT(AN$1,1),女子エントリー!$AH$7:$AH$406,0),3),""))</f>
        <v/>
      </c>
      <c r="AN48" s="1" t="str">
        <f t="shared" si="10"/>
        <v/>
      </c>
      <c r="AO48" s="1" t="str">
        <f t="shared" si="11"/>
        <v/>
      </c>
      <c r="AP48" s="1" t="str">
        <f t="shared" si="12"/>
        <v/>
      </c>
    </row>
    <row r="49" spans="1:42">
      <c r="A49" s="1">
        <v>48</v>
      </c>
      <c r="B49" s="92" t="str">
        <f>女子エントリー!D195</f>
        <v/>
      </c>
      <c r="C49" s="1" t="str">
        <f>基本情報!$E$6</f>
        <v/>
      </c>
      <c r="D49" s="1" t="str">
        <f>基本情報!$E$7</f>
        <v/>
      </c>
      <c r="F49" s="92">
        <f>女子エントリー!C195</f>
        <v>0</v>
      </c>
      <c r="G49" s="92" t="str">
        <f>女子エントリー!E195</f>
        <v/>
      </c>
      <c r="H49" s="92" t="str">
        <f>女子エントリー!F195</f>
        <v/>
      </c>
      <c r="I49" s="1" t="str">
        <f t="shared" si="13"/>
        <v/>
      </c>
      <c r="J49" s="1" t="e">
        <f>LEFT(女子エントリー!E197,FIND(",",LEFT(女子エントリー!E197,LEN(女子エントリー!E197)-5))-1)&amp;LEFT(RIGHT(女子エントリー!E197,LEN(女子エントリー!E197)-FIND(",",女子エントリー!E197)),LEN(RIGHT(女子エントリー!E197,LEN(女子エントリー!E197)-FIND(",",女子エントリー!E197)))-5)</f>
        <v>#VALUE!</v>
      </c>
      <c r="K49" s="92" t="str">
        <f>女子エントリー!G197</f>
        <v/>
      </c>
      <c r="L49" s="1" t="str">
        <f t="shared" si="17"/>
        <v/>
      </c>
      <c r="M49" s="92" t="str">
        <f>女子エントリー!G195</f>
        <v/>
      </c>
      <c r="N49" s="92" t="e">
        <f>MID(女子エントリー!E197,FIND("(",女子エントリー!E197)+1,2)</f>
        <v>#VALUE!</v>
      </c>
      <c r="O49" s="1">
        <v>0</v>
      </c>
      <c r="P49" s="92" t="e">
        <f>VLOOKUP(女子エントリー!G196,競技会設定!$F$3:$I$50,2,0)</f>
        <v>#N/A</v>
      </c>
      <c r="R49" s="1" t="str" cm="1">
        <f t="array" ref="R49">_xlfn.IFNA(_xlfn.IFNA(INDEX(競技会設定!$X$25:$AC$47,MATCH(INDEX(女子エントリー!$J$7:$AH$406,MATCH($G49&amp;RIGHT(R$1,1),女子エントリー!$AH$7:$AH$406,0),1),競技会設定!$AC$25:$AC$47,0),1),INDEX(競技会設定!$X$25:$AC$47,MATCH(INDEX(女子エントリー!$R$6:$V$406,MATCH($G49&amp;RIGHT(R$1,1),女子エントリー!$V$6:$V$406,0)-MATCH($G49&amp;RIGHT(R$1,1),女子エントリー!$V$6:$V$406,0)+1,1),競技会設定!$AC$25:$AC$47,0),1)),"")</f>
        <v/>
      </c>
      <c r="S49" s="1" t="str">
        <f>IF(R49=37,リレーエントリー!$I$27,_xlfn.IFNA(INDEX(女子エントリー!$J$7:$AH$406,MATCH($G49&amp;RIGHT(T$1,1),女子エントリー!$AH$7:$AH$406,0),3),""))</f>
        <v/>
      </c>
      <c r="T49" s="1" t="str">
        <f t="shared" si="14"/>
        <v/>
      </c>
      <c r="U49" s="1" t="str">
        <f t="shared" si="15"/>
        <v/>
      </c>
      <c r="V49" s="1" t="str">
        <f t="shared" si="16"/>
        <v/>
      </c>
      <c r="W49" s="1" t="str" cm="1">
        <f t="array" ref="W49">_xlfn.IFNA(_xlfn.IFNA(INDEX(競技会設定!$X$25:$AC$47,MATCH(INDEX(女子エントリー!$J$7:$AH$406,MATCH($G49&amp;RIGHT(W$1,1),女子エントリー!$AH$7:$AH$406,0),1),競技会設定!$AC$25:$AC$47,0),1),INDEX(競技会設定!$X$25:$AC$47,MATCH(INDEX(女子エントリー!$R$6:$V$406,MATCH($G49&amp;RIGHT(W$1,1),女子エントリー!$V$6:$V$406,0)-MATCH($G49&amp;RIGHT(W$1,1),女子エントリー!$V$6:$V$406,0)+1,1),競技会設定!$AC$25:$AC$47,0),1)),"")</f>
        <v/>
      </c>
      <c r="X49" s="1" t="str">
        <f>IF(W49=37,リレーエントリー!$I$27,_xlfn.IFNA(INDEX(女子エントリー!$J$7:$AH$406,MATCH($G49&amp;RIGHT(Y$1,1),女子エントリー!$AH$7:$AH$406,0),3),""))</f>
        <v/>
      </c>
      <c r="Y49" s="1" t="str">
        <f t="shared" si="1"/>
        <v/>
      </c>
      <c r="Z49" s="1" t="str">
        <f t="shared" si="2"/>
        <v/>
      </c>
      <c r="AA49" s="1" t="str">
        <f t="shared" si="3"/>
        <v/>
      </c>
      <c r="AB49" s="1" t="str" cm="1">
        <f t="array" ref="AB49">_xlfn.IFNA(_xlfn.IFNA(INDEX(競技会設定!$X$25:$AC$47,MATCH(INDEX(女子エントリー!$J$7:$AH$406,MATCH($G49&amp;RIGHT(AB$1,1),女子エントリー!$AH$7:$AH$406,0),1),競技会設定!$AC$25:$AC$47,0),1),INDEX(競技会設定!$X$25:$AC$47,MATCH(INDEX(女子エントリー!$R$6:$V$406,MATCH($G49&amp;RIGHT(AB$1,1),女子エントリー!$V$6:$V$406,0)-MATCH($G49&amp;RIGHT(AB$1,1),女子エントリー!$V$6:$V$406,0)+1,1),競技会設定!$AC$25:$AC$47,0),1)),"")</f>
        <v/>
      </c>
      <c r="AC49" s="1" t="str">
        <f>IF(AB49=37,リレーエントリー!$I$27,_xlfn.IFNA(INDEX(女子エントリー!$J$7:$AH$406,MATCH($G49&amp;RIGHT(AD$1,1),女子エントリー!$AH$7:$AH$406,0),3),""))</f>
        <v/>
      </c>
      <c r="AD49" s="1" t="str">
        <f t="shared" si="4"/>
        <v/>
      </c>
      <c r="AE49" s="1" t="str">
        <f t="shared" si="5"/>
        <v/>
      </c>
      <c r="AF49" s="1" t="str">
        <f t="shared" si="6"/>
        <v/>
      </c>
      <c r="AG49" s="1" t="str" cm="1">
        <f t="array" ref="AG49">_xlfn.IFNA(_xlfn.IFNA(INDEX(競技会設定!$X$25:$AC$47,MATCH(INDEX(女子エントリー!$J$7:$AH$406,MATCH($G49&amp;RIGHT(AG$1,1),女子エントリー!$AH$7:$AH$406,0),1),競技会設定!$AC$25:$AC$47,0),1),INDEX(競技会設定!$X$25:$AC$47,MATCH(INDEX(女子エントリー!$R$6:$V$406,MATCH($G49&amp;RIGHT(AG$1,1),女子エントリー!$V$6:$V$406,0)-MATCH($G49&amp;RIGHT(AG$1,1),女子エントリー!$V$6:$V$406,0)+1,1),競技会設定!$AC$25:$AC$47,0),1)),"")</f>
        <v/>
      </c>
      <c r="AH49" s="1" t="str">
        <f>IF(AG49=37,リレーエントリー!$I$27,_xlfn.IFNA(INDEX(女子エントリー!$J$7:$AH$406,MATCH($G49&amp;RIGHT(AI$1,1),女子エントリー!$AH$7:$AH$406,0),3),""))</f>
        <v/>
      </c>
      <c r="AI49" s="1" t="str">
        <f t="shared" si="7"/>
        <v/>
      </c>
      <c r="AJ49" s="1" t="str">
        <f t="shared" si="8"/>
        <v/>
      </c>
      <c r="AK49" s="1" t="str">
        <f t="shared" si="9"/>
        <v/>
      </c>
      <c r="AL49" s="1" t="str" cm="1">
        <f t="array" ref="AL49">_xlfn.IFNA(_xlfn.IFNA(INDEX(競技会設定!$X$25:$AC$47,MATCH(INDEX(女子エントリー!$J$7:$AH$406,MATCH($G49&amp;RIGHT(AL$1,1),女子エントリー!$AH$7:$AH$406,0),1),競技会設定!$AC$25:$AC$47,0),1),INDEX(競技会設定!$X$25:$AC$47,MATCH(INDEX(女子エントリー!$R$6:$V$406,MATCH($G49&amp;RIGHT(AL$1,1),女子エントリー!$V$6:$V$406,0)-MATCH($G49&amp;RIGHT(AL$1,1),女子エントリー!$V$6:$V$406,0)+1,1),競技会設定!$AC$25:$AC$47,0),1)),"")</f>
        <v/>
      </c>
      <c r="AM49" s="1" t="str">
        <f>IF(AL49=37,リレーエントリー!$I$27,_xlfn.IFNA(INDEX(女子エントリー!$J$7:$AH$406,MATCH($G49&amp;RIGHT(AN$1,1),女子エントリー!$AH$7:$AH$406,0),3),""))</f>
        <v/>
      </c>
      <c r="AN49" s="1" t="str">
        <f t="shared" si="10"/>
        <v/>
      </c>
      <c r="AO49" s="1" t="str">
        <f t="shared" si="11"/>
        <v/>
      </c>
      <c r="AP49" s="1" t="str">
        <f t="shared" si="12"/>
        <v/>
      </c>
    </row>
    <row r="50" spans="1:42">
      <c r="A50" s="1">
        <v>49</v>
      </c>
      <c r="B50" s="92" t="str">
        <f>女子エントリー!D199</f>
        <v/>
      </c>
      <c r="C50" s="1" t="str">
        <f>基本情報!$E$6</f>
        <v/>
      </c>
      <c r="D50" s="1" t="str">
        <f>基本情報!$E$7</f>
        <v/>
      </c>
      <c r="F50" s="92">
        <f>女子エントリー!C199</f>
        <v>0</v>
      </c>
      <c r="G50" s="92" t="str">
        <f>女子エントリー!E199</f>
        <v/>
      </c>
      <c r="H50" s="92" t="str">
        <f>女子エントリー!F199</f>
        <v/>
      </c>
      <c r="I50" s="1" t="str">
        <f t="shared" si="13"/>
        <v/>
      </c>
      <c r="J50" s="1" t="e">
        <f>LEFT(女子エントリー!E201,FIND(",",LEFT(女子エントリー!E201,LEN(女子エントリー!E201)-5))-1)&amp;LEFT(RIGHT(女子エントリー!E201,LEN(女子エントリー!E201)-FIND(",",女子エントリー!E201)),LEN(RIGHT(女子エントリー!E201,LEN(女子エントリー!E201)-FIND(",",女子エントリー!E201)))-5)</f>
        <v>#VALUE!</v>
      </c>
      <c r="K50" s="92" t="str">
        <f>女子エントリー!G201</f>
        <v/>
      </c>
      <c r="L50" s="1" t="str">
        <f t="shared" si="17"/>
        <v/>
      </c>
      <c r="M50" s="92" t="str">
        <f>女子エントリー!G199</f>
        <v/>
      </c>
      <c r="N50" s="92" t="e">
        <f>MID(女子エントリー!E201,FIND("(",女子エントリー!E201)+1,2)</f>
        <v>#VALUE!</v>
      </c>
      <c r="O50" s="1">
        <v>0</v>
      </c>
      <c r="P50" s="92" t="e">
        <f>VLOOKUP(女子エントリー!G200,競技会設定!$F$3:$I$50,2,0)</f>
        <v>#N/A</v>
      </c>
      <c r="R50" s="1" t="str" cm="1">
        <f t="array" ref="R50">_xlfn.IFNA(_xlfn.IFNA(INDEX(競技会設定!$X$25:$AC$47,MATCH(INDEX(女子エントリー!$J$7:$AH$406,MATCH($G50&amp;RIGHT(R$1,1),女子エントリー!$AH$7:$AH$406,0),1),競技会設定!$AC$25:$AC$47,0),1),INDEX(競技会設定!$X$25:$AC$47,MATCH(INDEX(女子エントリー!$R$6:$V$406,MATCH($G50&amp;RIGHT(R$1,1),女子エントリー!$V$6:$V$406,0)-MATCH($G50&amp;RIGHT(R$1,1),女子エントリー!$V$6:$V$406,0)+1,1),競技会設定!$AC$25:$AC$47,0),1)),"")</f>
        <v/>
      </c>
      <c r="S50" s="1" t="str">
        <f>IF(R50=37,リレーエントリー!$I$27,_xlfn.IFNA(INDEX(女子エントリー!$J$7:$AH$406,MATCH($G50&amp;RIGHT(T$1,1),女子エントリー!$AH$7:$AH$406,0),3),""))</f>
        <v/>
      </c>
      <c r="T50" s="1" t="str">
        <f t="shared" si="14"/>
        <v/>
      </c>
      <c r="U50" s="1" t="str">
        <f t="shared" si="15"/>
        <v/>
      </c>
      <c r="V50" s="1" t="str">
        <f t="shared" si="16"/>
        <v/>
      </c>
      <c r="W50" s="1" t="str" cm="1">
        <f t="array" ref="W50">_xlfn.IFNA(_xlfn.IFNA(INDEX(競技会設定!$X$25:$AC$47,MATCH(INDEX(女子エントリー!$J$7:$AH$406,MATCH($G50&amp;RIGHT(W$1,1),女子エントリー!$AH$7:$AH$406,0),1),競技会設定!$AC$25:$AC$47,0),1),INDEX(競技会設定!$X$25:$AC$47,MATCH(INDEX(女子エントリー!$R$6:$V$406,MATCH($G50&amp;RIGHT(W$1,1),女子エントリー!$V$6:$V$406,0)-MATCH($G50&amp;RIGHT(W$1,1),女子エントリー!$V$6:$V$406,0)+1,1),競技会設定!$AC$25:$AC$47,0),1)),"")</f>
        <v/>
      </c>
      <c r="X50" s="1" t="str">
        <f>IF(W50=37,リレーエントリー!$I$27,_xlfn.IFNA(INDEX(女子エントリー!$J$7:$AH$406,MATCH($G50&amp;RIGHT(Y$1,1),女子エントリー!$AH$7:$AH$406,0),3),""))</f>
        <v/>
      </c>
      <c r="Y50" s="1" t="str">
        <f t="shared" si="1"/>
        <v/>
      </c>
      <c r="Z50" s="1" t="str">
        <f t="shared" si="2"/>
        <v/>
      </c>
      <c r="AA50" s="1" t="str">
        <f t="shared" si="3"/>
        <v/>
      </c>
      <c r="AB50" s="1" t="str" cm="1">
        <f t="array" ref="AB50">_xlfn.IFNA(_xlfn.IFNA(INDEX(競技会設定!$X$25:$AC$47,MATCH(INDEX(女子エントリー!$J$7:$AH$406,MATCH($G50&amp;RIGHT(AB$1,1),女子エントリー!$AH$7:$AH$406,0),1),競技会設定!$AC$25:$AC$47,0),1),INDEX(競技会設定!$X$25:$AC$47,MATCH(INDEX(女子エントリー!$R$6:$V$406,MATCH($G50&amp;RIGHT(AB$1,1),女子エントリー!$V$6:$V$406,0)-MATCH($G50&amp;RIGHT(AB$1,1),女子エントリー!$V$6:$V$406,0)+1,1),競技会設定!$AC$25:$AC$47,0),1)),"")</f>
        <v/>
      </c>
      <c r="AC50" s="1" t="str">
        <f>IF(AB50=37,リレーエントリー!$I$27,_xlfn.IFNA(INDEX(女子エントリー!$J$7:$AH$406,MATCH($G50&amp;RIGHT(AD$1,1),女子エントリー!$AH$7:$AH$406,0),3),""))</f>
        <v/>
      </c>
      <c r="AD50" s="1" t="str">
        <f t="shared" si="4"/>
        <v/>
      </c>
      <c r="AE50" s="1" t="str">
        <f t="shared" si="5"/>
        <v/>
      </c>
      <c r="AF50" s="1" t="str">
        <f t="shared" si="6"/>
        <v/>
      </c>
      <c r="AG50" s="1" t="str" cm="1">
        <f t="array" ref="AG50">_xlfn.IFNA(_xlfn.IFNA(INDEX(競技会設定!$X$25:$AC$47,MATCH(INDEX(女子エントリー!$J$7:$AH$406,MATCH($G50&amp;RIGHT(AG$1,1),女子エントリー!$AH$7:$AH$406,0),1),競技会設定!$AC$25:$AC$47,0),1),INDEX(競技会設定!$X$25:$AC$47,MATCH(INDEX(女子エントリー!$R$6:$V$406,MATCH($G50&amp;RIGHT(AG$1,1),女子エントリー!$V$6:$V$406,0)-MATCH($G50&amp;RIGHT(AG$1,1),女子エントリー!$V$6:$V$406,0)+1,1),競技会設定!$AC$25:$AC$47,0),1)),"")</f>
        <v/>
      </c>
      <c r="AH50" s="1" t="str">
        <f>IF(AG50=37,リレーエントリー!$I$27,_xlfn.IFNA(INDEX(女子エントリー!$J$7:$AH$406,MATCH($G50&amp;RIGHT(AI$1,1),女子エントリー!$AH$7:$AH$406,0),3),""))</f>
        <v/>
      </c>
      <c r="AI50" s="1" t="str">
        <f t="shared" si="7"/>
        <v/>
      </c>
      <c r="AJ50" s="1" t="str">
        <f t="shared" si="8"/>
        <v/>
      </c>
      <c r="AK50" s="1" t="str">
        <f t="shared" si="9"/>
        <v/>
      </c>
      <c r="AL50" s="1" t="str" cm="1">
        <f t="array" ref="AL50">_xlfn.IFNA(_xlfn.IFNA(INDEX(競技会設定!$X$25:$AC$47,MATCH(INDEX(女子エントリー!$J$7:$AH$406,MATCH($G50&amp;RIGHT(AL$1,1),女子エントリー!$AH$7:$AH$406,0),1),競技会設定!$AC$25:$AC$47,0),1),INDEX(競技会設定!$X$25:$AC$47,MATCH(INDEX(女子エントリー!$R$6:$V$406,MATCH($G50&amp;RIGHT(AL$1,1),女子エントリー!$V$6:$V$406,0)-MATCH($G50&amp;RIGHT(AL$1,1),女子エントリー!$V$6:$V$406,0)+1,1),競技会設定!$AC$25:$AC$47,0),1)),"")</f>
        <v/>
      </c>
      <c r="AM50" s="1" t="str">
        <f>IF(AL50=37,リレーエントリー!$I$27,_xlfn.IFNA(INDEX(女子エントリー!$J$7:$AH$406,MATCH($G50&amp;RIGHT(AN$1,1),女子エントリー!$AH$7:$AH$406,0),3),""))</f>
        <v/>
      </c>
      <c r="AN50" s="1" t="str">
        <f t="shared" si="10"/>
        <v/>
      </c>
      <c r="AO50" s="1" t="str">
        <f t="shared" si="11"/>
        <v/>
      </c>
      <c r="AP50" s="1" t="str">
        <f t="shared" si="12"/>
        <v/>
      </c>
    </row>
    <row r="51" spans="1:42">
      <c r="A51" s="1">
        <v>50</v>
      </c>
      <c r="B51" s="92" t="str">
        <f>女子エントリー!D203</f>
        <v/>
      </c>
      <c r="C51" s="1" t="str">
        <f>基本情報!$E$6</f>
        <v/>
      </c>
      <c r="D51" s="1" t="str">
        <f>基本情報!$E$7</f>
        <v/>
      </c>
      <c r="F51" s="92">
        <f>女子エントリー!C203</f>
        <v>0</v>
      </c>
      <c r="G51" s="92" t="str">
        <f>女子エントリー!E203</f>
        <v/>
      </c>
      <c r="H51" s="92" t="str">
        <f>女子エントリー!F203</f>
        <v/>
      </c>
      <c r="I51" s="1" t="str">
        <f t="shared" si="13"/>
        <v/>
      </c>
      <c r="J51" s="1" t="e">
        <f>LEFT(女子エントリー!E205,FIND(",",LEFT(女子エントリー!E205,LEN(女子エントリー!E205)-5))-1)&amp;LEFT(RIGHT(女子エントリー!E205,LEN(女子エントリー!E205)-FIND(",",女子エントリー!E205)),LEN(RIGHT(女子エントリー!E205,LEN(女子エントリー!E205)-FIND(",",女子エントリー!E205)))-5)</f>
        <v>#VALUE!</v>
      </c>
      <c r="K51" s="92" t="str">
        <f>女子エントリー!G205</f>
        <v/>
      </c>
      <c r="L51" s="1" t="str">
        <f t="shared" si="17"/>
        <v/>
      </c>
      <c r="M51" s="92" t="str">
        <f>女子エントリー!G203</f>
        <v/>
      </c>
      <c r="N51" s="92" t="e">
        <f>MID(女子エントリー!E205,FIND("(",女子エントリー!E205)+1,2)</f>
        <v>#VALUE!</v>
      </c>
      <c r="O51" s="1">
        <v>0</v>
      </c>
      <c r="P51" s="92" t="e">
        <f>VLOOKUP(女子エントリー!G204,競技会設定!$F$3:$I$50,2,0)</f>
        <v>#N/A</v>
      </c>
      <c r="R51" s="1" t="str" cm="1">
        <f t="array" ref="R51">_xlfn.IFNA(_xlfn.IFNA(INDEX(競技会設定!$X$25:$AC$47,MATCH(INDEX(女子エントリー!$J$7:$AH$406,MATCH($G51&amp;RIGHT(R$1,1),女子エントリー!$AH$7:$AH$406,0),1),競技会設定!$AC$25:$AC$47,0),1),INDEX(競技会設定!$X$25:$AC$47,MATCH(INDEX(女子エントリー!$R$6:$V$406,MATCH($G51&amp;RIGHT(R$1,1),女子エントリー!$V$6:$V$406,0)-MATCH($G51&amp;RIGHT(R$1,1),女子エントリー!$V$6:$V$406,0)+1,1),競技会設定!$AC$25:$AC$47,0),1)),"")</f>
        <v/>
      </c>
      <c r="S51" s="1" t="str">
        <f>IF(R51=37,リレーエントリー!$I$27,_xlfn.IFNA(INDEX(女子エントリー!$J$7:$AH$406,MATCH($G51&amp;RIGHT(T$1,1),女子エントリー!$AH$7:$AH$406,0),3),""))</f>
        <v/>
      </c>
      <c r="T51" s="1" t="str">
        <f t="shared" si="14"/>
        <v/>
      </c>
      <c r="U51" s="1" t="str">
        <f t="shared" si="15"/>
        <v/>
      </c>
      <c r="V51" s="1" t="str">
        <f t="shared" si="16"/>
        <v/>
      </c>
      <c r="W51" s="1" t="str" cm="1">
        <f t="array" ref="W51">_xlfn.IFNA(_xlfn.IFNA(INDEX(競技会設定!$X$25:$AC$47,MATCH(INDEX(女子エントリー!$J$7:$AH$406,MATCH($G51&amp;RIGHT(W$1,1),女子エントリー!$AH$7:$AH$406,0),1),競技会設定!$AC$25:$AC$47,0),1),INDEX(競技会設定!$X$25:$AC$47,MATCH(INDEX(女子エントリー!$R$6:$V$406,MATCH($G51&amp;RIGHT(W$1,1),女子エントリー!$V$6:$V$406,0)-MATCH($G51&amp;RIGHT(W$1,1),女子エントリー!$V$6:$V$406,0)+1,1),競技会設定!$AC$25:$AC$47,0),1)),"")</f>
        <v/>
      </c>
      <c r="X51" s="1" t="str">
        <f>IF(W51=37,リレーエントリー!$I$27,_xlfn.IFNA(INDEX(女子エントリー!$J$7:$AH$406,MATCH($G51&amp;RIGHT(Y$1,1),女子エントリー!$AH$7:$AH$406,0),3),""))</f>
        <v/>
      </c>
      <c r="Y51" s="1" t="str">
        <f t="shared" si="1"/>
        <v/>
      </c>
      <c r="Z51" s="1" t="str">
        <f t="shared" si="2"/>
        <v/>
      </c>
      <c r="AA51" s="1" t="str">
        <f t="shared" si="3"/>
        <v/>
      </c>
      <c r="AB51" s="1" t="str" cm="1">
        <f t="array" ref="AB51">_xlfn.IFNA(_xlfn.IFNA(INDEX(競技会設定!$X$25:$AC$47,MATCH(INDEX(女子エントリー!$J$7:$AH$406,MATCH($G51&amp;RIGHT(AB$1,1),女子エントリー!$AH$7:$AH$406,0),1),競技会設定!$AC$25:$AC$47,0),1),INDEX(競技会設定!$X$25:$AC$47,MATCH(INDEX(女子エントリー!$R$6:$V$406,MATCH($G51&amp;RIGHT(AB$1,1),女子エントリー!$V$6:$V$406,0)-MATCH($G51&amp;RIGHT(AB$1,1),女子エントリー!$V$6:$V$406,0)+1,1),競技会設定!$AC$25:$AC$47,0),1)),"")</f>
        <v/>
      </c>
      <c r="AC51" s="1" t="str">
        <f>IF(AB51=37,リレーエントリー!$I$27,_xlfn.IFNA(INDEX(女子エントリー!$J$7:$AH$406,MATCH($G51&amp;RIGHT(AD$1,1),女子エントリー!$AH$7:$AH$406,0),3),""))</f>
        <v/>
      </c>
      <c r="AD51" s="1" t="str">
        <f t="shared" si="4"/>
        <v/>
      </c>
      <c r="AE51" s="1" t="str">
        <f t="shared" si="5"/>
        <v/>
      </c>
      <c r="AF51" s="1" t="str">
        <f t="shared" si="6"/>
        <v/>
      </c>
      <c r="AG51" s="1" t="str" cm="1">
        <f t="array" ref="AG51">_xlfn.IFNA(_xlfn.IFNA(INDEX(競技会設定!$X$25:$AC$47,MATCH(INDEX(女子エントリー!$J$7:$AH$406,MATCH($G51&amp;RIGHT(AG$1,1),女子エントリー!$AH$7:$AH$406,0),1),競技会設定!$AC$25:$AC$47,0),1),INDEX(競技会設定!$X$25:$AC$47,MATCH(INDEX(女子エントリー!$R$6:$V$406,MATCH($G51&amp;RIGHT(AG$1,1),女子エントリー!$V$6:$V$406,0)-MATCH($G51&amp;RIGHT(AG$1,1),女子エントリー!$V$6:$V$406,0)+1,1),競技会設定!$AC$25:$AC$47,0),1)),"")</f>
        <v/>
      </c>
      <c r="AH51" s="1" t="str">
        <f>IF(AG51=37,リレーエントリー!$I$27,_xlfn.IFNA(INDEX(女子エントリー!$J$7:$AH$406,MATCH($G51&amp;RIGHT(AI$1,1),女子エントリー!$AH$7:$AH$406,0),3),""))</f>
        <v/>
      </c>
      <c r="AI51" s="1" t="str">
        <f t="shared" si="7"/>
        <v/>
      </c>
      <c r="AJ51" s="1" t="str">
        <f t="shared" si="8"/>
        <v/>
      </c>
      <c r="AK51" s="1" t="str">
        <f t="shared" si="9"/>
        <v/>
      </c>
      <c r="AL51" s="1" t="str" cm="1">
        <f t="array" ref="AL51">_xlfn.IFNA(_xlfn.IFNA(INDEX(競技会設定!$X$25:$AC$47,MATCH(INDEX(女子エントリー!$J$7:$AH$406,MATCH($G51&amp;RIGHT(AL$1,1),女子エントリー!$AH$7:$AH$406,0),1),競技会設定!$AC$25:$AC$47,0),1),INDEX(競技会設定!$X$25:$AC$47,MATCH(INDEX(女子エントリー!$R$6:$V$406,MATCH($G51&amp;RIGHT(AL$1,1),女子エントリー!$V$6:$V$406,0)-MATCH($G51&amp;RIGHT(AL$1,1),女子エントリー!$V$6:$V$406,0)+1,1),競技会設定!$AC$25:$AC$47,0),1)),"")</f>
        <v/>
      </c>
      <c r="AM51" s="1" t="str">
        <f>IF(AL51=37,リレーエントリー!$I$27,_xlfn.IFNA(INDEX(女子エントリー!$J$7:$AH$406,MATCH($G51&amp;RIGHT(AN$1,1),女子エントリー!$AH$7:$AH$406,0),3),""))</f>
        <v/>
      </c>
      <c r="AN51" s="1" t="str">
        <f t="shared" si="10"/>
        <v/>
      </c>
      <c r="AO51" s="1" t="str">
        <f t="shared" si="11"/>
        <v/>
      </c>
      <c r="AP51" s="1" t="str">
        <f t="shared" si="12"/>
        <v/>
      </c>
    </row>
    <row r="52" spans="1:42">
      <c r="A52" s="1">
        <v>51</v>
      </c>
      <c r="B52" s="92" t="str">
        <f>女子エントリー!D207</f>
        <v/>
      </c>
      <c r="C52" s="1" t="str">
        <f>基本情報!$E$6</f>
        <v/>
      </c>
      <c r="D52" s="1" t="str">
        <f>基本情報!$E$7</f>
        <v/>
      </c>
      <c r="F52" s="92">
        <f>女子エントリー!C207</f>
        <v>0</v>
      </c>
      <c r="G52" s="92" t="str">
        <f>女子エントリー!E207</f>
        <v/>
      </c>
      <c r="H52" s="92" t="str">
        <f>女子エントリー!F207</f>
        <v/>
      </c>
      <c r="I52" s="1" t="str">
        <f t="shared" si="13"/>
        <v/>
      </c>
      <c r="J52" s="1" t="e">
        <f>LEFT(女子エントリー!E209,FIND(",",LEFT(女子エントリー!E209,LEN(女子エントリー!E209)-5))-1)&amp;LEFT(RIGHT(女子エントリー!E209,LEN(女子エントリー!E209)-FIND(",",女子エントリー!E209)),LEN(RIGHT(女子エントリー!E209,LEN(女子エントリー!E209)-FIND(",",女子エントリー!E209)))-5)</f>
        <v>#VALUE!</v>
      </c>
      <c r="K52" s="92" t="str">
        <f>女子エントリー!G209</f>
        <v/>
      </c>
      <c r="L52" s="1" t="str">
        <f t="shared" si="17"/>
        <v/>
      </c>
      <c r="M52" s="92" t="str">
        <f>女子エントリー!G207</f>
        <v/>
      </c>
      <c r="N52" s="92" t="e">
        <f>MID(女子エントリー!E209,FIND("(",女子エントリー!E209)+1,2)</f>
        <v>#VALUE!</v>
      </c>
      <c r="O52" s="1">
        <v>0</v>
      </c>
      <c r="P52" s="92" t="e">
        <f>VLOOKUP(女子エントリー!G208,競技会設定!$F$3:$I$50,2,0)</f>
        <v>#N/A</v>
      </c>
      <c r="R52" s="1" t="str" cm="1">
        <f t="array" ref="R52">_xlfn.IFNA(_xlfn.IFNA(INDEX(競技会設定!$X$25:$AC$47,MATCH(INDEX(女子エントリー!$J$7:$AH$406,MATCH($G52&amp;RIGHT(R$1,1),女子エントリー!$AH$7:$AH$406,0),1),競技会設定!$AC$25:$AC$47,0),1),INDEX(競技会設定!$X$25:$AC$47,MATCH(INDEX(女子エントリー!$R$6:$V$406,MATCH($G52&amp;RIGHT(R$1,1),女子エントリー!$V$6:$V$406,0)-MATCH($G52&amp;RIGHT(R$1,1),女子エントリー!$V$6:$V$406,0)+1,1),競技会設定!$AC$25:$AC$47,0),1)),"")</f>
        <v/>
      </c>
      <c r="S52" s="1" t="str">
        <f>IF(R52=37,リレーエントリー!$I$27,_xlfn.IFNA(INDEX(女子エントリー!$J$7:$AH$406,MATCH($G52&amp;RIGHT(T$1,1),女子エントリー!$AH$7:$AH$406,0),3),""))</f>
        <v/>
      </c>
      <c r="T52" s="1" t="str">
        <f t="shared" si="14"/>
        <v/>
      </c>
      <c r="U52" s="1" t="str">
        <f t="shared" si="15"/>
        <v/>
      </c>
      <c r="V52" s="1" t="str">
        <f t="shared" si="16"/>
        <v/>
      </c>
      <c r="W52" s="1" t="str" cm="1">
        <f t="array" ref="W52">_xlfn.IFNA(_xlfn.IFNA(INDEX(競技会設定!$X$25:$AC$47,MATCH(INDEX(女子エントリー!$J$7:$AH$406,MATCH($G52&amp;RIGHT(W$1,1),女子エントリー!$AH$7:$AH$406,0),1),競技会設定!$AC$25:$AC$47,0),1),INDEX(競技会設定!$X$25:$AC$47,MATCH(INDEX(女子エントリー!$R$6:$V$406,MATCH($G52&amp;RIGHT(W$1,1),女子エントリー!$V$6:$V$406,0)-MATCH($G52&amp;RIGHT(W$1,1),女子エントリー!$V$6:$V$406,0)+1,1),競技会設定!$AC$25:$AC$47,0),1)),"")</f>
        <v/>
      </c>
      <c r="X52" s="1" t="str">
        <f>IF(W52=37,リレーエントリー!$I$27,_xlfn.IFNA(INDEX(女子エントリー!$J$7:$AH$406,MATCH($G52&amp;RIGHT(Y$1,1),女子エントリー!$AH$7:$AH$406,0),3),""))</f>
        <v/>
      </c>
      <c r="Y52" s="1" t="str">
        <f t="shared" si="1"/>
        <v/>
      </c>
      <c r="Z52" s="1" t="str">
        <f t="shared" si="2"/>
        <v/>
      </c>
      <c r="AA52" s="1" t="str">
        <f t="shared" si="3"/>
        <v/>
      </c>
      <c r="AB52" s="1" t="str" cm="1">
        <f t="array" ref="AB52">_xlfn.IFNA(_xlfn.IFNA(INDEX(競技会設定!$X$25:$AC$47,MATCH(INDEX(女子エントリー!$J$7:$AH$406,MATCH($G52&amp;RIGHT(AB$1,1),女子エントリー!$AH$7:$AH$406,0),1),競技会設定!$AC$25:$AC$47,0),1),INDEX(競技会設定!$X$25:$AC$47,MATCH(INDEX(女子エントリー!$R$6:$V$406,MATCH($G52&amp;RIGHT(AB$1,1),女子エントリー!$V$6:$V$406,0)-MATCH($G52&amp;RIGHT(AB$1,1),女子エントリー!$V$6:$V$406,0)+1,1),競技会設定!$AC$25:$AC$47,0),1)),"")</f>
        <v/>
      </c>
      <c r="AC52" s="1" t="str">
        <f>IF(AB52=37,リレーエントリー!$I$27,_xlfn.IFNA(INDEX(女子エントリー!$J$7:$AH$406,MATCH($G52&amp;RIGHT(AD$1,1),女子エントリー!$AH$7:$AH$406,0),3),""))</f>
        <v/>
      </c>
      <c r="AD52" s="1" t="str">
        <f t="shared" si="4"/>
        <v/>
      </c>
      <c r="AE52" s="1" t="str">
        <f t="shared" si="5"/>
        <v/>
      </c>
      <c r="AF52" s="1" t="str">
        <f t="shared" si="6"/>
        <v/>
      </c>
      <c r="AG52" s="1" t="str" cm="1">
        <f t="array" ref="AG52">_xlfn.IFNA(_xlfn.IFNA(INDEX(競技会設定!$X$25:$AC$47,MATCH(INDEX(女子エントリー!$J$7:$AH$406,MATCH($G52&amp;RIGHT(AG$1,1),女子エントリー!$AH$7:$AH$406,0),1),競技会設定!$AC$25:$AC$47,0),1),INDEX(競技会設定!$X$25:$AC$47,MATCH(INDEX(女子エントリー!$R$6:$V$406,MATCH($G52&amp;RIGHT(AG$1,1),女子エントリー!$V$6:$V$406,0)-MATCH($G52&amp;RIGHT(AG$1,1),女子エントリー!$V$6:$V$406,0)+1,1),競技会設定!$AC$25:$AC$47,0),1)),"")</f>
        <v/>
      </c>
      <c r="AH52" s="1" t="str">
        <f>IF(AG52=37,リレーエントリー!$I$27,_xlfn.IFNA(INDEX(女子エントリー!$J$7:$AH$406,MATCH($G52&amp;RIGHT(AI$1,1),女子エントリー!$AH$7:$AH$406,0),3),""))</f>
        <v/>
      </c>
      <c r="AI52" s="1" t="str">
        <f t="shared" si="7"/>
        <v/>
      </c>
      <c r="AJ52" s="1" t="str">
        <f t="shared" si="8"/>
        <v/>
      </c>
      <c r="AK52" s="1" t="str">
        <f t="shared" si="9"/>
        <v/>
      </c>
      <c r="AL52" s="1" t="str" cm="1">
        <f t="array" ref="AL52">_xlfn.IFNA(_xlfn.IFNA(INDEX(競技会設定!$X$25:$AC$47,MATCH(INDEX(女子エントリー!$J$7:$AH$406,MATCH($G52&amp;RIGHT(AL$1,1),女子エントリー!$AH$7:$AH$406,0),1),競技会設定!$AC$25:$AC$47,0),1),INDEX(競技会設定!$X$25:$AC$47,MATCH(INDEX(女子エントリー!$R$6:$V$406,MATCH($G52&amp;RIGHT(AL$1,1),女子エントリー!$V$6:$V$406,0)-MATCH($G52&amp;RIGHT(AL$1,1),女子エントリー!$V$6:$V$406,0)+1,1),競技会設定!$AC$25:$AC$47,0),1)),"")</f>
        <v/>
      </c>
      <c r="AM52" s="1" t="str">
        <f>IF(AL52=37,リレーエントリー!$I$27,_xlfn.IFNA(INDEX(女子エントリー!$J$7:$AH$406,MATCH($G52&amp;RIGHT(AN$1,1),女子エントリー!$AH$7:$AH$406,0),3),""))</f>
        <v/>
      </c>
      <c r="AN52" s="1" t="str">
        <f t="shared" si="10"/>
        <v/>
      </c>
      <c r="AO52" s="1" t="str">
        <f t="shared" si="11"/>
        <v/>
      </c>
      <c r="AP52" s="1" t="str">
        <f t="shared" si="12"/>
        <v/>
      </c>
    </row>
    <row r="53" spans="1:42">
      <c r="A53" s="1">
        <v>52</v>
      </c>
      <c r="B53" s="92" t="str">
        <f>女子エントリー!D211</f>
        <v/>
      </c>
      <c r="C53" s="1" t="str">
        <f>基本情報!$E$6</f>
        <v/>
      </c>
      <c r="D53" s="1" t="str">
        <f>基本情報!$E$7</f>
        <v/>
      </c>
      <c r="F53" s="92">
        <f>女子エントリー!C211</f>
        <v>0</v>
      </c>
      <c r="G53" s="92" t="str">
        <f>女子エントリー!E211</f>
        <v/>
      </c>
      <c r="H53" s="92" t="str">
        <f>女子エントリー!F211</f>
        <v/>
      </c>
      <c r="I53" s="1" t="str">
        <f t="shared" si="13"/>
        <v/>
      </c>
      <c r="J53" s="1" t="e">
        <f>LEFT(女子エントリー!E213,FIND(",",LEFT(女子エントリー!E213,LEN(女子エントリー!E213)-5))-1)&amp;LEFT(RIGHT(女子エントリー!E213,LEN(女子エントリー!E213)-FIND(",",女子エントリー!E213)),LEN(RIGHT(女子エントリー!E213,LEN(女子エントリー!E213)-FIND(",",女子エントリー!E213)))-5)</f>
        <v>#VALUE!</v>
      </c>
      <c r="K53" s="92" t="str">
        <f>女子エントリー!G213</f>
        <v/>
      </c>
      <c r="L53" s="1" t="str">
        <f t="shared" si="17"/>
        <v/>
      </c>
      <c r="M53" s="92" t="str">
        <f>女子エントリー!G211</f>
        <v/>
      </c>
      <c r="N53" s="92" t="e">
        <f>MID(女子エントリー!E213,FIND("(",女子エントリー!E213)+1,2)</f>
        <v>#VALUE!</v>
      </c>
      <c r="O53" s="1">
        <v>0</v>
      </c>
      <c r="P53" s="92" t="e">
        <f>VLOOKUP(女子エントリー!G212,競技会設定!$F$3:$I$50,2,0)</f>
        <v>#N/A</v>
      </c>
      <c r="R53" s="1" t="str" cm="1">
        <f t="array" ref="R53">_xlfn.IFNA(_xlfn.IFNA(INDEX(競技会設定!$X$25:$AC$47,MATCH(INDEX(女子エントリー!$J$7:$AH$406,MATCH($G53&amp;RIGHT(R$1,1),女子エントリー!$AH$7:$AH$406,0),1),競技会設定!$AC$25:$AC$47,0),1),INDEX(競技会設定!$X$25:$AC$47,MATCH(INDEX(女子エントリー!$R$6:$V$406,MATCH($G53&amp;RIGHT(R$1,1),女子エントリー!$V$6:$V$406,0)-MATCH($G53&amp;RIGHT(R$1,1),女子エントリー!$V$6:$V$406,0)+1,1),競技会設定!$AC$25:$AC$47,0),1)),"")</f>
        <v/>
      </c>
      <c r="S53" s="1" t="str">
        <f>IF(R53=37,リレーエントリー!$I$27,_xlfn.IFNA(INDEX(女子エントリー!$J$7:$AH$406,MATCH($G53&amp;RIGHT(T$1,1),女子エントリー!$AH$7:$AH$406,0),3),""))</f>
        <v/>
      </c>
      <c r="T53" s="1" t="str">
        <f t="shared" si="14"/>
        <v/>
      </c>
      <c r="U53" s="1" t="str">
        <f t="shared" si="15"/>
        <v/>
      </c>
      <c r="V53" s="1" t="str">
        <f t="shared" si="16"/>
        <v/>
      </c>
      <c r="W53" s="1" t="str" cm="1">
        <f t="array" ref="W53">_xlfn.IFNA(_xlfn.IFNA(INDEX(競技会設定!$X$25:$AC$47,MATCH(INDEX(女子エントリー!$J$7:$AH$406,MATCH($G53&amp;RIGHT(W$1,1),女子エントリー!$AH$7:$AH$406,0),1),競技会設定!$AC$25:$AC$47,0),1),INDEX(競技会設定!$X$25:$AC$47,MATCH(INDEX(女子エントリー!$R$6:$V$406,MATCH($G53&amp;RIGHT(W$1,1),女子エントリー!$V$6:$V$406,0)-MATCH($G53&amp;RIGHT(W$1,1),女子エントリー!$V$6:$V$406,0)+1,1),競技会設定!$AC$25:$AC$47,0),1)),"")</f>
        <v/>
      </c>
      <c r="X53" s="1" t="str">
        <f>IF(W53=37,リレーエントリー!$I$27,_xlfn.IFNA(INDEX(女子エントリー!$J$7:$AH$406,MATCH($G53&amp;RIGHT(Y$1,1),女子エントリー!$AH$7:$AH$406,0),3),""))</f>
        <v/>
      </c>
      <c r="Y53" s="1" t="str">
        <f t="shared" si="1"/>
        <v/>
      </c>
      <c r="Z53" s="1" t="str">
        <f t="shared" si="2"/>
        <v/>
      </c>
      <c r="AA53" s="1" t="str">
        <f t="shared" si="3"/>
        <v/>
      </c>
      <c r="AB53" s="1" t="str" cm="1">
        <f t="array" ref="AB53">_xlfn.IFNA(_xlfn.IFNA(INDEX(競技会設定!$X$25:$AC$47,MATCH(INDEX(女子エントリー!$J$7:$AH$406,MATCH($G53&amp;RIGHT(AB$1,1),女子エントリー!$AH$7:$AH$406,0),1),競技会設定!$AC$25:$AC$47,0),1),INDEX(競技会設定!$X$25:$AC$47,MATCH(INDEX(女子エントリー!$R$6:$V$406,MATCH($G53&amp;RIGHT(AB$1,1),女子エントリー!$V$6:$V$406,0)-MATCH($G53&amp;RIGHT(AB$1,1),女子エントリー!$V$6:$V$406,0)+1,1),競技会設定!$AC$25:$AC$47,0),1)),"")</f>
        <v/>
      </c>
      <c r="AC53" s="1" t="str">
        <f>IF(AB53=37,リレーエントリー!$I$27,_xlfn.IFNA(INDEX(女子エントリー!$J$7:$AH$406,MATCH($G53&amp;RIGHT(AD$1,1),女子エントリー!$AH$7:$AH$406,0),3),""))</f>
        <v/>
      </c>
      <c r="AD53" s="1" t="str">
        <f t="shared" si="4"/>
        <v/>
      </c>
      <c r="AE53" s="1" t="str">
        <f t="shared" si="5"/>
        <v/>
      </c>
      <c r="AF53" s="1" t="str">
        <f t="shared" si="6"/>
        <v/>
      </c>
      <c r="AG53" s="1" t="str" cm="1">
        <f t="array" ref="AG53">_xlfn.IFNA(_xlfn.IFNA(INDEX(競技会設定!$X$25:$AC$47,MATCH(INDEX(女子エントリー!$J$7:$AH$406,MATCH($G53&amp;RIGHT(AG$1,1),女子エントリー!$AH$7:$AH$406,0),1),競技会設定!$AC$25:$AC$47,0),1),INDEX(競技会設定!$X$25:$AC$47,MATCH(INDEX(女子エントリー!$R$6:$V$406,MATCH($G53&amp;RIGHT(AG$1,1),女子エントリー!$V$6:$V$406,0)-MATCH($G53&amp;RIGHT(AG$1,1),女子エントリー!$V$6:$V$406,0)+1,1),競技会設定!$AC$25:$AC$47,0),1)),"")</f>
        <v/>
      </c>
      <c r="AH53" s="1" t="str">
        <f>IF(AG53=37,リレーエントリー!$I$27,_xlfn.IFNA(INDEX(女子エントリー!$J$7:$AH$406,MATCH($G53&amp;RIGHT(AI$1,1),女子エントリー!$AH$7:$AH$406,0),3),""))</f>
        <v/>
      </c>
      <c r="AI53" s="1" t="str">
        <f t="shared" si="7"/>
        <v/>
      </c>
      <c r="AJ53" s="1" t="str">
        <f t="shared" si="8"/>
        <v/>
      </c>
      <c r="AK53" s="1" t="str">
        <f t="shared" si="9"/>
        <v/>
      </c>
      <c r="AL53" s="1" t="str" cm="1">
        <f t="array" ref="AL53">_xlfn.IFNA(_xlfn.IFNA(INDEX(競技会設定!$X$25:$AC$47,MATCH(INDEX(女子エントリー!$J$7:$AH$406,MATCH($G53&amp;RIGHT(AL$1,1),女子エントリー!$AH$7:$AH$406,0),1),競技会設定!$AC$25:$AC$47,0),1),INDEX(競技会設定!$X$25:$AC$47,MATCH(INDEX(女子エントリー!$R$6:$V$406,MATCH($G53&amp;RIGHT(AL$1,1),女子エントリー!$V$6:$V$406,0)-MATCH($G53&amp;RIGHT(AL$1,1),女子エントリー!$V$6:$V$406,0)+1,1),競技会設定!$AC$25:$AC$47,0),1)),"")</f>
        <v/>
      </c>
      <c r="AM53" s="1" t="str">
        <f>IF(AL53=37,リレーエントリー!$I$27,_xlfn.IFNA(INDEX(女子エントリー!$J$7:$AH$406,MATCH($G53&amp;RIGHT(AN$1,1),女子エントリー!$AH$7:$AH$406,0),3),""))</f>
        <v/>
      </c>
      <c r="AN53" s="1" t="str">
        <f t="shared" si="10"/>
        <v/>
      </c>
      <c r="AO53" s="1" t="str">
        <f t="shared" si="11"/>
        <v/>
      </c>
      <c r="AP53" s="1" t="str">
        <f t="shared" si="12"/>
        <v/>
      </c>
    </row>
    <row r="54" spans="1:42">
      <c r="A54" s="1">
        <v>53</v>
      </c>
      <c r="B54" s="92" t="str">
        <f>女子エントリー!D215</f>
        <v/>
      </c>
      <c r="C54" s="1" t="str">
        <f>基本情報!$E$6</f>
        <v/>
      </c>
      <c r="D54" s="1" t="str">
        <f>基本情報!$E$7</f>
        <v/>
      </c>
      <c r="F54" s="92">
        <f>女子エントリー!C215</f>
        <v>0</v>
      </c>
      <c r="G54" s="92" t="str">
        <f>女子エントリー!E215</f>
        <v/>
      </c>
      <c r="H54" s="92" t="str">
        <f>女子エントリー!F215</f>
        <v/>
      </c>
      <c r="I54" s="1" t="str">
        <f t="shared" si="13"/>
        <v/>
      </c>
      <c r="J54" s="1" t="e">
        <f>LEFT(女子エントリー!E217,FIND(",",LEFT(女子エントリー!E217,LEN(女子エントリー!E217)-5))-1)&amp;LEFT(RIGHT(女子エントリー!E217,LEN(女子エントリー!E217)-FIND(",",女子エントリー!E217)),LEN(RIGHT(女子エントリー!E217,LEN(女子エントリー!E217)-FIND(",",女子エントリー!E217)))-5)</f>
        <v>#VALUE!</v>
      </c>
      <c r="K54" s="92" t="str">
        <f>女子エントリー!G217</f>
        <v/>
      </c>
      <c r="L54" s="1" t="str">
        <f t="shared" si="17"/>
        <v/>
      </c>
      <c r="M54" s="92" t="str">
        <f>女子エントリー!G215</f>
        <v/>
      </c>
      <c r="N54" s="92" t="e">
        <f>MID(女子エントリー!E217,FIND("(",女子エントリー!E217)+1,2)</f>
        <v>#VALUE!</v>
      </c>
      <c r="O54" s="1">
        <v>0</v>
      </c>
      <c r="P54" s="92" t="e">
        <f>VLOOKUP(女子エントリー!G216,競技会設定!$F$3:$I$50,2,0)</f>
        <v>#N/A</v>
      </c>
      <c r="R54" s="1" t="str" cm="1">
        <f t="array" ref="R54">_xlfn.IFNA(_xlfn.IFNA(INDEX(競技会設定!$X$25:$AC$47,MATCH(INDEX(女子エントリー!$J$7:$AH$406,MATCH($G54&amp;RIGHT(R$1,1),女子エントリー!$AH$7:$AH$406,0),1),競技会設定!$AC$25:$AC$47,0),1),INDEX(競技会設定!$X$25:$AC$47,MATCH(INDEX(女子エントリー!$R$6:$V$406,MATCH($G54&amp;RIGHT(R$1,1),女子エントリー!$V$6:$V$406,0)-MATCH($G54&amp;RIGHT(R$1,1),女子エントリー!$V$6:$V$406,0)+1,1),競技会設定!$AC$25:$AC$47,0),1)),"")</f>
        <v/>
      </c>
      <c r="S54" s="1" t="str">
        <f>IF(R54=37,リレーエントリー!$I$27,_xlfn.IFNA(INDEX(女子エントリー!$J$7:$AH$406,MATCH($G54&amp;RIGHT(T$1,1),女子エントリー!$AH$7:$AH$406,0),3),""))</f>
        <v/>
      </c>
      <c r="T54" s="1" t="str">
        <f t="shared" si="14"/>
        <v/>
      </c>
      <c r="U54" s="1" t="str">
        <f t="shared" si="15"/>
        <v/>
      </c>
      <c r="V54" s="1" t="str">
        <f t="shared" si="16"/>
        <v/>
      </c>
      <c r="W54" s="1" t="str" cm="1">
        <f t="array" ref="W54">_xlfn.IFNA(_xlfn.IFNA(INDEX(競技会設定!$X$25:$AC$47,MATCH(INDEX(女子エントリー!$J$7:$AH$406,MATCH($G54&amp;RIGHT(W$1,1),女子エントリー!$AH$7:$AH$406,0),1),競技会設定!$AC$25:$AC$47,0),1),INDEX(競技会設定!$X$25:$AC$47,MATCH(INDEX(女子エントリー!$R$6:$V$406,MATCH($G54&amp;RIGHT(W$1,1),女子エントリー!$V$6:$V$406,0)-MATCH($G54&amp;RIGHT(W$1,1),女子エントリー!$V$6:$V$406,0)+1,1),競技会設定!$AC$25:$AC$47,0),1)),"")</f>
        <v/>
      </c>
      <c r="X54" s="1" t="str">
        <f>IF(W54=37,リレーエントリー!$I$27,_xlfn.IFNA(INDEX(女子エントリー!$J$7:$AH$406,MATCH($G54&amp;RIGHT(Y$1,1),女子エントリー!$AH$7:$AH$406,0),3),""))</f>
        <v/>
      </c>
      <c r="Y54" s="1" t="str">
        <f t="shared" si="1"/>
        <v/>
      </c>
      <c r="Z54" s="1" t="str">
        <f t="shared" si="2"/>
        <v/>
      </c>
      <c r="AA54" s="1" t="str">
        <f t="shared" si="3"/>
        <v/>
      </c>
      <c r="AB54" s="1" t="str" cm="1">
        <f t="array" ref="AB54">_xlfn.IFNA(_xlfn.IFNA(INDEX(競技会設定!$X$25:$AC$47,MATCH(INDEX(女子エントリー!$J$7:$AH$406,MATCH($G54&amp;RIGHT(AB$1,1),女子エントリー!$AH$7:$AH$406,0),1),競技会設定!$AC$25:$AC$47,0),1),INDEX(競技会設定!$X$25:$AC$47,MATCH(INDEX(女子エントリー!$R$6:$V$406,MATCH($G54&amp;RIGHT(AB$1,1),女子エントリー!$V$6:$V$406,0)-MATCH($G54&amp;RIGHT(AB$1,1),女子エントリー!$V$6:$V$406,0)+1,1),競技会設定!$AC$25:$AC$47,0),1)),"")</f>
        <v/>
      </c>
      <c r="AC54" s="1" t="str">
        <f>IF(AB54=37,リレーエントリー!$I$27,_xlfn.IFNA(INDEX(女子エントリー!$J$7:$AH$406,MATCH($G54&amp;RIGHT(AD$1,1),女子エントリー!$AH$7:$AH$406,0),3),""))</f>
        <v/>
      </c>
      <c r="AD54" s="1" t="str">
        <f t="shared" si="4"/>
        <v/>
      </c>
      <c r="AE54" s="1" t="str">
        <f t="shared" si="5"/>
        <v/>
      </c>
      <c r="AF54" s="1" t="str">
        <f t="shared" si="6"/>
        <v/>
      </c>
      <c r="AG54" s="1" t="str" cm="1">
        <f t="array" ref="AG54">_xlfn.IFNA(_xlfn.IFNA(INDEX(競技会設定!$X$25:$AC$47,MATCH(INDEX(女子エントリー!$J$7:$AH$406,MATCH($G54&amp;RIGHT(AG$1,1),女子エントリー!$AH$7:$AH$406,0),1),競技会設定!$AC$25:$AC$47,0),1),INDEX(競技会設定!$X$25:$AC$47,MATCH(INDEX(女子エントリー!$R$6:$V$406,MATCH($G54&amp;RIGHT(AG$1,1),女子エントリー!$V$6:$V$406,0)-MATCH($G54&amp;RIGHT(AG$1,1),女子エントリー!$V$6:$V$406,0)+1,1),競技会設定!$AC$25:$AC$47,0),1)),"")</f>
        <v/>
      </c>
      <c r="AH54" s="1" t="str">
        <f>IF(AG54=37,リレーエントリー!$I$27,_xlfn.IFNA(INDEX(女子エントリー!$J$7:$AH$406,MATCH($G54&amp;RIGHT(AI$1,1),女子エントリー!$AH$7:$AH$406,0),3),""))</f>
        <v/>
      </c>
      <c r="AI54" s="1" t="str">
        <f t="shared" si="7"/>
        <v/>
      </c>
      <c r="AJ54" s="1" t="str">
        <f t="shared" si="8"/>
        <v/>
      </c>
      <c r="AK54" s="1" t="str">
        <f t="shared" si="9"/>
        <v/>
      </c>
      <c r="AL54" s="1" t="str" cm="1">
        <f t="array" ref="AL54">_xlfn.IFNA(_xlfn.IFNA(INDEX(競技会設定!$X$25:$AC$47,MATCH(INDEX(女子エントリー!$J$7:$AH$406,MATCH($G54&amp;RIGHT(AL$1,1),女子エントリー!$AH$7:$AH$406,0),1),競技会設定!$AC$25:$AC$47,0),1),INDEX(競技会設定!$X$25:$AC$47,MATCH(INDEX(女子エントリー!$R$6:$V$406,MATCH($G54&amp;RIGHT(AL$1,1),女子エントリー!$V$6:$V$406,0)-MATCH($G54&amp;RIGHT(AL$1,1),女子エントリー!$V$6:$V$406,0)+1,1),競技会設定!$AC$25:$AC$47,0),1)),"")</f>
        <v/>
      </c>
      <c r="AM54" s="1" t="str">
        <f>IF(AL54=37,リレーエントリー!$I$27,_xlfn.IFNA(INDEX(女子エントリー!$J$7:$AH$406,MATCH($G54&amp;RIGHT(AN$1,1),女子エントリー!$AH$7:$AH$406,0),3),""))</f>
        <v/>
      </c>
      <c r="AN54" s="1" t="str">
        <f t="shared" si="10"/>
        <v/>
      </c>
      <c r="AO54" s="1" t="str">
        <f t="shared" si="11"/>
        <v/>
      </c>
      <c r="AP54" s="1" t="str">
        <f t="shared" si="12"/>
        <v/>
      </c>
    </row>
    <row r="55" spans="1:42">
      <c r="A55" s="1">
        <v>54</v>
      </c>
      <c r="B55" s="92" t="str">
        <f>女子エントリー!D219</f>
        <v/>
      </c>
      <c r="C55" s="1" t="str">
        <f>基本情報!$E$6</f>
        <v/>
      </c>
      <c r="D55" s="1" t="str">
        <f>基本情報!$E$7</f>
        <v/>
      </c>
      <c r="F55" s="92">
        <f>女子エントリー!C219</f>
        <v>0</v>
      </c>
      <c r="G55" s="92" t="str">
        <f>女子エントリー!E219</f>
        <v/>
      </c>
      <c r="H55" s="92" t="str">
        <f>女子エントリー!F219</f>
        <v/>
      </c>
      <c r="I55" s="1" t="str">
        <f t="shared" si="13"/>
        <v/>
      </c>
      <c r="J55" s="1" t="e">
        <f>LEFT(女子エントリー!E221,FIND(",",LEFT(女子エントリー!E221,LEN(女子エントリー!E221)-5))-1)&amp;LEFT(RIGHT(女子エントリー!E221,LEN(女子エントリー!E221)-FIND(",",女子エントリー!E221)),LEN(RIGHT(女子エントリー!E221,LEN(女子エントリー!E221)-FIND(",",女子エントリー!E221)))-5)</f>
        <v>#VALUE!</v>
      </c>
      <c r="K55" s="92" t="str">
        <f>女子エントリー!G221</f>
        <v/>
      </c>
      <c r="L55" s="1" t="str">
        <f t="shared" si="17"/>
        <v/>
      </c>
      <c r="M55" s="92" t="str">
        <f>女子エントリー!G219</f>
        <v/>
      </c>
      <c r="N55" s="92" t="e">
        <f>MID(女子エントリー!E221,FIND("(",女子エントリー!E221)+1,2)</f>
        <v>#VALUE!</v>
      </c>
      <c r="O55" s="1">
        <v>0</v>
      </c>
      <c r="P55" s="92" t="e">
        <f>VLOOKUP(女子エントリー!G220,競技会設定!$F$3:$I$50,2,0)</f>
        <v>#N/A</v>
      </c>
      <c r="R55" s="1" t="str" cm="1">
        <f t="array" ref="R55">_xlfn.IFNA(_xlfn.IFNA(INDEX(競技会設定!$X$25:$AC$47,MATCH(INDEX(女子エントリー!$J$7:$AH$406,MATCH($G55&amp;RIGHT(R$1,1),女子エントリー!$AH$7:$AH$406,0),1),競技会設定!$AC$25:$AC$47,0),1),INDEX(競技会設定!$X$25:$AC$47,MATCH(INDEX(女子エントリー!$R$6:$V$406,MATCH($G55&amp;RIGHT(R$1,1),女子エントリー!$V$6:$V$406,0)-MATCH($G55&amp;RIGHT(R$1,1),女子エントリー!$V$6:$V$406,0)+1,1),競技会設定!$AC$25:$AC$47,0),1)),"")</f>
        <v/>
      </c>
      <c r="S55" s="1" t="str">
        <f>IF(R55=37,リレーエントリー!$I$27,_xlfn.IFNA(INDEX(女子エントリー!$J$7:$AH$406,MATCH($G55&amp;RIGHT(T$1,1),女子エントリー!$AH$7:$AH$406,0),3),""))</f>
        <v/>
      </c>
      <c r="T55" s="1" t="str">
        <f t="shared" si="14"/>
        <v/>
      </c>
      <c r="U55" s="1" t="str">
        <f t="shared" si="15"/>
        <v/>
      </c>
      <c r="V55" s="1" t="str">
        <f t="shared" si="16"/>
        <v/>
      </c>
      <c r="W55" s="1" t="str" cm="1">
        <f t="array" ref="W55">_xlfn.IFNA(_xlfn.IFNA(INDEX(競技会設定!$X$25:$AC$47,MATCH(INDEX(女子エントリー!$J$7:$AH$406,MATCH($G55&amp;RIGHT(W$1,1),女子エントリー!$AH$7:$AH$406,0),1),競技会設定!$AC$25:$AC$47,0),1),INDEX(競技会設定!$X$25:$AC$47,MATCH(INDEX(女子エントリー!$R$6:$V$406,MATCH($G55&amp;RIGHT(W$1,1),女子エントリー!$V$6:$V$406,0)-MATCH($G55&amp;RIGHT(W$1,1),女子エントリー!$V$6:$V$406,0)+1,1),競技会設定!$AC$25:$AC$47,0),1)),"")</f>
        <v/>
      </c>
      <c r="X55" s="1" t="str">
        <f>IF(W55=37,リレーエントリー!$I$27,_xlfn.IFNA(INDEX(女子エントリー!$J$7:$AH$406,MATCH($G55&amp;RIGHT(Y$1,1),女子エントリー!$AH$7:$AH$406,0),3),""))</f>
        <v/>
      </c>
      <c r="Y55" s="1" t="str">
        <f t="shared" si="1"/>
        <v/>
      </c>
      <c r="Z55" s="1" t="str">
        <f t="shared" si="2"/>
        <v/>
      </c>
      <c r="AA55" s="1" t="str">
        <f t="shared" si="3"/>
        <v/>
      </c>
      <c r="AB55" s="1" t="str" cm="1">
        <f t="array" ref="AB55">_xlfn.IFNA(_xlfn.IFNA(INDEX(競技会設定!$X$25:$AC$47,MATCH(INDEX(女子エントリー!$J$7:$AH$406,MATCH($G55&amp;RIGHT(AB$1,1),女子エントリー!$AH$7:$AH$406,0),1),競技会設定!$AC$25:$AC$47,0),1),INDEX(競技会設定!$X$25:$AC$47,MATCH(INDEX(女子エントリー!$R$6:$V$406,MATCH($G55&amp;RIGHT(AB$1,1),女子エントリー!$V$6:$V$406,0)-MATCH($G55&amp;RIGHT(AB$1,1),女子エントリー!$V$6:$V$406,0)+1,1),競技会設定!$AC$25:$AC$47,0),1)),"")</f>
        <v/>
      </c>
      <c r="AC55" s="1" t="str">
        <f>IF(AB55=37,リレーエントリー!$I$27,_xlfn.IFNA(INDEX(女子エントリー!$J$7:$AH$406,MATCH($G55&amp;RIGHT(AD$1,1),女子エントリー!$AH$7:$AH$406,0),3),""))</f>
        <v/>
      </c>
      <c r="AD55" s="1" t="str">
        <f t="shared" si="4"/>
        <v/>
      </c>
      <c r="AE55" s="1" t="str">
        <f t="shared" si="5"/>
        <v/>
      </c>
      <c r="AF55" s="1" t="str">
        <f t="shared" si="6"/>
        <v/>
      </c>
      <c r="AG55" s="1" t="str" cm="1">
        <f t="array" ref="AG55">_xlfn.IFNA(_xlfn.IFNA(INDEX(競技会設定!$X$25:$AC$47,MATCH(INDEX(女子エントリー!$J$7:$AH$406,MATCH($G55&amp;RIGHT(AG$1,1),女子エントリー!$AH$7:$AH$406,0),1),競技会設定!$AC$25:$AC$47,0),1),INDEX(競技会設定!$X$25:$AC$47,MATCH(INDEX(女子エントリー!$R$6:$V$406,MATCH($G55&amp;RIGHT(AG$1,1),女子エントリー!$V$6:$V$406,0)-MATCH($G55&amp;RIGHT(AG$1,1),女子エントリー!$V$6:$V$406,0)+1,1),競技会設定!$AC$25:$AC$47,0),1)),"")</f>
        <v/>
      </c>
      <c r="AH55" s="1" t="str">
        <f>IF(AG55=37,リレーエントリー!$I$27,_xlfn.IFNA(INDEX(女子エントリー!$J$7:$AH$406,MATCH($G55&amp;RIGHT(AI$1,1),女子エントリー!$AH$7:$AH$406,0),3),""))</f>
        <v/>
      </c>
      <c r="AI55" s="1" t="str">
        <f t="shared" si="7"/>
        <v/>
      </c>
      <c r="AJ55" s="1" t="str">
        <f t="shared" si="8"/>
        <v/>
      </c>
      <c r="AK55" s="1" t="str">
        <f t="shared" si="9"/>
        <v/>
      </c>
      <c r="AL55" s="1" t="str" cm="1">
        <f t="array" ref="AL55">_xlfn.IFNA(_xlfn.IFNA(INDEX(競技会設定!$X$25:$AC$47,MATCH(INDEX(女子エントリー!$J$7:$AH$406,MATCH($G55&amp;RIGHT(AL$1,1),女子エントリー!$AH$7:$AH$406,0),1),競技会設定!$AC$25:$AC$47,0),1),INDEX(競技会設定!$X$25:$AC$47,MATCH(INDEX(女子エントリー!$R$6:$V$406,MATCH($G55&amp;RIGHT(AL$1,1),女子エントリー!$V$6:$V$406,0)-MATCH($G55&amp;RIGHT(AL$1,1),女子エントリー!$V$6:$V$406,0)+1,1),競技会設定!$AC$25:$AC$47,0),1)),"")</f>
        <v/>
      </c>
      <c r="AM55" s="1" t="str">
        <f>IF(AL55=37,リレーエントリー!$I$27,_xlfn.IFNA(INDEX(女子エントリー!$J$7:$AH$406,MATCH($G55&amp;RIGHT(AN$1,1),女子エントリー!$AH$7:$AH$406,0),3),""))</f>
        <v/>
      </c>
      <c r="AN55" s="1" t="str">
        <f t="shared" si="10"/>
        <v/>
      </c>
      <c r="AO55" s="1" t="str">
        <f t="shared" si="11"/>
        <v/>
      </c>
      <c r="AP55" s="1" t="str">
        <f t="shared" si="12"/>
        <v/>
      </c>
    </row>
    <row r="56" spans="1:42">
      <c r="A56" s="1">
        <v>55</v>
      </c>
      <c r="B56" s="92" t="str">
        <f>女子エントリー!D223</f>
        <v/>
      </c>
      <c r="C56" s="1" t="str">
        <f>基本情報!$E$6</f>
        <v/>
      </c>
      <c r="D56" s="1" t="str">
        <f>基本情報!$E$7</f>
        <v/>
      </c>
      <c r="F56" s="92">
        <f>女子エントリー!C223</f>
        <v>0</v>
      </c>
      <c r="G56" s="92" t="str">
        <f>女子エントリー!E223</f>
        <v/>
      </c>
      <c r="H56" s="92" t="str">
        <f>女子エントリー!F223</f>
        <v/>
      </c>
      <c r="I56" s="1" t="str">
        <f t="shared" si="13"/>
        <v/>
      </c>
      <c r="J56" s="1" t="e">
        <f>LEFT(女子エントリー!E225,FIND(",",LEFT(女子エントリー!E225,LEN(女子エントリー!E225)-5))-1)&amp;LEFT(RIGHT(女子エントリー!E225,LEN(女子エントリー!E225)-FIND(",",女子エントリー!E225)),LEN(RIGHT(女子エントリー!E225,LEN(女子エントリー!E225)-FIND(",",女子エントリー!E225)))-5)</f>
        <v>#VALUE!</v>
      </c>
      <c r="K56" s="92" t="str">
        <f>女子エントリー!G225</f>
        <v/>
      </c>
      <c r="L56" s="1" t="str">
        <f t="shared" si="17"/>
        <v/>
      </c>
      <c r="M56" s="92" t="str">
        <f>女子エントリー!G223</f>
        <v/>
      </c>
      <c r="N56" s="92" t="e">
        <f>MID(女子エントリー!E225,FIND("(",女子エントリー!E225)+1,2)</f>
        <v>#VALUE!</v>
      </c>
      <c r="O56" s="1">
        <v>0</v>
      </c>
      <c r="P56" s="92" t="e">
        <f>VLOOKUP(女子エントリー!G224,競技会設定!$F$3:$I$50,2,0)</f>
        <v>#N/A</v>
      </c>
      <c r="R56" s="1" t="str" cm="1">
        <f t="array" ref="R56">_xlfn.IFNA(_xlfn.IFNA(INDEX(競技会設定!$X$25:$AC$47,MATCH(INDEX(女子エントリー!$J$7:$AH$406,MATCH($G56&amp;RIGHT(R$1,1),女子エントリー!$AH$7:$AH$406,0),1),競技会設定!$AC$25:$AC$47,0),1),INDEX(競技会設定!$X$25:$AC$47,MATCH(INDEX(女子エントリー!$R$6:$V$406,MATCH($G56&amp;RIGHT(R$1,1),女子エントリー!$V$6:$V$406,0)-MATCH($G56&amp;RIGHT(R$1,1),女子エントリー!$V$6:$V$406,0)+1,1),競技会設定!$AC$25:$AC$47,0),1)),"")</f>
        <v/>
      </c>
      <c r="S56" s="1" t="str">
        <f>IF(R56=37,リレーエントリー!$I$27,_xlfn.IFNA(INDEX(女子エントリー!$J$7:$AH$406,MATCH($G56&amp;RIGHT(T$1,1),女子エントリー!$AH$7:$AH$406,0),3),""))</f>
        <v/>
      </c>
      <c r="T56" s="1" t="str">
        <f t="shared" si="14"/>
        <v/>
      </c>
      <c r="U56" s="1" t="str">
        <f t="shared" si="15"/>
        <v/>
      </c>
      <c r="V56" s="1" t="str">
        <f t="shared" si="16"/>
        <v/>
      </c>
      <c r="W56" s="1" t="str" cm="1">
        <f t="array" ref="W56">_xlfn.IFNA(_xlfn.IFNA(INDEX(競技会設定!$X$25:$AC$47,MATCH(INDEX(女子エントリー!$J$7:$AH$406,MATCH($G56&amp;RIGHT(W$1,1),女子エントリー!$AH$7:$AH$406,0),1),競技会設定!$AC$25:$AC$47,0),1),INDEX(競技会設定!$X$25:$AC$47,MATCH(INDEX(女子エントリー!$R$6:$V$406,MATCH($G56&amp;RIGHT(W$1,1),女子エントリー!$V$6:$V$406,0)-MATCH($G56&amp;RIGHT(W$1,1),女子エントリー!$V$6:$V$406,0)+1,1),競技会設定!$AC$25:$AC$47,0),1)),"")</f>
        <v/>
      </c>
      <c r="X56" s="1" t="str">
        <f>IF(W56=37,リレーエントリー!$I$27,_xlfn.IFNA(INDEX(女子エントリー!$J$7:$AH$406,MATCH($G56&amp;RIGHT(Y$1,1),女子エントリー!$AH$7:$AH$406,0),3),""))</f>
        <v/>
      </c>
      <c r="Y56" s="1" t="str">
        <f t="shared" si="1"/>
        <v/>
      </c>
      <c r="Z56" s="1" t="str">
        <f t="shared" si="2"/>
        <v/>
      </c>
      <c r="AA56" s="1" t="str">
        <f t="shared" si="3"/>
        <v/>
      </c>
      <c r="AB56" s="1" t="str" cm="1">
        <f t="array" ref="AB56">_xlfn.IFNA(_xlfn.IFNA(INDEX(競技会設定!$X$25:$AC$47,MATCH(INDEX(女子エントリー!$J$7:$AH$406,MATCH($G56&amp;RIGHT(AB$1,1),女子エントリー!$AH$7:$AH$406,0),1),競技会設定!$AC$25:$AC$47,0),1),INDEX(競技会設定!$X$25:$AC$47,MATCH(INDEX(女子エントリー!$R$6:$V$406,MATCH($G56&amp;RIGHT(AB$1,1),女子エントリー!$V$6:$V$406,0)-MATCH($G56&amp;RIGHT(AB$1,1),女子エントリー!$V$6:$V$406,0)+1,1),競技会設定!$AC$25:$AC$47,0),1)),"")</f>
        <v/>
      </c>
      <c r="AC56" s="1" t="str">
        <f>IF(AB56=37,リレーエントリー!$I$27,_xlfn.IFNA(INDEX(女子エントリー!$J$7:$AH$406,MATCH($G56&amp;RIGHT(AD$1,1),女子エントリー!$AH$7:$AH$406,0),3),""))</f>
        <v/>
      </c>
      <c r="AD56" s="1" t="str">
        <f t="shared" si="4"/>
        <v/>
      </c>
      <c r="AE56" s="1" t="str">
        <f t="shared" si="5"/>
        <v/>
      </c>
      <c r="AF56" s="1" t="str">
        <f t="shared" si="6"/>
        <v/>
      </c>
      <c r="AG56" s="1" t="str" cm="1">
        <f t="array" ref="AG56">_xlfn.IFNA(_xlfn.IFNA(INDEX(競技会設定!$X$25:$AC$47,MATCH(INDEX(女子エントリー!$J$7:$AH$406,MATCH($G56&amp;RIGHT(AG$1,1),女子エントリー!$AH$7:$AH$406,0),1),競技会設定!$AC$25:$AC$47,0),1),INDEX(競技会設定!$X$25:$AC$47,MATCH(INDEX(女子エントリー!$R$6:$V$406,MATCH($G56&amp;RIGHT(AG$1,1),女子エントリー!$V$6:$V$406,0)-MATCH($G56&amp;RIGHT(AG$1,1),女子エントリー!$V$6:$V$406,0)+1,1),競技会設定!$AC$25:$AC$47,0),1)),"")</f>
        <v/>
      </c>
      <c r="AH56" s="1" t="str">
        <f>IF(AG56=37,リレーエントリー!$I$27,_xlfn.IFNA(INDEX(女子エントリー!$J$7:$AH$406,MATCH($G56&amp;RIGHT(AI$1,1),女子エントリー!$AH$7:$AH$406,0),3),""))</f>
        <v/>
      </c>
      <c r="AI56" s="1" t="str">
        <f t="shared" si="7"/>
        <v/>
      </c>
      <c r="AJ56" s="1" t="str">
        <f t="shared" si="8"/>
        <v/>
      </c>
      <c r="AK56" s="1" t="str">
        <f t="shared" si="9"/>
        <v/>
      </c>
      <c r="AL56" s="1" t="str" cm="1">
        <f t="array" ref="AL56">_xlfn.IFNA(_xlfn.IFNA(INDEX(競技会設定!$X$25:$AC$47,MATCH(INDEX(女子エントリー!$J$7:$AH$406,MATCH($G56&amp;RIGHT(AL$1,1),女子エントリー!$AH$7:$AH$406,0),1),競技会設定!$AC$25:$AC$47,0),1),INDEX(競技会設定!$X$25:$AC$47,MATCH(INDEX(女子エントリー!$R$6:$V$406,MATCH($G56&amp;RIGHT(AL$1,1),女子エントリー!$V$6:$V$406,0)-MATCH($G56&amp;RIGHT(AL$1,1),女子エントリー!$V$6:$V$406,0)+1,1),競技会設定!$AC$25:$AC$47,0),1)),"")</f>
        <v/>
      </c>
      <c r="AM56" s="1" t="str">
        <f>IF(AL56=37,リレーエントリー!$I$27,_xlfn.IFNA(INDEX(女子エントリー!$J$7:$AH$406,MATCH($G56&amp;RIGHT(AN$1,1),女子エントリー!$AH$7:$AH$406,0),3),""))</f>
        <v/>
      </c>
      <c r="AN56" s="1" t="str">
        <f t="shared" si="10"/>
        <v/>
      </c>
      <c r="AO56" s="1" t="str">
        <f t="shared" si="11"/>
        <v/>
      </c>
      <c r="AP56" s="1" t="str">
        <f t="shared" si="12"/>
        <v/>
      </c>
    </row>
    <row r="57" spans="1:42">
      <c r="A57" s="1">
        <v>56</v>
      </c>
      <c r="B57" s="92" t="str">
        <f>女子エントリー!D227</f>
        <v/>
      </c>
      <c r="C57" s="1" t="str">
        <f>基本情報!$E$6</f>
        <v/>
      </c>
      <c r="D57" s="1" t="str">
        <f>基本情報!$E$7</f>
        <v/>
      </c>
      <c r="F57" s="92">
        <f>女子エントリー!C227</f>
        <v>0</v>
      </c>
      <c r="G57" s="92" t="str">
        <f>女子エントリー!E227</f>
        <v/>
      </c>
      <c r="H57" s="92" t="str">
        <f>女子エントリー!F227</f>
        <v/>
      </c>
      <c r="I57" s="1" t="str">
        <f t="shared" si="13"/>
        <v/>
      </c>
      <c r="J57" s="1" t="e">
        <f>LEFT(女子エントリー!E229,FIND(",",LEFT(女子エントリー!E229,LEN(女子エントリー!E229)-5))-1)&amp;LEFT(RIGHT(女子エントリー!E229,LEN(女子エントリー!E229)-FIND(",",女子エントリー!E229)),LEN(RIGHT(女子エントリー!E229,LEN(女子エントリー!E229)-FIND(",",女子エントリー!E229)))-5)</f>
        <v>#VALUE!</v>
      </c>
      <c r="K57" s="92" t="str">
        <f>女子エントリー!G229</f>
        <v/>
      </c>
      <c r="L57" s="1" t="str">
        <f t="shared" si="17"/>
        <v/>
      </c>
      <c r="M57" s="92" t="str">
        <f>女子エントリー!G227</f>
        <v/>
      </c>
      <c r="N57" s="92" t="e">
        <f>MID(女子エントリー!E229,FIND("(",女子エントリー!E229)+1,2)</f>
        <v>#VALUE!</v>
      </c>
      <c r="O57" s="1">
        <v>0</v>
      </c>
      <c r="P57" s="92" t="e">
        <f>VLOOKUP(女子エントリー!G228,競技会設定!$F$3:$I$50,2,0)</f>
        <v>#N/A</v>
      </c>
      <c r="R57" s="1" t="str" cm="1">
        <f t="array" ref="R57">_xlfn.IFNA(_xlfn.IFNA(INDEX(競技会設定!$X$25:$AC$47,MATCH(INDEX(女子エントリー!$J$7:$AH$406,MATCH($G57&amp;RIGHT(R$1,1),女子エントリー!$AH$7:$AH$406,0),1),競技会設定!$AC$25:$AC$47,0),1),INDEX(競技会設定!$X$25:$AC$47,MATCH(INDEX(女子エントリー!$R$6:$V$406,MATCH($G57&amp;RIGHT(R$1,1),女子エントリー!$V$6:$V$406,0)-MATCH($G57&amp;RIGHT(R$1,1),女子エントリー!$V$6:$V$406,0)+1,1),競技会設定!$AC$25:$AC$47,0),1)),"")</f>
        <v/>
      </c>
      <c r="S57" s="1" t="str">
        <f>IF(R57=37,リレーエントリー!$I$27,_xlfn.IFNA(INDEX(女子エントリー!$J$7:$AH$406,MATCH($G57&amp;RIGHT(T$1,1),女子エントリー!$AH$7:$AH$406,0),3),""))</f>
        <v/>
      </c>
      <c r="T57" s="1" t="str">
        <f t="shared" si="14"/>
        <v/>
      </c>
      <c r="U57" s="1" t="str">
        <f t="shared" si="15"/>
        <v/>
      </c>
      <c r="V57" s="1" t="str">
        <f t="shared" si="16"/>
        <v/>
      </c>
      <c r="W57" s="1" t="str" cm="1">
        <f t="array" ref="W57">_xlfn.IFNA(_xlfn.IFNA(INDEX(競技会設定!$X$25:$AC$47,MATCH(INDEX(女子エントリー!$J$7:$AH$406,MATCH($G57&amp;RIGHT(W$1,1),女子エントリー!$AH$7:$AH$406,0),1),競技会設定!$AC$25:$AC$47,0),1),INDEX(競技会設定!$X$25:$AC$47,MATCH(INDEX(女子エントリー!$R$6:$V$406,MATCH($G57&amp;RIGHT(W$1,1),女子エントリー!$V$6:$V$406,0)-MATCH($G57&amp;RIGHT(W$1,1),女子エントリー!$V$6:$V$406,0)+1,1),競技会設定!$AC$25:$AC$47,0),1)),"")</f>
        <v/>
      </c>
      <c r="X57" s="1" t="str">
        <f>IF(W57=37,リレーエントリー!$I$27,_xlfn.IFNA(INDEX(女子エントリー!$J$7:$AH$406,MATCH($G57&amp;RIGHT(Y$1,1),女子エントリー!$AH$7:$AH$406,0),3),""))</f>
        <v/>
      </c>
      <c r="Y57" s="1" t="str">
        <f t="shared" si="1"/>
        <v/>
      </c>
      <c r="Z57" s="1" t="str">
        <f t="shared" si="2"/>
        <v/>
      </c>
      <c r="AA57" s="1" t="str">
        <f t="shared" si="3"/>
        <v/>
      </c>
      <c r="AB57" s="1" t="str" cm="1">
        <f t="array" ref="AB57">_xlfn.IFNA(_xlfn.IFNA(INDEX(競技会設定!$X$25:$AC$47,MATCH(INDEX(女子エントリー!$J$7:$AH$406,MATCH($G57&amp;RIGHT(AB$1,1),女子エントリー!$AH$7:$AH$406,0),1),競技会設定!$AC$25:$AC$47,0),1),INDEX(競技会設定!$X$25:$AC$47,MATCH(INDEX(女子エントリー!$R$6:$V$406,MATCH($G57&amp;RIGHT(AB$1,1),女子エントリー!$V$6:$V$406,0)-MATCH($G57&amp;RIGHT(AB$1,1),女子エントリー!$V$6:$V$406,0)+1,1),競技会設定!$AC$25:$AC$47,0),1)),"")</f>
        <v/>
      </c>
      <c r="AC57" s="1" t="str">
        <f>IF(AB57=37,リレーエントリー!$I$27,_xlfn.IFNA(INDEX(女子エントリー!$J$7:$AH$406,MATCH($G57&amp;RIGHT(AD$1,1),女子エントリー!$AH$7:$AH$406,0),3),""))</f>
        <v/>
      </c>
      <c r="AD57" s="1" t="str">
        <f t="shared" si="4"/>
        <v/>
      </c>
      <c r="AE57" s="1" t="str">
        <f t="shared" si="5"/>
        <v/>
      </c>
      <c r="AF57" s="1" t="str">
        <f t="shared" si="6"/>
        <v/>
      </c>
      <c r="AG57" s="1" t="str" cm="1">
        <f t="array" ref="AG57">_xlfn.IFNA(_xlfn.IFNA(INDEX(競技会設定!$X$25:$AC$47,MATCH(INDEX(女子エントリー!$J$7:$AH$406,MATCH($G57&amp;RIGHT(AG$1,1),女子エントリー!$AH$7:$AH$406,0),1),競技会設定!$AC$25:$AC$47,0),1),INDEX(競技会設定!$X$25:$AC$47,MATCH(INDEX(女子エントリー!$R$6:$V$406,MATCH($G57&amp;RIGHT(AG$1,1),女子エントリー!$V$6:$V$406,0)-MATCH($G57&amp;RIGHT(AG$1,1),女子エントリー!$V$6:$V$406,0)+1,1),競技会設定!$AC$25:$AC$47,0),1)),"")</f>
        <v/>
      </c>
      <c r="AH57" s="1" t="str">
        <f>IF(AG57=37,リレーエントリー!$I$27,_xlfn.IFNA(INDEX(女子エントリー!$J$7:$AH$406,MATCH($G57&amp;RIGHT(AI$1,1),女子エントリー!$AH$7:$AH$406,0),3),""))</f>
        <v/>
      </c>
      <c r="AI57" s="1" t="str">
        <f t="shared" si="7"/>
        <v/>
      </c>
      <c r="AJ57" s="1" t="str">
        <f t="shared" si="8"/>
        <v/>
      </c>
      <c r="AK57" s="1" t="str">
        <f t="shared" si="9"/>
        <v/>
      </c>
      <c r="AL57" s="1" t="str" cm="1">
        <f t="array" ref="AL57">_xlfn.IFNA(_xlfn.IFNA(INDEX(競技会設定!$X$25:$AC$47,MATCH(INDEX(女子エントリー!$J$7:$AH$406,MATCH($G57&amp;RIGHT(AL$1,1),女子エントリー!$AH$7:$AH$406,0),1),競技会設定!$AC$25:$AC$47,0),1),INDEX(競技会設定!$X$25:$AC$47,MATCH(INDEX(女子エントリー!$R$6:$V$406,MATCH($G57&amp;RIGHT(AL$1,1),女子エントリー!$V$6:$V$406,0)-MATCH($G57&amp;RIGHT(AL$1,1),女子エントリー!$V$6:$V$406,0)+1,1),競技会設定!$AC$25:$AC$47,0),1)),"")</f>
        <v/>
      </c>
      <c r="AM57" s="1" t="str">
        <f>IF(AL57=37,リレーエントリー!$I$27,_xlfn.IFNA(INDEX(女子エントリー!$J$7:$AH$406,MATCH($G57&amp;RIGHT(AN$1,1),女子エントリー!$AH$7:$AH$406,0),3),""))</f>
        <v/>
      </c>
      <c r="AN57" s="1" t="str">
        <f t="shared" si="10"/>
        <v/>
      </c>
      <c r="AO57" s="1" t="str">
        <f t="shared" si="11"/>
        <v/>
      </c>
      <c r="AP57" s="1" t="str">
        <f t="shared" si="12"/>
        <v/>
      </c>
    </row>
    <row r="58" spans="1:42">
      <c r="A58" s="1">
        <v>57</v>
      </c>
      <c r="B58" s="92" t="str">
        <f>女子エントリー!D231</f>
        <v/>
      </c>
      <c r="C58" s="1" t="str">
        <f>基本情報!$E$6</f>
        <v/>
      </c>
      <c r="D58" s="1" t="str">
        <f>基本情報!$E$7</f>
        <v/>
      </c>
      <c r="F58" s="92">
        <f>女子エントリー!C231</f>
        <v>0</v>
      </c>
      <c r="G58" s="92" t="str">
        <f>女子エントリー!E231</f>
        <v/>
      </c>
      <c r="H58" s="92" t="str">
        <f>女子エントリー!F231</f>
        <v/>
      </c>
      <c r="I58" s="1" t="str">
        <f t="shared" si="13"/>
        <v/>
      </c>
      <c r="J58" s="1" t="e">
        <f>LEFT(女子エントリー!E233,FIND(",",LEFT(女子エントリー!E233,LEN(女子エントリー!E233)-5))-1)&amp;LEFT(RIGHT(女子エントリー!E233,LEN(女子エントリー!E233)-FIND(",",女子エントリー!E233)),LEN(RIGHT(女子エントリー!E233,LEN(女子エントリー!E233)-FIND(",",女子エントリー!E233)))-5)</f>
        <v>#VALUE!</v>
      </c>
      <c r="K58" s="92" t="str">
        <f>女子エントリー!G233</f>
        <v/>
      </c>
      <c r="L58" s="1" t="str">
        <f t="shared" si="17"/>
        <v/>
      </c>
      <c r="M58" s="92" t="str">
        <f>女子エントリー!G231</f>
        <v/>
      </c>
      <c r="N58" s="92" t="e">
        <f>MID(女子エントリー!E233,FIND("(",女子エントリー!E233)+1,2)</f>
        <v>#VALUE!</v>
      </c>
      <c r="O58" s="1">
        <v>0</v>
      </c>
      <c r="P58" s="92" t="e">
        <f>VLOOKUP(女子エントリー!G232,競技会設定!$F$3:$I$50,2,0)</f>
        <v>#N/A</v>
      </c>
      <c r="R58" s="1" t="str" cm="1">
        <f t="array" ref="R58">_xlfn.IFNA(_xlfn.IFNA(INDEX(競技会設定!$X$25:$AC$47,MATCH(INDEX(女子エントリー!$J$7:$AH$406,MATCH($G58&amp;RIGHT(R$1,1),女子エントリー!$AH$7:$AH$406,0),1),競技会設定!$AC$25:$AC$47,0),1),INDEX(競技会設定!$X$25:$AC$47,MATCH(INDEX(女子エントリー!$R$6:$V$406,MATCH($G58&amp;RIGHT(R$1,1),女子エントリー!$V$6:$V$406,0)-MATCH($G58&amp;RIGHT(R$1,1),女子エントリー!$V$6:$V$406,0)+1,1),競技会設定!$AC$25:$AC$47,0),1)),"")</f>
        <v/>
      </c>
      <c r="S58" s="1" t="str">
        <f>IF(R58=37,リレーエントリー!$I$27,_xlfn.IFNA(INDEX(女子エントリー!$J$7:$AH$406,MATCH($G58&amp;RIGHT(T$1,1),女子エントリー!$AH$7:$AH$406,0),3),""))</f>
        <v/>
      </c>
      <c r="T58" s="1" t="str">
        <f t="shared" si="14"/>
        <v/>
      </c>
      <c r="U58" s="1" t="str">
        <f t="shared" si="15"/>
        <v/>
      </c>
      <c r="V58" s="1" t="str">
        <f t="shared" si="16"/>
        <v/>
      </c>
      <c r="W58" s="1" t="str" cm="1">
        <f t="array" ref="W58">_xlfn.IFNA(_xlfn.IFNA(INDEX(競技会設定!$X$25:$AC$47,MATCH(INDEX(女子エントリー!$J$7:$AH$406,MATCH($G58&amp;RIGHT(W$1,1),女子エントリー!$AH$7:$AH$406,0),1),競技会設定!$AC$25:$AC$47,0),1),INDEX(競技会設定!$X$25:$AC$47,MATCH(INDEX(女子エントリー!$R$6:$V$406,MATCH($G58&amp;RIGHT(W$1,1),女子エントリー!$V$6:$V$406,0)-MATCH($G58&amp;RIGHT(W$1,1),女子エントリー!$V$6:$V$406,0)+1,1),競技会設定!$AC$25:$AC$47,0),1)),"")</f>
        <v/>
      </c>
      <c r="X58" s="1" t="str">
        <f>IF(W58=37,リレーエントリー!$I$27,_xlfn.IFNA(INDEX(女子エントリー!$J$7:$AH$406,MATCH($G58&amp;RIGHT(Y$1,1),女子エントリー!$AH$7:$AH$406,0),3),""))</f>
        <v/>
      </c>
      <c r="Y58" s="1" t="str">
        <f t="shared" si="1"/>
        <v/>
      </c>
      <c r="Z58" s="1" t="str">
        <f t="shared" si="2"/>
        <v/>
      </c>
      <c r="AA58" s="1" t="str">
        <f t="shared" si="3"/>
        <v/>
      </c>
      <c r="AB58" s="1" t="str" cm="1">
        <f t="array" ref="AB58">_xlfn.IFNA(_xlfn.IFNA(INDEX(競技会設定!$X$25:$AC$47,MATCH(INDEX(女子エントリー!$J$7:$AH$406,MATCH($G58&amp;RIGHT(AB$1,1),女子エントリー!$AH$7:$AH$406,0),1),競技会設定!$AC$25:$AC$47,0),1),INDEX(競技会設定!$X$25:$AC$47,MATCH(INDEX(女子エントリー!$R$6:$V$406,MATCH($G58&amp;RIGHT(AB$1,1),女子エントリー!$V$6:$V$406,0)-MATCH($G58&amp;RIGHT(AB$1,1),女子エントリー!$V$6:$V$406,0)+1,1),競技会設定!$AC$25:$AC$47,0),1)),"")</f>
        <v/>
      </c>
      <c r="AC58" s="1" t="str">
        <f>IF(AB58=37,リレーエントリー!$I$27,_xlfn.IFNA(INDEX(女子エントリー!$J$7:$AH$406,MATCH($G58&amp;RIGHT(AD$1,1),女子エントリー!$AH$7:$AH$406,0),3),""))</f>
        <v/>
      </c>
      <c r="AD58" s="1" t="str">
        <f t="shared" si="4"/>
        <v/>
      </c>
      <c r="AE58" s="1" t="str">
        <f t="shared" si="5"/>
        <v/>
      </c>
      <c r="AF58" s="1" t="str">
        <f t="shared" si="6"/>
        <v/>
      </c>
      <c r="AG58" s="1" t="str" cm="1">
        <f t="array" ref="AG58">_xlfn.IFNA(_xlfn.IFNA(INDEX(競技会設定!$X$25:$AC$47,MATCH(INDEX(女子エントリー!$J$7:$AH$406,MATCH($G58&amp;RIGHT(AG$1,1),女子エントリー!$AH$7:$AH$406,0),1),競技会設定!$AC$25:$AC$47,0),1),INDEX(競技会設定!$X$25:$AC$47,MATCH(INDEX(女子エントリー!$R$6:$V$406,MATCH($G58&amp;RIGHT(AG$1,1),女子エントリー!$V$6:$V$406,0)-MATCH($G58&amp;RIGHT(AG$1,1),女子エントリー!$V$6:$V$406,0)+1,1),競技会設定!$AC$25:$AC$47,0),1)),"")</f>
        <v/>
      </c>
      <c r="AH58" s="1" t="str">
        <f>IF(AG58=37,リレーエントリー!$I$27,_xlfn.IFNA(INDEX(女子エントリー!$J$7:$AH$406,MATCH($G58&amp;RIGHT(AI$1,1),女子エントリー!$AH$7:$AH$406,0),3),""))</f>
        <v/>
      </c>
      <c r="AI58" s="1" t="str">
        <f t="shared" si="7"/>
        <v/>
      </c>
      <c r="AJ58" s="1" t="str">
        <f t="shared" si="8"/>
        <v/>
      </c>
      <c r="AK58" s="1" t="str">
        <f t="shared" si="9"/>
        <v/>
      </c>
      <c r="AL58" s="1" t="str" cm="1">
        <f t="array" ref="AL58">_xlfn.IFNA(_xlfn.IFNA(INDEX(競技会設定!$X$25:$AC$47,MATCH(INDEX(女子エントリー!$J$7:$AH$406,MATCH($G58&amp;RIGHT(AL$1,1),女子エントリー!$AH$7:$AH$406,0),1),競技会設定!$AC$25:$AC$47,0),1),INDEX(競技会設定!$X$25:$AC$47,MATCH(INDEX(女子エントリー!$R$6:$V$406,MATCH($G58&amp;RIGHT(AL$1,1),女子エントリー!$V$6:$V$406,0)-MATCH($G58&amp;RIGHT(AL$1,1),女子エントリー!$V$6:$V$406,0)+1,1),競技会設定!$AC$25:$AC$47,0),1)),"")</f>
        <v/>
      </c>
      <c r="AM58" s="1" t="str">
        <f>IF(AL58=37,リレーエントリー!$I$27,_xlfn.IFNA(INDEX(女子エントリー!$J$7:$AH$406,MATCH($G58&amp;RIGHT(AN$1,1),女子エントリー!$AH$7:$AH$406,0),3),""))</f>
        <v/>
      </c>
      <c r="AN58" s="1" t="str">
        <f t="shared" si="10"/>
        <v/>
      </c>
      <c r="AO58" s="1" t="str">
        <f t="shared" si="11"/>
        <v/>
      </c>
      <c r="AP58" s="1" t="str">
        <f t="shared" si="12"/>
        <v/>
      </c>
    </row>
    <row r="59" spans="1:42">
      <c r="A59" s="1">
        <v>58</v>
      </c>
      <c r="B59" s="92" t="str">
        <f>女子エントリー!D235</f>
        <v/>
      </c>
      <c r="C59" s="1" t="str">
        <f>基本情報!$E$6</f>
        <v/>
      </c>
      <c r="D59" s="1" t="str">
        <f>基本情報!$E$7</f>
        <v/>
      </c>
      <c r="F59" s="92">
        <f>女子エントリー!C235</f>
        <v>0</v>
      </c>
      <c r="G59" s="92" t="str">
        <f>女子エントリー!E235</f>
        <v/>
      </c>
      <c r="H59" s="92" t="str">
        <f>女子エントリー!F235</f>
        <v/>
      </c>
      <c r="I59" s="1" t="str">
        <f t="shared" si="13"/>
        <v/>
      </c>
      <c r="J59" s="1" t="e">
        <f>LEFT(女子エントリー!E237,FIND(",",LEFT(女子エントリー!E237,LEN(女子エントリー!E237)-5))-1)&amp;LEFT(RIGHT(女子エントリー!E237,LEN(女子エントリー!E237)-FIND(",",女子エントリー!E237)),LEN(RIGHT(女子エントリー!E237,LEN(女子エントリー!E237)-FIND(",",女子エントリー!E237)))-5)</f>
        <v>#VALUE!</v>
      </c>
      <c r="K59" s="92" t="str">
        <f>女子エントリー!G237</f>
        <v/>
      </c>
      <c r="L59" s="1" t="str">
        <f t="shared" si="17"/>
        <v/>
      </c>
      <c r="M59" s="92" t="str">
        <f>女子エントリー!G235</f>
        <v/>
      </c>
      <c r="N59" s="92" t="e">
        <f>MID(女子エントリー!E237,FIND("(",女子エントリー!E237)+1,2)</f>
        <v>#VALUE!</v>
      </c>
      <c r="O59" s="1">
        <v>0</v>
      </c>
      <c r="P59" s="92" t="e">
        <f>VLOOKUP(女子エントリー!G236,競技会設定!$F$3:$I$50,2,0)</f>
        <v>#N/A</v>
      </c>
      <c r="R59" s="1" t="str" cm="1">
        <f t="array" ref="R59">_xlfn.IFNA(_xlfn.IFNA(INDEX(競技会設定!$X$25:$AC$47,MATCH(INDEX(女子エントリー!$J$7:$AH$406,MATCH($G59&amp;RIGHT(R$1,1),女子エントリー!$AH$7:$AH$406,0),1),競技会設定!$AC$25:$AC$47,0),1),INDEX(競技会設定!$X$25:$AC$47,MATCH(INDEX(女子エントリー!$R$6:$V$406,MATCH($G59&amp;RIGHT(R$1,1),女子エントリー!$V$6:$V$406,0)-MATCH($G59&amp;RIGHT(R$1,1),女子エントリー!$V$6:$V$406,0)+1,1),競技会設定!$AC$25:$AC$47,0),1)),"")</f>
        <v/>
      </c>
      <c r="S59" s="1" t="str">
        <f>IF(R59=37,リレーエントリー!$I$27,_xlfn.IFNA(INDEX(女子エントリー!$J$7:$AH$406,MATCH($G59&amp;RIGHT(T$1,1),女子エントリー!$AH$7:$AH$406,0),3),""))</f>
        <v/>
      </c>
      <c r="T59" s="1" t="str">
        <f t="shared" si="14"/>
        <v/>
      </c>
      <c r="U59" s="1" t="str">
        <f t="shared" si="15"/>
        <v/>
      </c>
      <c r="V59" s="1" t="str">
        <f t="shared" si="16"/>
        <v/>
      </c>
      <c r="W59" s="1" t="str" cm="1">
        <f t="array" ref="W59">_xlfn.IFNA(_xlfn.IFNA(INDEX(競技会設定!$X$25:$AC$47,MATCH(INDEX(女子エントリー!$J$7:$AH$406,MATCH($G59&amp;RIGHT(W$1,1),女子エントリー!$AH$7:$AH$406,0),1),競技会設定!$AC$25:$AC$47,0),1),INDEX(競技会設定!$X$25:$AC$47,MATCH(INDEX(女子エントリー!$R$6:$V$406,MATCH($G59&amp;RIGHT(W$1,1),女子エントリー!$V$6:$V$406,0)-MATCH($G59&amp;RIGHT(W$1,1),女子エントリー!$V$6:$V$406,0)+1,1),競技会設定!$AC$25:$AC$47,0),1)),"")</f>
        <v/>
      </c>
      <c r="X59" s="1" t="str">
        <f>IF(W59=37,リレーエントリー!$I$27,_xlfn.IFNA(INDEX(女子エントリー!$J$7:$AH$406,MATCH($G59&amp;RIGHT(Y$1,1),女子エントリー!$AH$7:$AH$406,0),3),""))</f>
        <v/>
      </c>
      <c r="Y59" s="1" t="str">
        <f t="shared" si="1"/>
        <v/>
      </c>
      <c r="Z59" s="1" t="str">
        <f t="shared" si="2"/>
        <v/>
      </c>
      <c r="AA59" s="1" t="str">
        <f t="shared" si="3"/>
        <v/>
      </c>
      <c r="AB59" s="1" t="str" cm="1">
        <f t="array" ref="AB59">_xlfn.IFNA(_xlfn.IFNA(INDEX(競技会設定!$X$25:$AC$47,MATCH(INDEX(女子エントリー!$J$7:$AH$406,MATCH($G59&amp;RIGHT(AB$1,1),女子エントリー!$AH$7:$AH$406,0),1),競技会設定!$AC$25:$AC$47,0),1),INDEX(競技会設定!$X$25:$AC$47,MATCH(INDEX(女子エントリー!$R$6:$V$406,MATCH($G59&amp;RIGHT(AB$1,1),女子エントリー!$V$6:$V$406,0)-MATCH($G59&amp;RIGHT(AB$1,1),女子エントリー!$V$6:$V$406,0)+1,1),競技会設定!$AC$25:$AC$47,0),1)),"")</f>
        <v/>
      </c>
      <c r="AC59" s="1" t="str">
        <f>IF(AB59=37,リレーエントリー!$I$27,_xlfn.IFNA(INDEX(女子エントリー!$J$7:$AH$406,MATCH($G59&amp;RIGHT(AD$1,1),女子エントリー!$AH$7:$AH$406,0),3),""))</f>
        <v/>
      </c>
      <c r="AD59" s="1" t="str">
        <f t="shared" si="4"/>
        <v/>
      </c>
      <c r="AE59" s="1" t="str">
        <f t="shared" si="5"/>
        <v/>
      </c>
      <c r="AF59" s="1" t="str">
        <f t="shared" si="6"/>
        <v/>
      </c>
      <c r="AG59" s="1" t="str" cm="1">
        <f t="array" ref="AG59">_xlfn.IFNA(_xlfn.IFNA(INDEX(競技会設定!$X$25:$AC$47,MATCH(INDEX(女子エントリー!$J$7:$AH$406,MATCH($G59&amp;RIGHT(AG$1,1),女子エントリー!$AH$7:$AH$406,0),1),競技会設定!$AC$25:$AC$47,0),1),INDEX(競技会設定!$X$25:$AC$47,MATCH(INDEX(女子エントリー!$R$6:$V$406,MATCH($G59&amp;RIGHT(AG$1,1),女子エントリー!$V$6:$V$406,0)-MATCH($G59&amp;RIGHT(AG$1,1),女子エントリー!$V$6:$V$406,0)+1,1),競技会設定!$AC$25:$AC$47,0),1)),"")</f>
        <v/>
      </c>
      <c r="AH59" s="1" t="str">
        <f>IF(AG59=37,リレーエントリー!$I$27,_xlfn.IFNA(INDEX(女子エントリー!$J$7:$AH$406,MATCH($G59&amp;RIGHT(AI$1,1),女子エントリー!$AH$7:$AH$406,0),3),""))</f>
        <v/>
      </c>
      <c r="AI59" s="1" t="str">
        <f t="shared" si="7"/>
        <v/>
      </c>
      <c r="AJ59" s="1" t="str">
        <f t="shared" si="8"/>
        <v/>
      </c>
      <c r="AK59" s="1" t="str">
        <f t="shared" si="9"/>
        <v/>
      </c>
      <c r="AL59" s="1" t="str" cm="1">
        <f t="array" ref="AL59">_xlfn.IFNA(_xlfn.IFNA(INDEX(競技会設定!$X$25:$AC$47,MATCH(INDEX(女子エントリー!$J$7:$AH$406,MATCH($G59&amp;RIGHT(AL$1,1),女子エントリー!$AH$7:$AH$406,0),1),競技会設定!$AC$25:$AC$47,0),1),INDEX(競技会設定!$X$25:$AC$47,MATCH(INDEX(女子エントリー!$R$6:$V$406,MATCH($G59&amp;RIGHT(AL$1,1),女子エントリー!$V$6:$V$406,0)-MATCH($G59&amp;RIGHT(AL$1,1),女子エントリー!$V$6:$V$406,0)+1,1),競技会設定!$AC$25:$AC$47,0),1)),"")</f>
        <v/>
      </c>
      <c r="AM59" s="1" t="str">
        <f>IF(AL59=37,リレーエントリー!$I$27,_xlfn.IFNA(INDEX(女子エントリー!$J$7:$AH$406,MATCH($G59&amp;RIGHT(AN$1,1),女子エントリー!$AH$7:$AH$406,0),3),""))</f>
        <v/>
      </c>
      <c r="AN59" s="1" t="str">
        <f t="shared" si="10"/>
        <v/>
      </c>
      <c r="AO59" s="1" t="str">
        <f t="shared" si="11"/>
        <v/>
      </c>
      <c r="AP59" s="1" t="str">
        <f t="shared" si="12"/>
        <v/>
      </c>
    </row>
    <row r="60" spans="1:42">
      <c r="A60" s="1">
        <v>59</v>
      </c>
      <c r="B60" s="92" t="str">
        <f>女子エントリー!D239</f>
        <v/>
      </c>
      <c r="C60" s="1" t="str">
        <f>基本情報!$E$6</f>
        <v/>
      </c>
      <c r="D60" s="1" t="str">
        <f>基本情報!$E$7</f>
        <v/>
      </c>
      <c r="F60" s="92">
        <f>女子エントリー!C239</f>
        <v>0</v>
      </c>
      <c r="G60" s="92" t="str">
        <f>女子エントリー!E239</f>
        <v/>
      </c>
      <c r="H60" s="92" t="str">
        <f>女子エントリー!F239</f>
        <v/>
      </c>
      <c r="I60" s="1" t="str">
        <f t="shared" si="13"/>
        <v/>
      </c>
      <c r="J60" s="1" t="e">
        <f>LEFT(女子エントリー!E241,FIND(",",LEFT(女子エントリー!E241,LEN(女子エントリー!E241)-5))-1)&amp;LEFT(RIGHT(女子エントリー!E241,LEN(女子エントリー!E241)-FIND(",",女子エントリー!E241)),LEN(RIGHT(女子エントリー!E241,LEN(女子エントリー!E241)-FIND(",",女子エントリー!E241)))-5)</f>
        <v>#VALUE!</v>
      </c>
      <c r="K60" s="92" t="str">
        <f>女子エントリー!G241</f>
        <v/>
      </c>
      <c r="L60" s="1" t="str">
        <f t="shared" si="17"/>
        <v/>
      </c>
      <c r="M60" s="92" t="str">
        <f>女子エントリー!G239</f>
        <v/>
      </c>
      <c r="N60" s="92" t="e">
        <f>MID(女子エントリー!E241,FIND("(",女子エントリー!E241)+1,2)</f>
        <v>#VALUE!</v>
      </c>
      <c r="O60" s="1">
        <v>0</v>
      </c>
      <c r="P60" s="92" t="e">
        <f>VLOOKUP(女子エントリー!G240,競技会設定!$F$3:$I$50,2,0)</f>
        <v>#N/A</v>
      </c>
      <c r="R60" s="1" t="str" cm="1">
        <f t="array" ref="R60">_xlfn.IFNA(_xlfn.IFNA(INDEX(競技会設定!$X$25:$AC$47,MATCH(INDEX(女子エントリー!$J$7:$AH$406,MATCH($G60&amp;RIGHT(R$1,1),女子エントリー!$AH$7:$AH$406,0),1),競技会設定!$AC$25:$AC$47,0),1),INDEX(競技会設定!$X$25:$AC$47,MATCH(INDEX(女子エントリー!$R$6:$V$406,MATCH($G60&amp;RIGHT(R$1,1),女子エントリー!$V$6:$V$406,0)-MATCH($G60&amp;RIGHT(R$1,1),女子エントリー!$V$6:$V$406,0)+1,1),競技会設定!$AC$25:$AC$47,0),1)),"")</f>
        <v/>
      </c>
      <c r="S60" s="1" t="str">
        <f>IF(R60=37,リレーエントリー!$I$27,_xlfn.IFNA(INDEX(女子エントリー!$J$7:$AH$406,MATCH($G60&amp;RIGHT(T$1,1),女子エントリー!$AH$7:$AH$406,0),3),""))</f>
        <v/>
      </c>
      <c r="T60" s="1" t="str">
        <f t="shared" si="14"/>
        <v/>
      </c>
      <c r="U60" s="1" t="str">
        <f t="shared" si="15"/>
        <v/>
      </c>
      <c r="V60" s="1" t="str">
        <f t="shared" si="16"/>
        <v/>
      </c>
      <c r="W60" s="1" t="str" cm="1">
        <f t="array" ref="W60">_xlfn.IFNA(_xlfn.IFNA(INDEX(競技会設定!$X$25:$AC$47,MATCH(INDEX(女子エントリー!$J$7:$AH$406,MATCH($G60&amp;RIGHT(W$1,1),女子エントリー!$AH$7:$AH$406,0),1),競技会設定!$AC$25:$AC$47,0),1),INDEX(競技会設定!$X$25:$AC$47,MATCH(INDEX(女子エントリー!$R$6:$V$406,MATCH($G60&amp;RIGHT(W$1,1),女子エントリー!$V$6:$V$406,0)-MATCH($G60&amp;RIGHT(W$1,1),女子エントリー!$V$6:$V$406,0)+1,1),競技会設定!$AC$25:$AC$47,0),1)),"")</f>
        <v/>
      </c>
      <c r="X60" s="1" t="str">
        <f>IF(W60=37,リレーエントリー!$I$27,_xlfn.IFNA(INDEX(女子エントリー!$J$7:$AH$406,MATCH($G60&amp;RIGHT(Y$1,1),女子エントリー!$AH$7:$AH$406,0),3),""))</f>
        <v/>
      </c>
      <c r="Y60" s="1" t="str">
        <f t="shared" si="1"/>
        <v/>
      </c>
      <c r="Z60" s="1" t="str">
        <f t="shared" si="2"/>
        <v/>
      </c>
      <c r="AA60" s="1" t="str">
        <f t="shared" si="3"/>
        <v/>
      </c>
      <c r="AB60" s="1" t="str" cm="1">
        <f t="array" ref="AB60">_xlfn.IFNA(_xlfn.IFNA(INDEX(競技会設定!$X$25:$AC$47,MATCH(INDEX(女子エントリー!$J$7:$AH$406,MATCH($G60&amp;RIGHT(AB$1,1),女子エントリー!$AH$7:$AH$406,0),1),競技会設定!$AC$25:$AC$47,0),1),INDEX(競技会設定!$X$25:$AC$47,MATCH(INDEX(女子エントリー!$R$6:$V$406,MATCH($G60&amp;RIGHT(AB$1,1),女子エントリー!$V$6:$V$406,0)-MATCH($G60&amp;RIGHT(AB$1,1),女子エントリー!$V$6:$V$406,0)+1,1),競技会設定!$AC$25:$AC$47,0),1)),"")</f>
        <v/>
      </c>
      <c r="AC60" s="1" t="str">
        <f>IF(AB60=37,リレーエントリー!$I$27,_xlfn.IFNA(INDEX(女子エントリー!$J$7:$AH$406,MATCH($G60&amp;RIGHT(AD$1,1),女子エントリー!$AH$7:$AH$406,0),3),""))</f>
        <v/>
      </c>
      <c r="AD60" s="1" t="str">
        <f t="shared" si="4"/>
        <v/>
      </c>
      <c r="AE60" s="1" t="str">
        <f t="shared" si="5"/>
        <v/>
      </c>
      <c r="AF60" s="1" t="str">
        <f t="shared" si="6"/>
        <v/>
      </c>
      <c r="AG60" s="1" t="str" cm="1">
        <f t="array" ref="AG60">_xlfn.IFNA(_xlfn.IFNA(INDEX(競技会設定!$X$25:$AC$47,MATCH(INDEX(女子エントリー!$J$7:$AH$406,MATCH($G60&amp;RIGHT(AG$1,1),女子エントリー!$AH$7:$AH$406,0),1),競技会設定!$AC$25:$AC$47,0),1),INDEX(競技会設定!$X$25:$AC$47,MATCH(INDEX(女子エントリー!$R$6:$V$406,MATCH($G60&amp;RIGHT(AG$1,1),女子エントリー!$V$6:$V$406,0)-MATCH($G60&amp;RIGHT(AG$1,1),女子エントリー!$V$6:$V$406,0)+1,1),競技会設定!$AC$25:$AC$47,0),1)),"")</f>
        <v/>
      </c>
      <c r="AH60" s="1" t="str">
        <f>IF(AG60=37,リレーエントリー!$I$27,_xlfn.IFNA(INDEX(女子エントリー!$J$7:$AH$406,MATCH($G60&amp;RIGHT(AI$1,1),女子エントリー!$AH$7:$AH$406,0),3),""))</f>
        <v/>
      </c>
      <c r="AI60" s="1" t="str">
        <f t="shared" si="7"/>
        <v/>
      </c>
      <c r="AJ60" s="1" t="str">
        <f t="shared" si="8"/>
        <v/>
      </c>
      <c r="AK60" s="1" t="str">
        <f t="shared" si="9"/>
        <v/>
      </c>
      <c r="AL60" s="1" t="str" cm="1">
        <f t="array" ref="AL60">_xlfn.IFNA(_xlfn.IFNA(INDEX(競技会設定!$X$25:$AC$47,MATCH(INDEX(女子エントリー!$J$7:$AH$406,MATCH($G60&amp;RIGHT(AL$1,1),女子エントリー!$AH$7:$AH$406,0),1),競技会設定!$AC$25:$AC$47,0),1),INDEX(競技会設定!$X$25:$AC$47,MATCH(INDEX(女子エントリー!$R$6:$V$406,MATCH($G60&amp;RIGHT(AL$1,1),女子エントリー!$V$6:$V$406,0)-MATCH($G60&amp;RIGHT(AL$1,1),女子エントリー!$V$6:$V$406,0)+1,1),競技会設定!$AC$25:$AC$47,0),1)),"")</f>
        <v/>
      </c>
      <c r="AM60" s="1" t="str">
        <f>IF(AL60=37,リレーエントリー!$I$27,_xlfn.IFNA(INDEX(女子エントリー!$J$7:$AH$406,MATCH($G60&amp;RIGHT(AN$1,1),女子エントリー!$AH$7:$AH$406,0),3),""))</f>
        <v/>
      </c>
      <c r="AN60" s="1" t="str">
        <f t="shared" si="10"/>
        <v/>
      </c>
      <c r="AO60" s="1" t="str">
        <f t="shared" si="11"/>
        <v/>
      </c>
      <c r="AP60" s="1" t="str">
        <f t="shared" si="12"/>
        <v/>
      </c>
    </row>
    <row r="61" spans="1:42">
      <c r="A61" s="1">
        <v>60</v>
      </c>
      <c r="B61" s="92" t="str">
        <f>女子エントリー!D243</f>
        <v/>
      </c>
      <c r="C61" s="1" t="str">
        <f>基本情報!$E$6</f>
        <v/>
      </c>
      <c r="D61" s="1" t="str">
        <f>基本情報!$E$7</f>
        <v/>
      </c>
      <c r="F61" s="92">
        <f>女子エントリー!C243</f>
        <v>0</v>
      </c>
      <c r="G61" s="92" t="str">
        <f>女子エントリー!E243</f>
        <v/>
      </c>
      <c r="H61" s="92" t="str">
        <f>女子エントリー!F243</f>
        <v/>
      </c>
      <c r="I61" s="1" t="str">
        <f t="shared" si="13"/>
        <v/>
      </c>
      <c r="J61" s="1" t="e">
        <f>LEFT(女子エントリー!E245,FIND(",",LEFT(女子エントリー!E245,LEN(女子エントリー!E245)-5))-1)&amp;LEFT(RIGHT(女子エントリー!E245,LEN(女子エントリー!E245)-FIND(",",女子エントリー!E245)),LEN(RIGHT(女子エントリー!E245,LEN(女子エントリー!E245)-FIND(",",女子エントリー!E245)))-5)</f>
        <v>#VALUE!</v>
      </c>
      <c r="K61" s="92" t="str">
        <f>女子エントリー!G245</f>
        <v/>
      </c>
      <c r="L61" s="1" t="str">
        <f t="shared" si="17"/>
        <v/>
      </c>
      <c r="M61" s="92" t="str">
        <f>女子エントリー!G243</f>
        <v/>
      </c>
      <c r="N61" s="92" t="e">
        <f>MID(女子エントリー!E245,FIND("(",女子エントリー!E245)+1,2)</f>
        <v>#VALUE!</v>
      </c>
      <c r="O61" s="1">
        <v>0</v>
      </c>
      <c r="P61" s="92" t="e">
        <f>VLOOKUP(女子エントリー!G244,競技会設定!$F$3:$I$50,2,0)</f>
        <v>#N/A</v>
      </c>
      <c r="R61" s="1" t="str" cm="1">
        <f t="array" ref="R61">_xlfn.IFNA(_xlfn.IFNA(INDEX(競技会設定!$X$25:$AC$47,MATCH(INDEX(女子エントリー!$J$7:$AH$406,MATCH($G61&amp;RIGHT(R$1,1),女子エントリー!$AH$7:$AH$406,0),1),競技会設定!$AC$25:$AC$47,0),1),INDEX(競技会設定!$X$25:$AC$47,MATCH(INDEX(女子エントリー!$R$6:$V$406,MATCH($G61&amp;RIGHT(R$1,1),女子エントリー!$V$6:$V$406,0)-MATCH($G61&amp;RIGHT(R$1,1),女子エントリー!$V$6:$V$406,0)+1,1),競技会設定!$AC$25:$AC$47,0),1)),"")</f>
        <v/>
      </c>
      <c r="S61" s="1" t="str">
        <f>IF(R61=37,リレーエントリー!$I$27,_xlfn.IFNA(INDEX(女子エントリー!$J$7:$AH$406,MATCH($G61&amp;RIGHT(T$1,1),女子エントリー!$AH$7:$AH$406,0),3),""))</f>
        <v/>
      </c>
      <c r="T61" s="1" t="str">
        <f t="shared" si="14"/>
        <v/>
      </c>
      <c r="U61" s="1" t="str">
        <f t="shared" si="15"/>
        <v/>
      </c>
      <c r="V61" s="1" t="str">
        <f t="shared" si="16"/>
        <v/>
      </c>
      <c r="W61" s="1" t="str" cm="1">
        <f t="array" ref="W61">_xlfn.IFNA(_xlfn.IFNA(INDEX(競技会設定!$X$25:$AC$47,MATCH(INDEX(女子エントリー!$J$7:$AH$406,MATCH($G61&amp;RIGHT(W$1,1),女子エントリー!$AH$7:$AH$406,0),1),競技会設定!$AC$25:$AC$47,0),1),INDEX(競技会設定!$X$25:$AC$47,MATCH(INDEX(女子エントリー!$R$6:$V$406,MATCH($G61&amp;RIGHT(W$1,1),女子エントリー!$V$6:$V$406,0)-MATCH($G61&amp;RIGHT(W$1,1),女子エントリー!$V$6:$V$406,0)+1,1),競技会設定!$AC$25:$AC$47,0),1)),"")</f>
        <v/>
      </c>
      <c r="X61" s="1" t="str">
        <f>IF(W61=37,リレーエントリー!$I$27,_xlfn.IFNA(INDEX(女子エントリー!$J$7:$AH$406,MATCH($G61&amp;RIGHT(Y$1,1),女子エントリー!$AH$7:$AH$406,0),3),""))</f>
        <v/>
      </c>
      <c r="Y61" s="1" t="str">
        <f t="shared" si="1"/>
        <v/>
      </c>
      <c r="Z61" s="1" t="str">
        <f t="shared" si="2"/>
        <v/>
      </c>
      <c r="AA61" s="1" t="str">
        <f t="shared" si="3"/>
        <v/>
      </c>
      <c r="AB61" s="1" t="str" cm="1">
        <f t="array" ref="AB61">_xlfn.IFNA(_xlfn.IFNA(INDEX(競技会設定!$X$25:$AC$47,MATCH(INDEX(女子エントリー!$J$7:$AH$406,MATCH($G61&amp;RIGHT(AB$1,1),女子エントリー!$AH$7:$AH$406,0),1),競技会設定!$AC$25:$AC$47,0),1),INDEX(競技会設定!$X$25:$AC$47,MATCH(INDEX(女子エントリー!$R$6:$V$406,MATCH($G61&amp;RIGHT(AB$1,1),女子エントリー!$V$6:$V$406,0)-MATCH($G61&amp;RIGHT(AB$1,1),女子エントリー!$V$6:$V$406,0)+1,1),競技会設定!$AC$25:$AC$47,0),1)),"")</f>
        <v/>
      </c>
      <c r="AC61" s="1" t="str">
        <f>IF(AB61=37,リレーエントリー!$I$27,_xlfn.IFNA(INDEX(女子エントリー!$J$7:$AH$406,MATCH($G61&amp;RIGHT(AD$1,1),女子エントリー!$AH$7:$AH$406,0),3),""))</f>
        <v/>
      </c>
      <c r="AD61" s="1" t="str">
        <f t="shared" si="4"/>
        <v/>
      </c>
      <c r="AE61" s="1" t="str">
        <f t="shared" si="5"/>
        <v/>
      </c>
      <c r="AF61" s="1" t="str">
        <f t="shared" si="6"/>
        <v/>
      </c>
      <c r="AG61" s="1" t="str" cm="1">
        <f t="array" ref="AG61">_xlfn.IFNA(_xlfn.IFNA(INDEX(競技会設定!$X$25:$AC$47,MATCH(INDEX(女子エントリー!$J$7:$AH$406,MATCH($G61&amp;RIGHT(AG$1,1),女子エントリー!$AH$7:$AH$406,0),1),競技会設定!$AC$25:$AC$47,0),1),INDEX(競技会設定!$X$25:$AC$47,MATCH(INDEX(女子エントリー!$R$6:$V$406,MATCH($G61&amp;RIGHT(AG$1,1),女子エントリー!$V$6:$V$406,0)-MATCH($G61&amp;RIGHT(AG$1,1),女子エントリー!$V$6:$V$406,0)+1,1),競技会設定!$AC$25:$AC$47,0),1)),"")</f>
        <v/>
      </c>
      <c r="AH61" s="1" t="str">
        <f>IF(AG61=37,リレーエントリー!$I$27,_xlfn.IFNA(INDEX(女子エントリー!$J$7:$AH$406,MATCH($G61&amp;RIGHT(AI$1,1),女子エントリー!$AH$7:$AH$406,0),3),""))</f>
        <v/>
      </c>
      <c r="AI61" s="1" t="str">
        <f t="shared" si="7"/>
        <v/>
      </c>
      <c r="AJ61" s="1" t="str">
        <f t="shared" si="8"/>
        <v/>
      </c>
      <c r="AK61" s="1" t="str">
        <f t="shared" si="9"/>
        <v/>
      </c>
      <c r="AL61" s="1" t="str" cm="1">
        <f t="array" ref="AL61">_xlfn.IFNA(_xlfn.IFNA(INDEX(競技会設定!$X$25:$AC$47,MATCH(INDEX(女子エントリー!$J$7:$AH$406,MATCH($G61&amp;RIGHT(AL$1,1),女子エントリー!$AH$7:$AH$406,0),1),競技会設定!$AC$25:$AC$47,0),1),INDEX(競技会設定!$X$25:$AC$47,MATCH(INDEX(女子エントリー!$R$6:$V$406,MATCH($G61&amp;RIGHT(AL$1,1),女子エントリー!$V$6:$V$406,0)-MATCH($G61&amp;RIGHT(AL$1,1),女子エントリー!$V$6:$V$406,0)+1,1),競技会設定!$AC$25:$AC$47,0),1)),"")</f>
        <v/>
      </c>
      <c r="AM61" s="1" t="str">
        <f>IF(AL61=37,リレーエントリー!$I$27,_xlfn.IFNA(INDEX(女子エントリー!$J$7:$AH$406,MATCH($G61&amp;RIGHT(AN$1,1),女子エントリー!$AH$7:$AH$406,0),3),""))</f>
        <v/>
      </c>
      <c r="AN61" s="1" t="str">
        <f t="shared" si="10"/>
        <v/>
      </c>
      <c r="AO61" s="1" t="str">
        <f t="shared" si="11"/>
        <v/>
      </c>
      <c r="AP61" s="1" t="str">
        <f t="shared" si="12"/>
        <v/>
      </c>
    </row>
    <row r="62" spans="1:42">
      <c r="A62" s="1">
        <v>61</v>
      </c>
      <c r="B62" s="92" t="str">
        <f>女子エントリー!D247</f>
        <v/>
      </c>
      <c r="C62" s="1" t="str">
        <f>基本情報!$E$6</f>
        <v/>
      </c>
      <c r="D62" s="1" t="str">
        <f>基本情報!$E$7</f>
        <v/>
      </c>
      <c r="F62" s="92">
        <f>女子エントリー!C247</f>
        <v>0</v>
      </c>
      <c r="G62" s="92" t="str">
        <f>女子エントリー!E247</f>
        <v/>
      </c>
      <c r="H62" s="92" t="str">
        <f>女子エントリー!F247</f>
        <v/>
      </c>
      <c r="I62" s="1" t="str">
        <f t="shared" si="13"/>
        <v/>
      </c>
      <c r="J62" s="1" t="e">
        <f>LEFT(女子エントリー!E249,FIND(",",LEFT(女子エントリー!E249,LEN(女子エントリー!E249)-5))-1)&amp;LEFT(RIGHT(女子エントリー!E249,LEN(女子エントリー!E249)-FIND(",",女子エントリー!E249)),LEN(RIGHT(女子エントリー!E249,LEN(女子エントリー!E249)-FIND(",",女子エントリー!E249)))-5)</f>
        <v>#VALUE!</v>
      </c>
      <c r="K62" s="92" t="str">
        <f>女子エントリー!G249</f>
        <v/>
      </c>
      <c r="L62" s="1" t="str">
        <f t="shared" si="17"/>
        <v/>
      </c>
      <c r="M62" s="92" t="str">
        <f>女子エントリー!G247</f>
        <v/>
      </c>
      <c r="N62" s="92" t="e">
        <f>MID(女子エントリー!E249,FIND("(",女子エントリー!E249)+1,2)</f>
        <v>#VALUE!</v>
      </c>
      <c r="O62" s="1">
        <v>0</v>
      </c>
      <c r="P62" s="92" t="e">
        <f>VLOOKUP(女子エントリー!G248,競技会設定!$F$3:$I$50,2,0)</f>
        <v>#N/A</v>
      </c>
      <c r="R62" s="1" t="str" cm="1">
        <f t="array" ref="R62">_xlfn.IFNA(_xlfn.IFNA(INDEX(競技会設定!$X$25:$AC$47,MATCH(INDEX(女子エントリー!$J$7:$AH$406,MATCH($G62&amp;RIGHT(R$1,1),女子エントリー!$AH$7:$AH$406,0),1),競技会設定!$AC$25:$AC$47,0),1),INDEX(競技会設定!$X$25:$AC$47,MATCH(INDEX(女子エントリー!$R$6:$V$406,MATCH($G62&amp;RIGHT(R$1,1),女子エントリー!$V$6:$V$406,0)-MATCH($G62&amp;RIGHT(R$1,1),女子エントリー!$V$6:$V$406,0)+1,1),競技会設定!$AC$25:$AC$47,0),1)),"")</f>
        <v/>
      </c>
      <c r="S62" s="1" t="str">
        <f>IF(R62=37,リレーエントリー!$I$27,_xlfn.IFNA(INDEX(女子エントリー!$J$7:$AH$406,MATCH($G62&amp;RIGHT(T$1,1),女子エントリー!$AH$7:$AH$406,0),3),""))</f>
        <v/>
      </c>
      <c r="T62" s="1" t="str">
        <f t="shared" si="14"/>
        <v/>
      </c>
      <c r="U62" s="1" t="str">
        <f t="shared" si="15"/>
        <v/>
      </c>
      <c r="V62" s="1" t="str">
        <f t="shared" si="16"/>
        <v/>
      </c>
      <c r="W62" s="1" t="str" cm="1">
        <f t="array" ref="W62">_xlfn.IFNA(_xlfn.IFNA(INDEX(競技会設定!$X$25:$AC$47,MATCH(INDEX(女子エントリー!$J$7:$AH$406,MATCH($G62&amp;RIGHT(W$1,1),女子エントリー!$AH$7:$AH$406,0),1),競技会設定!$AC$25:$AC$47,0),1),INDEX(競技会設定!$X$25:$AC$47,MATCH(INDEX(女子エントリー!$R$6:$V$406,MATCH($G62&amp;RIGHT(W$1,1),女子エントリー!$V$6:$V$406,0)-MATCH($G62&amp;RIGHT(W$1,1),女子エントリー!$V$6:$V$406,0)+1,1),競技会設定!$AC$25:$AC$47,0),1)),"")</f>
        <v/>
      </c>
      <c r="X62" s="1" t="str">
        <f>IF(W62=37,リレーエントリー!$I$27,_xlfn.IFNA(INDEX(女子エントリー!$J$7:$AH$406,MATCH($G62&amp;RIGHT(Y$1,1),女子エントリー!$AH$7:$AH$406,0),3),""))</f>
        <v/>
      </c>
      <c r="Y62" s="1" t="str">
        <f t="shared" si="1"/>
        <v/>
      </c>
      <c r="Z62" s="1" t="str">
        <f t="shared" si="2"/>
        <v/>
      </c>
      <c r="AA62" s="1" t="str">
        <f t="shared" si="3"/>
        <v/>
      </c>
      <c r="AB62" s="1" t="str" cm="1">
        <f t="array" ref="AB62">_xlfn.IFNA(_xlfn.IFNA(INDEX(競技会設定!$X$25:$AC$47,MATCH(INDEX(女子エントリー!$J$7:$AH$406,MATCH($G62&amp;RIGHT(AB$1,1),女子エントリー!$AH$7:$AH$406,0),1),競技会設定!$AC$25:$AC$47,0),1),INDEX(競技会設定!$X$25:$AC$47,MATCH(INDEX(女子エントリー!$R$6:$V$406,MATCH($G62&amp;RIGHT(AB$1,1),女子エントリー!$V$6:$V$406,0)-MATCH($G62&amp;RIGHT(AB$1,1),女子エントリー!$V$6:$V$406,0)+1,1),競技会設定!$AC$25:$AC$47,0),1)),"")</f>
        <v/>
      </c>
      <c r="AC62" s="1" t="str">
        <f>IF(AB62=37,リレーエントリー!$I$27,_xlfn.IFNA(INDEX(女子エントリー!$J$7:$AH$406,MATCH($G62&amp;RIGHT(AD$1,1),女子エントリー!$AH$7:$AH$406,0),3),""))</f>
        <v/>
      </c>
      <c r="AD62" s="1" t="str">
        <f t="shared" si="4"/>
        <v/>
      </c>
      <c r="AE62" s="1" t="str">
        <f t="shared" si="5"/>
        <v/>
      </c>
      <c r="AF62" s="1" t="str">
        <f t="shared" si="6"/>
        <v/>
      </c>
      <c r="AG62" s="1" t="str" cm="1">
        <f t="array" ref="AG62">_xlfn.IFNA(_xlfn.IFNA(INDEX(競技会設定!$X$25:$AC$47,MATCH(INDEX(女子エントリー!$J$7:$AH$406,MATCH($G62&amp;RIGHT(AG$1,1),女子エントリー!$AH$7:$AH$406,0),1),競技会設定!$AC$25:$AC$47,0),1),INDEX(競技会設定!$X$25:$AC$47,MATCH(INDEX(女子エントリー!$R$6:$V$406,MATCH($G62&amp;RIGHT(AG$1,1),女子エントリー!$V$6:$V$406,0)-MATCH($G62&amp;RIGHT(AG$1,1),女子エントリー!$V$6:$V$406,0)+1,1),競技会設定!$AC$25:$AC$47,0),1)),"")</f>
        <v/>
      </c>
      <c r="AH62" s="1" t="str">
        <f>IF(AG62=37,リレーエントリー!$I$27,_xlfn.IFNA(INDEX(女子エントリー!$J$7:$AH$406,MATCH($G62&amp;RIGHT(AI$1,1),女子エントリー!$AH$7:$AH$406,0),3),""))</f>
        <v/>
      </c>
      <c r="AI62" s="1" t="str">
        <f t="shared" si="7"/>
        <v/>
      </c>
      <c r="AJ62" s="1" t="str">
        <f t="shared" si="8"/>
        <v/>
      </c>
      <c r="AK62" s="1" t="str">
        <f t="shared" si="9"/>
        <v/>
      </c>
      <c r="AL62" s="1" t="str" cm="1">
        <f t="array" ref="AL62">_xlfn.IFNA(_xlfn.IFNA(INDEX(競技会設定!$X$25:$AC$47,MATCH(INDEX(女子エントリー!$J$7:$AH$406,MATCH($G62&amp;RIGHT(AL$1,1),女子エントリー!$AH$7:$AH$406,0),1),競技会設定!$AC$25:$AC$47,0),1),INDEX(競技会設定!$X$25:$AC$47,MATCH(INDEX(女子エントリー!$R$6:$V$406,MATCH($G62&amp;RIGHT(AL$1,1),女子エントリー!$V$6:$V$406,0)-MATCH($G62&amp;RIGHT(AL$1,1),女子エントリー!$V$6:$V$406,0)+1,1),競技会設定!$AC$25:$AC$47,0),1)),"")</f>
        <v/>
      </c>
      <c r="AM62" s="1" t="str">
        <f>IF(AL62=37,リレーエントリー!$I$27,_xlfn.IFNA(INDEX(女子エントリー!$J$7:$AH$406,MATCH($G62&amp;RIGHT(AN$1,1),女子エントリー!$AH$7:$AH$406,0),3),""))</f>
        <v/>
      </c>
      <c r="AN62" s="1" t="str">
        <f t="shared" si="10"/>
        <v/>
      </c>
      <c r="AO62" s="1" t="str">
        <f t="shared" si="11"/>
        <v/>
      </c>
      <c r="AP62" s="1" t="str">
        <f t="shared" si="12"/>
        <v/>
      </c>
    </row>
    <row r="63" spans="1:42">
      <c r="A63" s="1">
        <v>62</v>
      </c>
      <c r="B63" s="92" t="str">
        <f>女子エントリー!D251</f>
        <v/>
      </c>
      <c r="C63" s="1" t="str">
        <f>基本情報!$E$6</f>
        <v/>
      </c>
      <c r="D63" s="1" t="str">
        <f>基本情報!$E$7</f>
        <v/>
      </c>
      <c r="F63" s="92">
        <f>女子エントリー!C251</f>
        <v>0</v>
      </c>
      <c r="G63" s="92" t="str">
        <f>女子エントリー!E251</f>
        <v/>
      </c>
      <c r="H63" s="92" t="str">
        <f>女子エントリー!F251</f>
        <v/>
      </c>
      <c r="I63" s="1" t="str">
        <f t="shared" si="13"/>
        <v/>
      </c>
      <c r="J63" s="1" t="e">
        <f>LEFT(女子エントリー!E253,FIND(",",LEFT(女子エントリー!E253,LEN(女子エントリー!E253)-5))-1)&amp;LEFT(RIGHT(女子エントリー!E253,LEN(女子エントリー!E253)-FIND(",",女子エントリー!E253)),LEN(RIGHT(女子エントリー!E253,LEN(女子エントリー!E253)-FIND(",",女子エントリー!E253)))-5)</f>
        <v>#VALUE!</v>
      </c>
      <c r="K63" s="92" t="str">
        <f>女子エントリー!G253</f>
        <v/>
      </c>
      <c r="L63" s="1" t="str">
        <f t="shared" si="17"/>
        <v/>
      </c>
      <c r="M63" s="92" t="str">
        <f>女子エントリー!G251</f>
        <v/>
      </c>
      <c r="N63" s="92" t="e">
        <f>MID(女子エントリー!E253,FIND("(",女子エントリー!E253)+1,2)</f>
        <v>#VALUE!</v>
      </c>
      <c r="O63" s="1">
        <v>0</v>
      </c>
      <c r="P63" s="92" t="e">
        <f>VLOOKUP(女子エントリー!G252,競技会設定!$F$3:$I$50,2,0)</f>
        <v>#N/A</v>
      </c>
      <c r="R63" s="1" t="str" cm="1">
        <f t="array" ref="R63">_xlfn.IFNA(_xlfn.IFNA(INDEX(競技会設定!$X$25:$AC$47,MATCH(INDEX(女子エントリー!$J$7:$AH$406,MATCH($G63&amp;RIGHT(R$1,1),女子エントリー!$AH$7:$AH$406,0),1),競技会設定!$AC$25:$AC$47,0),1),INDEX(競技会設定!$X$25:$AC$47,MATCH(INDEX(女子エントリー!$R$6:$V$406,MATCH($G63&amp;RIGHT(R$1,1),女子エントリー!$V$6:$V$406,0)-MATCH($G63&amp;RIGHT(R$1,1),女子エントリー!$V$6:$V$406,0)+1,1),競技会設定!$AC$25:$AC$47,0),1)),"")</f>
        <v/>
      </c>
      <c r="S63" s="1" t="str">
        <f>IF(R63=37,リレーエントリー!$I$27,_xlfn.IFNA(INDEX(女子エントリー!$J$7:$AH$406,MATCH($G63&amp;RIGHT(T$1,1),女子エントリー!$AH$7:$AH$406,0),3),""))</f>
        <v/>
      </c>
      <c r="T63" s="1" t="str">
        <f t="shared" si="14"/>
        <v/>
      </c>
      <c r="U63" s="1" t="str">
        <f t="shared" si="15"/>
        <v/>
      </c>
      <c r="V63" s="1" t="str">
        <f t="shared" si="16"/>
        <v/>
      </c>
      <c r="W63" s="1" t="str" cm="1">
        <f t="array" ref="W63">_xlfn.IFNA(_xlfn.IFNA(INDEX(競技会設定!$X$25:$AC$47,MATCH(INDEX(女子エントリー!$J$7:$AH$406,MATCH($G63&amp;RIGHT(W$1,1),女子エントリー!$AH$7:$AH$406,0),1),競技会設定!$AC$25:$AC$47,0),1),INDEX(競技会設定!$X$25:$AC$47,MATCH(INDEX(女子エントリー!$R$6:$V$406,MATCH($G63&amp;RIGHT(W$1,1),女子エントリー!$V$6:$V$406,0)-MATCH($G63&amp;RIGHT(W$1,1),女子エントリー!$V$6:$V$406,0)+1,1),競技会設定!$AC$25:$AC$47,0),1)),"")</f>
        <v/>
      </c>
      <c r="X63" s="1" t="str">
        <f>IF(W63=37,リレーエントリー!$I$27,_xlfn.IFNA(INDEX(女子エントリー!$J$7:$AH$406,MATCH($G63&amp;RIGHT(Y$1,1),女子エントリー!$AH$7:$AH$406,0),3),""))</f>
        <v/>
      </c>
      <c r="Y63" s="1" t="str">
        <f t="shared" si="1"/>
        <v/>
      </c>
      <c r="Z63" s="1" t="str">
        <f t="shared" si="2"/>
        <v/>
      </c>
      <c r="AA63" s="1" t="str">
        <f t="shared" si="3"/>
        <v/>
      </c>
      <c r="AB63" s="1" t="str" cm="1">
        <f t="array" ref="AB63">_xlfn.IFNA(_xlfn.IFNA(INDEX(競技会設定!$X$25:$AC$47,MATCH(INDEX(女子エントリー!$J$7:$AH$406,MATCH($G63&amp;RIGHT(AB$1,1),女子エントリー!$AH$7:$AH$406,0),1),競技会設定!$AC$25:$AC$47,0),1),INDEX(競技会設定!$X$25:$AC$47,MATCH(INDEX(女子エントリー!$R$6:$V$406,MATCH($G63&amp;RIGHT(AB$1,1),女子エントリー!$V$6:$V$406,0)-MATCH($G63&amp;RIGHT(AB$1,1),女子エントリー!$V$6:$V$406,0)+1,1),競技会設定!$AC$25:$AC$47,0),1)),"")</f>
        <v/>
      </c>
      <c r="AC63" s="1" t="str">
        <f>IF(AB63=37,リレーエントリー!$I$27,_xlfn.IFNA(INDEX(女子エントリー!$J$7:$AH$406,MATCH($G63&amp;RIGHT(AD$1,1),女子エントリー!$AH$7:$AH$406,0),3),""))</f>
        <v/>
      </c>
      <c r="AD63" s="1" t="str">
        <f t="shared" si="4"/>
        <v/>
      </c>
      <c r="AE63" s="1" t="str">
        <f t="shared" si="5"/>
        <v/>
      </c>
      <c r="AF63" s="1" t="str">
        <f t="shared" si="6"/>
        <v/>
      </c>
      <c r="AG63" s="1" t="str" cm="1">
        <f t="array" ref="AG63">_xlfn.IFNA(_xlfn.IFNA(INDEX(競技会設定!$X$25:$AC$47,MATCH(INDEX(女子エントリー!$J$7:$AH$406,MATCH($G63&amp;RIGHT(AG$1,1),女子エントリー!$AH$7:$AH$406,0),1),競技会設定!$AC$25:$AC$47,0),1),INDEX(競技会設定!$X$25:$AC$47,MATCH(INDEX(女子エントリー!$R$6:$V$406,MATCH($G63&amp;RIGHT(AG$1,1),女子エントリー!$V$6:$V$406,0)-MATCH($G63&amp;RIGHT(AG$1,1),女子エントリー!$V$6:$V$406,0)+1,1),競技会設定!$AC$25:$AC$47,0),1)),"")</f>
        <v/>
      </c>
      <c r="AH63" s="1" t="str">
        <f>IF(AG63=37,リレーエントリー!$I$27,_xlfn.IFNA(INDEX(女子エントリー!$J$7:$AH$406,MATCH($G63&amp;RIGHT(AI$1,1),女子エントリー!$AH$7:$AH$406,0),3),""))</f>
        <v/>
      </c>
      <c r="AI63" s="1" t="str">
        <f t="shared" si="7"/>
        <v/>
      </c>
      <c r="AJ63" s="1" t="str">
        <f t="shared" si="8"/>
        <v/>
      </c>
      <c r="AK63" s="1" t="str">
        <f t="shared" si="9"/>
        <v/>
      </c>
      <c r="AL63" s="1" t="str" cm="1">
        <f t="array" ref="AL63">_xlfn.IFNA(_xlfn.IFNA(INDEX(競技会設定!$X$25:$AC$47,MATCH(INDEX(女子エントリー!$J$7:$AH$406,MATCH($G63&amp;RIGHT(AL$1,1),女子エントリー!$AH$7:$AH$406,0),1),競技会設定!$AC$25:$AC$47,0),1),INDEX(競技会設定!$X$25:$AC$47,MATCH(INDEX(女子エントリー!$R$6:$V$406,MATCH($G63&amp;RIGHT(AL$1,1),女子エントリー!$V$6:$V$406,0)-MATCH($G63&amp;RIGHT(AL$1,1),女子エントリー!$V$6:$V$406,0)+1,1),競技会設定!$AC$25:$AC$47,0),1)),"")</f>
        <v/>
      </c>
      <c r="AM63" s="1" t="str">
        <f>IF(AL63=37,リレーエントリー!$I$27,_xlfn.IFNA(INDEX(女子エントリー!$J$7:$AH$406,MATCH($G63&amp;RIGHT(AN$1,1),女子エントリー!$AH$7:$AH$406,0),3),""))</f>
        <v/>
      </c>
      <c r="AN63" s="1" t="str">
        <f t="shared" si="10"/>
        <v/>
      </c>
      <c r="AO63" s="1" t="str">
        <f t="shared" si="11"/>
        <v/>
      </c>
      <c r="AP63" s="1" t="str">
        <f t="shared" si="12"/>
        <v/>
      </c>
    </row>
    <row r="64" spans="1:42">
      <c r="A64" s="1">
        <v>63</v>
      </c>
      <c r="B64" s="92" t="str">
        <f>女子エントリー!D255</f>
        <v/>
      </c>
      <c r="C64" s="1" t="str">
        <f>基本情報!$E$6</f>
        <v/>
      </c>
      <c r="D64" s="1" t="str">
        <f>基本情報!$E$7</f>
        <v/>
      </c>
      <c r="F64" s="92">
        <f>女子エントリー!C255</f>
        <v>0</v>
      </c>
      <c r="G64" s="92" t="str">
        <f>女子エントリー!E255</f>
        <v/>
      </c>
      <c r="H64" s="92" t="str">
        <f>女子エントリー!F255</f>
        <v/>
      </c>
      <c r="I64" s="1" t="str">
        <f t="shared" si="13"/>
        <v/>
      </c>
      <c r="J64" s="1" t="e">
        <f>LEFT(女子エントリー!E257,FIND(",",LEFT(女子エントリー!E257,LEN(女子エントリー!E257)-5))-1)&amp;LEFT(RIGHT(女子エントリー!E257,LEN(女子エントリー!E257)-FIND(",",女子エントリー!E257)),LEN(RIGHT(女子エントリー!E257,LEN(女子エントリー!E257)-FIND(",",女子エントリー!E257)))-5)</f>
        <v>#VALUE!</v>
      </c>
      <c r="K64" s="92" t="str">
        <f>女子エントリー!G257</f>
        <v/>
      </c>
      <c r="L64" s="1" t="str">
        <f t="shared" si="17"/>
        <v/>
      </c>
      <c r="M64" s="92" t="str">
        <f>女子エントリー!G255</f>
        <v/>
      </c>
      <c r="N64" s="92" t="e">
        <f>MID(女子エントリー!E257,FIND("(",女子エントリー!E257)+1,2)</f>
        <v>#VALUE!</v>
      </c>
      <c r="O64" s="1">
        <v>0</v>
      </c>
      <c r="P64" s="92" t="e">
        <f>VLOOKUP(女子エントリー!G256,競技会設定!$F$3:$I$50,2,0)</f>
        <v>#N/A</v>
      </c>
      <c r="R64" s="1" t="str" cm="1">
        <f t="array" ref="R64">_xlfn.IFNA(_xlfn.IFNA(INDEX(競技会設定!$X$25:$AC$47,MATCH(INDEX(女子エントリー!$J$7:$AH$406,MATCH($G64&amp;RIGHT(R$1,1),女子エントリー!$AH$7:$AH$406,0),1),競技会設定!$AC$25:$AC$47,0),1),INDEX(競技会設定!$X$25:$AC$47,MATCH(INDEX(女子エントリー!$R$6:$V$406,MATCH($G64&amp;RIGHT(R$1,1),女子エントリー!$V$6:$V$406,0)-MATCH($G64&amp;RIGHT(R$1,1),女子エントリー!$V$6:$V$406,0)+1,1),競技会設定!$AC$25:$AC$47,0),1)),"")</f>
        <v/>
      </c>
      <c r="S64" s="1" t="str">
        <f>IF(R64=37,リレーエントリー!$I$27,_xlfn.IFNA(INDEX(女子エントリー!$J$7:$AH$406,MATCH($G64&amp;RIGHT(T$1,1),女子エントリー!$AH$7:$AH$406,0),3),""))</f>
        <v/>
      </c>
      <c r="T64" s="1" t="str">
        <f t="shared" si="14"/>
        <v/>
      </c>
      <c r="U64" s="1" t="str">
        <f t="shared" si="15"/>
        <v/>
      </c>
      <c r="V64" s="1" t="str">
        <f t="shared" si="16"/>
        <v/>
      </c>
      <c r="W64" s="1" t="str" cm="1">
        <f t="array" ref="W64">_xlfn.IFNA(_xlfn.IFNA(INDEX(競技会設定!$X$25:$AC$47,MATCH(INDEX(女子エントリー!$J$7:$AH$406,MATCH($G64&amp;RIGHT(W$1,1),女子エントリー!$AH$7:$AH$406,0),1),競技会設定!$AC$25:$AC$47,0),1),INDEX(競技会設定!$X$25:$AC$47,MATCH(INDEX(女子エントリー!$R$6:$V$406,MATCH($G64&amp;RIGHT(W$1,1),女子エントリー!$V$6:$V$406,0)-MATCH($G64&amp;RIGHT(W$1,1),女子エントリー!$V$6:$V$406,0)+1,1),競技会設定!$AC$25:$AC$47,0),1)),"")</f>
        <v/>
      </c>
      <c r="X64" s="1" t="str">
        <f>IF(W64=37,リレーエントリー!$I$27,_xlfn.IFNA(INDEX(女子エントリー!$J$7:$AH$406,MATCH($G64&amp;RIGHT(Y$1,1),女子エントリー!$AH$7:$AH$406,0),3),""))</f>
        <v/>
      </c>
      <c r="Y64" s="1" t="str">
        <f t="shared" si="1"/>
        <v/>
      </c>
      <c r="Z64" s="1" t="str">
        <f t="shared" si="2"/>
        <v/>
      </c>
      <c r="AA64" s="1" t="str">
        <f t="shared" si="3"/>
        <v/>
      </c>
      <c r="AB64" s="1" t="str" cm="1">
        <f t="array" ref="AB64">_xlfn.IFNA(_xlfn.IFNA(INDEX(競技会設定!$X$25:$AC$47,MATCH(INDEX(女子エントリー!$J$7:$AH$406,MATCH($G64&amp;RIGHT(AB$1,1),女子エントリー!$AH$7:$AH$406,0),1),競技会設定!$AC$25:$AC$47,0),1),INDEX(競技会設定!$X$25:$AC$47,MATCH(INDEX(女子エントリー!$R$6:$V$406,MATCH($G64&amp;RIGHT(AB$1,1),女子エントリー!$V$6:$V$406,0)-MATCH($G64&amp;RIGHT(AB$1,1),女子エントリー!$V$6:$V$406,0)+1,1),競技会設定!$AC$25:$AC$47,0),1)),"")</f>
        <v/>
      </c>
      <c r="AC64" s="1" t="str">
        <f>IF(AB64=37,リレーエントリー!$I$27,_xlfn.IFNA(INDEX(女子エントリー!$J$7:$AH$406,MATCH($G64&amp;RIGHT(AD$1,1),女子エントリー!$AH$7:$AH$406,0),3),""))</f>
        <v/>
      </c>
      <c r="AD64" s="1" t="str">
        <f t="shared" si="4"/>
        <v/>
      </c>
      <c r="AE64" s="1" t="str">
        <f t="shared" si="5"/>
        <v/>
      </c>
      <c r="AF64" s="1" t="str">
        <f t="shared" si="6"/>
        <v/>
      </c>
      <c r="AG64" s="1" t="str" cm="1">
        <f t="array" ref="AG64">_xlfn.IFNA(_xlfn.IFNA(INDEX(競技会設定!$X$25:$AC$47,MATCH(INDEX(女子エントリー!$J$7:$AH$406,MATCH($G64&amp;RIGHT(AG$1,1),女子エントリー!$AH$7:$AH$406,0),1),競技会設定!$AC$25:$AC$47,0),1),INDEX(競技会設定!$X$25:$AC$47,MATCH(INDEX(女子エントリー!$R$6:$V$406,MATCH($G64&amp;RIGHT(AG$1,1),女子エントリー!$V$6:$V$406,0)-MATCH($G64&amp;RIGHT(AG$1,1),女子エントリー!$V$6:$V$406,0)+1,1),競技会設定!$AC$25:$AC$47,0),1)),"")</f>
        <v/>
      </c>
      <c r="AH64" s="1" t="str">
        <f>IF(AG64=37,リレーエントリー!$I$27,_xlfn.IFNA(INDEX(女子エントリー!$J$7:$AH$406,MATCH($G64&amp;RIGHT(AI$1,1),女子エントリー!$AH$7:$AH$406,0),3),""))</f>
        <v/>
      </c>
      <c r="AI64" s="1" t="str">
        <f t="shared" si="7"/>
        <v/>
      </c>
      <c r="AJ64" s="1" t="str">
        <f t="shared" si="8"/>
        <v/>
      </c>
      <c r="AK64" s="1" t="str">
        <f t="shared" si="9"/>
        <v/>
      </c>
      <c r="AL64" s="1" t="str" cm="1">
        <f t="array" ref="AL64">_xlfn.IFNA(_xlfn.IFNA(INDEX(競技会設定!$X$25:$AC$47,MATCH(INDEX(女子エントリー!$J$7:$AH$406,MATCH($G64&amp;RIGHT(AL$1,1),女子エントリー!$AH$7:$AH$406,0),1),競技会設定!$AC$25:$AC$47,0),1),INDEX(競技会設定!$X$25:$AC$47,MATCH(INDEX(女子エントリー!$R$6:$V$406,MATCH($G64&amp;RIGHT(AL$1,1),女子エントリー!$V$6:$V$406,0)-MATCH($G64&amp;RIGHT(AL$1,1),女子エントリー!$V$6:$V$406,0)+1,1),競技会設定!$AC$25:$AC$47,0),1)),"")</f>
        <v/>
      </c>
      <c r="AM64" s="1" t="str">
        <f>IF(AL64=37,リレーエントリー!$I$27,_xlfn.IFNA(INDEX(女子エントリー!$J$7:$AH$406,MATCH($G64&amp;RIGHT(AN$1,1),女子エントリー!$AH$7:$AH$406,0),3),""))</f>
        <v/>
      </c>
      <c r="AN64" s="1" t="str">
        <f t="shared" si="10"/>
        <v/>
      </c>
      <c r="AO64" s="1" t="str">
        <f t="shared" si="11"/>
        <v/>
      </c>
      <c r="AP64" s="1" t="str">
        <f t="shared" si="12"/>
        <v/>
      </c>
    </row>
    <row r="65" spans="1:42">
      <c r="A65" s="1">
        <v>64</v>
      </c>
      <c r="B65" s="92" t="str">
        <f>女子エントリー!D259</f>
        <v/>
      </c>
      <c r="C65" s="1" t="str">
        <f>基本情報!$E$6</f>
        <v/>
      </c>
      <c r="D65" s="1" t="str">
        <f>基本情報!$E$7</f>
        <v/>
      </c>
      <c r="F65" s="92">
        <f>女子エントリー!C259</f>
        <v>0</v>
      </c>
      <c r="G65" s="92" t="str">
        <f>女子エントリー!E259</f>
        <v/>
      </c>
      <c r="H65" s="92" t="str">
        <f>女子エントリー!F259</f>
        <v/>
      </c>
      <c r="I65" s="1" t="str">
        <f t="shared" si="13"/>
        <v/>
      </c>
      <c r="J65" s="1" t="e">
        <f>LEFT(女子エントリー!E261,FIND(",",LEFT(女子エントリー!E261,LEN(女子エントリー!E261)-5))-1)&amp;LEFT(RIGHT(女子エントリー!E261,LEN(女子エントリー!E261)-FIND(",",女子エントリー!E261)),LEN(RIGHT(女子エントリー!E261,LEN(女子エントリー!E261)-FIND(",",女子エントリー!E261)))-5)</f>
        <v>#VALUE!</v>
      </c>
      <c r="K65" s="92" t="str">
        <f>女子エントリー!G261</f>
        <v/>
      </c>
      <c r="L65" s="1" t="str">
        <f t="shared" si="17"/>
        <v/>
      </c>
      <c r="M65" s="92" t="str">
        <f>女子エントリー!G259</f>
        <v/>
      </c>
      <c r="N65" s="92" t="e">
        <f>MID(女子エントリー!E261,FIND("(",女子エントリー!E261)+1,2)</f>
        <v>#VALUE!</v>
      </c>
      <c r="O65" s="1">
        <v>0</v>
      </c>
      <c r="P65" s="92" t="e">
        <f>VLOOKUP(女子エントリー!G260,競技会設定!$F$3:$I$50,2,0)</f>
        <v>#N/A</v>
      </c>
      <c r="R65" s="1" t="str" cm="1">
        <f t="array" ref="R65">_xlfn.IFNA(_xlfn.IFNA(INDEX(競技会設定!$X$25:$AC$47,MATCH(INDEX(女子エントリー!$J$7:$AH$406,MATCH($G65&amp;RIGHT(R$1,1),女子エントリー!$AH$7:$AH$406,0),1),競技会設定!$AC$25:$AC$47,0),1),INDEX(競技会設定!$X$25:$AC$47,MATCH(INDEX(女子エントリー!$R$6:$V$406,MATCH($G65&amp;RIGHT(R$1,1),女子エントリー!$V$6:$V$406,0)-MATCH($G65&amp;RIGHT(R$1,1),女子エントリー!$V$6:$V$406,0)+1,1),競技会設定!$AC$25:$AC$47,0),1)),"")</f>
        <v/>
      </c>
      <c r="S65" s="1" t="str">
        <f>IF(R65=37,リレーエントリー!$I$27,_xlfn.IFNA(INDEX(女子エントリー!$J$7:$AH$406,MATCH($G65&amp;RIGHT(T$1,1),女子エントリー!$AH$7:$AH$406,0),3),""))</f>
        <v/>
      </c>
      <c r="T65" s="1" t="str">
        <f t="shared" si="14"/>
        <v/>
      </c>
      <c r="U65" s="1" t="str">
        <f t="shared" si="15"/>
        <v/>
      </c>
      <c r="V65" s="1" t="str">
        <f t="shared" si="16"/>
        <v/>
      </c>
      <c r="W65" s="1" t="str" cm="1">
        <f t="array" ref="W65">_xlfn.IFNA(_xlfn.IFNA(INDEX(競技会設定!$X$25:$AC$47,MATCH(INDEX(女子エントリー!$J$7:$AH$406,MATCH($G65&amp;RIGHT(W$1,1),女子エントリー!$AH$7:$AH$406,0),1),競技会設定!$AC$25:$AC$47,0),1),INDEX(競技会設定!$X$25:$AC$47,MATCH(INDEX(女子エントリー!$R$6:$V$406,MATCH($G65&amp;RIGHT(W$1,1),女子エントリー!$V$6:$V$406,0)-MATCH($G65&amp;RIGHT(W$1,1),女子エントリー!$V$6:$V$406,0)+1,1),競技会設定!$AC$25:$AC$47,0),1)),"")</f>
        <v/>
      </c>
      <c r="X65" s="1" t="str">
        <f>IF(W65=37,リレーエントリー!$I$27,_xlfn.IFNA(INDEX(女子エントリー!$J$7:$AH$406,MATCH($G65&amp;RIGHT(Y$1,1),女子エントリー!$AH$7:$AH$406,0),3),""))</f>
        <v/>
      </c>
      <c r="Y65" s="1" t="str">
        <f t="shared" si="1"/>
        <v/>
      </c>
      <c r="Z65" s="1" t="str">
        <f t="shared" si="2"/>
        <v/>
      </c>
      <c r="AA65" s="1" t="str">
        <f t="shared" si="3"/>
        <v/>
      </c>
      <c r="AB65" s="1" t="str" cm="1">
        <f t="array" ref="AB65">_xlfn.IFNA(_xlfn.IFNA(INDEX(競技会設定!$X$25:$AC$47,MATCH(INDEX(女子エントリー!$J$7:$AH$406,MATCH($G65&amp;RIGHT(AB$1,1),女子エントリー!$AH$7:$AH$406,0),1),競技会設定!$AC$25:$AC$47,0),1),INDEX(競技会設定!$X$25:$AC$47,MATCH(INDEX(女子エントリー!$R$6:$V$406,MATCH($G65&amp;RIGHT(AB$1,1),女子エントリー!$V$6:$V$406,0)-MATCH($G65&amp;RIGHT(AB$1,1),女子エントリー!$V$6:$V$406,0)+1,1),競技会設定!$AC$25:$AC$47,0),1)),"")</f>
        <v/>
      </c>
      <c r="AC65" s="1" t="str">
        <f>IF(AB65=37,リレーエントリー!$I$27,_xlfn.IFNA(INDEX(女子エントリー!$J$7:$AH$406,MATCH($G65&amp;RIGHT(AD$1,1),女子エントリー!$AH$7:$AH$406,0),3),""))</f>
        <v/>
      </c>
      <c r="AD65" s="1" t="str">
        <f t="shared" si="4"/>
        <v/>
      </c>
      <c r="AE65" s="1" t="str">
        <f t="shared" si="5"/>
        <v/>
      </c>
      <c r="AF65" s="1" t="str">
        <f t="shared" si="6"/>
        <v/>
      </c>
      <c r="AG65" s="1" t="str" cm="1">
        <f t="array" ref="AG65">_xlfn.IFNA(_xlfn.IFNA(INDEX(競技会設定!$X$25:$AC$47,MATCH(INDEX(女子エントリー!$J$7:$AH$406,MATCH($G65&amp;RIGHT(AG$1,1),女子エントリー!$AH$7:$AH$406,0),1),競技会設定!$AC$25:$AC$47,0),1),INDEX(競技会設定!$X$25:$AC$47,MATCH(INDEX(女子エントリー!$R$6:$V$406,MATCH($G65&amp;RIGHT(AG$1,1),女子エントリー!$V$6:$V$406,0)-MATCH($G65&amp;RIGHT(AG$1,1),女子エントリー!$V$6:$V$406,0)+1,1),競技会設定!$AC$25:$AC$47,0),1)),"")</f>
        <v/>
      </c>
      <c r="AH65" s="1" t="str">
        <f>IF(AG65=37,リレーエントリー!$I$27,_xlfn.IFNA(INDEX(女子エントリー!$J$7:$AH$406,MATCH($G65&amp;RIGHT(AI$1,1),女子エントリー!$AH$7:$AH$406,0),3),""))</f>
        <v/>
      </c>
      <c r="AI65" s="1" t="str">
        <f t="shared" si="7"/>
        <v/>
      </c>
      <c r="AJ65" s="1" t="str">
        <f t="shared" si="8"/>
        <v/>
      </c>
      <c r="AK65" s="1" t="str">
        <f t="shared" si="9"/>
        <v/>
      </c>
      <c r="AL65" s="1" t="str" cm="1">
        <f t="array" ref="AL65">_xlfn.IFNA(_xlfn.IFNA(INDEX(競技会設定!$X$25:$AC$47,MATCH(INDEX(女子エントリー!$J$7:$AH$406,MATCH($G65&amp;RIGHT(AL$1,1),女子エントリー!$AH$7:$AH$406,0),1),競技会設定!$AC$25:$AC$47,0),1),INDEX(競技会設定!$X$25:$AC$47,MATCH(INDEX(女子エントリー!$R$6:$V$406,MATCH($G65&amp;RIGHT(AL$1,1),女子エントリー!$V$6:$V$406,0)-MATCH($G65&amp;RIGHT(AL$1,1),女子エントリー!$V$6:$V$406,0)+1,1),競技会設定!$AC$25:$AC$47,0),1)),"")</f>
        <v/>
      </c>
      <c r="AM65" s="1" t="str">
        <f>IF(AL65=37,リレーエントリー!$I$27,_xlfn.IFNA(INDEX(女子エントリー!$J$7:$AH$406,MATCH($G65&amp;RIGHT(AN$1,1),女子エントリー!$AH$7:$AH$406,0),3),""))</f>
        <v/>
      </c>
      <c r="AN65" s="1" t="str">
        <f t="shared" si="10"/>
        <v/>
      </c>
      <c r="AO65" s="1" t="str">
        <f t="shared" si="11"/>
        <v/>
      </c>
      <c r="AP65" s="1" t="str">
        <f t="shared" si="12"/>
        <v/>
      </c>
    </row>
    <row r="66" spans="1:42">
      <c r="A66" s="1">
        <v>65</v>
      </c>
      <c r="B66" s="92" t="str">
        <f>女子エントリー!D263</f>
        <v/>
      </c>
      <c r="C66" s="1" t="str">
        <f>基本情報!$E$6</f>
        <v/>
      </c>
      <c r="D66" s="1" t="str">
        <f>基本情報!$E$7</f>
        <v/>
      </c>
      <c r="F66" s="92">
        <f>女子エントリー!C263</f>
        <v>0</v>
      </c>
      <c r="G66" s="92" t="str">
        <f>女子エントリー!E263</f>
        <v/>
      </c>
      <c r="H66" s="92" t="str">
        <f>女子エントリー!F263</f>
        <v/>
      </c>
      <c r="I66" s="1" t="str">
        <f t="shared" si="13"/>
        <v/>
      </c>
      <c r="J66" s="1" t="e">
        <f>LEFT(女子エントリー!E265,FIND(",",LEFT(女子エントリー!E265,LEN(女子エントリー!E265)-5))-1)&amp;LEFT(RIGHT(女子エントリー!E265,LEN(女子エントリー!E265)-FIND(",",女子エントリー!E265)),LEN(RIGHT(女子エントリー!E265,LEN(女子エントリー!E265)-FIND(",",女子エントリー!E265)))-5)</f>
        <v>#VALUE!</v>
      </c>
      <c r="K66" s="92" t="str">
        <f>女子エントリー!G265</f>
        <v/>
      </c>
      <c r="L66" s="1" t="str">
        <f t="shared" ref="L66:L101" si="18">MID(B66,3,1)</f>
        <v/>
      </c>
      <c r="M66" s="92" t="str">
        <f>女子エントリー!G263</f>
        <v/>
      </c>
      <c r="N66" s="92" t="e">
        <f>MID(女子エントリー!E265,FIND("(",女子エントリー!E265)+1,2)</f>
        <v>#VALUE!</v>
      </c>
      <c r="O66" s="1">
        <v>0</v>
      </c>
      <c r="P66" s="92" t="e">
        <f>VLOOKUP(女子エントリー!G264,競技会設定!$F$3:$I$50,2,0)</f>
        <v>#N/A</v>
      </c>
      <c r="R66" s="1" t="str" cm="1">
        <f t="array" ref="R66">_xlfn.IFNA(_xlfn.IFNA(INDEX(競技会設定!$X$25:$AC$47,MATCH(INDEX(女子エントリー!$J$7:$AH$406,MATCH($G66&amp;RIGHT(R$1,1),女子エントリー!$AH$7:$AH$406,0),1),競技会設定!$AC$25:$AC$47,0),1),INDEX(競技会設定!$X$25:$AC$47,MATCH(INDEX(女子エントリー!$R$6:$V$406,MATCH($G66&amp;RIGHT(R$1,1),女子エントリー!$V$6:$V$406,0)-MATCH($G66&amp;RIGHT(R$1,1),女子エントリー!$V$6:$V$406,0)+1,1),競技会設定!$AC$25:$AC$47,0),1)),"")</f>
        <v/>
      </c>
      <c r="S66" s="1" t="str">
        <f>IF(R66=37,リレーエントリー!$I$27,_xlfn.IFNA(INDEX(女子エントリー!$J$7:$AH$406,MATCH($G66&amp;RIGHT(T$1,1),女子エントリー!$AH$7:$AH$406,0),3),""))</f>
        <v/>
      </c>
      <c r="T66" s="1" t="str">
        <f t="shared" si="14"/>
        <v/>
      </c>
      <c r="U66" s="1" t="str">
        <f t="shared" si="15"/>
        <v/>
      </c>
      <c r="V66" s="1" t="str">
        <f t="shared" si="16"/>
        <v/>
      </c>
      <c r="W66" s="1" t="str" cm="1">
        <f t="array" ref="W66">_xlfn.IFNA(_xlfn.IFNA(INDEX(競技会設定!$X$25:$AC$47,MATCH(INDEX(女子エントリー!$J$7:$AH$406,MATCH($G66&amp;RIGHT(W$1,1),女子エントリー!$AH$7:$AH$406,0),1),競技会設定!$AC$25:$AC$47,0),1),INDEX(競技会設定!$X$25:$AC$47,MATCH(INDEX(女子エントリー!$R$6:$V$406,MATCH($G66&amp;RIGHT(W$1,1),女子エントリー!$V$6:$V$406,0)-MATCH($G66&amp;RIGHT(W$1,1),女子エントリー!$V$6:$V$406,0)+1,1),競技会設定!$AC$25:$AC$47,0),1)),"")</f>
        <v/>
      </c>
      <c r="X66" s="1" t="str">
        <f>IF(W66=37,リレーエントリー!$I$27,_xlfn.IFNA(INDEX(女子エントリー!$J$7:$AH$406,MATCH($G66&amp;RIGHT(Y$1,1),女子エントリー!$AH$7:$AH$406,0),3),""))</f>
        <v/>
      </c>
      <c r="Y66" s="1" t="str">
        <f t="shared" ref="Y66:Y101" si="19">IFERROR(IF(X66=0,"",IF(W66=46,X66,IF(W66&gt;37,INT(X66/100)&amp;"m"&amp;TEXT(RIGHT(X66,2),"00"),IF(X66&gt;5999,INT(X66/10000)&amp;"."&amp;TEXT(INT(MOD(X66,10000)/100),"00")&amp;"."&amp;TEXT(MOD(X66,100),"00")&amp;"0",INT(X66/100)&amp;"."&amp;TEXT(MOD(X66,100),"00"))))),"")</f>
        <v/>
      </c>
      <c r="Z66" s="1" t="str">
        <f t="shared" ref="Z66:Z101" si="20">IF(W66="","",0)</f>
        <v/>
      </c>
      <c r="AA66" s="1" t="str">
        <f t="shared" ref="AA66:AA101" si="21">_xlfn.IFNA(IF(X66="","",IF(X66&gt;0,2,"")),"")</f>
        <v/>
      </c>
      <c r="AB66" s="1" t="str" cm="1">
        <f t="array" ref="AB66">_xlfn.IFNA(_xlfn.IFNA(INDEX(競技会設定!$X$25:$AC$47,MATCH(INDEX(女子エントリー!$J$7:$AH$406,MATCH($G66&amp;RIGHT(AB$1,1),女子エントリー!$AH$7:$AH$406,0),1),競技会設定!$AC$25:$AC$47,0),1),INDEX(競技会設定!$X$25:$AC$47,MATCH(INDEX(女子エントリー!$R$6:$V$406,MATCH($G66&amp;RIGHT(AB$1,1),女子エントリー!$V$6:$V$406,0)-MATCH($G66&amp;RIGHT(AB$1,1),女子エントリー!$V$6:$V$406,0)+1,1),競技会設定!$AC$25:$AC$47,0),1)),"")</f>
        <v/>
      </c>
      <c r="AC66" s="1" t="str">
        <f>IF(AB66=37,リレーエントリー!$I$27,_xlfn.IFNA(INDEX(女子エントリー!$J$7:$AH$406,MATCH($G66&amp;RIGHT(AD$1,1),女子エントリー!$AH$7:$AH$406,0),3),""))</f>
        <v/>
      </c>
      <c r="AD66" s="1" t="str">
        <f t="shared" ref="AD66:AD101" si="22">IFERROR(IF(AC66=0,"",IF(AB66=46,AC66,IF(AB66&gt;37,INT(AC66/100)&amp;"m"&amp;TEXT(RIGHT(AC66,2),"00"),IF(AC66&gt;5999,INT(AC66/10000)&amp;"."&amp;TEXT(INT(MOD(AC66,10000)/100),"00")&amp;"."&amp;TEXT(MOD(AC66,100),"00")&amp;"0",INT(AC66/100)&amp;"."&amp;TEXT(MOD(AC66,100),"00"))))),"")</f>
        <v/>
      </c>
      <c r="AE66" s="1" t="str">
        <f t="shared" ref="AE66:AE101" si="23">IF(AB66="","",0)</f>
        <v/>
      </c>
      <c r="AF66" s="1" t="str">
        <f t="shared" ref="AF66:AF101" si="24">_xlfn.IFNA(IF(AC66="","",IF(AC66&gt;0,2,"")),"")</f>
        <v/>
      </c>
      <c r="AG66" s="1" t="str" cm="1">
        <f t="array" ref="AG66">_xlfn.IFNA(_xlfn.IFNA(INDEX(競技会設定!$X$25:$AC$47,MATCH(INDEX(女子エントリー!$J$7:$AH$406,MATCH($G66&amp;RIGHT(AG$1,1),女子エントリー!$AH$7:$AH$406,0),1),競技会設定!$AC$25:$AC$47,0),1),INDEX(競技会設定!$X$25:$AC$47,MATCH(INDEX(女子エントリー!$R$6:$V$406,MATCH($G66&amp;RIGHT(AG$1,1),女子エントリー!$V$6:$V$406,0)-MATCH($G66&amp;RIGHT(AG$1,1),女子エントリー!$V$6:$V$406,0)+1,1),競技会設定!$AC$25:$AC$47,0),1)),"")</f>
        <v/>
      </c>
      <c r="AH66" s="1" t="str">
        <f>IF(AG66=37,リレーエントリー!$I$27,_xlfn.IFNA(INDEX(女子エントリー!$J$7:$AH$406,MATCH($G66&amp;RIGHT(AI$1,1),女子エントリー!$AH$7:$AH$406,0),3),""))</f>
        <v/>
      </c>
      <c r="AI66" s="1" t="str">
        <f t="shared" ref="AI66:AI101" si="25">IFERROR(IF(AH66=0,"",IF(AG66=46,AH66,IF(AG66&gt;37,INT(AH66/100)&amp;"m"&amp;TEXT(RIGHT(AH66,2),"00"),IF(AH66&gt;5999,INT(AH66/10000)&amp;"."&amp;TEXT(INT(MOD(AH66,10000)/100),"00")&amp;"."&amp;TEXT(MOD(AH66,100),"00")&amp;"0",INT(AH66/100)&amp;"."&amp;TEXT(MOD(AH66,100),"00"))))),"")</f>
        <v/>
      </c>
      <c r="AJ66" s="1" t="str">
        <f t="shared" ref="AJ66:AJ101" si="26">IF(AG66="","",0)</f>
        <v/>
      </c>
      <c r="AK66" s="1" t="str">
        <f t="shared" ref="AK66:AK101" si="27">_xlfn.IFNA(IF(AH66="","",IF(AH66&gt;0,2,"")),"")</f>
        <v/>
      </c>
      <c r="AL66" s="1" t="str" cm="1">
        <f t="array" ref="AL66">_xlfn.IFNA(_xlfn.IFNA(INDEX(競技会設定!$X$25:$AC$47,MATCH(INDEX(女子エントリー!$J$7:$AH$406,MATCH($G66&amp;RIGHT(AL$1,1),女子エントリー!$AH$7:$AH$406,0),1),競技会設定!$AC$25:$AC$47,0),1),INDEX(競技会設定!$X$25:$AC$47,MATCH(INDEX(女子エントリー!$R$6:$V$406,MATCH($G66&amp;RIGHT(AL$1,1),女子エントリー!$V$6:$V$406,0)-MATCH($G66&amp;RIGHT(AL$1,1),女子エントリー!$V$6:$V$406,0)+1,1),競技会設定!$AC$25:$AC$47,0),1)),"")</f>
        <v/>
      </c>
      <c r="AM66" s="1" t="str">
        <f>IF(AL66=37,リレーエントリー!$I$27,_xlfn.IFNA(INDEX(女子エントリー!$J$7:$AH$406,MATCH($G66&amp;RIGHT(AN$1,1),女子エントリー!$AH$7:$AH$406,0),3),""))</f>
        <v/>
      </c>
      <c r="AN66" s="1" t="str">
        <f t="shared" ref="AN66:AN101" si="28">IFERROR(IF(AM66=0,"",IF(AL66=46,AM66,IF(AL66&gt;37,INT(AM66/100)&amp;"m"&amp;TEXT(RIGHT(AM66,2),"00"),IF(AM66&gt;5999,INT(AM66/10000)&amp;"."&amp;TEXT(INT(MOD(AM66,10000)/100),"00")&amp;"."&amp;TEXT(MOD(AM66,100),"00")&amp;"0",INT(AM66/100)&amp;"."&amp;TEXT(MOD(AM66,100),"00"))))),"")</f>
        <v/>
      </c>
      <c r="AO66" s="1" t="str">
        <f t="shared" ref="AO66:AO101" si="29">IF(AL66="","",0)</f>
        <v/>
      </c>
      <c r="AP66" s="1" t="str">
        <f t="shared" ref="AP66:AP101" si="30">_xlfn.IFNA(IF(AM66="","",IF(AM66&gt;0,2,"")),"")</f>
        <v/>
      </c>
    </row>
    <row r="67" spans="1:42">
      <c r="A67" s="1">
        <v>66</v>
      </c>
      <c r="B67" s="92" t="str">
        <f>女子エントリー!D267</f>
        <v/>
      </c>
      <c r="C67" s="1" t="str">
        <f>基本情報!$E$6</f>
        <v/>
      </c>
      <c r="D67" s="1" t="str">
        <f>基本情報!$E$7</f>
        <v/>
      </c>
      <c r="F67" s="92">
        <f>女子エントリー!C267</f>
        <v>0</v>
      </c>
      <c r="G67" s="92" t="str">
        <f>女子エントリー!E267</f>
        <v/>
      </c>
      <c r="H67" s="92" t="str">
        <f>女子エントリー!F267</f>
        <v/>
      </c>
      <c r="I67" s="1" t="str">
        <f t="shared" ref="I67:I100" si="31">G67</f>
        <v/>
      </c>
      <c r="J67" s="1" t="e">
        <f>LEFT(女子エントリー!E269,FIND(",",LEFT(女子エントリー!E269,LEN(女子エントリー!E269)-5))-1)&amp;LEFT(RIGHT(女子エントリー!E269,LEN(女子エントリー!E269)-FIND(",",女子エントリー!E269)),LEN(RIGHT(女子エントリー!E269,LEN(女子エントリー!E269)-FIND(",",女子エントリー!E269)))-5)</f>
        <v>#VALUE!</v>
      </c>
      <c r="K67" s="92" t="str">
        <f>女子エントリー!G269</f>
        <v/>
      </c>
      <c r="L67" s="1" t="str">
        <f t="shared" si="18"/>
        <v/>
      </c>
      <c r="M67" s="92" t="str">
        <f>女子エントリー!G267</f>
        <v/>
      </c>
      <c r="N67" s="92" t="e">
        <f>MID(女子エントリー!E269,FIND("(",女子エントリー!E269)+1,2)</f>
        <v>#VALUE!</v>
      </c>
      <c r="O67" s="1">
        <v>0</v>
      </c>
      <c r="P67" s="92" t="e">
        <f>VLOOKUP(女子エントリー!G268,競技会設定!$F$3:$I$50,2,0)</f>
        <v>#N/A</v>
      </c>
      <c r="R67" s="1" t="str" cm="1">
        <f t="array" ref="R67">_xlfn.IFNA(_xlfn.IFNA(INDEX(競技会設定!$X$25:$AC$47,MATCH(INDEX(女子エントリー!$J$7:$AH$406,MATCH($G67&amp;RIGHT(R$1,1),女子エントリー!$AH$7:$AH$406,0),1),競技会設定!$AC$25:$AC$47,0),1),INDEX(競技会設定!$X$25:$AC$47,MATCH(INDEX(女子エントリー!$R$6:$V$406,MATCH($G67&amp;RIGHT(R$1,1),女子エントリー!$V$6:$V$406,0)-MATCH($G67&amp;RIGHT(R$1,1),女子エントリー!$V$6:$V$406,0)+1,1),競技会設定!$AC$25:$AC$47,0),1)),"")</f>
        <v/>
      </c>
      <c r="S67" s="1" t="str">
        <f>IF(R67=37,リレーエントリー!$I$27,_xlfn.IFNA(INDEX(女子エントリー!$J$7:$AH$406,MATCH($G67&amp;RIGHT(T$1,1),女子エントリー!$AH$7:$AH$406,0),3),""))</f>
        <v/>
      </c>
      <c r="T67" s="1" t="str">
        <f t="shared" ref="T67:T101" si="32">IFERROR(IF(S67=0,"",IF(R67=46,S67,IF(R67&gt;37,INT(S67/100)&amp;"m"&amp;TEXT(RIGHT(S67,2),"00"),IF(S67&gt;5999,INT(S67/10000)&amp;"."&amp;TEXT(INT(MOD(S67,10000)/100),"00")&amp;"."&amp;TEXT(MOD(S67,100),"00")&amp;"0",INT(S67/100)&amp;"."&amp;TEXT(MOD(S67,100),"00"))))),"")</f>
        <v/>
      </c>
      <c r="U67" s="1" t="str">
        <f t="shared" ref="U67:U101" si="33">IF(R67="","",0)</f>
        <v/>
      </c>
      <c r="V67" s="1" t="str">
        <f t="shared" ref="V67:V101" si="34">_xlfn.IFNA(IF(S67="","",IF(S67&gt;0,2,"")),"")</f>
        <v/>
      </c>
      <c r="W67" s="1" t="str" cm="1">
        <f t="array" ref="W67">_xlfn.IFNA(_xlfn.IFNA(INDEX(競技会設定!$X$25:$AC$47,MATCH(INDEX(女子エントリー!$J$7:$AH$406,MATCH($G67&amp;RIGHT(W$1,1),女子エントリー!$AH$7:$AH$406,0),1),競技会設定!$AC$25:$AC$47,0),1),INDEX(競技会設定!$X$25:$AC$47,MATCH(INDEX(女子エントリー!$R$6:$V$406,MATCH($G67&amp;RIGHT(W$1,1),女子エントリー!$V$6:$V$406,0)-MATCH($G67&amp;RIGHT(W$1,1),女子エントリー!$V$6:$V$406,0)+1,1),競技会設定!$AC$25:$AC$47,0),1)),"")</f>
        <v/>
      </c>
      <c r="X67" s="1" t="str">
        <f>IF(W67=37,リレーエントリー!$I$27,_xlfn.IFNA(INDEX(女子エントリー!$J$7:$AH$406,MATCH($G67&amp;RIGHT(Y$1,1),女子エントリー!$AH$7:$AH$406,0),3),""))</f>
        <v/>
      </c>
      <c r="Y67" s="1" t="str">
        <f t="shared" si="19"/>
        <v/>
      </c>
      <c r="Z67" s="1" t="str">
        <f t="shared" si="20"/>
        <v/>
      </c>
      <c r="AA67" s="1" t="str">
        <f t="shared" si="21"/>
        <v/>
      </c>
      <c r="AB67" s="1" t="str" cm="1">
        <f t="array" ref="AB67">_xlfn.IFNA(_xlfn.IFNA(INDEX(競技会設定!$X$25:$AC$47,MATCH(INDEX(女子エントリー!$J$7:$AH$406,MATCH($G67&amp;RIGHT(AB$1,1),女子エントリー!$AH$7:$AH$406,0),1),競技会設定!$AC$25:$AC$47,0),1),INDEX(競技会設定!$X$25:$AC$47,MATCH(INDEX(女子エントリー!$R$6:$V$406,MATCH($G67&amp;RIGHT(AB$1,1),女子エントリー!$V$6:$V$406,0)-MATCH($G67&amp;RIGHT(AB$1,1),女子エントリー!$V$6:$V$406,0)+1,1),競技会設定!$AC$25:$AC$47,0),1)),"")</f>
        <v/>
      </c>
      <c r="AC67" s="1" t="str">
        <f>IF(AB67=37,リレーエントリー!$I$27,_xlfn.IFNA(INDEX(女子エントリー!$J$7:$AH$406,MATCH($G67&amp;RIGHT(AD$1,1),女子エントリー!$AH$7:$AH$406,0),3),""))</f>
        <v/>
      </c>
      <c r="AD67" s="1" t="str">
        <f t="shared" si="22"/>
        <v/>
      </c>
      <c r="AE67" s="1" t="str">
        <f t="shared" si="23"/>
        <v/>
      </c>
      <c r="AF67" s="1" t="str">
        <f t="shared" si="24"/>
        <v/>
      </c>
      <c r="AG67" s="1" t="str" cm="1">
        <f t="array" ref="AG67">_xlfn.IFNA(_xlfn.IFNA(INDEX(競技会設定!$X$25:$AC$47,MATCH(INDEX(女子エントリー!$J$7:$AH$406,MATCH($G67&amp;RIGHT(AG$1,1),女子エントリー!$AH$7:$AH$406,0),1),競技会設定!$AC$25:$AC$47,0),1),INDEX(競技会設定!$X$25:$AC$47,MATCH(INDEX(女子エントリー!$R$6:$V$406,MATCH($G67&amp;RIGHT(AG$1,1),女子エントリー!$V$6:$V$406,0)-MATCH($G67&amp;RIGHT(AG$1,1),女子エントリー!$V$6:$V$406,0)+1,1),競技会設定!$AC$25:$AC$47,0),1)),"")</f>
        <v/>
      </c>
      <c r="AH67" s="1" t="str">
        <f>IF(AG67=37,リレーエントリー!$I$27,_xlfn.IFNA(INDEX(女子エントリー!$J$7:$AH$406,MATCH($G67&amp;RIGHT(AI$1,1),女子エントリー!$AH$7:$AH$406,0),3),""))</f>
        <v/>
      </c>
      <c r="AI67" s="1" t="str">
        <f t="shared" si="25"/>
        <v/>
      </c>
      <c r="AJ67" s="1" t="str">
        <f t="shared" si="26"/>
        <v/>
      </c>
      <c r="AK67" s="1" t="str">
        <f t="shared" si="27"/>
        <v/>
      </c>
      <c r="AL67" s="1" t="str" cm="1">
        <f t="array" ref="AL67">_xlfn.IFNA(_xlfn.IFNA(INDEX(競技会設定!$X$25:$AC$47,MATCH(INDEX(女子エントリー!$J$7:$AH$406,MATCH($G67&amp;RIGHT(AL$1,1),女子エントリー!$AH$7:$AH$406,0),1),競技会設定!$AC$25:$AC$47,0),1),INDEX(競技会設定!$X$25:$AC$47,MATCH(INDEX(女子エントリー!$R$6:$V$406,MATCH($G67&amp;RIGHT(AL$1,1),女子エントリー!$V$6:$V$406,0)-MATCH($G67&amp;RIGHT(AL$1,1),女子エントリー!$V$6:$V$406,0)+1,1),競技会設定!$AC$25:$AC$47,0),1)),"")</f>
        <v/>
      </c>
      <c r="AM67" s="1" t="str">
        <f>IF(AL67=37,リレーエントリー!$I$27,_xlfn.IFNA(INDEX(女子エントリー!$J$7:$AH$406,MATCH($G67&amp;RIGHT(AN$1,1),女子エントリー!$AH$7:$AH$406,0),3),""))</f>
        <v/>
      </c>
      <c r="AN67" s="1" t="str">
        <f t="shared" si="28"/>
        <v/>
      </c>
      <c r="AO67" s="1" t="str">
        <f t="shared" si="29"/>
        <v/>
      </c>
      <c r="AP67" s="1" t="str">
        <f t="shared" si="30"/>
        <v/>
      </c>
    </row>
    <row r="68" spans="1:42">
      <c r="A68" s="1">
        <v>67</v>
      </c>
      <c r="B68" s="92" t="str">
        <f>女子エントリー!D271</f>
        <v/>
      </c>
      <c r="C68" s="1" t="str">
        <f>基本情報!$E$6</f>
        <v/>
      </c>
      <c r="D68" s="1" t="str">
        <f>基本情報!$E$7</f>
        <v/>
      </c>
      <c r="F68" s="92">
        <f>女子エントリー!C271</f>
        <v>0</v>
      </c>
      <c r="G68" s="92" t="str">
        <f>女子エントリー!E271</f>
        <v/>
      </c>
      <c r="H68" s="92" t="str">
        <f>女子エントリー!F271</f>
        <v/>
      </c>
      <c r="I68" s="1" t="str">
        <f t="shared" si="31"/>
        <v/>
      </c>
      <c r="J68" s="1" t="e">
        <f>LEFT(女子エントリー!E273,FIND(",",LEFT(女子エントリー!E273,LEN(女子エントリー!E273)-5))-1)&amp;LEFT(RIGHT(女子エントリー!E273,LEN(女子エントリー!E273)-FIND(",",女子エントリー!E273)),LEN(RIGHT(女子エントリー!E273,LEN(女子エントリー!E273)-FIND(",",女子エントリー!E273)))-5)</f>
        <v>#VALUE!</v>
      </c>
      <c r="K68" s="92" t="str">
        <f>女子エントリー!G273</f>
        <v/>
      </c>
      <c r="L68" s="1" t="str">
        <f t="shared" si="18"/>
        <v/>
      </c>
      <c r="M68" s="92" t="str">
        <f>女子エントリー!G271</f>
        <v/>
      </c>
      <c r="N68" s="92" t="e">
        <f>MID(女子エントリー!E273,FIND("(",女子エントリー!E273)+1,2)</f>
        <v>#VALUE!</v>
      </c>
      <c r="O68" s="1">
        <v>0</v>
      </c>
      <c r="P68" s="92" t="e">
        <f>VLOOKUP(女子エントリー!G272,競技会設定!$F$3:$I$50,2,0)</f>
        <v>#N/A</v>
      </c>
      <c r="R68" s="1" t="str" cm="1">
        <f t="array" ref="R68">_xlfn.IFNA(_xlfn.IFNA(INDEX(競技会設定!$X$25:$AC$47,MATCH(INDEX(女子エントリー!$J$7:$AH$406,MATCH($G68&amp;RIGHT(R$1,1),女子エントリー!$AH$7:$AH$406,0),1),競技会設定!$AC$25:$AC$47,0),1),INDEX(競技会設定!$X$25:$AC$47,MATCH(INDEX(女子エントリー!$R$6:$V$406,MATCH($G68&amp;RIGHT(R$1,1),女子エントリー!$V$6:$V$406,0)-MATCH($G68&amp;RIGHT(R$1,1),女子エントリー!$V$6:$V$406,0)+1,1),競技会設定!$AC$25:$AC$47,0),1)),"")</f>
        <v/>
      </c>
      <c r="S68" s="1" t="str">
        <f>IF(R68=37,リレーエントリー!$I$27,_xlfn.IFNA(INDEX(女子エントリー!$J$7:$AH$406,MATCH($G68&amp;RIGHT(T$1,1),女子エントリー!$AH$7:$AH$406,0),3),""))</f>
        <v/>
      </c>
      <c r="T68" s="1" t="str">
        <f t="shared" si="32"/>
        <v/>
      </c>
      <c r="U68" s="1" t="str">
        <f t="shared" si="33"/>
        <v/>
      </c>
      <c r="V68" s="1" t="str">
        <f t="shared" si="34"/>
        <v/>
      </c>
      <c r="W68" s="1" t="str" cm="1">
        <f t="array" ref="W68">_xlfn.IFNA(_xlfn.IFNA(INDEX(競技会設定!$X$25:$AC$47,MATCH(INDEX(女子エントリー!$J$7:$AH$406,MATCH($G68&amp;RIGHT(W$1,1),女子エントリー!$AH$7:$AH$406,0),1),競技会設定!$AC$25:$AC$47,0),1),INDEX(競技会設定!$X$25:$AC$47,MATCH(INDEX(女子エントリー!$R$6:$V$406,MATCH($G68&amp;RIGHT(W$1,1),女子エントリー!$V$6:$V$406,0)-MATCH($G68&amp;RIGHT(W$1,1),女子エントリー!$V$6:$V$406,0)+1,1),競技会設定!$AC$25:$AC$47,0),1)),"")</f>
        <v/>
      </c>
      <c r="X68" s="1" t="str">
        <f>IF(W68=37,リレーエントリー!$I$27,_xlfn.IFNA(INDEX(女子エントリー!$J$7:$AH$406,MATCH($G68&amp;RIGHT(Y$1,1),女子エントリー!$AH$7:$AH$406,0),3),""))</f>
        <v/>
      </c>
      <c r="Y68" s="1" t="str">
        <f t="shared" si="19"/>
        <v/>
      </c>
      <c r="Z68" s="1" t="str">
        <f t="shared" si="20"/>
        <v/>
      </c>
      <c r="AA68" s="1" t="str">
        <f t="shared" si="21"/>
        <v/>
      </c>
      <c r="AB68" s="1" t="str" cm="1">
        <f t="array" ref="AB68">_xlfn.IFNA(_xlfn.IFNA(INDEX(競技会設定!$X$25:$AC$47,MATCH(INDEX(女子エントリー!$J$7:$AH$406,MATCH($G68&amp;RIGHT(AB$1,1),女子エントリー!$AH$7:$AH$406,0),1),競技会設定!$AC$25:$AC$47,0),1),INDEX(競技会設定!$X$25:$AC$47,MATCH(INDEX(女子エントリー!$R$6:$V$406,MATCH($G68&amp;RIGHT(AB$1,1),女子エントリー!$V$6:$V$406,0)-MATCH($G68&amp;RIGHT(AB$1,1),女子エントリー!$V$6:$V$406,0)+1,1),競技会設定!$AC$25:$AC$47,0),1)),"")</f>
        <v/>
      </c>
      <c r="AC68" s="1" t="str">
        <f>IF(AB68=37,リレーエントリー!$I$27,_xlfn.IFNA(INDEX(女子エントリー!$J$7:$AH$406,MATCH($G68&amp;RIGHT(AD$1,1),女子エントリー!$AH$7:$AH$406,0),3),""))</f>
        <v/>
      </c>
      <c r="AD68" s="1" t="str">
        <f t="shared" si="22"/>
        <v/>
      </c>
      <c r="AE68" s="1" t="str">
        <f t="shared" si="23"/>
        <v/>
      </c>
      <c r="AF68" s="1" t="str">
        <f t="shared" si="24"/>
        <v/>
      </c>
      <c r="AG68" s="1" t="str" cm="1">
        <f t="array" ref="AG68">_xlfn.IFNA(_xlfn.IFNA(INDEX(競技会設定!$X$25:$AC$47,MATCH(INDEX(女子エントリー!$J$7:$AH$406,MATCH($G68&amp;RIGHT(AG$1,1),女子エントリー!$AH$7:$AH$406,0),1),競技会設定!$AC$25:$AC$47,0),1),INDEX(競技会設定!$X$25:$AC$47,MATCH(INDEX(女子エントリー!$R$6:$V$406,MATCH($G68&amp;RIGHT(AG$1,1),女子エントリー!$V$6:$V$406,0)-MATCH($G68&amp;RIGHT(AG$1,1),女子エントリー!$V$6:$V$406,0)+1,1),競技会設定!$AC$25:$AC$47,0),1)),"")</f>
        <v/>
      </c>
      <c r="AH68" s="1" t="str">
        <f>IF(AG68=37,リレーエントリー!$I$27,_xlfn.IFNA(INDEX(女子エントリー!$J$7:$AH$406,MATCH($G68&amp;RIGHT(AI$1,1),女子エントリー!$AH$7:$AH$406,0),3),""))</f>
        <v/>
      </c>
      <c r="AI68" s="1" t="str">
        <f t="shared" si="25"/>
        <v/>
      </c>
      <c r="AJ68" s="1" t="str">
        <f t="shared" si="26"/>
        <v/>
      </c>
      <c r="AK68" s="1" t="str">
        <f t="shared" si="27"/>
        <v/>
      </c>
      <c r="AL68" s="1" t="str" cm="1">
        <f t="array" ref="AL68">_xlfn.IFNA(_xlfn.IFNA(INDEX(競技会設定!$X$25:$AC$47,MATCH(INDEX(女子エントリー!$J$7:$AH$406,MATCH($G68&amp;RIGHT(AL$1,1),女子エントリー!$AH$7:$AH$406,0),1),競技会設定!$AC$25:$AC$47,0),1),INDEX(競技会設定!$X$25:$AC$47,MATCH(INDEX(女子エントリー!$R$6:$V$406,MATCH($G68&amp;RIGHT(AL$1,1),女子エントリー!$V$6:$V$406,0)-MATCH($G68&amp;RIGHT(AL$1,1),女子エントリー!$V$6:$V$406,0)+1,1),競技会設定!$AC$25:$AC$47,0),1)),"")</f>
        <v/>
      </c>
      <c r="AM68" s="1" t="str">
        <f>IF(AL68=37,リレーエントリー!$I$27,_xlfn.IFNA(INDEX(女子エントリー!$J$7:$AH$406,MATCH($G68&amp;RIGHT(AN$1,1),女子エントリー!$AH$7:$AH$406,0),3),""))</f>
        <v/>
      </c>
      <c r="AN68" s="1" t="str">
        <f t="shared" si="28"/>
        <v/>
      </c>
      <c r="AO68" s="1" t="str">
        <f t="shared" si="29"/>
        <v/>
      </c>
      <c r="AP68" s="1" t="str">
        <f t="shared" si="30"/>
        <v/>
      </c>
    </row>
    <row r="69" spans="1:42">
      <c r="A69" s="1">
        <v>68</v>
      </c>
      <c r="B69" s="92" t="str">
        <f>女子エントリー!D275</f>
        <v/>
      </c>
      <c r="C69" s="1" t="str">
        <f>基本情報!$E$6</f>
        <v/>
      </c>
      <c r="D69" s="1" t="str">
        <f>基本情報!$E$7</f>
        <v/>
      </c>
      <c r="F69" s="92">
        <f>女子エントリー!C275</f>
        <v>0</v>
      </c>
      <c r="G69" s="92" t="str">
        <f>女子エントリー!E275</f>
        <v/>
      </c>
      <c r="H69" s="92" t="str">
        <f>女子エントリー!F275</f>
        <v/>
      </c>
      <c r="I69" s="1" t="str">
        <f t="shared" si="31"/>
        <v/>
      </c>
      <c r="J69" s="1" t="e">
        <f>LEFT(女子エントリー!E277,FIND(",",LEFT(女子エントリー!E277,LEN(女子エントリー!E277)-5))-1)&amp;LEFT(RIGHT(女子エントリー!E277,LEN(女子エントリー!E277)-FIND(",",女子エントリー!E277)),LEN(RIGHT(女子エントリー!E277,LEN(女子エントリー!E277)-FIND(",",女子エントリー!E277)))-5)</f>
        <v>#VALUE!</v>
      </c>
      <c r="K69" s="92" t="str">
        <f>女子エントリー!G277</f>
        <v/>
      </c>
      <c r="L69" s="1" t="str">
        <f t="shared" si="18"/>
        <v/>
      </c>
      <c r="M69" s="92" t="str">
        <f>女子エントリー!G275</f>
        <v/>
      </c>
      <c r="N69" s="92" t="e">
        <f>MID(女子エントリー!E277,FIND("(",女子エントリー!E277)+1,2)</f>
        <v>#VALUE!</v>
      </c>
      <c r="O69" s="1">
        <v>0</v>
      </c>
      <c r="P69" s="92" t="e">
        <f>VLOOKUP(女子エントリー!G276,競技会設定!$F$3:$I$50,2,0)</f>
        <v>#N/A</v>
      </c>
      <c r="R69" s="1" t="str" cm="1">
        <f t="array" ref="R69">_xlfn.IFNA(_xlfn.IFNA(INDEX(競技会設定!$X$25:$AC$47,MATCH(INDEX(女子エントリー!$J$7:$AH$406,MATCH($G69&amp;RIGHT(R$1,1),女子エントリー!$AH$7:$AH$406,0),1),競技会設定!$AC$25:$AC$47,0),1),INDEX(競技会設定!$X$25:$AC$47,MATCH(INDEX(女子エントリー!$R$6:$V$406,MATCH($G69&amp;RIGHT(R$1,1),女子エントリー!$V$6:$V$406,0)-MATCH($G69&amp;RIGHT(R$1,1),女子エントリー!$V$6:$V$406,0)+1,1),競技会設定!$AC$25:$AC$47,0),1)),"")</f>
        <v/>
      </c>
      <c r="S69" s="1" t="str">
        <f>IF(R69=37,リレーエントリー!$I$27,_xlfn.IFNA(INDEX(女子エントリー!$J$7:$AH$406,MATCH($G69&amp;RIGHT(T$1,1),女子エントリー!$AH$7:$AH$406,0),3),""))</f>
        <v/>
      </c>
      <c r="T69" s="1" t="str">
        <f t="shared" si="32"/>
        <v/>
      </c>
      <c r="U69" s="1" t="str">
        <f t="shared" si="33"/>
        <v/>
      </c>
      <c r="V69" s="1" t="str">
        <f t="shared" si="34"/>
        <v/>
      </c>
      <c r="W69" s="1" t="str" cm="1">
        <f t="array" ref="W69">_xlfn.IFNA(_xlfn.IFNA(INDEX(競技会設定!$X$25:$AC$47,MATCH(INDEX(女子エントリー!$J$7:$AH$406,MATCH($G69&amp;RIGHT(W$1,1),女子エントリー!$AH$7:$AH$406,0),1),競技会設定!$AC$25:$AC$47,0),1),INDEX(競技会設定!$X$25:$AC$47,MATCH(INDEX(女子エントリー!$R$6:$V$406,MATCH($G69&amp;RIGHT(W$1,1),女子エントリー!$V$6:$V$406,0)-MATCH($G69&amp;RIGHT(W$1,1),女子エントリー!$V$6:$V$406,0)+1,1),競技会設定!$AC$25:$AC$47,0),1)),"")</f>
        <v/>
      </c>
      <c r="X69" s="1" t="str">
        <f>IF(W69=37,リレーエントリー!$I$27,_xlfn.IFNA(INDEX(女子エントリー!$J$7:$AH$406,MATCH($G69&amp;RIGHT(Y$1,1),女子エントリー!$AH$7:$AH$406,0),3),""))</f>
        <v/>
      </c>
      <c r="Y69" s="1" t="str">
        <f t="shared" si="19"/>
        <v/>
      </c>
      <c r="Z69" s="1" t="str">
        <f t="shared" si="20"/>
        <v/>
      </c>
      <c r="AA69" s="1" t="str">
        <f t="shared" si="21"/>
        <v/>
      </c>
      <c r="AB69" s="1" t="str" cm="1">
        <f t="array" ref="AB69">_xlfn.IFNA(_xlfn.IFNA(INDEX(競技会設定!$X$25:$AC$47,MATCH(INDEX(女子エントリー!$J$7:$AH$406,MATCH($G69&amp;RIGHT(AB$1,1),女子エントリー!$AH$7:$AH$406,0),1),競技会設定!$AC$25:$AC$47,0),1),INDEX(競技会設定!$X$25:$AC$47,MATCH(INDEX(女子エントリー!$R$6:$V$406,MATCH($G69&amp;RIGHT(AB$1,1),女子エントリー!$V$6:$V$406,0)-MATCH($G69&amp;RIGHT(AB$1,1),女子エントリー!$V$6:$V$406,0)+1,1),競技会設定!$AC$25:$AC$47,0),1)),"")</f>
        <v/>
      </c>
      <c r="AC69" s="1" t="str">
        <f>IF(AB69=37,リレーエントリー!$I$27,_xlfn.IFNA(INDEX(女子エントリー!$J$7:$AH$406,MATCH($G69&amp;RIGHT(AD$1,1),女子エントリー!$AH$7:$AH$406,0),3),""))</f>
        <v/>
      </c>
      <c r="AD69" s="1" t="str">
        <f t="shared" si="22"/>
        <v/>
      </c>
      <c r="AE69" s="1" t="str">
        <f t="shared" si="23"/>
        <v/>
      </c>
      <c r="AF69" s="1" t="str">
        <f t="shared" si="24"/>
        <v/>
      </c>
      <c r="AG69" s="1" t="str" cm="1">
        <f t="array" ref="AG69">_xlfn.IFNA(_xlfn.IFNA(INDEX(競技会設定!$X$25:$AC$47,MATCH(INDEX(女子エントリー!$J$7:$AH$406,MATCH($G69&amp;RIGHT(AG$1,1),女子エントリー!$AH$7:$AH$406,0),1),競技会設定!$AC$25:$AC$47,0),1),INDEX(競技会設定!$X$25:$AC$47,MATCH(INDEX(女子エントリー!$R$6:$V$406,MATCH($G69&amp;RIGHT(AG$1,1),女子エントリー!$V$6:$V$406,0)-MATCH($G69&amp;RIGHT(AG$1,1),女子エントリー!$V$6:$V$406,0)+1,1),競技会設定!$AC$25:$AC$47,0),1)),"")</f>
        <v/>
      </c>
      <c r="AH69" s="1" t="str">
        <f>IF(AG69=37,リレーエントリー!$I$27,_xlfn.IFNA(INDEX(女子エントリー!$J$7:$AH$406,MATCH($G69&amp;RIGHT(AI$1,1),女子エントリー!$AH$7:$AH$406,0),3),""))</f>
        <v/>
      </c>
      <c r="AI69" s="1" t="str">
        <f t="shared" si="25"/>
        <v/>
      </c>
      <c r="AJ69" s="1" t="str">
        <f t="shared" si="26"/>
        <v/>
      </c>
      <c r="AK69" s="1" t="str">
        <f t="shared" si="27"/>
        <v/>
      </c>
      <c r="AL69" s="1" t="str" cm="1">
        <f t="array" ref="AL69">_xlfn.IFNA(_xlfn.IFNA(INDEX(競技会設定!$X$25:$AC$47,MATCH(INDEX(女子エントリー!$J$7:$AH$406,MATCH($G69&amp;RIGHT(AL$1,1),女子エントリー!$AH$7:$AH$406,0),1),競技会設定!$AC$25:$AC$47,0),1),INDEX(競技会設定!$X$25:$AC$47,MATCH(INDEX(女子エントリー!$R$6:$V$406,MATCH($G69&amp;RIGHT(AL$1,1),女子エントリー!$V$6:$V$406,0)-MATCH($G69&amp;RIGHT(AL$1,1),女子エントリー!$V$6:$V$406,0)+1,1),競技会設定!$AC$25:$AC$47,0),1)),"")</f>
        <v/>
      </c>
      <c r="AM69" s="1" t="str">
        <f>IF(AL69=37,リレーエントリー!$I$27,_xlfn.IFNA(INDEX(女子エントリー!$J$7:$AH$406,MATCH($G69&amp;RIGHT(AN$1,1),女子エントリー!$AH$7:$AH$406,0),3),""))</f>
        <v/>
      </c>
      <c r="AN69" s="1" t="str">
        <f t="shared" si="28"/>
        <v/>
      </c>
      <c r="AO69" s="1" t="str">
        <f t="shared" si="29"/>
        <v/>
      </c>
      <c r="AP69" s="1" t="str">
        <f t="shared" si="30"/>
        <v/>
      </c>
    </row>
    <row r="70" spans="1:42">
      <c r="A70" s="1">
        <v>69</v>
      </c>
      <c r="B70" s="92" t="str">
        <f>女子エントリー!D279</f>
        <v/>
      </c>
      <c r="C70" s="1" t="str">
        <f>基本情報!$E$6</f>
        <v/>
      </c>
      <c r="D70" s="1" t="str">
        <f>基本情報!$E$7</f>
        <v/>
      </c>
      <c r="F70" s="92">
        <f>女子エントリー!C279</f>
        <v>0</v>
      </c>
      <c r="G70" s="92" t="str">
        <f>女子エントリー!E279</f>
        <v/>
      </c>
      <c r="H70" s="92" t="str">
        <f>女子エントリー!F279</f>
        <v/>
      </c>
      <c r="I70" s="1" t="str">
        <f t="shared" si="31"/>
        <v/>
      </c>
      <c r="J70" s="1" t="e">
        <f>LEFT(女子エントリー!E281,FIND(",",LEFT(女子エントリー!E281,LEN(女子エントリー!E281)-5))-1)&amp;LEFT(RIGHT(女子エントリー!E281,LEN(女子エントリー!E281)-FIND(",",女子エントリー!E281)),LEN(RIGHT(女子エントリー!E281,LEN(女子エントリー!E281)-FIND(",",女子エントリー!E281)))-5)</f>
        <v>#VALUE!</v>
      </c>
      <c r="K70" s="92" t="str">
        <f>女子エントリー!G281</f>
        <v/>
      </c>
      <c r="L70" s="1" t="str">
        <f t="shared" si="18"/>
        <v/>
      </c>
      <c r="M70" s="92" t="str">
        <f>女子エントリー!G279</f>
        <v/>
      </c>
      <c r="N70" s="92" t="e">
        <f>MID(女子エントリー!E281,FIND("(",女子エントリー!E281)+1,2)</f>
        <v>#VALUE!</v>
      </c>
      <c r="O70" s="1">
        <v>0</v>
      </c>
      <c r="P70" s="92" t="e">
        <f>VLOOKUP(女子エントリー!G280,競技会設定!$F$3:$I$50,2,0)</f>
        <v>#N/A</v>
      </c>
      <c r="R70" s="1" t="str" cm="1">
        <f t="array" ref="R70">_xlfn.IFNA(_xlfn.IFNA(INDEX(競技会設定!$X$25:$AC$47,MATCH(INDEX(女子エントリー!$J$7:$AH$406,MATCH($G70&amp;RIGHT(R$1,1),女子エントリー!$AH$7:$AH$406,0),1),競技会設定!$AC$25:$AC$47,0),1),INDEX(競技会設定!$X$25:$AC$47,MATCH(INDEX(女子エントリー!$R$6:$V$406,MATCH($G70&amp;RIGHT(R$1,1),女子エントリー!$V$6:$V$406,0)-MATCH($G70&amp;RIGHT(R$1,1),女子エントリー!$V$6:$V$406,0)+1,1),競技会設定!$AC$25:$AC$47,0),1)),"")</f>
        <v/>
      </c>
      <c r="S70" s="1" t="str">
        <f>IF(R70=37,リレーエントリー!$I$27,_xlfn.IFNA(INDEX(女子エントリー!$J$7:$AH$406,MATCH($G70&amp;RIGHT(T$1,1),女子エントリー!$AH$7:$AH$406,0),3),""))</f>
        <v/>
      </c>
      <c r="T70" s="1" t="str">
        <f t="shared" si="32"/>
        <v/>
      </c>
      <c r="U70" s="1" t="str">
        <f t="shared" si="33"/>
        <v/>
      </c>
      <c r="V70" s="1" t="str">
        <f t="shared" si="34"/>
        <v/>
      </c>
      <c r="W70" s="1" t="str" cm="1">
        <f t="array" ref="W70">_xlfn.IFNA(_xlfn.IFNA(INDEX(競技会設定!$X$25:$AC$47,MATCH(INDEX(女子エントリー!$J$7:$AH$406,MATCH($G70&amp;RIGHT(W$1,1),女子エントリー!$AH$7:$AH$406,0),1),競技会設定!$AC$25:$AC$47,0),1),INDEX(競技会設定!$X$25:$AC$47,MATCH(INDEX(女子エントリー!$R$6:$V$406,MATCH($G70&amp;RIGHT(W$1,1),女子エントリー!$V$6:$V$406,0)-MATCH($G70&amp;RIGHT(W$1,1),女子エントリー!$V$6:$V$406,0)+1,1),競技会設定!$AC$25:$AC$47,0),1)),"")</f>
        <v/>
      </c>
      <c r="X70" s="1" t="str">
        <f>IF(W70=37,リレーエントリー!$I$27,_xlfn.IFNA(INDEX(女子エントリー!$J$7:$AH$406,MATCH($G70&amp;RIGHT(Y$1,1),女子エントリー!$AH$7:$AH$406,0),3),""))</f>
        <v/>
      </c>
      <c r="Y70" s="1" t="str">
        <f t="shared" si="19"/>
        <v/>
      </c>
      <c r="Z70" s="1" t="str">
        <f t="shared" si="20"/>
        <v/>
      </c>
      <c r="AA70" s="1" t="str">
        <f t="shared" si="21"/>
        <v/>
      </c>
      <c r="AB70" s="1" t="str" cm="1">
        <f t="array" ref="AB70">_xlfn.IFNA(_xlfn.IFNA(INDEX(競技会設定!$X$25:$AC$47,MATCH(INDEX(女子エントリー!$J$7:$AH$406,MATCH($G70&amp;RIGHT(AB$1,1),女子エントリー!$AH$7:$AH$406,0),1),競技会設定!$AC$25:$AC$47,0),1),INDEX(競技会設定!$X$25:$AC$47,MATCH(INDEX(女子エントリー!$R$6:$V$406,MATCH($G70&amp;RIGHT(AB$1,1),女子エントリー!$V$6:$V$406,0)-MATCH($G70&amp;RIGHT(AB$1,1),女子エントリー!$V$6:$V$406,0)+1,1),競技会設定!$AC$25:$AC$47,0),1)),"")</f>
        <v/>
      </c>
      <c r="AC70" s="1" t="str">
        <f>IF(AB70=37,リレーエントリー!$I$27,_xlfn.IFNA(INDEX(女子エントリー!$J$7:$AH$406,MATCH($G70&amp;RIGHT(AD$1,1),女子エントリー!$AH$7:$AH$406,0),3),""))</f>
        <v/>
      </c>
      <c r="AD70" s="1" t="str">
        <f t="shared" si="22"/>
        <v/>
      </c>
      <c r="AE70" s="1" t="str">
        <f t="shared" si="23"/>
        <v/>
      </c>
      <c r="AF70" s="1" t="str">
        <f t="shared" si="24"/>
        <v/>
      </c>
      <c r="AG70" s="1" t="str" cm="1">
        <f t="array" ref="AG70">_xlfn.IFNA(_xlfn.IFNA(INDEX(競技会設定!$X$25:$AC$47,MATCH(INDEX(女子エントリー!$J$7:$AH$406,MATCH($G70&amp;RIGHT(AG$1,1),女子エントリー!$AH$7:$AH$406,0),1),競技会設定!$AC$25:$AC$47,0),1),INDEX(競技会設定!$X$25:$AC$47,MATCH(INDEX(女子エントリー!$R$6:$V$406,MATCH($G70&amp;RIGHT(AG$1,1),女子エントリー!$V$6:$V$406,0)-MATCH($G70&amp;RIGHT(AG$1,1),女子エントリー!$V$6:$V$406,0)+1,1),競技会設定!$AC$25:$AC$47,0),1)),"")</f>
        <v/>
      </c>
      <c r="AH70" s="1" t="str">
        <f>IF(AG70=37,リレーエントリー!$I$27,_xlfn.IFNA(INDEX(女子エントリー!$J$7:$AH$406,MATCH($G70&amp;RIGHT(AI$1,1),女子エントリー!$AH$7:$AH$406,0),3),""))</f>
        <v/>
      </c>
      <c r="AI70" s="1" t="str">
        <f t="shared" si="25"/>
        <v/>
      </c>
      <c r="AJ70" s="1" t="str">
        <f t="shared" si="26"/>
        <v/>
      </c>
      <c r="AK70" s="1" t="str">
        <f t="shared" si="27"/>
        <v/>
      </c>
      <c r="AL70" s="1" t="str" cm="1">
        <f t="array" ref="AL70">_xlfn.IFNA(_xlfn.IFNA(INDEX(競技会設定!$X$25:$AC$47,MATCH(INDEX(女子エントリー!$J$7:$AH$406,MATCH($G70&amp;RIGHT(AL$1,1),女子エントリー!$AH$7:$AH$406,0),1),競技会設定!$AC$25:$AC$47,0),1),INDEX(競技会設定!$X$25:$AC$47,MATCH(INDEX(女子エントリー!$R$6:$V$406,MATCH($G70&amp;RIGHT(AL$1,1),女子エントリー!$V$6:$V$406,0)-MATCH($G70&amp;RIGHT(AL$1,1),女子エントリー!$V$6:$V$406,0)+1,1),競技会設定!$AC$25:$AC$47,0),1)),"")</f>
        <v/>
      </c>
      <c r="AM70" s="1" t="str">
        <f>IF(AL70=37,リレーエントリー!$I$27,_xlfn.IFNA(INDEX(女子エントリー!$J$7:$AH$406,MATCH($G70&amp;RIGHT(AN$1,1),女子エントリー!$AH$7:$AH$406,0),3),""))</f>
        <v/>
      </c>
      <c r="AN70" s="1" t="str">
        <f t="shared" si="28"/>
        <v/>
      </c>
      <c r="AO70" s="1" t="str">
        <f t="shared" si="29"/>
        <v/>
      </c>
      <c r="AP70" s="1" t="str">
        <f t="shared" si="30"/>
        <v/>
      </c>
    </row>
    <row r="71" spans="1:42">
      <c r="A71" s="1">
        <v>70</v>
      </c>
      <c r="B71" s="92" t="str">
        <f>女子エントリー!D283</f>
        <v/>
      </c>
      <c r="C71" s="1" t="str">
        <f>基本情報!$E$6</f>
        <v/>
      </c>
      <c r="D71" s="1" t="str">
        <f>基本情報!$E$7</f>
        <v/>
      </c>
      <c r="F71" s="92">
        <f>女子エントリー!C283</f>
        <v>0</v>
      </c>
      <c r="G71" s="92" t="str">
        <f>女子エントリー!E283</f>
        <v/>
      </c>
      <c r="H71" s="92" t="str">
        <f>女子エントリー!F283</f>
        <v/>
      </c>
      <c r="I71" s="1" t="str">
        <f t="shared" si="31"/>
        <v/>
      </c>
      <c r="J71" s="1" t="e">
        <f>LEFT(女子エントリー!E285,FIND(",",LEFT(女子エントリー!E285,LEN(女子エントリー!E285)-5))-1)&amp;LEFT(RIGHT(女子エントリー!E285,LEN(女子エントリー!E285)-FIND(",",女子エントリー!E285)),LEN(RIGHT(女子エントリー!E285,LEN(女子エントリー!E285)-FIND(",",女子エントリー!E285)))-5)</f>
        <v>#VALUE!</v>
      </c>
      <c r="K71" s="92" t="str">
        <f>女子エントリー!G285</f>
        <v/>
      </c>
      <c r="L71" s="1" t="str">
        <f t="shared" si="18"/>
        <v/>
      </c>
      <c r="M71" s="92" t="str">
        <f>女子エントリー!G283</f>
        <v/>
      </c>
      <c r="N71" s="92" t="e">
        <f>MID(女子エントリー!E285,FIND("(",女子エントリー!E285)+1,2)</f>
        <v>#VALUE!</v>
      </c>
      <c r="O71" s="1">
        <v>0</v>
      </c>
      <c r="P71" s="92" t="e">
        <f>VLOOKUP(女子エントリー!G284,競技会設定!$F$3:$I$50,2,0)</f>
        <v>#N/A</v>
      </c>
      <c r="R71" s="1" t="str" cm="1">
        <f t="array" ref="R71">_xlfn.IFNA(_xlfn.IFNA(INDEX(競技会設定!$X$25:$AC$47,MATCH(INDEX(女子エントリー!$J$7:$AH$406,MATCH($G71&amp;RIGHT(R$1,1),女子エントリー!$AH$7:$AH$406,0),1),競技会設定!$AC$25:$AC$47,0),1),INDEX(競技会設定!$X$25:$AC$47,MATCH(INDEX(女子エントリー!$R$6:$V$406,MATCH($G71&amp;RIGHT(R$1,1),女子エントリー!$V$6:$V$406,0)-MATCH($G71&amp;RIGHT(R$1,1),女子エントリー!$V$6:$V$406,0)+1,1),競技会設定!$AC$25:$AC$47,0),1)),"")</f>
        <v/>
      </c>
      <c r="S71" s="1" t="str">
        <f>IF(R71=37,リレーエントリー!$I$27,_xlfn.IFNA(INDEX(女子エントリー!$J$7:$AH$406,MATCH($G71&amp;RIGHT(T$1,1),女子エントリー!$AH$7:$AH$406,0),3),""))</f>
        <v/>
      </c>
      <c r="T71" s="1" t="str">
        <f t="shared" si="32"/>
        <v/>
      </c>
      <c r="U71" s="1" t="str">
        <f t="shared" si="33"/>
        <v/>
      </c>
      <c r="V71" s="1" t="str">
        <f t="shared" si="34"/>
        <v/>
      </c>
      <c r="W71" s="1" t="str" cm="1">
        <f t="array" ref="W71">_xlfn.IFNA(_xlfn.IFNA(INDEX(競技会設定!$X$25:$AC$47,MATCH(INDEX(女子エントリー!$J$7:$AH$406,MATCH($G71&amp;RIGHT(W$1,1),女子エントリー!$AH$7:$AH$406,0),1),競技会設定!$AC$25:$AC$47,0),1),INDEX(競技会設定!$X$25:$AC$47,MATCH(INDEX(女子エントリー!$R$6:$V$406,MATCH($G71&amp;RIGHT(W$1,1),女子エントリー!$V$6:$V$406,0)-MATCH($G71&amp;RIGHT(W$1,1),女子エントリー!$V$6:$V$406,0)+1,1),競技会設定!$AC$25:$AC$47,0),1)),"")</f>
        <v/>
      </c>
      <c r="X71" s="1" t="str">
        <f>IF(W71=37,リレーエントリー!$I$27,_xlfn.IFNA(INDEX(女子エントリー!$J$7:$AH$406,MATCH($G71&amp;RIGHT(Y$1,1),女子エントリー!$AH$7:$AH$406,0),3),""))</f>
        <v/>
      </c>
      <c r="Y71" s="1" t="str">
        <f t="shared" si="19"/>
        <v/>
      </c>
      <c r="Z71" s="1" t="str">
        <f t="shared" si="20"/>
        <v/>
      </c>
      <c r="AA71" s="1" t="str">
        <f t="shared" si="21"/>
        <v/>
      </c>
      <c r="AB71" s="1" t="str" cm="1">
        <f t="array" ref="AB71">_xlfn.IFNA(_xlfn.IFNA(INDEX(競技会設定!$X$25:$AC$47,MATCH(INDEX(女子エントリー!$J$7:$AH$406,MATCH($G71&amp;RIGHT(AB$1,1),女子エントリー!$AH$7:$AH$406,0),1),競技会設定!$AC$25:$AC$47,0),1),INDEX(競技会設定!$X$25:$AC$47,MATCH(INDEX(女子エントリー!$R$6:$V$406,MATCH($G71&amp;RIGHT(AB$1,1),女子エントリー!$V$6:$V$406,0)-MATCH($G71&amp;RIGHT(AB$1,1),女子エントリー!$V$6:$V$406,0)+1,1),競技会設定!$AC$25:$AC$47,0),1)),"")</f>
        <v/>
      </c>
      <c r="AC71" s="1" t="str">
        <f>IF(AB71=37,リレーエントリー!$I$27,_xlfn.IFNA(INDEX(女子エントリー!$J$7:$AH$406,MATCH($G71&amp;RIGHT(AD$1,1),女子エントリー!$AH$7:$AH$406,0),3),""))</f>
        <v/>
      </c>
      <c r="AD71" s="1" t="str">
        <f t="shared" si="22"/>
        <v/>
      </c>
      <c r="AE71" s="1" t="str">
        <f t="shared" si="23"/>
        <v/>
      </c>
      <c r="AF71" s="1" t="str">
        <f t="shared" si="24"/>
        <v/>
      </c>
      <c r="AG71" s="1" t="str" cm="1">
        <f t="array" ref="AG71">_xlfn.IFNA(_xlfn.IFNA(INDEX(競技会設定!$X$25:$AC$47,MATCH(INDEX(女子エントリー!$J$7:$AH$406,MATCH($G71&amp;RIGHT(AG$1,1),女子エントリー!$AH$7:$AH$406,0),1),競技会設定!$AC$25:$AC$47,0),1),INDEX(競技会設定!$X$25:$AC$47,MATCH(INDEX(女子エントリー!$R$6:$V$406,MATCH($G71&amp;RIGHT(AG$1,1),女子エントリー!$V$6:$V$406,0)-MATCH($G71&amp;RIGHT(AG$1,1),女子エントリー!$V$6:$V$406,0)+1,1),競技会設定!$AC$25:$AC$47,0),1)),"")</f>
        <v/>
      </c>
      <c r="AH71" s="1" t="str">
        <f>IF(AG71=37,リレーエントリー!$I$27,_xlfn.IFNA(INDEX(女子エントリー!$J$7:$AH$406,MATCH($G71&amp;RIGHT(AI$1,1),女子エントリー!$AH$7:$AH$406,0),3),""))</f>
        <v/>
      </c>
      <c r="AI71" s="1" t="str">
        <f t="shared" si="25"/>
        <v/>
      </c>
      <c r="AJ71" s="1" t="str">
        <f t="shared" si="26"/>
        <v/>
      </c>
      <c r="AK71" s="1" t="str">
        <f t="shared" si="27"/>
        <v/>
      </c>
      <c r="AL71" s="1" t="str" cm="1">
        <f t="array" ref="AL71">_xlfn.IFNA(_xlfn.IFNA(INDEX(競技会設定!$X$25:$AC$47,MATCH(INDEX(女子エントリー!$J$7:$AH$406,MATCH($G71&amp;RIGHT(AL$1,1),女子エントリー!$AH$7:$AH$406,0),1),競技会設定!$AC$25:$AC$47,0),1),INDEX(競技会設定!$X$25:$AC$47,MATCH(INDEX(女子エントリー!$R$6:$V$406,MATCH($G71&amp;RIGHT(AL$1,1),女子エントリー!$V$6:$V$406,0)-MATCH($G71&amp;RIGHT(AL$1,1),女子エントリー!$V$6:$V$406,0)+1,1),競技会設定!$AC$25:$AC$47,0),1)),"")</f>
        <v/>
      </c>
      <c r="AM71" s="1" t="str">
        <f>IF(AL71=37,リレーエントリー!$I$27,_xlfn.IFNA(INDEX(女子エントリー!$J$7:$AH$406,MATCH($G71&amp;RIGHT(AN$1,1),女子エントリー!$AH$7:$AH$406,0),3),""))</f>
        <v/>
      </c>
      <c r="AN71" s="1" t="str">
        <f t="shared" si="28"/>
        <v/>
      </c>
      <c r="AO71" s="1" t="str">
        <f t="shared" si="29"/>
        <v/>
      </c>
      <c r="AP71" s="1" t="str">
        <f t="shared" si="30"/>
        <v/>
      </c>
    </row>
    <row r="72" spans="1:42">
      <c r="A72" s="1">
        <v>71</v>
      </c>
      <c r="B72" s="92" t="str">
        <f>女子エントリー!D287</f>
        <v/>
      </c>
      <c r="C72" s="1" t="str">
        <f>基本情報!$E$6</f>
        <v/>
      </c>
      <c r="D72" s="1" t="str">
        <f>基本情報!$E$7</f>
        <v/>
      </c>
      <c r="F72" s="92">
        <f>女子エントリー!C287</f>
        <v>0</v>
      </c>
      <c r="G72" s="92" t="str">
        <f>女子エントリー!E287</f>
        <v/>
      </c>
      <c r="H72" s="92" t="str">
        <f>女子エントリー!F287</f>
        <v/>
      </c>
      <c r="I72" s="1" t="str">
        <f t="shared" si="31"/>
        <v/>
      </c>
      <c r="J72" s="1" t="e">
        <f>LEFT(女子エントリー!E289,FIND(",",LEFT(女子エントリー!E289,LEN(女子エントリー!E289)-5))-1)&amp;LEFT(RIGHT(女子エントリー!E289,LEN(女子エントリー!E289)-FIND(",",女子エントリー!E289)),LEN(RIGHT(女子エントリー!E289,LEN(女子エントリー!E289)-FIND(",",女子エントリー!E289)))-5)</f>
        <v>#VALUE!</v>
      </c>
      <c r="K72" s="92" t="str">
        <f>女子エントリー!G289</f>
        <v/>
      </c>
      <c r="L72" s="1" t="str">
        <f t="shared" si="18"/>
        <v/>
      </c>
      <c r="M72" s="92" t="str">
        <f>女子エントリー!G287</f>
        <v/>
      </c>
      <c r="N72" s="92" t="e">
        <f>MID(女子エントリー!E289,FIND("(",女子エントリー!E289)+1,2)</f>
        <v>#VALUE!</v>
      </c>
      <c r="O72" s="1">
        <v>0</v>
      </c>
      <c r="P72" s="92" t="e">
        <f>VLOOKUP(女子エントリー!G288,競技会設定!$F$3:$I$50,2,0)</f>
        <v>#N/A</v>
      </c>
      <c r="R72" s="1" t="str" cm="1">
        <f t="array" ref="R72">_xlfn.IFNA(_xlfn.IFNA(INDEX(競技会設定!$X$25:$AC$47,MATCH(INDEX(女子エントリー!$J$7:$AH$406,MATCH($G72&amp;RIGHT(R$1,1),女子エントリー!$AH$7:$AH$406,0),1),競技会設定!$AC$25:$AC$47,0),1),INDEX(競技会設定!$X$25:$AC$47,MATCH(INDEX(女子エントリー!$R$6:$V$406,MATCH($G72&amp;RIGHT(R$1,1),女子エントリー!$V$6:$V$406,0)-MATCH($G72&amp;RIGHT(R$1,1),女子エントリー!$V$6:$V$406,0)+1,1),競技会設定!$AC$25:$AC$47,0),1)),"")</f>
        <v/>
      </c>
      <c r="S72" s="1" t="str">
        <f>IF(R72=37,リレーエントリー!$I$27,_xlfn.IFNA(INDEX(女子エントリー!$J$7:$AH$406,MATCH($G72&amp;RIGHT(T$1,1),女子エントリー!$AH$7:$AH$406,0),3),""))</f>
        <v/>
      </c>
      <c r="T72" s="1" t="str">
        <f t="shared" si="32"/>
        <v/>
      </c>
      <c r="U72" s="1" t="str">
        <f t="shared" si="33"/>
        <v/>
      </c>
      <c r="V72" s="1" t="str">
        <f t="shared" si="34"/>
        <v/>
      </c>
      <c r="W72" s="1" t="str" cm="1">
        <f t="array" ref="W72">_xlfn.IFNA(_xlfn.IFNA(INDEX(競技会設定!$X$25:$AC$47,MATCH(INDEX(女子エントリー!$J$7:$AH$406,MATCH($G72&amp;RIGHT(W$1,1),女子エントリー!$AH$7:$AH$406,0),1),競技会設定!$AC$25:$AC$47,0),1),INDEX(競技会設定!$X$25:$AC$47,MATCH(INDEX(女子エントリー!$R$6:$V$406,MATCH($G72&amp;RIGHT(W$1,1),女子エントリー!$V$6:$V$406,0)-MATCH($G72&amp;RIGHT(W$1,1),女子エントリー!$V$6:$V$406,0)+1,1),競技会設定!$AC$25:$AC$47,0),1)),"")</f>
        <v/>
      </c>
      <c r="X72" s="1" t="str">
        <f>IF(W72=37,リレーエントリー!$I$27,_xlfn.IFNA(INDEX(女子エントリー!$J$7:$AH$406,MATCH($G72&amp;RIGHT(Y$1,1),女子エントリー!$AH$7:$AH$406,0),3),""))</f>
        <v/>
      </c>
      <c r="Y72" s="1" t="str">
        <f t="shared" si="19"/>
        <v/>
      </c>
      <c r="Z72" s="1" t="str">
        <f t="shared" si="20"/>
        <v/>
      </c>
      <c r="AA72" s="1" t="str">
        <f t="shared" si="21"/>
        <v/>
      </c>
      <c r="AB72" s="1" t="str" cm="1">
        <f t="array" ref="AB72">_xlfn.IFNA(_xlfn.IFNA(INDEX(競技会設定!$X$25:$AC$47,MATCH(INDEX(女子エントリー!$J$7:$AH$406,MATCH($G72&amp;RIGHT(AB$1,1),女子エントリー!$AH$7:$AH$406,0),1),競技会設定!$AC$25:$AC$47,0),1),INDEX(競技会設定!$X$25:$AC$47,MATCH(INDEX(女子エントリー!$R$6:$V$406,MATCH($G72&amp;RIGHT(AB$1,1),女子エントリー!$V$6:$V$406,0)-MATCH($G72&amp;RIGHT(AB$1,1),女子エントリー!$V$6:$V$406,0)+1,1),競技会設定!$AC$25:$AC$47,0),1)),"")</f>
        <v/>
      </c>
      <c r="AC72" s="1" t="str">
        <f>IF(AB72=37,リレーエントリー!$I$27,_xlfn.IFNA(INDEX(女子エントリー!$J$7:$AH$406,MATCH($G72&amp;RIGHT(AD$1,1),女子エントリー!$AH$7:$AH$406,0),3),""))</f>
        <v/>
      </c>
      <c r="AD72" s="1" t="str">
        <f t="shared" si="22"/>
        <v/>
      </c>
      <c r="AE72" s="1" t="str">
        <f t="shared" si="23"/>
        <v/>
      </c>
      <c r="AF72" s="1" t="str">
        <f t="shared" si="24"/>
        <v/>
      </c>
      <c r="AG72" s="1" t="str" cm="1">
        <f t="array" ref="AG72">_xlfn.IFNA(_xlfn.IFNA(INDEX(競技会設定!$X$25:$AC$47,MATCH(INDEX(女子エントリー!$J$7:$AH$406,MATCH($G72&amp;RIGHT(AG$1,1),女子エントリー!$AH$7:$AH$406,0),1),競技会設定!$AC$25:$AC$47,0),1),INDEX(競技会設定!$X$25:$AC$47,MATCH(INDEX(女子エントリー!$R$6:$V$406,MATCH($G72&amp;RIGHT(AG$1,1),女子エントリー!$V$6:$V$406,0)-MATCH($G72&amp;RIGHT(AG$1,1),女子エントリー!$V$6:$V$406,0)+1,1),競技会設定!$AC$25:$AC$47,0),1)),"")</f>
        <v/>
      </c>
      <c r="AH72" s="1" t="str">
        <f>IF(AG72=37,リレーエントリー!$I$27,_xlfn.IFNA(INDEX(女子エントリー!$J$7:$AH$406,MATCH($G72&amp;RIGHT(AI$1,1),女子エントリー!$AH$7:$AH$406,0),3),""))</f>
        <v/>
      </c>
      <c r="AI72" s="1" t="str">
        <f t="shared" si="25"/>
        <v/>
      </c>
      <c r="AJ72" s="1" t="str">
        <f t="shared" si="26"/>
        <v/>
      </c>
      <c r="AK72" s="1" t="str">
        <f t="shared" si="27"/>
        <v/>
      </c>
      <c r="AL72" s="1" t="str" cm="1">
        <f t="array" ref="AL72">_xlfn.IFNA(_xlfn.IFNA(INDEX(競技会設定!$X$25:$AC$47,MATCH(INDEX(女子エントリー!$J$7:$AH$406,MATCH($G72&amp;RIGHT(AL$1,1),女子エントリー!$AH$7:$AH$406,0),1),競技会設定!$AC$25:$AC$47,0),1),INDEX(競技会設定!$X$25:$AC$47,MATCH(INDEX(女子エントリー!$R$6:$V$406,MATCH($G72&amp;RIGHT(AL$1,1),女子エントリー!$V$6:$V$406,0)-MATCH($G72&amp;RIGHT(AL$1,1),女子エントリー!$V$6:$V$406,0)+1,1),競技会設定!$AC$25:$AC$47,0),1)),"")</f>
        <v/>
      </c>
      <c r="AM72" s="1" t="str">
        <f>IF(AL72=37,リレーエントリー!$I$27,_xlfn.IFNA(INDEX(女子エントリー!$J$7:$AH$406,MATCH($G72&amp;RIGHT(AN$1,1),女子エントリー!$AH$7:$AH$406,0),3),""))</f>
        <v/>
      </c>
      <c r="AN72" s="1" t="str">
        <f t="shared" si="28"/>
        <v/>
      </c>
      <c r="AO72" s="1" t="str">
        <f t="shared" si="29"/>
        <v/>
      </c>
      <c r="AP72" s="1" t="str">
        <f t="shared" si="30"/>
        <v/>
      </c>
    </row>
    <row r="73" spans="1:42">
      <c r="A73" s="1">
        <v>72</v>
      </c>
      <c r="B73" s="92" t="str">
        <f>女子エントリー!D291</f>
        <v/>
      </c>
      <c r="C73" s="1" t="str">
        <f>基本情報!$E$6</f>
        <v/>
      </c>
      <c r="D73" s="1" t="str">
        <f>基本情報!$E$7</f>
        <v/>
      </c>
      <c r="F73" s="92">
        <f>女子エントリー!C291</f>
        <v>0</v>
      </c>
      <c r="G73" s="92" t="str">
        <f>女子エントリー!E291</f>
        <v/>
      </c>
      <c r="H73" s="92" t="str">
        <f>女子エントリー!F291</f>
        <v/>
      </c>
      <c r="I73" s="1" t="str">
        <f t="shared" si="31"/>
        <v/>
      </c>
      <c r="J73" s="1" t="e">
        <f>LEFT(女子エントリー!E293,FIND(",",LEFT(女子エントリー!E293,LEN(女子エントリー!E293)-5))-1)&amp;LEFT(RIGHT(女子エントリー!E293,LEN(女子エントリー!E293)-FIND(",",女子エントリー!E293)),LEN(RIGHT(女子エントリー!E293,LEN(女子エントリー!E293)-FIND(",",女子エントリー!E293)))-5)</f>
        <v>#VALUE!</v>
      </c>
      <c r="K73" s="92" t="str">
        <f>女子エントリー!G293</f>
        <v/>
      </c>
      <c r="L73" s="1" t="str">
        <f t="shared" si="18"/>
        <v/>
      </c>
      <c r="M73" s="92" t="str">
        <f>女子エントリー!G291</f>
        <v/>
      </c>
      <c r="N73" s="92" t="e">
        <f>MID(女子エントリー!E293,FIND("(",女子エントリー!E293)+1,2)</f>
        <v>#VALUE!</v>
      </c>
      <c r="O73" s="1">
        <v>0</v>
      </c>
      <c r="P73" s="92" t="e">
        <f>VLOOKUP(女子エントリー!G292,競技会設定!$F$3:$I$50,2,0)</f>
        <v>#N/A</v>
      </c>
      <c r="R73" s="1" t="str" cm="1">
        <f t="array" ref="R73">_xlfn.IFNA(_xlfn.IFNA(INDEX(競技会設定!$X$25:$AC$47,MATCH(INDEX(女子エントリー!$J$7:$AH$406,MATCH($G73&amp;RIGHT(R$1,1),女子エントリー!$AH$7:$AH$406,0),1),競技会設定!$AC$25:$AC$47,0),1),INDEX(競技会設定!$X$25:$AC$47,MATCH(INDEX(女子エントリー!$R$6:$V$406,MATCH($G73&amp;RIGHT(R$1,1),女子エントリー!$V$6:$V$406,0)-MATCH($G73&amp;RIGHT(R$1,1),女子エントリー!$V$6:$V$406,0)+1,1),競技会設定!$AC$25:$AC$47,0),1)),"")</f>
        <v/>
      </c>
      <c r="S73" s="1" t="str">
        <f>IF(R73=37,リレーエントリー!$I$27,_xlfn.IFNA(INDEX(女子エントリー!$J$7:$AH$406,MATCH($G73&amp;RIGHT(T$1,1),女子エントリー!$AH$7:$AH$406,0),3),""))</f>
        <v/>
      </c>
      <c r="T73" s="1" t="str">
        <f t="shared" si="32"/>
        <v/>
      </c>
      <c r="U73" s="1" t="str">
        <f t="shared" si="33"/>
        <v/>
      </c>
      <c r="V73" s="1" t="str">
        <f t="shared" si="34"/>
        <v/>
      </c>
      <c r="W73" s="1" t="str" cm="1">
        <f t="array" ref="W73">_xlfn.IFNA(_xlfn.IFNA(INDEX(競技会設定!$X$25:$AC$47,MATCH(INDEX(女子エントリー!$J$7:$AH$406,MATCH($G73&amp;RIGHT(W$1,1),女子エントリー!$AH$7:$AH$406,0),1),競技会設定!$AC$25:$AC$47,0),1),INDEX(競技会設定!$X$25:$AC$47,MATCH(INDEX(女子エントリー!$R$6:$V$406,MATCH($G73&amp;RIGHT(W$1,1),女子エントリー!$V$6:$V$406,0)-MATCH($G73&amp;RIGHT(W$1,1),女子エントリー!$V$6:$V$406,0)+1,1),競技会設定!$AC$25:$AC$47,0),1)),"")</f>
        <v/>
      </c>
      <c r="X73" s="1" t="str">
        <f>IF(W73=37,リレーエントリー!$I$27,_xlfn.IFNA(INDEX(女子エントリー!$J$7:$AH$406,MATCH($G73&amp;RIGHT(Y$1,1),女子エントリー!$AH$7:$AH$406,0),3),""))</f>
        <v/>
      </c>
      <c r="Y73" s="1" t="str">
        <f t="shared" si="19"/>
        <v/>
      </c>
      <c r="Z73" s="1" t="str">
        <f t="shared" si="20"/>
        <v/>
      </c>
      <c r="AA73" s="1" t="str">
        <f t="shared" si="21"/>
        <v/>
      </c>
      <c r="AB73" s="1" t="str" cm="1">
        <f t="array" ref="AB73">_xlfn.IFNA(_xlfn.IFNA(INDEX(競技会設定!$X$25:$AC$47,MATCH(INDEX(女子エントリー!$J$7:$AH$406,MATCH($G73&amp;RIGHT(AB$1,1),女子エントリー!$AH$7:$AH$406,0),1),競技会設定!$AC$25:$AC$47,0),1),INDEX(競技会設定!$X$25:$AC$47,MATCH(INDEX(女子エントリー!$R$6:$V$406,MATCH($G73&amp;RIGHT(AB$1,1),女子エントリー!$V$6:$V$406,0)-MATCH($G73&amp;RIGHT(AB$1,1),女子エントリー!$V$6:$V$406,0)+1,1),競技会設定!$AC$25:$AC$47,0),1)),"")</f>
        <v/>
      </c>
      <c r="AC73" s="1" t="str">
        <f>IF(AB73=37,リレーエントリー!$I$27,_xlfn.IFNA(INDEX(女子エントリー!$J$7:$AH$406,MATCH($G73&amp;RIGHT(AD$1,1),女子エントリー!$AH$7:$AH$406,0),3),""))</f>
        <v/>
      </c>
      <c r="AD73" s="1" t="str">
        <f t="shared" si="22"/>
        <v/>
      </c>
      <c r="AE73" s="1" t="str">
        <f t="shared" si="23"/>
        <v/>
      </c>
      <c r="AF73" s="1" t="str">
        <f t="shared" si="24"/>
        <v/>
      </c>
      <c r="AG73" s="1" t="str" cm="1">
        <f t="array" ref="AG73">_xlfn.IFNA(_xlfn.IFNA(INDEX(競技会設定!$X$25:$AC$47,MATCH(INDEX(女子エントリー!$J$7:$AH$406,MATCH($G73&amp;RIGHT(AG$1,1),女子エントリー!$AH$7:$AH$406,0),1),競技会設定!$AC$25:$AC$47,0),1),INDEX(競技会設定!$X$25:$AC$47,MATCH(INDEX(女子エントリー!$R$6:$V$406,MATCH($G73&amp;RIGHT(AG$1,1),女子エントリー!$V$6:$V$406,0)-MATCH($G73&amp;RIGHT(AG$1,1),女子エントリー!$V$6:$V$406,0)+1,1),競技会設定!$AC$25:$AC$47,0),1)),"")</f>
        <v/>
      </c>
      <c r="AH73" s="1" t="str">
        <f>IF(AG73=37,リレーエントリー!$I$27,_xlfn.IFNA(INDEX(女子エントリー!$J$7:$AH$406,MATCH($G73&amp;RIGHT(AI$1,1),女子エントリー!$AH$7:$AH$406,0),3),""))</f>
        <v/>
      </c>
      <c r="AI73" s="1" t="str">
        <f t="shared" si="25"/>
        <v/>
      </c>
      <c r="AJ73" s="1" t="str">
        <f t="shared" si="26"/>
        <v/>
      </c>
      <c r="AK73" s="1" t="str">
        <f t="shared" si="27"/>
        <v/>
      </c>
      <c r="AL73" s="1" t="str" cm="1">
        <f t="array" ref="AL73">_xlfn.IFNA(_xlfn.IFNA(INDEX(競技会設定!$X$25:$AC$47,MATCH(INDEX(女子エントリー!$J$7:$AH$406,MATCH($G73&amp;RIGHT(AL$1,1),女子エントリー!$AH$7:$AH$406,0),1),競技会設定!$AC$25:$AC$47,0),1),INDEX(競技会設定!$X$25:$AC$47,MATCH(INDEX(女子エントリー!$R$6:$V$406,MATCH($G73&amp;RIGHT(AL$1,1),女子エントリー!$V$6:$V$406,0)-MATCH($G73&amp;RIGHT(AL$1,1),女子エントリー!$V$6:$V$406,0)+1,1),競技会設定!$AC$25:$AC$47,0),1)),"")</f>
        <v/>
      </c>
      <c r="AM73" s="1" t="str">
        <f>IF(AL73=37,リレーエントリー!$I$27,_xlfn.IFNA(INDEX(女子エントリー!$J$7:$AH$406,MATCH($G73&amp;RIGHT(AN$1,1),女子エントリー!$AH$7:$AH$406,0),3),""))</f>
        <v/>
      </c>
      <c r="AN73" s="1" t="str">
        <f t="shared" si="28"/>
        <v/>
      </c>
      <c r="AO73" s="1" t="str">
        <f t="shared" si="29"/>
        <v/>
      </c>
      <c r="AP73" s="1" t="str">
        <f t="shared" si="30"/>
        <v/>
      </c>
    </row>
    <row r="74" spans="1:42">
      <c r="A74" s="1">
        <v>73</v>
      </c>
      <c r="B74" s="92" t="str">
        <f>女子エントリー!D295</f>
        <v/>
      </c>
      <c r="C74" s="1" t="str">
        <f>基本情報!$E$6</f>
        <v/>
      </c>
      <c r="D74" s="1" t="str">
        <f>基本情報!$E$7</f>
        <v/>
      </c>
      <c r="F74" s="92">
        <f>女子エントリー!C295</f>
        <v>0</v>
      </c>
      <c r="G74" s="92" t="str">
        <f>女子エントリー!E295</f>
        <v/>
      </c>
      <c r="H74" s="92" t="str">
        <f>女子エントリー!F295</f>
        <v/>
      </c>
      <c r="I74" s="1" t="str">
        <f t="shared" si="31"/>
        <v/>
      </c>
      <c r="J74" s="1" t="e">
        <f>LEFT(女子エントリー!E297,FIND(",",LEFT(女子エントリー!E297,LEN(女子エントリー!E297)-5))-1)&amp;LEFT(RIGHT(女子エントリー!E297,LEN(女子エントリー!E297)-FIND(",",女子エントリー!E297)),LEN(RIGHT(女子エントリー!E297,LEN(女子エントリー!E297)-FIND(",",女子エントリー!E297)))-5)</f>
        <v>#VALUE!</v>
      </c>
      <c r="K74" s="92" t="str">
        <f>女子エントリー!G297</f>
        <v/>
      </c>
      <c r="L74" s="1" t="str">
        <f t="shared" si="18"/>
        <v/>
      </c>
      <c r="M74" s="92" t="str">
        <f>女子エントリー!G295</f>
        <v/>
      </c>
      <c r="N74" s="92" t="e">
        <f>MID(女子エントリー!E297,FIND("(",女子エントリー!E297)+1,2)</f>
        <v>#VALUE!</v>
      </c>
      <c r="O74" s="1">
        <v>0</v>
      </c>
      <c r="P74" s="92" t="e">
        <f>VLOOKUP(女子エントリー!G296,競技会設定!$F$3:$I$50,2,0)</f>
        <v>#N/A</v>
      </c>
      <c r="R74" s="1" t="str" cm="1">
        <f t="array" ref="R74">_xlfn.IFNA(_xlfn.IFNA(INDEX(競技会設定!$X$25:$AC$47,MATCH(INDEX(女子エントリー!$J$7:$AH$406,MATCH($G74&amp;RIGHT(R$1,1),女子エントリー!$AH$7:$AH$406,0),1),競技会設定!$AC$25:$AC$47,0),1),INDEX(競技会設定!$X$25:$AC$47,MATCH(INDEX(女子エントリー!$R$6:$V$406,MATCH($G74&amp;RIGHT(R$1,1),女子エントリー!$V$6:$V$406,0)-MATCH($G74&amp;RIGHT(R$1,1),女子エントリー!$V$6:$V$406,0)+1,1),競技会設定!$AC$25:$AC$47,0),1)),"")</f>
        <v/>
      </c>
      <c r="S74" s="1" t="str">
        <f>IF(R74=37,リレーエントリー!$I$27,_xlfn.IFNA(INDEX(女子エントリー!$J$7:$AH$406,MATCH($G74&amp;RIGHT(T$1,1),女子エントリー!$AH$7:$AH$406,0),3),""))</f>
        <v/>
      </c>
      <c r="T74" s="1" t="str">
        <f t="shared" si="32"/>
        <v/>
      </c>
      <c r="U74" s="1" t="str">
        <f t="shared" si="33"/>
        <v/>
      </c>
      <c r="V74" s="1" t="str">
        <f t="shared" si="34"/>
        <v/>
      </c>
      <c r="W74" s="1" t="str" cm="1">
        <f t="array" ref="W74">_xlfn.IFNA(_xlfn.IFNA(INDEX(競技会設定!$X$25:$AC$47,MATCH(INDEX(女子エントリー!$J$7:$AH$406,MATCH($G74&amp;RIGHT(W$1,1),女子エントリー!$AH$7:$AH$406,0),1),競技会設定!$AC$25:$AC$47,0),1),INDEX(競技会設定!$X$25:$AC$47,MATCH(INDEX(女子エントリー!$R$6:$V$406,MATCH($G74&amp;RIGHT(W$1,1),女子エントリー!$V$6:$V$406,0)-MATCH($G74&amp;RIGHT(W$1,1),女子エントリー!$V$6:$V$406,0)+1,1),競技会設定!$AC$25:$AC$47,0),1)),"")</f>
        <v/>
      </c>
      <c r="X74" s="1" t="str">
        <f>IF(W74=37,リレーエントリー!$I$27,_xlfn.IFNA(INDEX(女子エントリー!$J$7:$AH$406,MATCH($G74&amp;RIGHT(Y$1,1),女子エントリー!$AH$7:$AH$406,0),3),""))</f>
        <v/>
      </c>
      <c r="Y74" s="1" t="str">
        <f t="shared" si="19"/>
        <v/>
      </c>
      <c r="Z74" s="1" t="str">
        <f t="shared" si="20"/>
        <v/>
      </c>
      <c r="AA74" s="1" t="str">
        <f t="shared" si="21"/>
        <v/>
      </c>
      <c r="AB74" s="1" t="str" cm="1">
        <f t="array" ref="AB74">_xlfn.IFNA(_xlfn.IFNA(INDEX(競技会設定!$X$25:$AC$47,MATCH(INDEX(女子エントリー!$J$7:$AH$406,MATCH($G74&amp;RIGHT(AB$1,1),女子エントリー!$AH$7:$AH$406,0),1),競技会設定!$AC$25:$AC$47,0),1),INDEX(競技会設定!$X$25:$AC$47,MATCH(INDEX(女子エントリー!$R$6:$V$406,MATCH($G74&amp;RIGHT(AB$1,1),女子エントリー!$V$6:$V$406,0)-MATCH($G74&amp;RIGHT(AB$1,1),女子エントリー!$V$6:$V$406,0)+1,1),競技会設定!$AC$25:$AC$47,0),1)),"")</f>
        <v/>
      </c>
      <c r="AC74" s="1" t="str">
        <f>IF(AB74=37,リレーエントリー!$I$27,_xlfn.IFNA(INDEX(女子エントリー!$J$7:$AH$406,MATCH($G74&amp;RIGHT(AD$1,1),女子エントリー!$AH$7:$AH$406,0),3),""))</f>
        <v/>
      </c>
      <c r="AD74" s="1" t="str">
        <f t="shared" si="22"/>
        <v/>
      </c>
      <c r="AE74" s="1" t="str">
        <f t="shared" si="23"/>
        <v/>
      </c>
      <c r="AF74" s="1" t="str">
        <f t="shared" si="24"/>
        <v/>
      </c>
      <c r="AG74" s="1" t="str" cm="1">
        <f t="array" ref="AG74">_xlfn.IFNA(_xlfn.IFNA(INDEX(競技会設定!$X$25:$AC$47,MATCH(INDEX(女子エントリー!$J$7:$AH$406,MATCH($G74&amp;RIGHT(AG$1,1),女子エントリー!$AH$7:$AH$406,0),1),競技会設定!$AC$25:$AC$47,0),1),INDEX(競技会設定!$X$25:$AC$47,MATCH(INDEX(女子エントリー!$R$6:$V$406,MATCH($G74&amp;RIGHT(AG$1,1),女子エントリー!$V$6:$V$406,0)-MATCH($G74&amp;RIGHT(AG$1,1),女子エントリー!$V$6:$V$406,0)+1,1),競技会設定!$AC$25:$AC$47,0),1)),"")</f>
        <v/>
      </c>
      <c r="AH74" s="1" t="str">
        <f>IF(AG74=37,リレーエントリー!$I$27,_xlfn.IFNA(INDEX(女子エントリー!$J$7:$AH$406,MATCH($G74&amp;RIGHT(AI$1,1),女子エントリー!$AH$7:$AH$406,0),3),""))</f>
        <v/>
      </c>
      <c r="AI74" s="1" t="str">
        <f t="shared" si="25"/>
        <v/>
      </c>
      <c r="AJ74" s="1" t="str">
        <f t="shared" si="26"/>
        <v/>
      </c>
      <c r="AK74" s="1" t="str">
        <f t="shared" si="27"/>
        <v/>
      </c>
      <c r="AL74" s="1" t="str" cm="1">
        <f t="array" ref="AL74">_xlfn.IFNA(_xlfn.IFNA(INDEX(競技会設定!$X$25:$AC$47,MATCH(INDEX(女子エントリー!$J$7:$AH$406,MATCH($G74&amp;RIGHT(AL$1,1),女子エントリー!$AH$7:$AH$406,0),1),競技会設定!$AC$25:$AC$47,0),1),INDEX(競技会設定!$X$25:$AC$47,MATCH(INDEX(女子エントリー!$R$6:$V$406,MATCH($G74&amp;RIGHT(AL$1,1),女子エントリー!$V$6:$V$406,0)-MATCH($G74&amp;RIGHT(AL$1,1),女子エントリー!$V$6:$V$406,0)+1,1),競技会設定!$AC$25:$AC$47,0),1)),"")</f>
        <v/>
      </c>
      <c r="AM74" s="1" t="str">
        <f>IF(AL74=37,リレーエントリー!$I$27,_xlfn.IFNA(INDEX(女子エントリー!$J$7:$AH$406,MATCH($G74&amp;RIGHT(AN$1,1),女子エントリー!$AH$7:$AH$406,0),3),""))</f>
        <v/>
      </c>
      <c r="AN74" s="1" t="str">
        <f t="shared" si="28"/>
        <v/>
      </c>
      <c r="AO74" s="1" t="str">
        <f t="shared" si="29"/>
        <v/>
      </c>
      <c r="AP74" s="1" t="str">
        <f t="shared" si="30"/>
        <v/>
      </c>
    </row>
    <row r="75" spans="1:42">
      <c r="A75" s="1">
        <v>74</v>
      </c>
      <c r="B75" s="92" t="str">
        <f>女子エントリー!D299</f>
        <v/>
      </c>
      <c r="C75" s="1" t="str">
        <f>基本情報!$E$6</f>
        <v/>
      </c>
      <c r="D75" s="1" t="str">
        <f>基本情報!$E$7</f>
        <v/>
      </c>
      <c r="F75" s="92">
        <f>女子エントリー!C299</f>
        <v>0</v>
      </c>
      <c r="G75" s="92" t="str">
        <f>女子エントリー!E299</f>
        <v/>
      </c>
      <c r="H75" s="92" t="str">
        <f>女子エントリー!F299</f>
        <v/>
      </c>
      <c r="I75" s="1" t="str">
        <f t="shared" si="31"/>
        <v/>
      </c>
      <c r="J75" s="1" t="e">
        <f>LEFT(女子エントリー!E301,FIND(",",LEFT(女子エントリー!E301,LEN(女子エントリー!E301)-5))-1)&amp;LEFT(RIGHT(女子エントリー!E301,LEN(女子エントリー!E301)-FIND(",",女子エントリー!E301)),LEN(RIGHT(女子エントリー!E301,LEN(女子エントリー!E301)-FIND(",",女子エントリー!E301)))-5)</f>
        <v>#VALUE!</v>
      </c>
      <c r="K75" s="92" t="str">
        <f>女子エントリー!G301</f>
        <v/>
      </c>
      <c r="L75" s="1" t="str">
        <f t="shared" si="18"/>
        <v/>
      </c>
      <c r="M75" s="92" t="str">
        <f>女子エントリー!G299</f>
        <v/>
      </c>
      <c r="N75" s="92" t="e">
        <f>MID(女子エントリー!E301,FIND("(",女子エントリー!E301)+1,2)</f>
        <v>#VALUE!</v>
      </c>
      <c r="O75" s="1">
        <v>0</v>
      </c>
      <c r="P75" s="92" t="e">
        <f>VLOOKUP(女子エントリー!G300,競技会設定!$F$3:$I$50,2,0)</f>
        <v>#N/A</v>
      </c>
      <c r="R75" s="1" t="str" cm="1">
        <f t="array" ref="R75">_xlfn.IFNA(_xlfn.IFNA(INDEX(競技会設定!$X$25:$AC$47,MATCH(INDEX(女子エントリー!$J$7:$AH$406,MATCH($G75&amp;RIGHT(R$1,1),女子エントリー!$AH$7:$AH$406,0),1),競技会設定!$AC$25:$AC$47,0),1),INDEX(競技会設定!$X$25:$AC$47,MATCH(INDEX(女子エントリー!$R$6:$V$406,MATCH($G75&amp;RIGHT(R$1,1),女子エントリー!$V$6:$V$406,0)-MATCH($G75&amp;RIGHT(R$1,1),女子エントリー!$V$6:$V$406,0)+1,1),競技会設定!$AC$25:$AC$47,0),1)),"")</f>
        <v/>
      </c>
      <c r="S75" s="1" t="str">
        <f>IF(R75=37,リレーエントリー!$I$27,_xlfn.IFNA(INDEX(女子エントリー!$J$7:$AH$406,MATCH($G75&amp;RIGHT(T$1,1),女子エントリー!$AH$7:$AH$406,0),3),""))</f>
        <v/>
      </c>
      <c r="T75" s="1" t="str">
        <f t="shared" si="32"/>
        <v/>
      </c>
      <c r="U75" s="1" t="str">
        <f t="shared" si="33"/>
        <v/>
      </c>
      <c r="V75" s="1" t="str">
        <f t="shared" si="34"/>
        <v/>
      </c>
      <c r="W75" s="1" t="str" cm="1">
        <f t="array" ref="W75">_xlfn.IFNA(_xlfn.IFNA(INDEX(競技会設定!$X$25:$AC$47,MATCH(INDEX(女子エントリー!$J$7:$AH$406,MATCH($G75&amp;RIGHT(W$1,1),女子エントリー!$AH$7:$AH$406,0),1),競技会設定!$AC$25:$AC$47,0),1),INDEX(競技会設定!$X$25:$AC$47,MATCH(INDEX(女子エントリー!$R$6:$V$406,MATCH($G75&amp;RIGHT(W$1,1),女子エントリー!$V$6:$V$406,0)-MATCH($G75&amp;RIGHT(W$1,1),女子エントリー!$V$6:$V$406,0)+1,1),競技会設定!$AC$25:$AC$47,0),1)),"")</f>
        <v/>
      </c>
      <c r="X75" s="1" t="str">
        <f>IF(W75=37,リレーエントリー!$I$27,_xlfn.IFNA(INDEX(女子エントリー!$J$7:$AH$406,MATCH($G75&amp;RIGHT(Y$1,1),女子エントリー!$AH$7:$AH$406,0),3),""))</f>
        <v/>
      </c>
      <c r="Y75" s="1" t="str">
        <f t="shared" si="19"/>
        <v/>
      </c>
      <c r="Z75" s="1" t="str">
        <f t="shared" si="20"/>
        <v/>
      </c>
      <c r="AA75" s="1" t="str">
        <f t="shared" si="21"/>
        <v/>
      </c>
      <c r="AB75" s="1" t="str" cm="1">
        <f t="array" ref="AB75">_xlfn.IFNA(_xlfn.IFNA(INDEX(競技会設定!$X$25:$AC$47,MATCH(INDEX(女子エントリー!$J$7:$AH$406,MATCH($G75&amp;RIGHT(AB$1,1),女子エントリー!$AH$7:$AH$406,0),1),競技会設定!$AC$25:$AC$47,0),1),INDEX(競技会設定!$X$25:$AC$47,MATCH(INDEX(女子エントリー!$R$6:$V$406,MATCH($G75&amp;RIGHT(AB$1,1),女子エントリー!$V$6:$V$406,0)-MATCH($G75&amp;RIGHT(AB$1,1),女子エントリー!$V$6:$V$406,0)+1,1),競技会設定!$AC$25:$AC$47,0),1)),"")</f>
        <v/>
      </c>
      <c r="AC75" s="1" t="str">
        <f>IF(AB75=37,リレーエントリー!$I$27,_xlfn.IFNA(INDEX(女子エントリー!$J$7:$AH$406,MATCH($G75&amp;RIGHT(AD$1,1),女子エントリー!$AH$7:$AH$406,0),3),""))</f>
        <v/>
      </c>
      <c r="AD75" s="1" t="str">
        <f t="shared" si="22"/>
        <v/>
      </c>
      <c r="AE75" s="1" t="str">
        <f t="shared" si="23"/>
        <v/>
      </c>
      <c r="AF75" s="1" t="str">
        <f t="shared" si="24"/>
        <v/>
      </c>
      <c r="AG75" s="1" t="str" cm="1">
        <f t="array" ref="AG75">_xlfn.IFNA(_xlfn.IFNA(INDEX(競技会設定!$X$25:$AC$47,MATCH(INDEX(女子エントリー!$J$7:$AH$406,MATCH($G75&amp;RIGHT(AG$1,1),女子エントリー!$AH$7:$AH$406,0),1),競技会設定!$AC$25:$AC$47,0),1),INDEX(競技会設定!$X$25:$AC$47,MATCH(INDEX(女子エントリー!$R$6:$V$406,MATCH($G75&amp;RIGHT(AG$1,1),女子エントリー!$V$6:$V$406,0)-MATCH($G75&amp;RIGHT(AG$1,1),女子エントリー!$V$6:$V$406,0)+1,1),競技会設定!$AC$25:$AC$47,0),1)),"")</f>
        <v/>
      </c>
      <c r="AH75" s="1" t="str">
        <f>IF(AG75=37,リレーエントリー!$I$27,_xlfn.IFNA(INDEX(女子エントリー!$J$7:$AH$406,MATCH($G75&amp;RIGHT(AI$1,1),女子エントリー!$AH$7:$AH$406,0),3),""))</f>
        <v/>
      </c>
      <c r="AI75" s="1" t="str">
        <f t="shared" si="25"/>
        <v/>
      </c>
      <c r="AJ75" s="1" t="str">
        <f t="shared" si="26"/>
        <v/>
      </c>
      <c r="AK75" s="1" t="str">
        <f t="shared" si="27"/>
        <v/>
      </c>
      <c r="AL75" s="1" t="str" cm="1">
        <f t="array" ref="AL75">_xlfn.IFNA(_xlfn.IFNA(INDEX(競技会設定!$X$25:$AC$47,MATCH(INDEX(女子エントリー!$J$7:$AH$406,MATCH($G75&amp;RIGHT(AL$1,1),女子エントリー!$AH$7:$AH$406,0),1),競技会設定!$AC$25:$AC$47,0),1),INDEX(競技会設定!$X$25:$AC$47,MATCH(INDEX(女子エントリー!$R$6:$V$406,MATCH($G75&amp;RIGHT(AL$1,1),女子エントリー!$V$6:$V$406,0)-MATCH($G75&amp;RIGHT(AL$1,1),女子エントリー!$V$6:$V$406,0)+1,1),競技会設定!$AC$25:$AC$47,0),1)),"")</f>
        <v/>
      </c>
      <c r="AM75" s="1" t="str">
        <f>IF(AL75=37,リレーエントリー!$I$27,_xlfn.IFNA(INDEX(女子エントリー!$J$7:$AH$406,MATCH($G75&amp;RIGHT(AN$1,1),女子エントリー!$AH$7:$AH$406,0),3),""))</f>
        <v/>
      </c>
      <c r="AN75" s="1" t="str">
        <f t="shared" si="28"/>
        <v/>
      </c>
      <c r="AO75" s="1" t="str">
        <f t="shared" si="29"/>
        <v/>
      </c>
      <c r="AP75" s="1" t="str">
        <f t="shared" si="30"/>
        <v/>
      </c>
    </row>
    <row r="76" spans="1:42">
      <c r="A76" s="1">
        <v>75</v>
      </c>
      <c r="B76" s="92" t="str">
        <f>女子エントリー!D303</f>
        <v/>
      </c>
      <c r="C76" s="1" t="str">
        <f>基本情報!$E$6</f>
        <v/>
      </c>
      <c r="D76" s="1" t="str">
        <f>基本情報!$E$7</f>
        <v/>
      </c>
      <c r="F76" s="92">
        <f>女子エントリー!C303</f>
        <v>0</v>
      </c>
      <c r="G76" s="92" t="str">
        <f>女子エントリー!E303</f>
        <v/>
      </c>
      <c r="H76" s="92" t="str">
        <f>女子エントリー!F303</f>
        <v/>
      </c>
      <c r="I76" s="1" t="str">
        <f t="shared" si="31"/>
        <v/>
      </c>
      <c r="J76" s="1" t="e">
        <f>LEFT(女子エントリー!E305,FIND(",",LEFT(女子エントリー!E305,LEN(女子エントリー!E305)-5))-1)&amp;LEFT(RIGHT(女子エントリー!E305,LEN(女子エントリー!E305)-FIND(",",女子エントリー!E305)),LEN(RIGHT(女子エントリー!E305,LEN(女子エントリー!E305)-FIND(",",女子エントリー!E305)))-5)</f>
        <v>#VALUE!</v>
      </c>
      <c r="K76" s="92" t="str">
        <f>女子エントリー!G305</f>
        <v/>
      </c>
      <c r="L76" s="1" t="str">
        <f t="shared" si="18"/>
        <v/>
      </c>
      <c r="M76" s="92" t="str">
        <f>女子エントリー!G303</f>
        <v/>
      </c>
      <c r="N76" s="92" t="e">
        <f>MID(女子エントリー!E305,FIND("(",女子エントリー!E305)+1,2)</f>
        <v>#VALUE!</v>
      </c>
      <c r="O76" s="1">
        <v>0</v>
      </c>
      <c r="P76" s="92" t="e">
        <f>VLOOKUP(女子エントリー!G304,競技会設定!$F$3:$I$50,2,0)</f>
        <v>#N/A</v>
      </c>
      <c r="R76" s="1" t="str" cm="1">
        <f t="array" ref="R76">_xlfn.IFNA(_xlfn.IFNA(INDEX(競技会設定!$X$25:$AC$47,MATCH(INDEX(女子エントリー!$J$7:$AH$406,MATCH($G76&amp;RIGHT(R$1,1),女子エントリー!$AH$7:$AH$406,0),1),競技会設定!$AC$25:$AC$47,0),1),INDEX(競技会設定!$X$25:$AC$47,MATCH(INDEX(女子エントリー!$R$6:$V$406,MATCH($G76&amp;RIGHT(R$1,1),女子エントリー!$V$6:$V$406,0)-MATCH($G76&amp;RIGHT(R$1,1),女子エントリー!$V$6:$V$406,0)+1,1),競技会設定!$AC$25:$AC$47,0),1)),"")</f>
        <v/>
      </c>
      <c r="S76" s="1" t="str">
        <f>IF(R76=37,リレーエントリー!$I$27,_xlfn.IFNA(INDEX(女子エントリー!$J$7:$AH$406,MATCH($G76&amp;RIGHT(T$1,1),女子エントリー!$AH$7:$AH$406,0),3),""))</f>
        <v/>
      </c>
      <c r="T76" s="1" t="str">
        <f t="shared" si="32"/>
        <v/>
      </c>
      <c r="U76" s="1" t="str">
        <f t="shared" si="33"/>
        <v/>
      </c>
      <c r="V76" s="1" t="str">
        <f t="shared" si="34"/>
        <v/>
      </c>
      <c r="W76" s="1" t="str" cm="1">
        <f t="array" ref="W76">_xlfn.IFNA(_xlfn.IFNA(INDEX(競技会設定!$X$25:$AC$47,MATCH(INDEX(女子エントリー!$J$7:$AH$406,MATCH($G76&amp;RIGHT(W$1,1),女子エントリー!$AH$7:$AH$406,0),1),競技会設定!$AC$25:$AC$47,0),1),INDEX(競技会設定!$X$25:$AC$47,MATCH(INDEX(女子エントリー!$R$6:$V$406,MATCH($G76&amp;RIGHT(W$1,1),女子エントリー!$V$6:$V$406,0)-MATCH($G76&amp;RIGHT(W$1,1),女子エントリー!$V$6:$V$406,0)+1,1),競技会設定!$AC$25:$AC$47,0),1)),"")</f>
        <v/>
      </c>
      <c r="X76" s="1" t="str">
        <f>IF(W76=37,リレーエントリー!$I$27,_xlfn.IFNA(INDEX(女子エントリー!$J$7:$AH$406,MATCH($G76&amp;RIGHT(Y$1,1),女子エントリー!$AH$7:$AH$406,0),3),""))</f>
        <v/>
      </c>
      <c r="Y76" s="1" t="str">
        <f t="shared" si="19"/>
        <v/>
      </c>
      <c r="Z76" s="1" t="str">
        <f t="shared" si="20"/>
        <v/>
      </c>
      <c r="AA76" s="1" t="str">
        <f t="shared" si="21"/>
        <v/>
      </c>
      <c r="AB76" s="1" t="str" cm="1">
        <f t="array" ref="AB76">_xlfn.IFNA(_xlfn.IFNA(INDEX(競技会設定!$X$25:$AC$47,MATCH(INDEX(女子エントリー!$J$7:$AH$406,MATCH($G76&amp;RIGHT(AB$1,1),女子エントリー!$AH$7:$AH$406,0),1),競技会設定!$AC$25:$AC$47,0),1),INDEX(競技会設定!$X$25:$AC$47,MATCH(INDEX(女子エントリー!$R$6:$V$406,MATCH($G76&amp;RIGHT(AB$1,1),女子エントリー!$V$6:$V$406,0)-MATCH($G76&amp;RIGHT(AB$1,1),女子エントリー!$V$6:$V$406,0)+1,1),競技会設定!$AC$25:$AC$47,0),1)),"")</f>
        <v/>
      </c>
      <c r="AC76" s="1" t="str">
        <f>IF(AB76=37,リレーエントリー!$I$27,_xlfn.IFNA(INDEX(女子エントリー!$J$7:$AH$406,MATCH($G76&amp;RIGHT(AD$1,1),女子エントリー!$AH$7:$AH$406,0),3),""))</f>
        <v/>
      </c>
      <c r="AD76" s="1" t="str">
        <f t="shared" si="22"/>
        <v/>
      </c>
      <c r="AE76" s="1" t="str">
        <f t="shared" si="23"/>
        <v/>
      </c>
      <c r="AF76" s="1" t="str">
        <f t="shared" si="24"/>
        <v/>
      </c>
      <c r="AG76" s="1" t="str" cm="1">
        <f t="array" ref="AG76">_xlfn.IFNA(_xlfn.IFNA(INDEX(競技会設定!$X$25:$AC$47,MATCH(INDEX(女子エントリー!$J$7:$AH$406,MATCH($G76&amp;RIGHT(AG$1,1),女子エントリー!$AH$7:$AH$406,0),1),競技会設定!$AC$25:$AC$47,0),1),INDEX(競技会設定!$X$25:$AC$47,MATCH(INDEX(女子エントリー!$R$6:$V$406,MATCH($G76&amp;RIGHT(AG$1,1),女子エントリー!$V$6:$V$406,0)-MATCH($G76&amp;RIGHT(AG$1,1),女子エントリー!$V$6:$V$406,0)+1,1),競技会設定!$AC$25:$AC$47,0),1)),"")</f>
        <v/>
      </c>
      <c r="AH76" s="1" t="str">
        <f>IF(AG76=37,リレーエントリー!$I$27,_xlfn.IFNA(INDEX(女子エントリー!$J$7:$AH$406,MATCH($G76&amp;RIGHT(AI$1,1),女子エントリー!$AH$7:$AH$406,0),3),""))</f>
        <v/>
      </c>
      <c r="AI76" s="1" t="str">
        <f t="shared" si="25"/>
        <v/>
      </c>
      <c r="AJ76" s="1" t="str">
        <f t="shared" si="26"/>
        <v/>
      </c>
      <c r="AK76" s="1" t="str">
        <f t="shared" si="27"/>
        <v/>
      </c>
      <c r="AL76" s="1" t="str" cm="1">
        <f t="array" ref="AL76">_xlfn.IFNA(_xlfn.IFNA(INDEX(競技会設定!$X$25:$AC$47,MATCH(INDEX(女子エントリー!$J$7:$AH$406,MATCH($G76&amp;RIGHT(AL$1,1),女子エントリー!$AH$7:$AH$406,0),1),競技会設定!$AC$25:$AC$47,0),1),INDEX(競技会設定!$X$25:$AC$47,MATCH(INDEX(女子エントリー!$R$6:$V$406,MATCH($G76&amp;RIGHT(AL$1,1),女子エントリー!$V$6:$V$406,0)-MATCH($G76&amp;RIGHT(AL$1,1),女子エントリー!$V$6:$V$406,0)+1,1),競技会設定!$AC$25:$AC$47,0),1)),"")</f>
        <v/>
      </c>
      <c r="AM76" s="1" t="str">
        <f>IF(AL76=37,リレーエントリー!$I$27,_xlfn.IFNA(INDEX(女子エントリー!$J$7:$AH$406,MATCH($G76&amp;RIGHT(AN$1,1),女子エントリー!$AH$7:$AH$406,0),3),""))</f>
        <v/>
      </c>
      <c r="AN76" s="1" t="str">
        <f t="shared" si="28"/>
        <v/>
      </c>
      <c r="AO76" s="1" t="str">
        <f t="shared" si="29"/>
        <v/>
      </c>
      <c r="AP76" s="1" t="str">
        <f t="shared" si="30"/>
        <v/>
      </c>
    </row>
    <row r="77" spans="1:42">
      <c r="A77" s="1">
        <v>76</v>
      </c>
      <c r="B77" s="92" t="str">
        <f>女子エントリー!D307</f>
        <v/>
      </c>
      <c r="C77" s="1" t="str">
        <f>基本情報!$E$6</f>
        <v/>
      </c>
      <c r="D77" s="1" t="str">
        <f>基本情報!$E$7</f>
        <v/>
      </c>
      <c r="F77" s="92">
        <f>女子エントリー!C307</f>
        <v>0</v>
      </c>
      <c r="G77" s="92" t="str">
        <f>女子エントリー!E307</f>
        <v/>
      </c>
      <c r="H77" s="92" t="str">
        <f>女子エントリー!F307</f>
        <v/>
      </c>
      <c r="I77" s="1" t="str">
        <f t="shared" si="31"/>
        <v/>
      </c>
      <c r="J77" s="1" t="e">
        <f>LEFT(女子エントリー!E309,FIND(",",LEFT(女子エントリー!E309,LEN(女子エントリー!E309)-5))-1)&amp;LEFT(RIGHT(女子エントリー!E309,LEN(女子エントリー!E309)-FIND(",",女子エントリー!E309)),LEN(RIGHT(女子エントリー!E309,LEN(女子エントリー!E309)-FIND(",",女子エントリー!E309)))-5)</f>
        <v>#VALUE!</v>
      </c>
      <c r="K77" s="92" t="str">
        <f>女子エントリー!G309</f>
        <v/>
      </c>
      <c r="L77" s="1" t="str">
        <f t="shared" si="18"/>
        <v/>
      </c>
      <c r="M77" s="92" t="str">
        <f>女子エントリー!G307</f>
        <v/>
      </c>
      <c r="N77" s="92" t="e">
        <f>MID(女子エントリー!E309,FIND("(",女子エントリー!E309)+1,2)</f>
        <v>#VALUE!</v>
      </c>
      <c r="O77" s="1">
        <v>0</v>
      </c>
      <c r="P77" s="92" t="e">
        <f>VLOOKUP(女子エントリー!G308,競技会設定!$F$3:$I$50,2,0)</f>
        <v>#N/A</v>
      </c>
      <c r="R77" s="1" t="str" cm="1">
        <f t="array" ref="R77">_xlfn.IFNA(_xlfn.IFNA(INDEX(競技会設定!$X$25:$AC$47,MATCH(INDEX(女子エントリー!$J$7:$AH$406,MATCH($G77&amp;RIGHT(R$1,1),女子エントリー!$AH$7:$AH$406,0),1),競技会設定!$AC$25:$AC$47,0),1),INDEX(競技会設定!$X$25:$AC$47,MATCH(INDEX(女子エントリー!$R$6:$V$406,MATCH($G77&amp;RIGHT(R$1,1),女子エントリー!$V$6:$V$406,0)-MATCH($G77&amp;RIGHT(R$1,1),女子エントリー!$V$6:$V$406,0)+1,1),競技会設定!$AC$25:$AC$47,0),1)),"")</f>
        <v/>
      </c>
      <c r="S77" s="1" t="str">
        <f>IF(R77=37,リレーエントリー!$I$27,_xlfn.IFNA(INDEX(女子エントリー!$J$7:$AH$406,MATCH($G77&amp;RIGHT(T$1,1),女子エントリー!$AH$7:$AH$406,0),3),""))</f>
        <v/>
      </c>
      <c r="T77" s="1" t="str">
        <f t="shared" si="32"/>
        <v/>
      </c>
      <c r="U77" s="1" t="str">
        <f t="shared" si="33"/>
        <v/>
      </c>
      <c r="V77" s="1" t="str">
        <f t="shared" si="34"/>
        <v/>
      </c>
      <c r="W77" s="1" t="str" cm="1">
        <f t="array" ref="W77">_xlfn.IFNA(_xlfn.IFNA(INDEX(競技会設定!$X$25:$AC$47,MATCH(INDEX(女子エントリー!$J$7:$AH$406,MATCH($G77&amp;RIGHT(W$1,1),女子エントリー!$AH$7:$AH$406,0),1),競技会設定!$AC$25:$AC$47,0),1),INDEX(競技会設定!$X$25:$AC$47,MATCH(INDEX(女子エントリー!$R$6:$V$406,MATCH($G77&amp;RIGHT(W$1,1),女子エントリー!$V$6:$V$406,0)-MATCH($G77&amp;RIGHT(W$1,1),女子エントリー!$V$6:$V$406,0)+1,1),競技会設定!$AC$25:$AC$47,0),1)),"")</f>
        <v/>
      </c>
      <c r="X77" s="1" t="str">
        <f>IF(W77=37,リレーエントリー!$I$27,_xlfn.IFNA(INDEX(女子エントリー!$J$7:$AH$406,MATCH($G77&amp;RIGHT(Y$1,1),女子エントリー!$AH$7:$AH$406,0),3),""))</f>
        <v/>
      </c>
      <c r="Y77" s="1" t="str">
        <f t="shared" si="19"/>
        <v/>
      </c>
      <c r="Z77" s="1" t="str">
        <f t="shared" si="20"/>
        <v/>
      </c>
      <c r="AA77" s="1" t="str">
        <f t="shared" si="21"/>
        <v/>
      </c>
      <c r="AB77" s="1" t="str" cm="1">
        <f t="array" ref="AB77">_xlfn.IFNA(_xlfn.IFNA(INDEX(競技会設定!$X$25:$AC$47,MATCH(INDEX(女子エントリー!$J$7:$AH$406,MATCH($G77&amp;RIGHT(AB$1,1),女子エントリー!$AH$7:$AH$406,0),1),競技会設定!$AC$25:$AC$47,0),1),INDEX(競技会設定!$X$25:$AC$47,MATCH(INDEX(女子エントリー!$R$6:$V$406,MATCH($G77&amp;RIGHT(AB$1,1),女子エントリー!$V$6:$V$406,0)-MATCH($G77&amp;RIGHT(AB$1,1),女子エントリー!$V$6:$V$406,0)+1,1),競技会設定!$AC$25:$AC$47,0),1)),"")</f>
        <v/>
      </c>
      <c r="AC77" s="1" t="str">
        <f>IF(AB77=37,リレーエントリー!$I$27,_xlfn.IFNA(INDEX(女子エントリー!$J$7:$AH$406,MATCH($G77&amp;RIGHT(AD$1,1),女子エントリー!$AH$7:$AH$406,0),3),""))</f>
        <v/>
      </c>
      <c r="AD77" s="1" t="str">
        <f t="shared" si="22"/>
        <v/>
      </c>
      <c r="AE77" s="1" t="str">
        <f t="shared" si="23"/>
        <v/>
      </c>
      <c r="AF77" s="1" t="str">
        <f t="shared" si="24"/>
        <v/>
      </c>
      <c r="AG77" s="1" t="str" cm="1">
        <f t="array" ref="AG77">_xlfn.IFNA(_xlfn.IFNA(INDEX(競技会設定!$X$25:$AC$47,MATCH(INDEX(女子エントリー!$J$7:$AH$406,MATCH($G77&amp;RIGHT(AG$1,1),女子エントリー!$AH$7:$AH$406,0),1),競技会設定!$AC$25:$AC$47,0),1),INDEX(競技会設定!$X$25:$AC$47,MATCH(INDEX(女子エントリー!$R$6:$V$406,MATCH($G77&amp;RIGHT(AG$1,1),女子エントリー!$V$6:$V$406,0)-MATCH($G77&amp;RIGHT(AG$1,1),女子エントリー!$V$6:$V$406,0)+1,1),競技会設定!$AC$25:$AC$47,0),1)),"")</f>
        <v/>
      </c>
      <c r="AH77" s="1" t="str">
        <f>IF(AG77=37,リレーエントリー!$I$27,_xlfn.IFNA(INDEX(女子エントリー!$J$7:$AH$406,MATCH($G77&amp;RIGHT(AI$1,1),女子エントリー!$AH$7:$AH$406,0),3),""))</f>
        <v/>
      </c>
      <c r="AI77" s="1" t="str">
        <f t="shared" si="25"/>
        <v/>
      </c>
      <c r="AJ77" s="1" t="str">
        <f t="shared" si="26"/>
        <v/>
      </c>
      <c r="AK77" s="1" t="str">
        <f t="shared" si="27"/>
        <v/>
      </c>
      <c r="AL77" s="1" t="str" cm="1">
        <f t="array" ref="AL77">_xlfn.IFNA(_xlfn.IFNA(INDEX(競技会設定!$X$25:$AC$47,MATCH(INDEX(女子エントリー!$J$7:$AH$406,MATCH($G77&amp;RIGHT(AL$1,1),女子エントリー!$AH$7:$AH$406,0),1),競技会設定!$AC$25:$AC$47,0),1),INDEX(競技会設定!$X$25:$AC$47,MATCH(INDEX(女子エントリー!$R$6:$V$406,MATCH($G77&amp;RIGHT(AL$1,1),女子エントリー!$V$6:$V$406,0)-MATCH($G77&amp;RIGHT(AL$1,1),女子エントリー!$V$6:$V$406,0)+1,1),競技会設定!$AC$25:$AC$47,0),1)),"")</f>
        <v/>
      </c>
      <c r="AM77" s="1" t="str">
        <f>IF(AL77=37,リレーエントリー!$I$27,_xlfn.IFNA(INDEX(女子エントリー!$J$7:$AH$406,MATCH($G77&amp;RIGHT(AN$1,1),女子エントリー!$AH$7:$AH$406,0),3),""))</f>
        <v/>
      </c>
      <c r="AN77" s="1" t="str">
        <f t="shared" si="28"/>
        <v/>
      </c>
      <c r="AO77" s="1" t="str">
        <f t="shared" si="29"/>
        <v/>
      </c>
      <c r="AP77" s="1" t="str">
        <f t="shared" si="30"/>
        <v/>
      </c>
    </row>
    <row r="78" spans="1:42">
      <c r="A78" s="1">
        <v>77</v>
      </c>
      <c r="B78" s="92" t="str">
        <f>女子エントリー!D311</f>
        <v/>
      </c>
      <c r="C78" s="1" t="str">
        <f>基本情報!$E$6</f>
        <v/>
      </c>
      <c r="D78" s="1" t="str">
        <f>基本情報!$E$7</f>
        <v/>
      </c>
      <c r="F78" s="92">
        <f>女子エントリー!C311</f>
        <v>0</v>
      </c>
      <c r="G78" s="92" t="str">
        <f>女子エントリー!E311</f>
        <v/>
      </c>
      <c r="H78" s="92" t="str">
        <f>女子エントリー!F311</f>
        <v/>
      </c>
      <c r="I78" s="1" t="str">
        <f t="shared" si="31"/>
        <v/>
      </c>
      <c r="J78" s="1" t="e">
        <f>LEFT(女子エントリー!E313,FIND(",",LEFT(女子エントリー!E313,LEN(女子エントリー!E313)-5))-1)&amp;LEFT(RIGHT(女子エントリー!E313,LEN(女子エントリー!E313)-FIND(",",女子エントリー!E313)),LEN(RIGHT(女子エントリー!E313,LEN(女子エントリー!E313)-FIND(",",女子エントリー!E313)))-5)</f>
        <v>#VALUE!</v>
      </c>
      <c r="K78" s="92" t="str">
        <f>女子エントリー!G313</f>
        <v/>
      </c>
      <c r="L78" s="1" t="str">
        <f t="shared" si="18"/>
        <v/>
      </c>
      <c r="M78" s="92" t="str">
        <f>女子エントリー!G311</f>
        <v/>
      </c>
      <c r="N78" s="92" t="e">
        <f>MID(女子エントリー!E313,FIND("(",女子エントリー!E313)+1,2)</f>
        <v>#VALUE!</v>
      </c>
      <c r="O78" s="1">
        <v>0</v>
      </c>
      <c r="P78" s="92" t="e">
        <f>VLOOKUP(女子エントリー!G312,競技会設定!$F$3:$I$50,2,0)</f>
        <v>#N/A</v>
      </c>
      <c r="R78" s="1" t="str" cm="1">
        <f t="array" ref="R78">_xlfn.IFNA(_xlfn.IFNA(INDEX(競技会設定!$X$25:$AC$47,MATCH(INDEX(女子エントリー!$J$7:$AH$406,MATCH($G78&amp;RIGHT(R$1,1),女子エントリー!$AH$7:$AH$406,0),1),競技会設定!$AC$25:$AC$47,0),1),INDEX(競技会設定!$X$25:$AC$47,MATCH(INDEX(女子エントリー!$R$6:$V$406,MATCH($G78&amp;RIGHT(R$1,1),女子エントリー!$V$6:$V$406,0)-MATCH($G78&amp;RIGHT(R$1,1),女子エントリー!$V$6:$V$406,0)+1,1),競技会設定!$AC$25:$AC$47,0),1)),"")</f>
        <v/>
      </c>
      <c r="S78" s="1" t="str">
        <f>IF(R78=37,リレーエントリー!$I$27,_xlfn.IFNA(INDEX(女子エントリー!$J$7:$AH$406,MATCH($G78&amp;RIGHT(T$1,1),女子エントリー!$AH$7:$AH$406,0),3),""))</f>
        <v/>
      </c>
      <c r="T78" s="1" t="str">
        <f t="shared" si="32"/>
        <v/>
      </c>
      <c r="U78" s="1" t="str">
        <f t="shared" si="33"/>
        <v/>
      </c>
      <c r="V78" s="1" t="str">
        <f t="shared" si="34"/>
        <v/>
      </c>
      <c r="W78" s="1" t="str" cm="1">
        <f t="array" ref="W78">_xlfn.IFNA(_xlfn.IFNA(INDEX(競技会設定!$X$25:$AC$47,MATCH(INDEX(女子エントリー!$J$7:$AH$406,MATCH($G78&amp;RIGHT(W$1,1),女子エントリー!$AH$7:$AH$406,0),1),競技会設定!$AC$25:$AC$47,0),1),INDEX(競技会設定!$X$25:$AC$47,MATCH(INDEX(女子エントリー!$R$6:$V$406,MATCH($G78&amp;RIGHT(W$1,1),女子エントリー!$V$6:$V$406,0)-MATCH($G78&amp;RIGHT(W$1,1),女子エントリー!$V$6:$V$406,0)+1,1),競技会設定!$AC$25:$AC$47,0),1)),"")</f>
        <v/>
      </c>
      <c r="X78" s="1" t="str">
        <f>IF(W78=37,リレーエントリー!$I$27,_xlfn.IFNA(INDEX(女子エントリー!$J$7:$AH$406,MATCH($G78&amp;RIGHT(Y$1,1),女子エントリー!$AH$7:$AH$406,0),3),""))</f>
        <v/>
      </c>
      <c r="Y78" s="1" t="str">
        <f t="shared" si="19"/>
        <v/>
      </c>
      <c r="Z78" s="1" t="str">
        <f t="shared" si="20"/>
        <v/>
      </c>
      <c r="AA78" s="1" t="str">
        <f t="shared" si="21"/>
        <v/>
      </c>
      <c r="AB78" s="1" t="str" cm="1">
        <f t="array" ref="AB78">_xlfn.IFNA(_xlfn.IFNA(INDEX(競技会設定!$X$25:$AC$47,MATCH(INDEX(女子エントリー!$J$7:$AH$406,MATCH($G78&amp;RIGHT(AB$1,1),女子エントリー!$AH$7:$AH$406,0),1),競技会設定!$AC$25:$AC$47,0),1),INDEX(競技会設定!$X$25:$AC$47,MATCH(INDEX(女子エントリー!$R$6:$V$406,MATCH($G78&amp;RIGHT(AB$1,1),女子エントリー!$V$6:$V$406,0)-MATCH($G78&amp;RIGHT(AB$1,1),女子エントリー!$V$6:$V$406,0)+1,1),競技会設定!$AC$25:$AC$47,0),1)),"")</f>
        <v/>
      </c>
      <c r="AC78" s="1" t="str">
        <f>IF(AB78=37,リレーエントリー!$I$27,_xlfn.IFNA(INDEX(女子エントリー!$J$7:$AH$406,MATCH($G78&amp;RIGHT(AD$1,1),女子エントリー!$AH$7:$AH$406,0),3),""))</f>
        <v/>
      </c>
      <c r="AD78" s="1" t="str">
        <f t="shared" si="22"/>
        <v/>
      </c>
      <c r="AE78" s="1" t="str">
        <f t="shared" si="23"/>
        <v/>
      </c>
      <c r="AF78" s="1" t="str">
        <f t="shared" si="24"/>
        <v/>
      </c>
      <c r="AG78" s="1" t="str" cm="1">
        <f t="array" ref="AG78">_xlfn.IFNA(_xlfn.IFNA(INDEX(競技会設定!$X$25:$AC$47,MATCH(INDEX(女子エントリー!$J$7:$AH$406,MATCH($G78&amp;RIGHT(AG$1,1),女子エントリー!$AH$7:$AH$406,0),1),競技会設定!$AC$25:$AC$47,0),1),INDEX(競技会設定!$X$25:$AC$47,MATCH(INDEX(女子エントリー!$R$6:$V$406,MATCH($G78&amp;RIGHT(AG$1,1),女子エントリー!$V$6:$V$406,0)-MATCH($G78&amp;RIGHT(AG$1,1),女子エントリー!$V$6:$V$406,0)+1,1),競技会設定!$AC$25:$AC$47,0),1)),"")</f>
        <v/>
      </c>
      <c r="AH78" s="1" t="str">
        <f>IF(AG78=37,リレーエントリー!$I$27,_xlfn.IFNA(INDEX(女子エントリー!$J$7:$AH$406,MATCH($G78&amp;RIGHT(AI$1,1),女子エントリー!$AH$7:$AH$406,0),3),""))</f>
        <v/>
      </c>
      <c r="AI78" s="1" t="str">
        <f t="shared" si="25"/>
        <v/>
      </c>
      <c r="AJ78" s="1" t="str">
        <f t="shared" si="26"/>
        <v/>
      </c>
      <c r="AK78" s="1" t="str">
        <f t="shared" si="27"/>
        <v/>
      </c>
      <c r="AL78" s="1" t="str" cm="1">
        <f t="array" ref="AL78">_xlfn.IFNA(_xlfn.IFNA(INDEX(競技会設定!$X$25:$AC$47,MATCH(INDEX(女子エントリー!$J$7:$AH$406,MATCH($G78&amp;RIGHT(AL$1,1),女子エントリー!$AH$7:$AH$406,0),1),競技会設定!$AC$25:$AC$47,0),1),INDEX(競技会設定!$X$25:$AC$47,MATCH(INDEX(女子エントリー!$R$6:$V$406,MATCH($G78&amp;RIGHT(AL$1,1),女子エントリー!$V$6:$V$406,0)-MATCH($G78&amp;RIGHT(AL$1,1),女子エントリー!$V$6:$V$406,0)+1,1),競技会設定!$AC$25:$AC$47,0),1)),"")</f>
        <v/>
      </c>
      <c r="AM78" s="1" t="str">
        <f>IF(AL78=37,リレーエントリー!$I$27,_xlfn.IFNA(INDEX(女子エントリー!$J$7:$AH$406,MATCH($G78&amp;RIGHT(AN$1,1),女子エントリー!$AH$7:$AH$406,0),3),""))</f>
        <v/>
      </c>
      <c r="AN78" s="1" t="str">
        <f t="shared" si="28"/>
        <v/>
      </c>
      <c r="AO78" s="1" t="str">
        <f t="shared" si="29"/>
        <v/>
      </c>
      <c r="AP78" s="1" t="str">
        <f t="shared" si="30"/>
        <v/>
      </c>
    </row>
    <row r="79" spans="1:42">
      <c r="A79" s="1">
        <v>78</v>
      </c>
      <c r="B79" s="92" t="str">
        <f>女子エントリー!D315</f>
        <v/>
      </c>
      <c r="C79" s="1" t="str">
        <f>基本情報!$E$6</f>
        <v/>
      </c>
      <c r="D79" s="1" t="str">
        <f>基本情報!$E$7</f>
        <v/>
      </c>
      <c r="F79" s="92">
        <f>女子エントリー!C315</f>
        <v>0</v>
      </c>
      <c r="G79" s="92" t="str">
        <f>女子エントリー!E315</f>
        <v/>
      </c>
      <c r="H79" s="92" t="str">
        <f>女子エントリー!F315</f>
        <v/>
      </c>
      <c r="I79" s="1" t="str">
        <f t="shared" si="31"/>
        <v/>
      </c>
      <c r="J79" s="1" t="e">
        <f>LEFT(女子エントリー!E317,FIND(",",LEFT(女子エントリー!E317,LEN(女子エントリー!E317)-5))-1)&amp;LEFT(RIGHT(女子エントリー!E317,LEN(女子エントリー!E317)-FIND(",",女子エントリー!E317)),LEN(RIGHT(女子エントリー!E317,LEN(女子エントリー!E317)-FIND(",",女子エントリー!E317)))-5)</f>
        <v>#VALUE!</v>
      </c>
      <c r="K79" s="92" t="str">
        <f>女子エントリー!G317</f>
        <v/>
      </c>
      <c r="L79" s="1" t="str">
        <f t="shared" si="18"/>
        <v/>
      </c>
      <c r="M79" s="92" t="str">
        <f>女子エントリー!G315</f>
        <v/>
      </c>
      <c r="N79" s="92" t="e">
        <f>MID(女子エントリー!E317,FIND("(",女子エントリー!E317)+1,2)</f>
        <v>#VALUE!</v>
      </c>
      <c r="O79" s="1">
        <v>0</v>
      </c>
      <c r="P79" s="92" t="e">
        <f>VLOOKUP(女子エントリー!G316,競技会設定!$F$3:$I$50,2,0)</f>
        <v>#N/A</v>
      </c>
      <c r="R79" s="1" t="str" cm="1">
        <f t="array" ref="R79">_xlfn.IFNA(_xlfn.IFNA(INDEX(競技会設定!$X$25:$AC$47,MATCH(INDEX(女子エントリー!$J$7:$AH$406,MATCH($G79&amp;RIGHT(R$1,1),女子エントリー!$AH$7:$AH$406,0),1),競技会設定!$AC$25:$AC$47,0),1),INDEX(競技会設定!$X$25:$AC$47,MATCH(INDEX(女子エントリー!$R$6:$V$406,MATCH($G79&amp;RIGHT(R$1,1),女子エントリー!$V$6:$V$406,0)-MATCH($G79&amp;RIGHT(R$1,1),女子エントリー!$V$6:$V$406,0)+1,1),競技会設定!$AC$25:$AC$47,0),1)),"")</f>
        <v/>
      </c>
      <c r="S79" s="1" t="str">
        <f>IF(R79=37,リレーエントリー!$I$27,_xlfn.IFNA(INDEX(女子エントリー!$J$7:$AH$406,MATCH($G79&amp;RIGHT(T$1,1),女子エントリー!$AH$7:$AH$406,0),3),""))</f>
        <v/>
      </c>
      <c r="T79" s="1" t="str">
        <f t="shared" si="32"/>
        <v/>
      </c>
      <c r="U79" s="1" t="str">
        <f t="shared" si="33"/>
        <v/>
      </c>
      <c r="V79" s="1" t="str">
        <f t="shared" si="34"/>
        <v/>
      </c>
      <c r="W79" s="1" t="str" cm="1">
        <f t="array" ref="W79">_xlfn.IFNA(_xlfn.IFNA(INDEX(競技会設定!$X$25:$AC$47,MATCH(INDEX(女子エントリー!$J$7:$AH$406,MATCH($G79&amp;RIGHT(W$1,1),女子エントリー!$AH$7:$AH$406,0),1),競技会設定!$AC$25:$AC$47,0),1),INDEX(競技会設定!$X$25:$AC$47,MATCH(INDEX(女子エントリー!$R$6:$V$406,MATCH($G79&amp;RIGHT(W$1,1),女子エントリー!$V$6:$V$406,0)-MATCH($G79&amp;RIGHT(W$1,1),女子エントリー!$V$6:$V$406,0)+1,1),競技会設定!$AC$25:$AC$47,0),1)),"")</f>
        <v/>
      </c>
      <c r="X79" s="1" t="str">
        <f>IF(W79=37,リレーエントリー!$I$27,_xlfn.IFNA(INDEX(女子エントリー!$J$7:$AH$406,MATCH($G79&amp;RIGHT(Y$1,1),女子エントリー!$AH$7:$AH$406,0),3),""))</f>
        <v/>
      </c>
      <c r="Y79" s="1" t="str">
        <f t="shared" si="19"/>
        <v/>
      </c>
      <c r="Z79" s="1" t="str">
        <f t="shared" si="20"/>
        <v/>
      </c>
      <c r="AA79" s="1" t="str">
        <f t="shared" si="21"/>
        <v/>
      </c>
      <c r="AB79" s="1" t="str" cm="1">
        <f t="array" ref="AB79">_xlfn.IFNA(_xlfn.IFNA(INDEX(競技会設定!$X$25:$AC$47,MATCH(INDEX(女子エントリー!$J$7:$AH$406,MATCH($G79&amp;RIGHT(AB$1,1),女子エントリー!$AH$7:$AH$406,0),1),競技会設定!$AC$25:$AC$47,0),1),INDEX(競技会設定!$X$25:$AC$47,MATCH(INDEX(女子エントリー!$R$6:$V$406,MATCH($G79&amp;RIGHT(AB$1,1),女子エントリー!$V$6:$V$406,0)-MATCH($G79&amp;RIGHT(AB$1,1),女子エントリー!$V$6:$V$406,0)+1,1),競技会設定!$AC$25:$AC$47,0),1)),"")</f>
        <v/>
      </c>
      <c r="AC79" s="1" t="str">
        <f>IF(AB79=37,リレーエントリー!$I$27,_xlfn.IFNA(INDEX(女子エントリー!$J$7:$AH$406,MATCH($G79&amp;RIGHT(AD$1,1),女子エントリー!$AH$7:$AH$406,0),3),""))</f>
        <v/>
      </c>
      <c r="AD79" s="1" t="str">
        <f t="shared" si="22"/>
        <v/>
      </c>
      <c r="AE79" s="1" t="str">
        <f t="shared" si="23"/>
        <v/>
      </c>
      <c r="AF79" s="1" t="str">
        <f t="shared" si="24"/>
        <v/>
      </c>
      <c r="AG79" s="1" t="str" cm="1">
        <f t="array" ref="AG79">_xlfn.IFNA(_xlfn.IFNA(INDEX(競技会設定!$X$25:$AC$47,MATCH(INDEX(女子エントリー!$J$7:$AH$406,MATCH($G79&amp;RIGHT(AG$1,1),女子エントリー!$AH$7:$AH$406,0),1),競技会設定!$AC$25:$AC$47,0),1),INDEX(競技会設定!$X$25:$AC$47,MATCH(INDEX(女子エントリー!$R$6:$V$406,MATCH($G79&amp;RIGHT(AG$1,1),女子エントリー!$V$6:$V$406,0)-MATCH($G79&amp;RIGHT(AG$1,1),女子エントリー!$V$6:$V$406,0)+1,1),競技会設定!$AC$25:$AC$47,0),1)),"")</f>
        <v/>
      </c>
      <c r="AH79" s="1" t="str">
        <f>IF(AG79=37,リレーエントリー!$I$27,_xlfn.IFNA(INDEX(女子エントリー!$J$7:$AH$406,MATCH($G79&amp;RIGHT(AI$1,1),女子エントリー!$AH$7:$AH$406,0),3),""))</f>
        <v/>
      </c>
      <c r="AI79" s="1" t="str">
        <f t="shared" si="25"/>
        <v/>
      </c>
      <c r="AJ79" s="1" t="str">
        <f t="shared" si="26"/>
        <v/>
      </c>
      <c r="AK79" s="1" t="str">
        <f t="shared" si="27"/>
        <v/>
      </c>
      <c r="AL79" s="1" t="str" cm="1">
        <f t="array" ref="AL79">_xlfn.IFNA(_xlfn.IFNA(INDEX(競技会設定!$X$25:$AC$47,MATCH(INDEX(女子エントリー!$J$7:$AH$406,MATCH($G79&amp;RIGHT(AL$1,1),女子エントリー!$AH$7:$AH$406,0),1),競技会設定!$AC$25:$AC$47,0),1),INDEX(競技会設定!$X$25:$AC$47,MATCH(INDEX(女子エントリー!$R$6:$V$406,MATCH($G79&amp;RIGHT(AL$1,1),女子エントリー!$V$6:$V$406,0)-MATCH($G79&amp;RIGHT(AL$1,1),女子エントリー!$V$6:$V$406,0)+1,1),競技会設定!$AC$25:$AC$47,0),1)),"")</f>
        <v/>
      </c>
      <c r="AM79" s="1" t="str">
        <f>IF(AL79=37,リレーエントリー!$I$27,_xlfn.IFNA(INDEX(女子エントリー!$J$7:$AH$406,MATCH($G79&amp;RIGHT(AN$1,1),女子エントリー!$AH$7:$AH$406,0),3),""))</f>
        <v/>
      </c>
      <c r="AN79" s="1" t="str">
        <f t="shared" si="28"/>
        <v/>
      </c>
      <c r="AO79" s="1" t="str">
        <f t="shared" si="29"/>
        <v/>
      </c>
      <c r="AP79" s="1" t="str">
        <f t="shared" si="30"/>
        <v/>
      </c>
    </row>
    <row r="80" spans="1:42">
      <c r="A80" s="1">
        <v>79</v>
      </c>
      <c r="B80" s="92" t="str">
        <f>女子エントリー!D319</f>
        <v/>
      </c>
      <c r="C80" s="1" t="str">
        <f>基本情報!$E$6</f>
        <v/>
      </c>
      <c r="D80" s="1" t="str">
        <f>基本情報!$E$7</f>
        <v/>
      </c>
      <c r="F80" s="92">
        <f>女子エントリー!C319</f>
        <v>0</v>
      </c>
      <c r="G80" s="92" t="str">
        <f>女子エントリー!E319</f>
        <v/>
      </c>
      <c r="H80" s="92" t="str">
        <f>女子エントリー!F319</f>
        <v/>
      </c>
      <c r="I80" s="1" t="str">
        <f t="shared" si="31"/>
        <v/>
      </c>
      <c r="J80" s="1" t="e">
        <f>LEFT(女子エントリー!E321,FIND(",",LEFT(女子エントリー!E321,LEN(女子エントリー!E321)-5))-1)&amp;LEFT(RIGHT(女子エントリー!E321,LEN(女子エントリー!E321)-FIND(",",女子エントリー!E321)),LEN(RIGHT(女子エントリー!E321,LEN(女子エントリー!E321)-FIND(",",女子エントリー!E321)))-5)</f>
        <v>#VALUE!</v>
      </c>
      <c r="K80" s="92" t="str">
        <f>女子エントリー!G321</f>
        <v/>
      </c>
      <c r="L80" s="1" t="str">
        <f t="shared" si="18"/>
        <v/>
      </c>
      <c r="M80" s="92" t="str">
        <f>女子エントリー!G319</f>
        <v/>
      </c>
      <c r="N80" s="92" t="e">
        <f>MID(女子エントリー!E321,FIND("(",女子エントリー!E321)+1,2)</f>
        <v>#VALUE!</v>
      </c>
      <c r="O80" s="1">
        <v>0</v>
      </c>
      <c r="P80" s="92" t="e">
        <f>VLOOKUP(女子エントリー!G320,競技会設定!$F$3:$I$50,2,0)</f>
        <v>#N/A</v>
      </c>
      <c r="R80" s="1" t="str" cm="1">
        <f t="array" ref="R80">_xlfn.IFNA(_xlfn.IFNA(INDEX(競技会設定!$X$25:$AC$47,MATCH(INDEX(女子エントリー!$J$7:$AH$406,MATCH($G80&amp;RIGHT(R$1,1),女子エントリー!$AH$7:$AH$406,0),1),競技会設定!$AC$25:$AC$47,0),1),INDEX(競技会設定!$X$25:$AC$47,MATCH(INDEX(女子エントリー!$R$6:$V$406,MATCH($G80&amp;RIGHT(R$1,1),女子エントリー!$V$6:$V$406,0)-MATCH($G80&amp;RIGHT(R$1,1),女子エントリー!$V$6:$V$406,0)+1,1),競技会設定!$AC$25:$AC$47,0),1)),"")</f>
        <v/>
      </c>
      <c r="S80" s="1" t="str">
        <f>IF(R80=37,リレーエントリー!$I$27,_xlfn.IFNA(INDEX(女子エントリー!$J$7:$AH$406,MATCH($G80&amp;RIGHT(T$1,1),女子エントリー!$AH$7:$AH$406,0),3),""))</f>
        <v/>
      </c>
      <c r="T80" s="1" t="str">
        <f t="shared" si="32"/>
        <v/>
      </c>
      <c r="U80" s="1" t="str">
        <f t="shared" si="33"/>
        <v/>
      </c>
      <c r="V80" s="1" t="str">
        <f t="shared" si="34"/>
        <v/>
      </c>
      <c r="W80" s="1" t="str" cm="1">
        <f t="array" ref="W80">_xlfn.IFNA(_xlfn.IFNA(INDEX(競技会設定!$X$25:$AC$47,MATCH(INDEX(女子エントリー!$J$7:$AH$406,MATCH($G80&amp;RIGHT(W$1,1),女子エントリー!$AH$7:$AH$406,0),1),競技会設定!$AC$25:$AC$47,0),1),INDEX(競技会設定!$X$25:$AC$47,MATCH(INDEX(女子エントリー!$R$6:$V$406,MATCH($G80&amp;RIGHT(W$1,1),女子エントリー!$V$6:$V$406,0)-MATCH($G80&amp;RIGHT(W$1,1),女子エントリー!$V$6:$V$406,0)+1,1),競技会設定!$AC$25:$AC$47,0),1)),"")</f>
        <v/>
      </c>
      <c r="X80" s="1" t="str">
        <f>IF(W80=37,リレーエントリー!$I$27,_xlfn.IFNA(INDEX(女子エントリー!$J$7:$AH$406,MATCH($G80&amp;RIGHT(Y$1,1),女子エントリー!$AH$7:$AH$406,0),3),""))</f>
        <v/>
      </c>
      <c r="Y80" s="1" t="str">
        <f t="shared" si="19"/>
        <v/>
      </c>
      <c r="Z80" s="1" t="str">
        <f t="shared" si="20"/>
        <v/>
      </c>
      <c r="AA80" s="1" t="str">
        <f t="shared" si="21"/>
        <v/>
      </c>
      <c r="AB80" s="1" t="str" cm="1">
        <f t="array" ref="AB80">_xlfn.IFNA(_xlfn.IFNA(INDEX(競技会設定!$X$25:$AC$47,MATCH(INDEX(女子エントリー!$J$7:$AH$406,MATCH($G80&amp;RIGHT(AB$1,1),女子エントリー!$AH$7:$AH$406,0),1),競技会設定!$AC$25:$AC$47,0),1),INDEX(競技会設定!$X$25:$AC$47,MATCH(INDEX(女子エントリー!$R$6:$V$406,MATCH($G80&amp;RIGHT(AB$1,1),女子エントリー!$V$6:$V$406,0)-MATCH($G80&amp;RIGHT(AB$1,1),女子エントリー!$V$6:$V$406,0)+1,1),競技会設定!$AC$25:$AC$47,0),1)),"")</f>
        <v/>
      </c>
      <c r="AC80" s="1" t="str">
        <f>IF(AB80=37,リレーエントリー!$I$27,_xlfn.IFNA(INDEX(女子エントリー!$J$7:$AH$406,MATCH($G80&amp;RIGHT(AD$1,1),女子エントリー!$AH$7:$AH$406,0),3),""))</f>
        <v/>
      </c>
      <c r="AD80" s="1" t="str">
        <f t="shared" si="22"/>
        <v/>
      </c>
      <c r="AE80" s="1" t="str">
        <f t="shared" si="23"/>
        <v/>
      </c>
      <c r="AF80" s="1" t="str">
        <f t="shared" si="24"/>
        <v/>
      </c>
      <c r="AG80" s="1" t="str" cm="1">
        <f t="array" ref="AG80">_xlfn.IFNA(_xlfn.IFNA(INDEX(競技会設定!$X$25:$AC$47,MATCH(INDEX(女子エントリー!$J$7:$AH$406,MATCH($G80&amp;RIGHT(AG$1,1),女子エントリー!$AH$7:$AH$406,0),1),競技会設定!$AC$25:$AC$47,0),1),INDEX(競技会設定!$X$25:$AC$47,MATCH(INDEX(女子エントリー!$R$6:$V$406,MATCH($G80&amp;RIGHT(AG$1,1),女子エントリー!$V$6:$V$406,0)-MATCH($G80&amp;RIGHT(AG$1,1),女子エントリー!$V$6:$V$406,0)+1,1),競技会設定!$AC$25:$AC$47,0),1)),"")</f>
        <v/>
      </c>
      <c r="AH80" s="1" t="str">
        <f>IF(AG80=37,リレーエントリー!$I$27,_xlfn.IFNA(INDEX(女子エントリー!$J$7:$AH$406,MATCH($G80&amp;RIGHT(AI$1,1),女子エントリー!$AH$7:$AH$406,0),3),""))</f>
        <v/>
      </c>
      <c r="AI80" s="1" t="str">
        <f t="shared" si="25"/>
        <v/>
      </c>
      <c r="AJ80" s="1" t="str">
        <f t="shared" si="26"/>
        <v/>
      </c>
      <c r="AK80" s="1" t="str">
        <f t="shared" si="27"/>
        <v/>
      </c>
      <c r="AL80" s="1" t="str" cm="1">
        <f t="array" ref="AL80">_xlfn.IFNA(_xlfn.IFNA(INDEX(競技会設定!$X$25:$AC$47,MATCH(INDEX(女子エントリー!$J$7:$AH$406,MATCH($G80&amp;RIGHT(AL$1,1),女子エントリー!$AH$7:$AH$406,0),1),競技会設定!$AC$25:$AC$47,0),1),INDEX(競技会設定!$X$25:$AC$47,MATCH(INDEX(女子エントリー!$R$6:$V$406,MATCH($G80&amp;RIGHT(AL$1,1),女子エントリー!$V$6:$V$406,0)-MATCH($G80&amp;RIGHT(AL$1,1),女子エントリー!$V$6:$V$406,0)+1,1),競技会設定!$AC$25:$AC$47,0),1)),"")</f>
        <v/>
      </c>
      <c r="AM80" s="1" t="str">
        <f>IF(AL80=37,リレーエントリー!$I$27,_xlfn.IFNA(INDEX(女子エントリー!$J$7:$AH$406,MATCH($G80&amp;RIGHT(AN$1,1),女子エントリー!$AH$7:$AH$406,0),3),""))</f>
        <v/>
      </c>
      <c r="AN80" s="1" t="str">
        <f t="shared" si="28"/>
        <v/>
      </c>
      <c r="AO80" s="1" t="str">
        <f t="shared" si="29"/>
        <v/>
      </c>
      <c r="AP80" s="1" t="str">
        <f t="shared" si="30"/>
        <v/>
      </c>
    </row>
    <row r="81" spans="1:42">
      <c r="A81" s="1">
        <v>80</v>
      </c>
      <c r="B81" s="92" t="str">
        <f>女子エントリー!D323</f>
        <v/>
      </c>
      <c r="C81" s="1" t="str">
        <f>基本情報!$E$6</f>
        <v/>
      </c>
      <c r="D81" s="1" t="str">
        <f>基本情報!$E$7</f>
        <v/>
      </c>
      <c r="F81" s="92">
        <f>女子エントリー!C323</f>
        <v>0</v>
      </c>
      <c r="G81" s="92" t="str">
        <f>女子エントリー!E323</f>
        <v/>
      </c>
      <c r="H81" s="92" t="str">
        <f>女子エントリー!F323</f>
        <v/>
      </c>
      <c r="I81" s="1" t="str">
        <f t="shared" si="31"/>
        <v/>
      </c>
      <c r="J81" s="1" t="e">
        <f>LEFT(女子エントリー!E325,FIND(",",LEFT(女子エントリー!E325,LEN(女子エントリー!E325)-5))-1)&amp;LEFT(RIGHT(女子エントリー!E325,LEN(女子エントリー!E325)-FIND(",",女子エントリー!E325)),LEN(RIGHT(女子エントリー!E325,LEN(女子エントリー!E325)-FIND(",",女子エントリー!E325)))-5)</f>
        <v>#VALUE!</v>
      </c>
      <c r="K81" s="92" t="str">
        <f>女子エントリー!G325</f>
        <v/>
      </c>
      <c r="L81" s="1" t="str">
        <f t="shared" si="18"/>
        <v/>
      </c>
      <c r="M81" s="92" t="str">
        <f>女子エントリー!G323</f>
        <v/>
      </c>
      <c r="N81" s="92" t="e">
        <f>MID(女子エントリー!E325,FIND("(",女子エントリー!E325)+1,2)</f>
        <v>#VALUE!</v>
      </c>
      <c r="O81" s="1">
        <v>0</v>
      </c>
      <c r="P81" s="92" t="e">
        <f>VLOOKUP(女子エントリー!G324,競技会設定!$F$3:$I$50,2,0)</f>
        <v>#N/A</v>
      </c>
      <c r="R81" s="1" t="str" cm="1">
        <f t="array" ref="R81">_xlfn.IFNA(_xlfn.IFNA(INDEX(競技会設定!$X$25:$AC$47,MATCH(INDEX(女子エントリー!$J$7:$AH$406,MATCH($G81&amp;RIGHT(R$1,1),女子エントリー!$AH$7:$AH$406,0),1),競技会設定!$AC$25:$AC$47,0),1),INDEX(競技会設定!$X$25:$AC$47,MATCH(INDEX(女子エントリー!$R$6:$V$406,MATCH($G81&amp;RIGHT(R$1,1),女子エントリー!$V$6:$V$406,0)-MATCH($G81&amp;RIGHT(R$1,1),女子エントリー!$V$6:$V$406,0)+1,1),競技会設定!$AC$25:$AC$47,0),1)),"")</f>
        <v/>
      </c>
      <c r="S81" s="1" t="str">
        <f>IF(R81=37,リレーエントリー!$I$27,_xlfn.IFNA(INDEX(女子エントリー!$J$7:$AH$406,MATCH($G81&amp;RIGHT(T$1,1),女子エントリー!$AH$7:$AH$406,0),3),""))</f>
        <v/>
      </c>
      <c r="T81" s="1" t="str">
        <f t="shared" si="32"/>
        <v/>
      </c>
      <c r="U81" s="1" t="str">
        <f t="shared" si="33"/>
        <v/>
      </c>
      <c r="V81" s="1" t="str">
        <f t="shared" si="34"/>
        <v/>
      </c>
      <c r="W81" s="1" t="str" cm="1">
        <f t="array" ref="W81">_xlfn.IFNA(_xlfn.IFNA(INDEX(競技会設定!$X$25:$AC$47,MATCH(INDEX(女子エントリー!$J$7:$AH$406,MATCH($G81&amp;RIGHT(W$1,1),女子エントリー!$AH$7:$AH$406,0),1),競技会設定!$AC$25:$AC$47,0),1),INDEX(競技会設定!$X$25:$AC$47,MATCH(INDEX(女子エントリー!$R$6:$V$406,MATCH($G81&amp;RIGHT(W$1,1),女子エントリー!$V$6:$V$406,0)-MATCH($G81&amp;RIGHT(W$1,1),女子エントリー!$V$6:$V$406,0)+1,1),競技会設定!$AC$25:$AC$47,0),1)),"")</f>
        <v/>
      </c>
      <c r="X81" s="1" t="str">
        <f>IF(W81=37,リレーエントリー!$I$27,_xlfn.IFNA(INDEX(女子エントリー!$J$7:$AH$406,MATCH($G81&amp;RIGHT(Y$1,1),女子エントリー!$AH$7:$AH$406,0),3),""))</f>
        <v/>
      </c>
      <c r="Y81" s="1" t="str">
        <f t="shared" si="19"/>
        <v/>
      </c>
      <c r="Z81" s="1" t="str">
        <f t="shared" si="20"/>
        <v/>
      </c>
      <c r="AA81" s="1" t="str">
        <f t="shared" si="21"/>
        <v/>
      </c>
      <c r="AB81" s="1" t="str" cm="1">
        <f t="array" ref="AB81">_xlfn.IFNA(_xlfn.IFNA(INDEX(競技会設定!$X$25:$AC$47,MATCH(INDEX(女子エントリー!$J$7:$AH$406,MATCH($G81&amp;RIGHT(AB$1,1),女子エントリー!$AH$7:$AH$406,0),1),競技会設定!$AC$25:$AC$47,0),1),INDEX(競技会設定!$X$25:$AC$47,MATCH(INDEX(女子エントリー!$R$6:$V$406,MATCH($G81&amp;RIGHT(AB$1,1),女子エントリー!$V$6:$V$406,0)-MATCH($G81&amp;RIGHT(AB$1,1),女子エントリー!$V$6:$V$406,0)+1,1),競技会設定!$AC$25:$AC$47,0),1)),"")</f>
        <v/>
      </c>
      <c r="AC81" s="1" t="str">
        <f>IF(AB81=37,リレーエントリー!$I$27,_xlfn.IFNA(INDEX(女子エントリー!$J$7:$AH$406,MATCH($G81&amp;RIGHT(AD$1,1),女子エントリー!$AH$7:$AH$406,0),3),""))</f>
        <v/>
      </c>
      <c r="AD81" s="1" t="str">
        <f t="shared" si="22"/>
        <v/>
      </c>
      <c r="AE81" s="1" t="str">
        <f t="shared" si="23"/>
        <v/>
      </c>
      <c r="AF81" s="1" t="str">
        <f t="shared" si="24"/>
        <v/>
      </c>
      <c r="AG81" s="1" t="str" cm="1">
        <f t="array" ref="AG81">_xlfn.IFNA(_xlfn.IFNA(INDEX(競技会設定!$X$25:$AC$47,MATCH(INDEX(女子エントリー!$J$7:$AH$406,MATCH($G81&amp;RIGHT(AG$1,1),女子エントリー!$AH$7:$AH$406,0),1),競技会設定!$AC$25:$AC$47,0),1),INDEX(競技会設定!$X$25:$AC$47,MATCH(INDEX(女子エントリー!$R$6:$V$406,MATCH($G81&amp;RIGHT(AG$1,1),女子エントリー!$V$6:$V$406,0)-MATCH($G81&amp;RIGHT(AG$1,1),女子エントリー!$V$6:$V$406,0)+1,1),競技会設定!$AC$25:$AC$47,0),1)),"")</f>
        <v/>
      </c>
      <c r="AH81" s="1" t="str">
        <f>IF(AG81=37,リレーエントリー!$I$27,_xlfn.IFNA(INDEX(女子エントリー!$J$7:$AH$406,MATCH($G81&amp;RIGHT(AI$1,1),女子エントリー!$AH$7:$AH$406,0),3),""))</f>
        <v/>
      </c>
      <c r="AI81" s="1" t="str">
        <f t="shared" si="25"/>
        <v/>
      </c>
      <c r="AJ81" s="1" t="str">
        <f t="shared" si="26"/>
        <v/>
      </c>
      <c r="AK81" s="1" t="str">
        <f t="shared" si="27"/>
        <v/>
      </c>
      <c r="AL81" s="1" t="str" cm="1">
        <f t="array" ref="AL81">_xlfn.IFNA(_xlfn.IFNA(INDEX(競技会設定!$X$25:$AC$47,MATCH(INDEX(女子エントリー!$J$7:$AH$406,MATCH($G81&amp;RIGHT(AL$1,1),女子エントリー!$AH$7:$AH$406,0),1),競技会設定!$AC$25:$AC$47,0),1),INDEX(競技会設定!$X$25:$AC$47,MATCH(INDEX(女子エントリー!$R$6:$V$406,MATCH($G81&amp;RIGHT(AL$1,1),女子エントリー!$V$6:$V$406,0)-MATCH($G81&amp;RIGHT(AL$1,1),女子エントリー!$V$6:$V$406,0)+1,1),競技会設定!$AC$25:$AC$47,0),1)),"")</f>
        <v/>
      </c>
      <c r="AM81" s="1" t="str">
        <f>IF(AL81=37,リレーエントリー!$I$27,_xlfn.IFNA(INDEX(女子エントリー!$J$7:$AH$406,MATCH($G81&amp;RIGHT(AN$1,1),女子エントリー!$AH$7:$AH$406,0),3),""))</f>
        <v/>
      </c>
      <c r="AN81" s="1" t="str">
        <f t="shared" si="28"/>
        <v/>
      </c>
      <c r="AO81" s="1" t="str">
        <f t="shared" si="29"/>
        <v/>
      </c>
      <c r="AP81" s="1" t="str">
        <f t="shared" si="30"/>
        <v/>
      </c>
    </row>
    <row r="82" spans="1:42">
      <c r="A82" s="1">
        <v>81</v>
      </c>
      <c r="B82" s="92" t="str">
        <f>女子エントリー!D327</f>
        <v/>
      </c>
      <c r="C82" s="1" t="str">
        <f>基本情報!$E$6</f>
        <v/>
      </c>
      <c r="D82" s="1" t="str">
        <f>基本情報!$E$7</f>
        <v/>
      </c>
      <c r="F82" s="92">
        <f>女子エントリー!C327</f>
        <v>0</v>
      </c>
      <c r="G82" s="92" t="str">
        <f>女子エントリー!E327</f>
        <v/>
      </c>
      <c r="H82" s="92" t="str">
        <f>女子エントリー!F327</f>
        <v/>
      </c>
      <c r="I82" s="1" t="str">
        <f t="shared" si="31"/>
        <v/>
      </c>
      <c r="J82" s="1" t="e">
        <f>LEFT(女子エントリー!E329,FIND(",",LEFT(女子エントリー!E329,LEN(女子エントリー!E329)-5))-1)&amp;LEFT(RIGHT(女子エントリー!E329,LEN(女子エントリー!E329)-FIND(",",女子エントリー!E329)),LEN(RIGHT(女子エントリー!E329,LEN(女子エントリー!E329)-FIND(",",女子エントリー!E329)))-5)</f>
        <v>#VALUE!</v>
      </c>
      <c r="K82" s="92" t="str">
        <f>女子エントリー!G329</f>
        <v/>
      </c>
      <c r="L82" s="1" t="str">
        <f t="shared" si="18"/>
        <v/>
      </c>
      <c r="M82" s="92" t="str">
        <f>女子エントリー!G327</f>
        <v/>
      </c>
      <c r="N82" s="92" t="e">
        <f>MID(女子エントリー!E329,FIND("(",女子エントリー!E329)+1,2)</f>
        <v>#VALUE!</v>
      </c>
      <c r="O82" s="1">
        <v>0</v>
      </c>
      <c r="P82" s="92" t="e">
        <f>VLOOKUP(女子エントリー!G328,競技会設定!$F$3:$I$50,2,0)</f>
        <v>#N/A</v>
      </c>
      <c r="R82" s="1" t="str" cm="1">
        <f t="array" ref="R82">_xlfn.IFNA(_xlfn.IFNA(INDEX(競技会設定!$X$25:$AC$47,MATCH(INDEX(女子エントリー!$J$7:$AH$406,MATCH($G82&amp;RIGHT(R$1,1),女子エントリー!$AH$7:$AH$406,0),1),競技会設定!$AC$25:$AC$47,0),1),INDEX(競技会設定!$X$25:$AC$47,MATCH(INDEX(女子エントリー!$R$6:$V$406,MATCH($G82&amp;RIGHT(R$1,1),女子エントリー!$V$6:$V$406,0)-MATCH($G82&amp;RIGHT(R$1,1),女子エントリー!$V$6:$V$406,0)+1,1),競技会設定!$AC$25:$AC$47,0),1)),"")</f>
        <v/>
      </c>
      <c r="S82" s="1" t="str">
        <f>IF(R82=37,リレーエントリー!$I$27,_xlfn.IFNA(INDEX(女子エントリー!$J$7:$AH$406,MATCH($G82&amp;RIGHT(T$1,1),女子エントリー!$AH$7:$AH$406,0),3),""))</f>
        <v/>
      </c>
      <c r="T82" s="1" t="str">
        <f t="shared" si="32"/>
        <v/>
      </c>
      <c r="U82" s="1" t="str">
        <f t="shared" si="33"/>
        <v/>
      </c>
      <c r="V82" s="1" t="str">
        <f t="shared" si="34"/>
        <v/>
      </c>
      <c r="W82" s="1" t="str" cm="1">
        <f t="array" ref="W82">_xlfn.IFNA(_xlfn.IFNA(INDEX(競技会設定!$X$25:$AC$47,MATCH(INDEX(女子エントリー!$J$7:$AH$406,MATCH($G82&amp;RIGHT(W$1,1),女子エントリー!$AH$7:$AH$406,0),1),競技会設定!$AC$25:$AC$47,0),1),INDEX(競技会設定!$X$25:$AC$47,MATCH(INDEX(女子エントリー!$R$6:$V$406,MATCH($G82&amp;RIGHT(W$1,1),女子エントリー!$V$6:$V$406,0)-MATCH($G82&amp;RIGHT(W$1,1),女子エントリー!$V$6:$V$406,0)+1,1),競技会設定!$AC$25:$AC$47,0),1)),"")</f>
        <v/>
      </c>
      <c r="X82" s="1" t="str">
        <f>IF(W82=37,リレーエントリー!$I$27,_xlfn.IFNA(INDEX(女子エントリー!$J$7:$AH$406,MATCH($G82&amp;RIGHT(Y$1,1),女子エントリー!$AH$7:$AH$406,0),3),""))</f>
        <v/>
      </c>
      <c r="Y82" s="1" t="str">
        <f t="shared" si="19"/>
        <v/>
      </c>
      <c r="Z82" s="1" t="str">
        <f t="shared" si="20"/>
        <v/>
      </c>
      <c r="AA82" s="1" t="str">
        <f t="shared" si="21"/>
        <v/>
      </c>
      <c r="AB82" s="1" t="str" cm="1">
        <f t="array" ref="AB82">_xlfn.IFNA(_xlfn.IFNA(INDEX(競技会設定!$X$25:$AC$47,MATCH(INDEX(女子エントリー!$J$7:$AH$406,MATCH($G82&amp;RIGHT(AB$1,1),女子エントリー!$AH$7:$AH$406,0),1),競技会設定!$AC$25:$AC$47,0),1),INDEX(競技会設定!$X$25:$AC$47,MATCH(INDEX(女子エントリー!$R$6:$V$406,MATCH($G82&amp;RIGHT(AB$1,1),女子エントリー!$V$6:$V$406,0)-MATCH($G82&amp;RIGHT(AB$1,1),女子エントリー!$V$6:$V$406,0)+1,1),競技会設定!$AC$25:$AC$47,0),1)),"")</f>
        <v/>
      </c>
      <c r="AC82" s="1" t="str">
        <f>IF(AB82=37,リレーエントリー!$I$27,_xlfn.IFNA(INDEX(女子エントリー!$J$7:$AH$406,MATCH($G82&amp;RIGHT(AD$1,1),女子エントリー!$AH$7:$AH$406,0),3),""))</f>
        <v/>
      </c>
      <c r="AD82" s="1" t="str">
        <f t="shared" si="22"/>
        <v/>
      </c>
      <c r="AE82" s="1" t="str">
        <f t="shared" si="23"/>
        <v/>
      </c>
      <c r="AF82" s="1" t="str">
        <f t="shared" si="24"/>
        <v/>
      </c>
      <c r="AG82" s="1" t="str" cm="1">
        <f t="array" ref="AG82">_xlfn.IFNA(_xlfn.IFNA(INDEX(競技会設定!$X$25:$AC$47,MATCH(INDEX(女子エントリー!$J$7:$AH$406,MATCH($G82&amp;RIGHT(AG$1,1),女子エントリー!$AH$7:$AH$406,0),1),競技会設定!$AC$25:$AC$47,0),1),INDEX(競技会設定!$X$25:$AC$47,MATCH(INDEX(女子エントリー!$R$6:$V$406,MATCH($G82&amp;RIGHT(AG$1,1),女子エントリー!$V$6:$V$406,0)-MATCH($G82&amp;RIGHT(AG$1,1),女子エントリー!$V$6:$V$406,0)+1,1),競技会設定!$AC$25:$AC$47,0),1)),"")</f>
        <v/>
      </c>
      <c r="AH82" s="1" t="str">
        <f>IF(AG82=37,リレーエントリー!$I$27,_xlfn.IFNA(INDEX(女子エントリー!$J$7:$AH$406,MATCH($G82&amp;RIGHT(AI$1,1),女子エントリー!$AH$7:$AH$406,0),3),""))</f>
        <v/>
      </c>
      <c r="AI82" s="1" t="str">
        <f t="shared" si="25"/>
        <v/>
      </c>
      <c r="AJ82" s="1" t="str">
        <f t="shared" si="26"/>
        <v/>
      </c>
      <c r="AK82" s="1" t="str">
        <f t="shared" si="27"/>
        <v/>
      </c>
      <c r="AL82" s="1" t="str" cm="1">
        <f t="array" ref="AL82">_xlfn.IFNA(_xlfn.IFNA(INDEX(競技会設定!$X$25:$AC$47,MATCH(INDEX(女子エントリー!$J$7:$AH$406,MATCH($G82&amp;RIGHT(AL$1,1),女子エントリー!$AH$7:$AH$406,0),1),競技会設定!$AC$25:$AC$47,0),1),INDEX(競技会設定!$X$25:$AC$47,MATCH(INDEX(女子エントリー!$R$6:$V$406,MATCH($G82&amp;RIGHT(AL$1,1),女子エントリー!$V$6:$V$406,0)-MATCH($G82&amp;RIGHT(AL$1,1),女子エントリー!$V$6:$V$406,0)+1,1),競技会設定!$AC$25:$AC$47,0),1)),"")</f>
        <v/>
      </c>
      <c r="AM82" s="1" t="str">
        <f>IF(AL82=37,リレーエントリー!$I$27,_xlfn.IFNA(INDEX(女子エントリー!$J$7:$AH$406,MATCH($G82&amp;RIGHT(AN$1,1),女子エントリー!$AH$7:$AH$406,0),3),""))</f>
        <v/>
      </c>
      <c r="AN82" s="1" t="str">
        <f t="shared" si="28"/>
        <v/>
      </c>
      <c r="AO82" s="1" t="str">
        <f t="shared" si="29"/>
        <v/>
      </c>
      <c r="AP82" s="1" t="str">
        <f t="shared" si="30"/>
        <v/>
      </c>
    </row>
    <row r="83" spans="1:42">
      <c r="A83" s="1">
        <v>82</v>
      </c>
      <c r="B83" s="92" t="str">
        <f>女子エントリー!D331</f>
        <v/>
      </c>
      <c r="C83" s="1" t="str">
        <f>基本情報!$E$6</f>
        <v/>
      </c>
      <c r="D83" s="1" t="str">
        <f>基本情報!$E$7</f>
        <v/>
      </c>
      <c r="F83" s="92">
        <f>女子エントリー!C331</f>
        <v>0</v>
      </c>
      <c r="G83" s="92" t="str">
        <f>女子エントリー!E331</f>
        <v/>
      </c>
      <c r="H83" s="92" t="str">
        <f>女子エントリー!F331</f>
        <v/>
      </c>
      <c r="I83" s="1" t="str">
        <f t="shared" si="31"/>
        <v/>
      </c>
      <c r="J83" s="1" t="e">
        <f>LEFT(女子エントリー!E333,FIND(",",LEFT(女子エントリー!E333,LEN(女子エントリー!E333)-5))-1)&amp;LEFT(RIGHT(女子エントリー!E333,LEN(女子エントリー!E333)-FIND(",",女子エントリー!E333)),LEN(RIGHT(女子エントリー!E333,LEN(女子エントリー!E333)-FIND(",",女子エントリー!E333)))-5)</f>
        <v>#VALUE!</v>
      </c>
      <c r="K83" s="92" t="str">
        <f>女子エントリー!G333</f>
        <v/>
      </c>
      <c r="L83" s="1" t="str">
        <f t="shared" si="18"/>
        <v/>
      </c>
      <c r="M83" s="92" t="str">
        <f>女子エントリー!G331</f>
        <v/>
      </c>
      <c r="N83" s="92" t="e">
        <f>MID(女子エントリー!E333,FIND("(",女子エントリー!E333)+1,2)</f>
        <v>#VALUE!</v>
      </c>
      <c r="O83" s="1">
        <v>0</v>
      </c>
      <c r="P83" s="92" t="e">
        <f>VLOOKUP(女子エントリー!G332,競技会設定!$F$3:$I$50,2,0)</f>
        <v>#N/A</v>
      </c>
      <c r="R83" s="1" t="str" cm="1">
        <f t="array" ref="R83">_xlfn.IFNA(_xlfn.IFNA(INDEX(競技会設定!$X$25:$AC$47,MATCH(INDEX(女子エントリー!$J$7:$AH$406,MATCH($G83&amp;RIGHT(R$1,1),女子エントリー!$AH$7:$AH$406,0),1),競技会設定!$AC$25:$AC$47,0),1),INDEX(競技会設定!$X$25:$AC$47,MATCH(INDEX(女子エントリー!$R$6:$V$406,MATCH($G83&amp;RIGHT(R$1,1),女子エントリー!$V$6:$V$406,0)-MATCH($G83&amp;RIGHT(R$1,1),女子エントリー!$V$6:$V$406,0)+1,1),競技会設定!$AC$25:$AC$47,0),1)),"")</f>
        <v/>
      </c>
      <c r="S83" s="1" t="str">
        <f>IF(R83=37,リレーエントリー!$I$27,_xlfn.IFNA(INDEX(女子エントリー!$J$7:$AH$406,MATCH($G83&amp;RIGHT(T$1,1),女子エントリー!$AH$7:$AH$406,0),3),""))</f>
        <v/>
      </c>
      <c r="T83" s="1" t="str">
        <f t="shared" si="32"/>
        <v/>
      </c>
      <c r="U83" s="1" t="str">
        <f t="shared" si="33"/>
        <v/>
      </c>
      <c r="V83" s="1" t="str">
        <f t="shared" si="34"/>
        <v/>
      </c>
      <c r="W83" s="1" t="str" cm="1">
        <f t="array" ref="W83">_xlfn.IFNA(_xlfn.IFNA(INDEX(競技会設定!$X$25:$AC$47,MATCH(INDEX(女子エントリー!$J$7:$AH$406,MATCH($G83&amp;RIGHT(W$1,1),女子エントリー!$AH$7:$AH$406,0),1),競技会設定!$AC$25:$AC$47,0),1),INDEX(競技会設定!$X$25:$AC$47,MATCH(INDEX(女子エントリー!$R$6:$V$406,MATCH($G83&amp;RIGHT(W$1,1),女子エントリー!$V$6:$V$406,0)-MATCH($G83&amp;RIGHT(W$1,1),女子エントリー!$V$6:$V$406,0)+1,1),競技会設定!$AC$25:$AC$47,0),1)),"")</f>
        <v/>
      </c>
      <c r="X83" s="1" t="str">
        <f>IF(W83=37,リレーエントリー!$I$27,_xlfn.IFNA(INDEX(女子エントリー!$J$7:$AH$406,MATCH($G83&amp;RIGHT(Y$1,1),女子エントリー!$AH$7:$AH$406,0),3),""))</f>
        <v/>
      </c>
      <c r="Y83" s="1" t="str">
        <f t="shared" si="19"/>
        <v/>
      </c>
      <c r="Z83" s="1" t="str">
        <f t="shared" si="20"/>
        <v/>
      </c>
      <c r="AA83" s="1" t="str">
        <f t="shared" si="21"/>
        <v/>
      </c>
      <c r="AB83" s="1" t="str" cm="1">
        <f t="array" ref="AB83">_xlfn.IFNA(_xlfn.IFNA(INDEX(競技会設定!$X$25:$AC$47,MATCH(INDEX(女子エントリー!$J$7:$AH$406,MATCH($G83&amp;RIGHT(AB$1,1),女子エントリー!$AH$7:$AH$406,0),1),競技会設定!$AC$25:$AC$47,0),1),INDEX(競技会設定!$X$25:$AC$47,MATCH(INDEX(女子エントリー!$R$6:$V$406,MATCH($G83&amp;RIGHT(AB$1,1),女子エントリー!$V$6:$V$406,0)-MATCH($G83&amp;RIGHT(AB$1,1),女子エントリー!$V$6:$V$406,0)+1,1),競技会設定!$AC$25:$AC$47,0),1)),"")</f>
        <v/>
      </c>
      <c r="AC83" s="1" t="str">
        <f>IF(AB83=37,リレーエントリー!$I$27,_xlfn.IFNA(INDEX(女子エントリー!$J$7:$AH$406,MATCH($G83&amp;RIGHT(AD$1,1),女子エントリー!$AH$7:$AH$406,0),3),""))</f>
        <v/>
      </c>
      <c r="AD83" s="1" t="str">
        <f t="shared" si="22"/>
        <v/>
      </c>
      <c r="AE83" s="1" t="str">
        <f t="shared" si="23"/>
        <v/>
      </c>
      <c r="AF83" s="1" t="str">
        <f t="shared" si="24"/>
        <v/>
      </c>
      <c r="AG83" s="1" t="str" cm="1">
        <f t="array" ref="AG83">_xlfn.IFNA(_xlfn.IFNA(INDEX(競技会設定!$X$25:$AC$47,MATCH(INDEX(女子エントリー!$J$7:$AH$406,MATCH($G83&amp;RIGHT(AG$1,1),女子エントリー!$AH$7:$AH$406,0),1),競技会設定!$AC$25:$AC$47,0),1),INDEX(競技会設定!$X$25:$AC$47,MATCH(INDEX(女子エントリー!$R$6:$V$406,MATCH($G83&amp;RIGHT(AG$1,1),女子エントリー!$V$6:$V$406,0)-MATCH($G83&amp;RIGHT(AG$1,1),女子エントリー!$V$6:$V$406,0)+1,1),競技会設定!$AC$25:$AC$47,0),1)),"")</f>
        <v/>
      </c>
      <c r="AH83" s="1" t="str">
        <f>IF(AG83=37,リレーエントリー!$I$27,_xlfn.IFNA(INDEX(女子エントリー!$J$7:$AH$406,MATCH($G83&amp;RIGHT(AI$1,1),女子エントリー!$AH$7:$AH$406,0),3),""))</f>
        <v/>
      </c>
      <c r="AI83" s="1" t="str">
        <f t="shared" si="25"/>
        <v/>
      </c>
      <c r="AJ83" s="1" t="str">
        <f t="shared" si="26"/>
        <v/>
      </c>
      <c r="AK83" s="1" t="str">
        <f t="shared" si="27"/>
        <v/>
      </c>
      <c r="AL83" s="1" t="str" cm="1">
        <f t="array" ref="AL83">_xlfn.IFNA(_xlfn.IFNA(INDEX(競技会設定!$X$25:$AC$47,MATCH(INDEX(女子エントリー!$J$7:$AH$406,MATCH($G83&amp;RIGHT(AL$1,1),女子エントリー!$AH$7:$AH$406,0),1),競技会設定!$AC$25:$AC$47,0),1),INDEX(競技会設定!$X$25:$AC$47,MATCH(INDEX(女子エントリー!$R$6:$V$406,MATCH($G83&amp;RIGHT(AL$1,1),女子エントリー!$V$6:$V$406,0)-MATCH($G83&amp;RIGHT(AL$1,1),女子エントリー!$V$6:$V$406,0)+1,1),競技会設定!$AC$25:$AC$47,0),1)),"")</f>
        <v/>
      </c>
      <c r="AM83" s="1" t="str">
        <f>IF(AL83=37,リレーエントリー!$I$27,_xlfn.IFNA(INDEX(女子エントリー!$J$7:$AH$406,MATCH($G83&amp;RIGHT(AN$1,1),女子エントリー!$AH$7:$AH$406,0),3),""))</f>
        <v/>
      </c>
      <c r="AN83" s="1" t="str">
        <f t="shared" si="28"/>
        <v/>
      </c>
      <c r="AO83" s="1" t="str">
        <f t="shared" si="29"/>
        <v/>
      </c>
      <c r="AP83" s="1" t="str">
        <f t="shared" si="30"/>
        <v/>
      </c>
    </row>
    <row r="84" spans="1:42">
      <c r="A84" s="1">
        <v>83</v>
      </c>
      <c r="B84" s="92" t="str">
        <f>女子エントリー!D335</f>
        <v/>
      </c>
      <c r="C84" s="1" t="str">
        <f>基本情報!$E$6</f>
        <v/>
      </c>
      <c r="D84" s="1" t="str">
        <f>基本情報!$E$7</f>
        <v/>
      </c>
      <c r="F84" s="92">
        <f>女子エントリー!C335</f>
        <v>0</v>
      </c>
      <c r="G84" s="92" t="str">
        <f>女子エントリー!E335</f>
        <v/>
      </c>
      <c r="H84" s="92" t="str">
        <f>女子エントリー!F335</f>
        <v/>
      </c>
      <c r="I84" s="1" t="str">
        <f t="shared" si="31"/>
        <v/>
      </c>
      <c r="J84" s="1" t="e">
        <f>LEFT(女子エントリー!E337,FIND(",",LEFT(女子エントリー!E337,LEN(女子エントリー!E337)-5))-1)&amp;LEFT(RIGHT(女子エントリー!E337,LEN(女子エントリー!E337)-FIND(",",女子エントリー!E337)),LEN(RIGHT(女子エントリー!E337,LEN(女子エントリー!E337)-FIND(",",女子エントリー!E337)))-5)</f>
        <v>#VALUE!</v>
      </c>
      <c r="K84" s="92" t="str">
        <f>女子エントリー!G337</f>
        <v/>
      </c>
      <c r="L84" s="1" t="str">
        <f t="shared" si="18"/>
        <v/>
      </c>
      <c r="M84" s="92" t="str">
        <f>女子エントリー!G335</f>
        <v/>
      </c>
      <c r="N84" s="92" t="e">
        <f>MID(女子エントリー!E337,FIND("(",女子エントリー!E337)+1,2)</f>
        <v>#VALUE!</v>
      </c>
      <c r="O84" s="1">
        <v>0</v>
      </c>
      <c r="P84" s="92" t="e">
        <f>VLOOKUP(女子エントリー!G336,競技会設定!$F$3:$I$50,2,0)</f>
        <v>#N/A</v>
      </c>
      <c r="R84" s="1" t="str" cm="1">
        <f t="array" ref="R84">_xlfn.IFNA(_xlfn.IFNA(INDEX(競技会設定!$X$25:$AC$47,MATCH(INDEX(女子エントリー!$J$7:$AH$406,MATCH($G84&amp;RIGHT(R$1,1),女子エントリー!$AH$7:$AH$406,0),1),競技会設定!$AC$25:$AC$47,0),1),INDEX(競技会設定!$X$25:$AC$47,MATCH(INDEX(女子エントリー!$R$6:$V$406,MATCH($G84&amp;RIGHT(R$1,1),女子エントリー!$V$6:$V$406,0)-MATCH($G84&amp;RIGHT(R$1,1),女子エントリー!$V$6:$V$406,0)+1,1),競技会設定!$AC$25:$AC$47,0),1)),"")</f>
        <v/>
      </c>
      <c r="S84" s="1" t="str">
        <f>IF(R84=37,リレーエントリー!$I$27,_xlfn.IFNA(INDEX(女子エントリー!$J$7:$AH$406,MATCH($G84&amp;RIGHT(T$1,1),女子エントリー!$AH$7:$AH$406,0),3),""))</f>
        <v/>
      </c>
      <c r="T84" s="1" t="str">
        <f t="shared" si="32"/>
        <v/>
      </c>
      <c r="U84" s="1" t="str">
        <f t="shared" si="33"/>
        <v/>
      </c>
      <c r="V84" s="1" t="str">
        <f t="shared" si="34"/>
        <v/>
      </c>
      <c r="W84" s="1" t="str" cm="1">
        <f t="array" ref="W84">_xlfn.IFNA(_xlfn.IFNA(INDEX(競技会設定!$X$25:$AC$47,MATCH(INDEX(女子エントリー!$J$7:$AH$406,MATCH($G84&amp;RIGHT(W$1,1),女子エントリー!$AH$7:$AH$406,0),1),競技会設定!$AC$25:$AC$47,0),1),INDEX(競技会設定!$X$25:$AC$47,MATCH(INDEX(女子エントリー!$R$6:$V$406,MATCH($G84&amp;RIGHT(W$1,1),女子エントリー!$V$6:$V$406,0)-MATCH($G84&amp;RIGHT(W$1,1),女子エントリー!$V$6:$V$406,0)+1,1),競技会設定!$AC$25:$AC$47,0),1)),"")</f>
        <v/>
      </c>
      <c r="X84" s="1" t="str">
        <f>IF(W84=37,リレーエントリー!$I$27,_xlfn.IFNA(INDEX(女子エントリー!$J$7:$AH$406,MATCH($G84&amp;RIGHT(Y$1,1),女子エントリー!$AH$7:$AH$406,0),3),""))</f>
        <v/>
      </c>
      <c r="Y84" s="1" t="str">
        <f t="shared" si="19"/>
        <v/>
      </c>
      <c r="Z84" s="1" t="str">
        <f t="shared" si="20"/>
        <v/>
      </c>
      <c r="AA84" s="1" t="str">
        <f t="shared" si="21"/>
        <v/>
      </c>
      <c r="AB84" s="1" t="str" cm="1">
        <f t="array" ref="AB84">_xlfn.IFNA(_xlfn.IFNA(INDEX(競技会設定!$X$25:$AC$47,MATCH(INDEX(女子エントリー!$J$7:$AH$406,MATCH($G84&amp;RIGHT(AB$1,1),女子エントリー!$AH$7:$AH$406,0),1),競技会設定!$AC$25:$AC$47,0),1),INDEX(競技会設定!$X$25:$AC$47,MATCH(INDEX(女子エントリー!$R$6:$V$406,MATCH($G84&amp;RIGHT(AB$1,1),女子エントリー!$V$6:$V$406,0)-MATCH($G84&amp;RIGHT(AB$1,1),女子エントリー!$V$6:$V$406,0)+1,1),競技会設定!$AC$25:$AC$47,0),1)),"")</f>
        <v/>
      </c>
      <c r="AC84" s="1" t="str">
        <f>IF(AB84=37,リレーエントリー!$I$27,_xlfn.IFNA(INDEX(女子エントリー!$J$7:$AH$406,MATCH($G84&amp;RIGHT(AD$1,1),女子エントリー!$AH$7:$AH$406,0),3),""))</f>
        <v/>
      </c>
      <c r="AD84" s="1" t="str">
        <f t="shared" si="22"/>
        <v/>
      </c>
      <c r="AE84" s="1" t="str">
        <f t="shared" si="23"/>
        <v/>
      </c>
      <c r="AF84" s="1" t="str">
        <f t="shared" si="24"/>
        <v/>
      </c>
      <c r="AG84" s="1" t="str" cm="1">
        <f t="array" ref="AG84">_xlfn.IFNA(_xlfn.IFNA(INDEX(競技会設定!$X$25:$AC$47,MATCH(INDEX(女子エントリー!$J$7:$AH$406,MATCH($G84&amp;RIGHT(AG$1,1),女子エントリー!$AH$7:$AH$406,0),1),競技会設定!$AC$25:$AC$47,0),1),INDEX(競技会設定!$X$25:$AC$47,MATCH(INDEX(女子エントリー!$R$6:$V$406,MATCH($G84&amp;RIGHT(AG$1,1),女子エントリー!$V$6:$V$406,0)-MATCH($G84&amp;RIGHT(AG$1,1),女子エントリー!$V$6:$V$406,0)+1,1),競技会設定!$AC$25:$AC$47,0),1)),"")</f>
        <v/>
      </c>
      <c r="AH84" s="1" t="str">
        <f>IF(AG84=37,リレーエントリー!$I$27,_xlfn.IFNA(INDEX(女子エントリー!$J$7:$AH$406,MATCH($G84&amp;RIGHT(AI$1,1),女子エントリー!$AH$7:$AH$406,0),3),""))</f>
        <v/>
      </c>
      <c r="AI84" s="1" t="str">
        <f t="shared" si="25"/>
        <v/>
      </c>
      <c r="AJ84" s="1" t="str">
        <f t="shared" si="26"/>
        <v/>
      </c>
      <c r="AK84" s="1" t="str">
        <f t="shared" si="27"/>
        <v/>
      </c>
      <c r="AL84" s="1" t="str" cm="1">
        <f t="array" ref="AL84">_xlfn.IFNA(_xlfn.IFNA(INDEX(競技会設定!$X$25:$AC$47,MATCH(INDEX(女子エントリー!$J$7:$AH$406,MATCH($G84&amp;RIGHT(AL$1,1),女子エントリー!$AH$7:$AH$406,0),1),競技会設定!$AC$25:$AC$47,0),1),INDEX(競技会設定!$X$25:$AC$47,MATCH(INDEX(女子エントリー!$R$6:$V$406,MATCH($G84&amp;RIGHT(AL$1,1),女子エントリー!$V$6:$V$406,0)-MATCH($G84&amp;RIGHT(AL$1,1),女子エントリー!$V$6:$V$406,0)+1,1),競技会設定!$AC$25:$AC$47,0),1)),"")</f>
        <v/>
      </c>
      <c r="AM84" s="1" t="str">
        <f>IF(AL84=37,リレーエントリー!$I$27,_xlfn.IFNA(INDEX(女子エントリー!$J$7:$AH$406,MATCH($G84&amp;RIGHT(AN$1,1),女子エントリー!$AH$7:$AH$406,0),3),""))</f>
        <v/>
      </c>
      <c r="AN84" s="1" t="str">
        <f t="shared" si="28"/>
        <v/>
      </c>
      <c r="AO84" s="1" t="str">
        <f t="shared" si="29"/>
        <v/>
      </c>
      <c r="AP84" s="1" t="str">
        <f t="shared" si="30"/>
        <v/>
      </c>
    </row>
    <row r="85" spans="1:42">
      <c r="A85" s="1">
        <v>84</v>
      </c>
      <c r="B85" s="92" t="str">
        <f>女子エントリー!D339</f>
        <v/>
      </c>
      <c r="C85" s="1" t="str">
        <f>基本情報!$E$6</f>
        <v/>
      </c>
      <c r="D85" s="1" t="str">
        <f>基本情報!$E$7</f>
        <v/>
      </c>
      <c r="F85" s="92">
        <f>女子エントリー!C339</f>
        <v>0</v>
      </c>
      <c r="G85" s="92" t="str">
        <f>女子エントリー!E339</f>
        <v/>
      </c>
      <c r="H85" s="92" t="str">
        <f>女子エントリー!F339</f>
        <v/>
      </c>
      <c r="I85" s="1" t="str">
        <f t="shared" si="31"/>
        <v/>
      </c>
      <c r="J85" s="1" t="e">
        <f>LEFT(女子エントリー!E341,FIND(",",LEFT(女子エントリー!E341,LEN(女子エントリー!E341)-5))-1)&amp;LEFT(RIGHT(女子エントリー!E341,LEN(女子エントリー!E341)-FIND(",",女子エントリー!E341)),LEN(RIGHT(女子エントリー!E341,LEN(女子エントリー!E341)-FIND(",",女子エントリー!E341)))-5)</f>
        <v>#VALUE!</v>
      </c>
      <c r="K85" s="92" t="str">
        <f>女子エントリー!G341</f>
        <v/>
      </c>
      <c r="L85" s="1" t="str">
        <f t="shared" si="18"/>
        <v/>
      </c>
      <c r="M85" s="92" t="str">
        <f>女子エントリー!G339</f>
        <v/>
      </c>
      <c r="N85" s="92" t="e">
        <f>MID(女子エントリー!E341,FIND("(",女子エントリー!E341)+1,2)</f>
        <v>#VALUE!</v>
      </c>
      <c r="O85" s="1">
        <v>0</v>
      </c>
      <c r="P85" s="92" t="e">
        <f>VLOOKUP(女子エントリー!G340,競技会設定!$F$3:$I$50,2,0)</f>
        <v>#N/A</v>
      </c>
      <c r="R85" s="1" t="str" cm="1">
        <f t="array" ref="R85">_xlfn.IFNA(_xlfn.IFNA(INDEX(競技会設定!$X$25:$AC$47,MATCH(INDEX(女子エントリー!$J$7:$AH$406,MATCH($G85&amp;RIGHT(R$1,1),女子エントリー!$AH$7:$AH$406,0),1),競技会設定!$AC$25:$AC$47,0),1),INDEX(競技会設定!$X$25:$AC$47,MATCH(INDEX(女子エントリー!$R$6:$V$406,MATCH($G85&amp;RIGHT(R$1,1),女子エントリー!$V$6:$V$406,0)-MATCH($G85&amp;RIGHT(R$1,1),女子エントリー!$V$6:$V$406,0)+1,1),競技会設定!$AC$25:$AC$47,0),1)),"")</f>
        <v/>
      </c>
      <c r="S85" s="1" t="str">
        <f>IF(R85=37,リレーエントリー!$I$27,_xlfn.IFNA(INDEX(女子エントリー!$J$7:$AH$406,MATCH($G85&amp;RIGHT(T$1,1),女子エントリー!$AH$7:$AH$406,0),3),""))</f>
        <v/>
      </c>
      <c r="T85" s="1" t="str">
        <f t="shared" si="32"/>
        <v/>
      </c>
      <c r="U85" s="1" t="str">
        <f t="shared" si="33"/>
        <v/>
      </c>
      <c r="V85" s="1" t="str">
        <f t="shared" si="34"/>
        <v/>
      </c>
      <c r="W85" s="1" t="str" cm="1">
        <f t="array" ref="W85">_xlfn.IFNA(_xlfn.IFNA(INDEX(競技会設定!$X$25:$AC$47,MATCH(INDEX(女子エントリー!$J$7:$AH$406,MATCH($G85&amp;RIGHT(W$1,1),女子エントリー!$AH$7:$AH$406,0),1),競技会設定!$AC$25:$AC$47,0),1),INDEX(競技会設定!$X$25:$AC$47,MATCH(INDEX(女子エントリー!$R$6:$V$406,MATCH($G85&amp;RIGHT(W$1,1),女子エントリー!$V$6:$V$406,0)-MATCH($G85&amp;RIGHT(W$1,1),女子エントリー!$V$6:$V$406,0)+1,1),競技会設定!$AC$25:$AC$47,0),1)),"")</f>
        <v/>
      </c>
      <c r="X85" s="1" t="str">
        <f>IF(W85=37,リレーエントリー!$I$27,_xlfn.IFNA(INDEX(女子エントリー!$J$7:$AH$406,MATCH($G85&amp;RIGHT(Y$1,1),女子エントリー!$AH$7:$AH$406,0),3),""))</f>
        <v/>
      </c>
      <c r="Y85" s="1" t="str">
        <f t="shared" si="19"/>
        <v/>
      </c>
      <c r="Z85" s="1" t="str">
        <f t="shared" si="20"/>
        <v/>
      </c>
      <c r="AA85" s="1" t="str">
        <f t="shared" si="21"/>
        <v/>
      </c>
      <c r="AB85" s="1" t="str" cm="1">
        <f t="array" ref="AB85">_xlfn.IFNA(_xlfn.IFNA(INDEX(競技会設定!$X$25:$AC$47,MATCH(INDEX(女子エントリー!$J$7:$AH$406,MATCH($G85&amp;RIGHT(AB$1,1),女子エントリー!$AH$7:$AH$406,0),1),競技会設定!$AC$25:$AC$47,0),1),INDEX(競技会設定!$X$25:$AC$47,MATCH(INDEX(女子エントリー!$R$6:$V$406,MATCH($G85&amp;RIGHT(AB$1,1),女子エントリー!$V$6:$V$406,0)-MATCH($G85&amp;RIGHT(AB$1,1),女子エントリー!$V$6:$V$406,0)+1,1),競技会設定!$AC$25:$AC$47,0),1)),"")</f>
        <v/>
      </c>
      <c r="AC85" s="1" t="str">
        <f>IF(AB85=37,リレーエントリー!$I$27,_xlfn.IFNA(INDEX(女子エントリー!$J$7:$AH$406,MATCH($G85&amp;RIGHT(AD$1,1),女子エントリー!$AH$7:$AH$406,0),3),""))</f>
        <v/>
      </c>
      <c r="AD85" s="1" t="str">
        <f t="shared" si="22"/>
        <v/>
      </c>
      <c r="AE85" s="1" t="str">
        <f t="shared" si="23"/>
        <v/>
      </c>
      <c r="AF85" s="1" t="str">
        <f t="shared" si="24"/>
        <v/>
      </c>
      <c r="AG85" s="1" t="str" cm="1">
        <f t="array" ref="AG85">_xlfn.IFNA(_xlfn.IFNA(INDEX(競技会設定!$X$25:$AC$47,MATCH(INDEX(女子エントリー!$J$7:$AH$406,MATCH($G85&amp;RIGHT(AG$1,1),女子エントリー!$AH$7:$AH$406,0),1),競技会設定!$AC$25:$AC$47,0),1),INDEX(競技会設定!$X$25:$AC$47,MATCH(INDEX(女子エントリー!$R$6:$V$406,MATCH($G85&amp;RIGHT(AG$1,1),女子エントリー!$V$6:$V$406,0)-MATCH($G85&amp;RIGHT(AG$1,1),女子エントリー!$V$6:$V$406,0)+1,1),競技会設定!$AC$25:$AC$47,0),1)),"")</f>
        <v/>
      </c>
      <c r="AH85" s="1" t="str">
        <f>IF(AG85=37,リレーエントリー!$I$27,_xlfn.IFNA(INDEX(女子エントリー!$J$7:$AH$406,MATCH($G85&amp;RIGHT(AI$1,1),女子エントリー!$AH$7:$AH$406,0),3),""))</f>
        <v/>
      </c>
      <c r="AI85" s="1" t="str">
        <f t="shared" si="25"/>
        <v/>
      </c>
      <c r="AJ85" s="1" t="str">
        <f t="shared" si="26"/>
        <v/>
      </c>
      <c r="AK85" s="1" t="str">
        <f t="shared" si="27"/>
        <v/>
      </c>
      <c r="AL85" s="1" t="str" cm="1">
        <f t="array" ref="AL85">_xlfn.IFNA(_xlfn.IFNA(INDEX(競技会設定!$X$25:$AC$47,MATCH(INDEX(女子エントリー!$J$7:$AH$406,MATCH($G85&amp;RIGHT(AL$1,1),女子エントリー!$AH$7:$AH$406,0),1),競技会設定!$AC$25:$AC$47,0),1),INDEX(競技会設定!$X$25:$AC$47,MATCH(INDEX(女子エントリー!$R$6:$V$406,MATCH($G85&amp;RIGHT(AL$1,1),女子エントリー!$V$6:$V$406,0)-MATCH($G85&amp;RIGHT(AL$1,1),女子エントリー!$V$6:$V$406,0)+1,1),競技会設定!$AC$25:$AC$47,0),1)),"")</f>
        <v/>
      </c>
      <c r="AM85" s="1" t="str">
        <f>IF(AL85=37,リレーエントリー!$I$27,_xlfn.IFNA(INDEX(女子エントリー!$J$7:$AH$406,MATCH($G85&amp;RIGHT(AN$1,1),女子エントリー!$AH$7:$AH$406,0),3),""))</f>
        <v/>
      </c>
      <c r="AN85" s="1" t="str">
        <f t="shared" si="28"/>
        <v/>
      </c>
      <c r="AO85" s="1" t="str">
        <f t="shared" si="29"/>
        <v/>
      </c>
      <c r="AP85" s="1" t="str">
        <f t="shared" si="30"/>
        <v/>
      </c>
    </row>
    <row r="86" spans="1:42">
      <c r="A86" s="1">
        <v>85</v>
      </c>
      <c r="B86" s="92" t="str">
        <f>女子エントリー!D343</f>
        <v/>
      </c>
      <c r="C86" s="1" t="str">
        <f>基本情報!$E$6</f>
        <v/>
      </c>
      <c r="D86" s="1" t="str">
        <f>基本情報!$E$7</f>
        <v/>
      </c>
      <c r="F86" s="92">
        <f>女子エントリー!C343</f>
        <v>0</v>
      </c>
      <c r="G86" s="92" t="str">
        <f>女子エントリー!E343</f>
        <v/>
      </c>
      <c r="H86" s="92" t="str">
        <f>女子エントリー!F343</f>
        <v/>
      </c>
      <c r="I86" s="1" t="str">
        <f t="shared" si="31"/>
        <v/>
      </c>
      <c r="J86" s="1" t="e">
        <f>LEFT(女子エントリー!E345,FIND(",",LEFT(女子エントリー!E345,LEN(女子エントリー!E345)-5))-1)&amp;LEFT(RIGHT(女子エントリー!E345,LEN(女子エントリー!E345)-FIND(",",女子エントリー!E345)),LEN(RIGHT(女子エントリー!E345,LEN(女子エントリー!E345)-FIND(",",女子エントリー!E345)))-5)</f>
        <v>#VALUE!</v>
      </c>
      <c r="K86" s="92" t="str">
        <f>女子エントリー!G345</f>
        <v/>
      </c>
      <c r="L86" s="1" t="str">
        <f t="shared" si="18"/>
        <v/>
      </c>
      <c r="M86" s="92" t="str">
        <f>女子エントリー!G343</f>
        <v/>
      </c>
      <c r="N86" s="92" t="e">
        <f>MID(女子エントリー!E345,FIND("(",女子エントリー!E345)+1,2)</f>
        <v>#VALUE!</v>
      </c>
      <c r="O86" s="1">
        <v>0</v>
      </c>
      <c r="P86" s="92" t="e">
        <f>VLOOKUP(女子エントリー!G344,競技会設定!$F$3:$I$50,2,0)</f>
        <v>#N/A</v>
      </c>
      <c r="R86" s="1" t="str" cm="1">
        <f t="array" ref="R86">_xlfn.IFNA(_xlfn.IFNA(INDEX(競技会設定!$X$25:$AC$47,MATCH(INDEX(女子エントリー!$J$7:$AH$406,MATCH($G86&amp;RIGHT(R$1,1),女子エントリー!$AH$7:$AH$406,0),1),競技会設定!$AC$25:$AC$47,0),1),INDEX(競技会設定!$X$25:$AC$47,MATCH(INDEX(女子エントリー!$R$6:$V$406,MATCH($G86&amp;RIGHT(R$1,1),女子エントリー!$V$6:$V$406,0)-MATCH($G86&amp;RIGHT(R$1,1),女子エントリー!$V$6:$V$406,0)+1,1),競技会設定!$AC$25:$AC$47,0),1)),"")</f>
        <v/>
      </c>
      <c r="S86" s="1" t="str">
        <f>IF(R86=37,リレーエントリー!$I$27,_xlfn.IFNA(INDEX(女子エントリー!$J$7:$AH$406,MATCH($G86&amp;RIGHT(T$1,1),女子エントリー!$AH$7:$AH$406,0),3),""))</f>
        <v/>
      </c>
      <c r="T86" s="1" t="str">
        <f t="shared" si="32"/>
        <v/>
      </c>
      <c r="U86" s="1" t="str">
        <f t="shared" si="33"/>
        <v/>
      </c>
      <c r="V86" s="1" t="str">
        <f t="shared" si="34"/>
        <v/>
      </c>
      <c r="W86" s="1" t="str" cm="1">
        <f t="array" ref="W86">_xlfn.IFNA(_xlfn.IFNA(INDEX(競技会設定!$X$25:$AC$47,MATCH(INDEX(女子エントリー!$J$7:$AH$406,MATCH($G86&amp;RIGHT(W$1,1),女子エントリー!$AH$7:$AH$406,0),1),競技会設定!$AC$25:$AC$47,0),1),INDEX(競技会設定!$X$25:$AC$47,MATCH(INDEX(女子エントリー!$R$6:$V$406,MATCH($G86&amp;RIGHT(W$1,1),女子エントリー!$V$6:$V$406,0)-MATCH($G86&amp;RIGHT(W$1,1),女子エントリー!$V$6:$V$406,0)+1,1),競技会設定!$AC$25:$AC$47,0),1)),"")</f>
        <v/>
      </c>
      <c r="X86" s="1" t="str">
        <f>IF(W86=37,リレーエントリー!$I$27,_xlfn.IFNA(INDEX(女子エントリー!$J$7:$AH$406,MATCH($G86&amp;RIGHT(Y$1,1),女子エントリー!$AH$7:$AH$406,0),3),""))</f>
        <v/>
      </c>
      <c r="Y86" s="1" t="str">
        <f t="shared" si="19"/>
        <v/>
      </c>
      <c r="Z86" s="1" t="str">
        <f t="shared" si="20"/>
        <v/>
      </c>
      <c r="AA86" s="1" t="str">
        <f t="shared" si="21"/>
        <v/>
      </c>
      <c r="AB86" s="1" t="str" cm="1">
        <f t="array" ref="AB86">_xlfn.IFNA(_xlfn.IFNA(INDEX(競技会設定!$X$25:$AC$47,MATCH(INDEX(女子エントリー!$J$7:$AH$406,MATCH($G86&amp;RIGHT(AB$1,1),女子エントリー!$AH$7:$AH$406,0),1),競技会設定!$AC$25:$AC$47,0),1),INDEX(競技会設定!$X$25:$AC$47,MATCH(INDEX(女子エントリー!$R$6:$V$406,MATCH($G86&amp;RIGHT(AB$1,1),女子エントリー!$V$6:$V$406,0)-MATCH($G86&amp;RIGHT(AB$1,1),女子エントリー!$V$6:$V$406,0)+1,1),競技会設定!$AC$25:$AC$47,0),1)),"")</f>
        <v/>
      </c>
      <c r="AC86" s="1" t="str">
        <f>IF(AB86=37,リレーエントリー!$I$27,_xlfn.IFNA(INDEX(女子エントリー!$J$7:$AH$406,MATCH($G86&amp;RIGHT(AD$1,1),女子エントリー!$AH$7:$AH$406,0),3),""))</f>
        <v/>
      </c>
      <c r="AD86" s="1" t="str">
        <f t="shared" si="22"/>
        <v/>
      </c>
      <c r="AE86" s="1" t="str">
        <f t="shared" si="23"/>
        <v/>
      </c>
      <c r="AF86" s="1" t="str">
        <f t="shared" si="24"/>
        <v/>
      </c>
      <c r="AG86" s="1" t="str" cm="1">
        <f t="array" ref="AG86">_xlfn.IFNA(_xlfn.IFNA(INDEX(競技会設定!$X$25:$AC$47,MATCH(INDEX(女子エントリー!$J$7:$AH$406,MATCH($G86&amp;RIGHT(AG$1,1),女子エントリー!$AH$7:$AH$406,0),1),競技会設定!$AC$25:$AC$47,0),1),INDEX(競技会設定!$X$25:$AC$47,MATCH(INDEX(女子エントリー!$R$6:$V$406,MATCH($G86&amp;RIGHT(AG$1,1),女子エントリー!$V$6:$V$406,0)-MATCH($G86&amp;RIGHT(AG$1,1),女子エントリー!$V$6:$V$406,0)+1,1),競技会設定!$AC$25:$AC$47,0),1)),"")</f>
        <v/>
      </c>
      <c r="AH86" s="1" t="str">
        <f>IF(AG86=37,リレーエントリー!$I$27,_xlfn.IFNA(INDEX(女子エントリー!$J$7:$AH$406,MATCH($G86&amp;RIGHT(AI$1,1),女子エントリー!$AH$7:$AH$406,0),3),""))</f>
        <v/>
      </c>
      <c r="AI86" s="1" t="str">
        <f t="shared" si="25"/>
        <v/>
      </c>
      <c r="AJ86" s="1" t="str">
        <f t="shared" si="26"/>
        <v/>
      </c>
      <c r="AK86" s="1" t="str">
        <f t="shared" si="27"/>
        <v/>
      </c>
      <c r="AL86" s="1" t="str" cm="1">
        <f t="array" ref="AL86">_xlfn.IFNA(_xlfn.IFNA(INDEX(競技会設定!$X$25:$AC$47,MATCH(INDEX(女子エントリー!$J$7:$AH$406,MATCH($G86&amp;RIGHT(AL$1,1),女子エントリー!$AH$7:$AH$406,0),1),競技会設定!$AC$25:$AC$47,0),1),INDEX(競技会設定!$X$25:$AC$47,MATCH(INDEX(女子エントリー!$R$6:$V$406,MATCH($G86&amp;RIGHT(AL$1,1),女子エントリー!$V$6:$V$406,0)-MATCH($G86&amp;RIGHT(AL$1,1),女子エントリー!$V$6:$V$406,0)+1,1),競技会設定!$AC$25:$AC$47,0),1)),"")</f>
        <v/>
      </c>
      <c r="AM86" s="1" t="str">
        <f>IF(AL86=37,リレーエントリー!$I$27,_xlfn.IFNA(INDEX(女子エントリー!$J$7:$AH$406,MATCH($G86&amp;RIGHT(AN$1,1),女子エントリー!$AH$7:$AH$406,0),3),""))</f>
        <v/>
      </c>
      <c r="AN86" s="1" t="str">
        <f t="shared" si="28"/>
        <v/>
      </c>
      <c r="AO86" s="1" t="str">
        <f t="shared" si="29"/>
        <v/>
      </c>
      <c r="AP86" s="1" t="str">
        <f t="shared" si="30"/>
        <v/>
      </c>
    </row>
    <row r="87" spans="1:42">
      <c r="A87" s="1">
        <v>86</v>
      </c>
      <c r="B87" s="92" t="str">
        <f>女子エントリー!D347</f>
        <v/>
      </c>
      <c r="C87" s="1" t="str">
        <f>基本情報!$E$6</f>
        <v/>
      </c>
      <c r="D87" s="1" t="str">
        <f>基本情報!$E$7</f>
        <v/>
      </c>
      <c r="F87" s="92">
        <f>女子エントリー!C347</f>
        <v>0</v>
      </c>
      <c r="G87" s="92" t="str">
        <f>女子エントリー!E347</f>
        <v/>
      </c>
      <c r="H87" s="92" t="str">
        <f>女子エントリー!F347</f>
        <v/>
      </c>
      <c r="I87" s="1" t="str">
        <f t="shared" si="31"/>
        <v/>
      </c>
      <c r="J87" s="1" t="e">
        <f>LEFT(女子エントリー!E349,FIND(",",LEFT(女子エントリー!E349,LEN(女子エントリー!E349)-5))-1)&amp;LEFT(RIGHT(女子エントリー!E349,LEN(女子エントリー!E349)-FIND(",",女子エントリー!E349)),LEN(RIGHT(女子エントリー!E349,LEN(女子エントリー!E349)-FIND(",",女子エントリー!E349)))-5)</f>
        <v>#VALUE!</v>
      </c>
      <c r="K87" s="92" t="str">
        <f>女子エントリー!G349</f>
        <v/>
      </c>
      <c r="L87" s="1" t="str">
        <f t="shared" si="18"/>
        <v/>
      </c>
      <c r="M87" s="92" t="str">
        <f>女子エントリー!G347</f>
        <v/>
      </c>
      <c r="N87" s="92" t="e">
        <f>MID(女子エントリー!E349,FIND("(",女子エントリー!E349)+1,2)</f>
        <v>#VALUE!</v>
      </c>
      <c r="O87" s="1">
        <v>0</v>
      </c>
      <c r="P87" s="92" t="e">
        <f>VLOOKUP(女子エントリー!G348,競技会設定!$F$3:$I$50,2,0)</f>
        <v>#N/A</v>
      </c>
      <c r="R87" s="1" t="str" cm="1">
        <f t="array" ref="R87">_xlfn.IFNA(_xlfn.IFNA(INDEX(競技会設定!$X$25:$AC$47,MATCH(INDEX(女子エントリー!$J$7:$AH$406,MATCH($G87&amp;RIGHT(R$1,1),女子エントリー!$AH$7:$AH$406,0),1),競技会設定!$AC$25:$AC$47,0),1),INDEX(競技会設定!$X$25:$AC$47,MATCH(INDEX(女子エントリー!$R$6:$V$406,MATCH($G87&amp;RIGHT(R$1,1),女子エントリー!$V$6:$V$406,0)-MATCH($G87&amp;RIGHT(R$1,1),女子エントリー!$V$6:$V$406,0)+1,1),競技会設定!$AC$25:$AC$47,0),1)),"")</f>
        <v/>
      </c>
      <c r="S87" s="1" t="str">
        <f>IF(R87=37,リレーエントリー!$I$27,_xlfn.IFNA(INDEX(女子エントリー!$J$7:$AH$406,MATCH($G87&amp;RIGHT(T$1,1),女子エントリー!$AH$7:$AH$406,0),3),""))</f>
        <v/>
      </c>
      <c r="T87" s="1" t="str">
        <f t="shared" si="32"/>
        <v/>
      </c>
      <c r="U87" s="1" t="str">
        <f t="shared" si="33"/>
        <v/>
      </c>
      <c r="V87" s="1" t="str">
        <f t="shared" si="34"/>
        <v/>
      </c>
      <c r="W87" s="1" t="str" cm="1">
        <f t="array" ref="W87">_xlfn.IFNA(_xlfn.IFNA(INDEX(競技会設定!$X$25:$AC$47,MATCH(INDEX(女子エントリー!$J$7:$AH$406,MATCH($G87&amp;RIGHT(W$1,1),女子エントリー!$AH$7:$AH$406,0),1),競技会設定!$AC$25:$AC$47,0),1),INDEX(競技会設定!$X$25:$AC$47,MATCH(INDEX(女子エントリー!$R$6:$V$406,MATCH($G87&amp;RIGHT(W$1,1),女子エントリー!$V$6:$V$406,0)-MATCH($G87&amp;RIGHT(W$1,1),女子エントリー!$V$6:$V$406,0)+1,1),競技会設定!$AC$25:$AC$47,0),1)),"")</f>
        <v/>
      </c>
      <c r="X87" s="1" t="str">
        <f>IF(W87=37,リレーエントリー!$I$27,_xlfn.IFNA(INDEX(女子エントリー!$J$7:$AH$406,MATCH($G87&amp;RIGHT(Y$1,1),女子エントリー!$AH$7:$AH$406,0),3),""))</f>
        <v/>
      </c>
      <c r="Y87" s="1" t="str">
        <f t="shared" si="19"/>
        <v/>
      </c>
      <c r="Z87" s="1" t="str">
        <f t="shared" si="20"/>
        <v/>
      </c>
      <c r="AA87" s="1" t="str">
        <f t="shared" si="21"/>
        <v/>
      </c>
      <c r="AB87" s="1" t="str" cm="1">
        <f t="array" ref="AB87">_xlfn.IFNA(_xlfn.IFNA(INDEX(競技会設定!$X$25:$AC$47,MATCH(INDEX(女子エントリー!$J$7:$AH$406,MATCH($G87&amp;RIGHT(AB$1,1),女子エントリー!$AH$7:$AH$406,0),1),競技会設定!$AC$25:$AC$47,0),1),INDEX(競技会設定!$X$25:$AC$47,MATCH(INDEX(女子エントリー!$R$6:$V$406,MATCH($G87&amp;RIGHT(AB$1,1),女子エントリー!$V$6:$V$406,0)-MATCH($G87&amp;RIGHT(AB$1,1),女子エントリー!$V$6:$V$406,0)+1,1),競技会設定!$AC$25:$AC$47,0),1)),"")</f>
        <v/>
      </c>
      <c r="AC87" s="1" t="str">
        <f>IF(AB87=37,リレーエントリー!$I$27,_xlfn.IFNA(INDEX(女子エントリー!$J$7:$AH$406,MATCH($G87&amp;RIGHT(AD$1,1),女子エントリー!$AH$7:$AH$406,0),3),""))</f>
        <v/>
      </c>
      <c r="AD87" s="1" t="str">
        <f t="shared" si="22"/>
        <v/>
      </c>
      <c r="AE87" s="1" t="str">
        <f t="shared" si="23"/>
        <v/>
      </c>
      <c r="AF87" s="1" t="str">
        <f t="shared" si="24"/>
        <v/>
      </c>
      <c r="AG87" s="1" t="str" cm="1">
        <f t="array" ref="AG87">_xlfn.IFNA(_xlfn.IFNA(INDEX(競技会設定!$X$25:$AC$47,MATCH(INDEX(女子エントリー!$J$7:$AH$406,MATCH($G87&amp;RIGHT(AG$1,1),女子エントリー!$AH$7:$AH$406,0),1),競技会設定!$AC$25:$AC$47,0),1),INDEX(競技会設定!$X$25:$AC$47,MATCH(INDEX(女子エントリー!$R$6:$V$406,MATCH($G87&amp;RIGHT(AG$1,1),女子エントリー!$V$6:$V$406,0)-MATCH($G87&amp;RIGHT(AG$1,1),女子エントリー!$V$6:$V$406,0)+1,1),競技会設定!$AC$25:$AC$47,0),1)),"")</f>
        <v/>
      </c>
      <c r="AH87" s="1" t="str">
        <f>IF(AG87=37,リレーエントリー!$I$27,_xlfn.IFNA(INDEX(女子エントリー!$J$7:$AH$406,MATCH($G87&amp;RIGHT(AI$1,1),女子エントリー!$AH$7:$AH$406,0),3),""))</f>
        <v/>
      </c>
      <c r="AI87" s="1" t="str">
        <f t="shared" si="25"/>
        <v/>
      </c>
      <c r="AJ87" s="1" t="str">
        <f t="shared" si="26"/>
        <v/>
      </c>
      <c r="AK87" s="1" t="str">
        <f t="shared" si="27"/>
        <v/>
      </c>
      <c r="AL87" s="1" t="str" cm="1">
        <f t="array" ref="AL87">_xlfn.IFNA(_xlfn.IFNA(INDEX(競技会設定!$X$25:$AC$47,MATCH(INDEX(女子エントリー!$J$7:$AH$406,MATCH($G87&amp;RIGHT(AL$1,1),女子エントリー!$AH$7:$AH$406,0),1),競技会設定!$AC$25:$AC$47,0),1),INDEX(競技会設定!$X$25:$AC$47,MATCH(INDEX(女子エントリー!$R$6:$V$406,MATCH($G87&amp;RIGHT(AL$1,1),女子エントリー!$V$6:$V$406,0)-MATCH($G87&amp;RIGHT(AL$1,1),女子エントリー!$V$6:$V$406,0)+1,1),競技会設定!$AC$25:$AC$47,0),1)),"")</f>
        <v/>
      </c>
      <c r="AM87" s="1" t="str">
        <f>IF(AL87=37,リレーエントリー!$I$27,_xlfn.IFNA(INDEX(女子エントリー!$J$7:$AH$406,MATCH($G87&amp;RIGHT(AN$1,1),女子エントリー!$AH$7:$AH$406,0),3),""))</f>
        <v/>
      </c>
      <c r="AN87" s="1" t="str">
        <f t="shared" si="28"/>
        <v/>
      </c>
      <c r="AO87" s="1" t="str">
        <f t="shared" si="29"/>
        <v/>
      </c>
      <c r="AP87" s="1" t="str">
        <f t="shared" si="30"/>
        <v/>
      </c>
    </row>
    <row r="88" spans="1:42">
      <c r="A88" s="1">
        <v>87</v>
      </c>
      <c r="B88" s="92" t="str">
        <f>女子エントリー!D351</f>
        <v/>
      </c>
      <c r="C88" s="1" t="str">
        <f>基本情報!$E$6</f>
        <v/>
      </c>
      <c r="D88" s="1" t="str">
        <f>基本情報!$E$7</f>
        <v/>
      </c>
      <c r="F88" s="92">
        <f>女子エントリー!C351</f>
        <v>0</v>
      </c>
      <c r="G88" s="92" t="str">
        <f>女子エントリー!E351</f>
        <v/>
      </c>
      <c r="H88" s="92" t="str">
        <f>女子エントリー!F351</f>
        <v/>
      </c>
      <c r="I88" s="1" t="str">
        <f t="shared" si="31"/>
        <v/>
      </c>
      <c r="J88" s="1" t="e">
        <f>LEFT(女子エントリー!E353,FIND(",",LEFT(女子エントリー!E353,LEN(女子エントリー!E353)-5))-1)&amp;LEFT(RIGHT(女子エントリー!E353,LEN(女子エントリー!E353)-FIND(",",女子エントリー!E353)),LEN(RIGHT(女子エントリー!E353,LEN(女子エントリー!E353)-FIND(",",女子エントリー!E353)))-5)</f>
        <v>#VALUE!</v>
      </c>
      <c r="K88" s="92" t="str">
        <f>女子エントリー!G353</f>
        <v/>
      </c>
      <c r="L88" s="1" t="str">
        <f t="shared" si="18"/>
        <v/>
      </c>
      <c r="M88" s="92" t="str">
        <f>女子エントリー!G351</f>
        <v/>
      </c>
      <c r="N88" s="92" t="e">
        <f>MID(女子エントリー!E353,FIND("(",女子エントリー!E353)+1,2)</f>
        <v>#VALUE!</v>
      </c>
      <c r="O88" s="1">
        <v>0</v>
      </c>
      <c r="P88" s="92" t="e">
        <f>VLOOKUP(女子エントリー!G352,競技会設定!$F$3:$I$50,2,0)</f>
        <v>#N/A</v>
      </c>
      <c r="R88" s="1" t="str" cm="1">
        <f t="array" ref="R88">_xlfn.IFNA(_xlfn.IFNA(INDEX(競技会設定!$X$25:$AC$47,MATCH(INDEX(女子エントリー!$J$7:$AH$406,MATCH($G88&amp;RIGHT(R$1,1),女子エントリー!$AH$7:$AH$406,0),1),競技会設定!$AC$25:$AC$47,0),1),INDEX(競技会設定!$X$25:$AC$47,MATCH(INDEX(女子エントリー!$R$6:$V$406,MATCH($G88&amp;RIGHT(R$1,1),女子エントリー!$V$6:$V$406,0)-MATCH($G88&amp;RIGHT(R$1,1),女子エントリー!$V$6:$V$406,0)+1,1),競技会設定!$AC$25:$AC$47,0),1)),"")</f>
        <v/>
      </c>
      <c r="S88" s="1" t="str">
        <f>IF(R88=37,リレーエントリー!$I$27,_xlfn.IFNA(INDEX(女子エントリー!$J$7:$AH$406,MATCH($G88&amp;RIGHT(T$1,1),女子エントリー!$AH$7:$AH$406,0),3),""))</f>
        <v/>
      </c>
      <c r="T88" s="1" t="str">
        <f t="shared" si="32"/>
        <v/>
      </c>
      <c r="U88" s="1" t="str">
        <f t="shared" si="33"/>
        <v/>
      </c>
      <c r="V88" s="1" t="str">
        <f t="shared" si="34"/>
        <v/>
      </c>
      <c r="W88" s="1" t="str" cm="1">
        <f t="array" ref="W88">_xlfn.IFNA(_xlfn.IFNA(INDEX(競技会設定!$X$25:$AC$47,MATCH(INDEX(女子エントリー!$J$7:$AH$406,MATCH($G88&amp;RIGHT(W$1,1),女子エントリー!$AH$7:$AH$406,0),1),競技会設定!$AC$25:$AC$47,0),1),INDEX(競技会設定!$X$25:$AC$47,MATCH(INDEX(女子エントリー!$R$6:$V$406,MATCH($G88&amp;RIGHT(W$1,1),女子エントリー!$V$6:$V$406,0)-MATCH($G88&amp;RIGHT(W$1,1),女子エントリー!$V$6:$V$406,0)+1,1),競技会設定!$AC$25:$AC$47,0),1)),"")</f>
        <v/>
      </c>
      <c r="X88" s="1" t="str">
        <f>IF(W88=37,リレーエントリー!$I$27,_xlfn.IFNA(INDEX(女子エントリー!$J$7:$AH$406,MATCH($G88&amp;RIGHT(Y$1,1),女子エントリー!$AH$7:$AH$406,0),3),""))</f>
        <v/>
      </c>
      <c r="Y88" s="1" t="str">
        <f t="shared" si="19"/>
        <v/>
      </c>
      <c r="Z88" s="1" t="str">
        <f t="shared" si="20"/>
        <v/>
      </c>
      <c r="AA88" s="1" t="str">
        <f t="shared" si="21"/>
        <v/>
      </c>
      <c r="AB88" s="1" t="str" cm="1">
        <f t="array" ref="AB88">_xlfn.IFNA(_xlfn.IFNA(INDEX(競技会設定!$X$25:$AC$47,MATCH(INDEX(女子エントリー!$J$7:$AH$406,MATCH($G88&amp;RIGHT(AB$1,1),女子エントリー!$AH$7:$AH$406,0),1),競技会設定!$AC$25:$AC$47,0),1),INDEX(競技会設定!$X$25:$AC$47,MATCH(INDEX(女子エントリー!$R$6:$V$406,MATCH($G88&amp;RIGHT(AB$1,1),女子エントリー!$V$6:$V$406,0)-MATCH($G88&amp;RIGHT(AB$1,1),女子エントリー!$V$6:$V$406,0)+1,1),競技会設定!$AC$25:$AC$47,0),1)),"")</f>
        <v/>
      </c>
      <c r="AC88" s="1" t="str">
        <f>IF(AB88=37,リレーエントリー!$I$27,_xlfn.IFNA(INDEX(女子エントリー!$J$7:$AH$406,MATCH($G88&amp;RIGHT(AD$1,1),女子エントリー!$AH$7:$AH$406,0),3),""))</f>
        <v/>
      </c>
      <c r="AD88" s="1" t="str">
        <f t="shared" si="22"/>
        <v/>
      </c>
      <c r="AE88" s="1" t="str">
        <f t="shared" si="23"/>
        <v/>
      </c>
      <c r="AF88" s="1" t="str">
        <f t="shared" si="24"/>
        <v/>
      </c>
      <c r="AG88" s="1" t="str" cm="1">
        <f t="array" ref="AG88">_xlfn.IFNA(_xlfn.IFNA(INDEX(競技会設定!$X$25:$AC$47,MATCH(INDEX(女子エントリー!$J$7:$AH$406,MATCH($G88&amp;RIGHT(AG$1,1),女子エントリー!$AH$7:$AH$406,0),1),競技会設定!$AC$25:$AC$47,0),1),INDEX(競技会設定!$X$25:$AC$47,MATCH(INDEX(女子エントリー!$R$6:$V$406,MATCH($G88&amp;RIGHT(AG$1,1),女子エントリー!$V$6:$V$406,0)-MATCH($G88&amp;RIGHT(AG$1,1),女子エントリー!$V$6:$V$406,0)+1,1),競技会設定!$AC$25:$AC$47,0),1)),"")</f>
        <v/>
      </c>
      <c r="AH88" s="1" t="str">
        <f>IF(AG88=37,リレーエントリー!$I$27,_xlfn.IFNA(INDEX(女子エントリー!$J$7:$AH$406,MATCH($G88&amp;RIGHT(AI$1,1),女子エントリー!$AH$7:$AH$406,0),3),""))</f>
        <v/>
      </c>
      <c r="AI88" s="1" t="str">
        <f t="shared" si="25"/>
        <v/>
      </c>
      <c r="AJ88" s="1" t="str">
        <f t="shared" si="26"/>
        <v/>
      </c>
      <c r="AK88" s="1" t="str">
        <f t="shared" si="27"/>
        <v/>
      </c>
      <c r="AL88" s="1" t="str" cm="1">
        <f t="array" ref="AL88">_xlfn.IFNA(_xlfn.IFNA(INDEX(競技会設定!$X$25:$AC$47,MATCH(INDEX(女子エントリー!$J$7:$AH$406,MATCH($G88&amp;RIGHT(AL$1,1),女子エントリー!$AH$7:$AH$406,0),1),競技会設定!$AC$25:$AC$47,0),1),INDEX(競技会設定!$X$25:$AC$47,MATCH(INDEX(女子エントリー!$R$6:$V$406,MATCH($G88&amp;RIGHT(AL$1,1),女子エントリー!$V$6:$V$406,0)-MATCH($G88&amp;RIGHT(AL$1,1),女子エントリー!$V$6:$V$406,0)+1,1),競技会設定!$AC$25:$AC$47,0),1)),"")</f>
        <v/>
      </c>
      <c r="AM88" s="1" t="str">
        <f>IF(AL88=37,リレーエントリー!$I$27,_xlfn.IFNA(INDEX(女子エントリー!$J$7:$AH$406,MATCH($G88&amp;RIGHT(AN$1,1),女子エントリー!$AH$7:$AH$406,0),3),""))</f>
        <v/>
      </c>
      <c r="AN88" s="1" t="str">
        <f t="shared" si="28"/>
        <v/>
      </c>
      <c r="AO88" s="1" t="str">
        <f t="shared" si="29"/>
        <v/>
      </c>
      <c r="AP88" s="1" t="str">
        <f t="shared" si="30"/>
        <v/>
      </c>
    </row>
    <row r="89" spans="1:42">
      <c r="A89" s="1">
        <v>88</v>
      </c>
      <c r="B89" s="92" t="str">
        <f>女子エントリー!D355</f>
        <v/>
      </c>
      <c r="C89" s="1" t="str">
        <f>基本情報!$E$6</f>
        <v/>
      </c>
      <c r="D89" s="1" t="str">
        <f>基本情報!$E$7</f>
        <v/>
      </c>
      <c r="F89" s="92">
        <f>女子エントリー!C355</f>
        <v>0</v>
      </c>
      <c r="G89" s="92" t="str">
        <f>女子エントリー!E355</f>
        <v/>
      </c>
      <c r="H89" s="92" t="str">
        <f>女子エントリー!F355</f>
        <v/>
      </c>
      <c r="I89" s="1" t="str">
        <f t="shared" si="31"/>
        <v/>
      </c>
      <c r="J89" s="1" t="e">
        <f>LEFT(女子エントリー!E357,FIND(",",LEFT(女子エントリー!E357,LEN(女子エントリー!E357)-5))-1)&amp;LEFT(RIGHT(女子エントリー!E357,LEN(女子エントリー!E357)-FIND(",",女子エントリー!E357)),LEN(RIGHT(女子エントリー!E357,LEN(女子エントリー!E357)-FIND(",",女子エントリー!E357)))-5)</f>
        <v>#VALUE!</v>
      </c>
      <c r="K89" s="92" t="str">
        <f>女子エントリー!G357</f>
        <v/>
      </c>
      <c r="L89" s="1" t="str">
        <f t="shared" si="18"/>
        <v/>
      </c>
      <c r="M89" s="92" t="str">
        <f>女子エントリー!G355</f>
        <v/>
      </c>
      <c r="N89" s="92" t="e">
        <f>MID(女子エントリー!E357,FIND("(",女子エントリー!E357)+1,2)</f>
        <v>#VALUE!</v>
      </c>
      <c r="O89" s="1">
        <v>0</v>
      </c>
      <c r="P89" s="92" t="e">
        <f>VLOOKUP(女子エントリー!G356,競技会設定!$F$3:$I$50,2,0)</f>
        <v>#N/A</v>
      </c>
      <c r="R89" s="1" t="str" cm="1">
        <f t="array" ref="R89">_xlfn.IFNA(_xlfn.IFNA(INDEX(競技会設定!$X$25:$AC$47,MATCH(INDEX(女子エントリー!$J$7:$AH$406,MATCH($G89&amp;RIGHT(R$1,1),女子エントリー!$AH$7:$AH$406,0),1),競技会設定!$AC$25:$AC$47,0),1),INDEX(競技会設定!$X$25:$AC$47,MATCH(INDEX(女子エントリー!$R$6:$V$406,MATCH($G89&amp;RIGHT(R$1,1),女子エントリー!$V$6:$V$406,0)-MATCH($G89&amp;RIGHT(R$1,1),女子エントリー!$V$6:$V$406,0)+1,1),競技会設定!$AC$25:$AC$47,0),1)),"")</f>
        <v/>
      </c>
      <c r="S89" s="1" t="str">
        <f>IF(R89=37,リレーエントリー!$I$27,_xlfn.IFNA(INDEX(女子エントリー!$J$7:$AH$406,MATCH($G89&amp;RIGHT(T$1,1),女子エントリー!$AH$7:$AH$406,0),3),""))</f>
        <v/>
      </c>
      <c r="T89" s="1" t="str">
        <f t="shared" si="32"/>
        <v/>
      </c>
      <c r="U89" s="1" t="str">
        <f t="shared" si="33"/>
        <v/>
      </c>
      <c r="V89" s="1" t="str">
        <f t="shared" si="34"/>
        <v/>
      </c>
      <c r="W89" s="1" t="str" cm="1">
        <f t="array" ref="W89">_xlfn.IFNA(_xlfn.IFNA(INDEX(競技会設定!$X$25:$AC$47,MATCH(INDEX(女子エントリー!$J$7:$AH$406,MATCH($G89&amp;RIGHT(W$1,1),女子エントリー!$AH$7:$AH$406,0),1),競技会設定!$AC$25:$AC$47,0),1),INDEX(競技会設定!$X$25:$AC$47,MATCH(INDEX(女子エントリー!$R$6:$V$406,MATCH($G89&amp;RIGHT(W$1,1),女子エントリー!$V$6:$V$406,0)-MATCH($G89&amp;RIGHT(W$1,1),女子エントリー!$V$6:$V$406,0)+1,1),競技会設定!$AC$25:$AC$47,0),1)),"")</f>
        <v/>
      </c>
      <c r="X89" s="1" t="str">
        <f>IF(W89=37,リレーエントリー!$I$27,_xlfn.IFNA(INDEX(女子エントリー!$J$7:$AH$406,MATCH($G89&amp;RIGHT(Y$1,1),女子エントリー!$AH$7:$AH$406,0),3),""))</f>
        <v/>
      </c>
      <c r="Y89" s="1" t="str">
        <f t="shared" si="19"/>
        <v/>
      </c>
      <c r="Z89" s="1" t="str">
        <f t="shared" si="20"/>
        <v/>
      </c>
      <c r="AA89" s="1" t="str">
        <f t="shared" si="21"/>
        <v/>
      </c>
      <c r="AB89" s="1" t="str" cm="1">
        <f t="array" ref="AB89">_xlfn.IFNA(_xlfn.IFNA(INDEX(競技会設定!$X$25:$AC$47,MATCH(INDEX(女子エントリー!$J$7:$AH$406,MATCH($G89&amp;RIGHT(AB$1,1),女子エントリー!$AH$7:$AH$406,0),1),競技会設定!$AC$25:$AC$47,0),1),INDEX(競技会設定!$X$25:$AC$47,MATCH(INDEX(女子エントリー!$R$6:$V$406,MATCH($G89&amp;RIGHT(AB$1,1),女子エントリー!$V$6:$V$406,0)-MATCH($G89&amp;RIGHT(AB$1,1),女子エントリー!$V$6:$V$406,0)+1,1),競技会設定!$AC$25:$AC$47,0),1)),"")</f>
        <v/>
      </c>
      <c r="AC89" s="1" t="str">
        <f>IF(AB89=37,リレーエントリー!$I$27,_xlfn.IFNA(INDEX(女子エントリー!$J$7:$AH$406,MATCH($G89&amp;RIGHT(AD$1,1),女子エントリー!$AH$7:$AH$406,0),3),""))</f>
        <v/>
      </c>
      <c r="AD89" s="1" t="str">
        <f t="shared" si="22"/>
        <v/>
      </c>
      <c r="AE89" s="1" t="str">
        <f t="shared" si="23"/>
        <v/>
      </c>
      <c r="AF89" s="1" t="str">
        <f t="shared" si="24"/>
        <v/>
      </c>
      <c r="AG89" s="1" t="str" cm="1">
        <f t="array" ref="AG89">_xlfn.IFNA(_xlfn.IFNA(INDEX(競技会設定!$X$25:$AC$47,MATCH(INDEX(女子エントリー!$J$7:$AH$406,MATCH($G89&amp;RIGHT(AG$1,1),女子エントリー!$AH$7:$AH$406,0),1),競技会設定!$AC$25:$AC$47,0),1),INDEX(競技会設定!$X$25:$AC$47,MATCH(INDEX(女子エントリー!$R$6:$V$406,MATCH($G89&amp;RIGHT(AG$1,1),女子エントリー!$V$6:$V$406,0)-MATCH($G89&amp;RIGHT(AG$1,1),女子エントリー!$V$6:$V$406,0)+1,1),競技会設定!$AC$25:$AC$47,0),1)),"")</f>
        <v/>
      </c>
      <c r="AH89" s="1" t="str">
        <f>IF(AG89=37,リレーエントリー!$I$27,_xlfn.IFNA(INDEX(女子エントリー!$J$7:$AH$406,MATCH($G89&amp;RIGHT(AI$1,1),女子エントリー!$AH$7:$AH$406,0),3),""))</f>
        <v/>
      </c>
      <c r="AI89" s="1" t="str">
        <f t="shared" si="25"/>
        <v/>
      </c>
      <c r="AJ89" s="1" t="str">
        <f t="shared" si="26"/>
        <v/>
      </c>
      <c r="AK89" s="1" t="str">
        <f t="shared" si="27"/>
        <v/>
      </c>
      <c r="AL89" s="1" t="str" cm="1">
        <f t="array" ref="AL89">_xlfn.IFNA(_xlfn.IFNA(INDEX(競技会設定!$X$25:$AC$47,MATCH(INDEX(女子エントリー!$J$7:$AH$406,MATCH($G89&amp;RIGHT(AL$1,1),女子エントリー!$AH$7:$AH$406,0),1),競技会設定!$AC$25:$AC$47,0),1),INDEX(競技会設定!$X$25:$AC$47,MATCH(INDEX(女子エントリー!$R$6:$V$406,MATCH($G89&amp;RIGHT(AL$1,1),女子エントリー!$V$6:$V$406,0)-MATCH($G89&amp;RIGHT(AL$1,1),女子エントリー!$V$6:$V$406,0)+1,1),競技会設定!$AC$25:$AC$47,0),1)),"")</f>
        <v/>
      </c>
      <c r="AM89" s="1" t="str">
        <f>IF(AL89=37,リレーエントリー!$I$27,_xlfn.IFNA(INDEX(女子エントリー!$J$7:$AH$406,MATCH($G89&amp;RIGHT(AN$1,1),女子エントリー!$AH$7:$AH$406,0),3),""))</f>
        <v/>
      </c>
      <c r="AN89" s="1" t="str">
        <f t="shared" si="28"/>
        <v/>
      </c>
      <c r="AO89" s="1" t="str">
        <f t="shared" si="29"/>
        <v/>
      </c>
      <c r="AP89" s="1" t="str">
        <f t="shared" si="30"/>
        <v/>
      </c>
    </row>
    <row r="90" spans="1:42">
      <c r="A90" s="1">
        <v>89</v>
      </c>
      <c r="B90" s="92" t="str">
        <f>女子エントリー!D359</f>
        <v/>
      </c>
      <c r="C90" s="1" t="str">
        <f>基本情報!$E$6</f>
        <v/>
      </c>
      <c r="D90" s="1" t="str">
        <f>基本情報!$E$7</f>
        <v/>
      </c>
      <c r="F90" s="92">
        <f>女子エントリー!C359</f>
        <v>0</v>
      </c>
      <c r="G90" s="92" t="str">
        <f>女子エントリー!E359</f>
        <v/>
      </c>
      <c r="H90" s="92" t="str">
        <f>女子エントリー!F359</f>
        <v/>
      </c>
      <c r="I90" s="1" t="str">
        <f t="shared" si="31"/>
        <v/>
      </c>
      <c r="J90" s="1" t="e">
        <f>LEFT(女子エントリー!E361,FIND(",",LEFT(女子エントリー!E361,LEN(女子エントリー!E361)-5))-1)&amp;LEFT(RIGHT(女子エントリー!E361,LEN(女子エントリー!E361)-FIND(",",女子エントリー!E361)),LEN(RIGHT(女子エントリー!E361,LEN(女子エントリー!E361)-FIND(",",女子エントリー!E361)))-5)</f>
        <v>#VALUE!</v>
      </c>
      <c r="K90" s="92" t="str">
        <f>女子エントリー!G361</f>
        <v/>
      </c>
      <c r="L90" s="1" t="str">
        <f t="shared" si="18"/>
        <v/>
      </c>
      <c r="M90" s="92" t="str">
        <f>女子エントリー!G359</f>
        <v/>
      </c>
      <c r="N90" s="92" t="e">
        <f>MID(女子エントリー!E361,FIND("(",女子エントリー!E361)+1,2)</f>
        <v>#VALUE!</v>
      </c>
      <c r="O90" s="1">
        <v>0</v>
      </c>
      <c r="P90" s="92" t="e">
        <f>VLOOKUP(女子エントリー!G360,競技会設定!$F$3:$I$50,2,0)</f>
        <v>#N/A</v>
      </c>
      <c r="R90" s="1" t="str" cm="1">
        <f t="array" ref="R90">_xlfn.IFNA(_xlfn.IFNA(INDEX(競技会設定!$X$25:$AC$47,MATCH(INDEX(女子エントリー!$J$7:$AH$406,MATCH($G90&amp;RIGHT(R$1,1),女子エントリー!$AH$7:$AH$406,0),1),競技会設定!$AC$25:$AC$47,0),1),INDEX(競技会設定!$X$25:$AC$47,MATCH(INDEX(女子エントリー!$R$6:$V$406,MATCH($G90&amp;RIGHT(R$1,1),女子エントリー!$V$6:$V$406,0)-MATCH($G90&amp;RIGHT(R$1,1),女子エントリー!$V$6:$V$406,0)+1,1),競技会設定!$AC$25:$AC$47,0),1)),"")</f>
        <v/>
      </c>
      <c r="S90" s="1" t="str">
        <f>IF(R90=37,リレーエントリー!$I$27,_xlfn.IFNA(INDEX(女子エントリー!$J$7:$AH$406,MATCH($G90&amp;RIGHT(T$1,1),女子エントリー!$AH$7:$AH$406,0),3),""))</f>
        <v/>
      </c>
      <c r="T90" s="1" t="str">
        <f t="shared" si="32"/>
        <v/>
      </c>
      <c r="U90" s="1" t="str">
        <f t="shared" si="33"/>
        <v/>
      </c>
      <c r="V90" s="1" t="str">
        <f t="shared" si="34"/>
        <v/>
      </c>
      <c r="W90" s="1" t="str" cm="1">
        <f t="array" ref="W90">_xlfn.IFNA(_xlfn.IFNA(INDEX(競技会設定!$X$25:$AC$47,MATCH(INDEX(女子エントリー!$J$7:$AH$406,MATCH($G90&amp;RIGHT(W$1,1),女子エントリー!$AH$7:$AH$406,0),1),競技会設定!$AC$25:$AC$47,0),1),INDEX(競技会設定!$X$25:$AC$47,MATCH(INDEX(女子エントリー!$R$6:$V$406,MATCH($G90&amp;RIGHT(W$1,1),女子エントリー!$V$6:$V$406,0)-MATCH($G90&amp;RIGHT(W$1,1),女子エントリー!$V$6:$V$406,0)+1,1),競技会設定!$AC$25:$AC$47,0),1)),"")</f>
        <v/>
      </c>
      <c r="X90" s="1" t="str">
        <f>IF(W90=37,リレーエントリー!$I$27,_xlfn.IFNA(INDEX(女子エントリー!$J$7:$AH$406,MATCH($G90&amp;RIGHT(Y$1,1),女子エントリー!$AH$7:$AH$406,0),3),""))</f>
        <v/>
      </c>
      <c r="Y90" s="1" t="str">
        <f t="shared" si="19"/>
        <v/>
      </c>
      <c r="Z90" s="1" t="str">
        <f t="shared" si="20"/>
        <v/>
      </c>
      <c r="AA90" s="1" t="str">
        <f t="shared" si="21"/>
        <v/>
      </c>
      <c r="AB90" s="1" t="str" cm="1">
        <f t="array" ref="AB90">_xlfn.IFNA(_xlfn.IFNA(INDEX(競技会設定!$X$25:$AC$47,MATCH(INDEX(女子エントリー!$J$7:$AH$406,MATCH($G90&amp;RIGHT(AB$1,1),女子エントリー!$AH$7:$AH$406,0),1),競技会設定!$AC$25:$AC$47,0),1),INDEX(競技会設定!$X$25:$AC$47,MATCH(INDEX(女子エントリー!$R$6:$V$406,MATCH($G90&amp;RIGHT(AB$1,1),女子エントリー!$V$6:$V$406,0)-MATCH($G90&amp;RIGHT(AB$1,1),女子エントリー!$V$6:$V$406,0)+1,1),競技会設定!$AC$25:$AC$47,0),1)),"")</f>
        <v/>
      </c>
      <c r="AC90" s="1" t="str">
        <f>IF(AB90=37,リレーエントリー!$I$27,_xlfn.IFNA(INDEX(女子エントリー!$J$7:$AH$406,MATCH($G90&amp;RIGHT(AD$1,1),女子エントリー!$AH$7:$AH$406,0),3),""))</f>
        <v/>
      </c>
      <c r="AD90" s="1" t="str">
        <f t="shared" si="22"/>
        <v/>
      </c>
      <c r="AE90" s="1" t="str">
        <f t="shared" si="23"/>
        <v/>
      </c>
      <c r="AF90" s="1" t="str">
        <f t="shared" si="24"/>
        <v/>
      </c>
      <c r="AG90" s="1" t="str" cm="1">
        <f t="array" ref="AG90">_xlfn.IFNA(_xlfn.IFNA(INDEX(競技会設定!$X$25:$AC$47,MATCH(INDEX(女子エントリー!$J$7:$AH$406,MATCH($G90&amp;RIGHT(AG$1,1),女子エントリー!$AH$7:$AH$406,0),1),競技会設定!$AC$25:$AC$47,0),1),INDEX(競技会設定!$X$25:$AC$47,MATCH(INDEX(女子エントリー!$R$6:$V$406,MATCH($G90&amp;RIGHT(AG$1,1),女子エントリー!$V$6:$V$406,0)-MATCH($G90&amp;RIGHT(AG$1,1),女子エントリー!$V$6:$V$406,0)+1,1),競技会設定!$AC$25:$AC$47,0),1)),"")</f>
        <v/>
      </c>
      <c r="AH90" s="1" t="str">
        <f>IF(AG90=37,リレーエントリー!$I$27,_xlfn.IFNA(INDEX(女子エントリー!$J$7:$AH$406,MATCH($G90&amp;RIGHT(AI$1,1),女子エントリー!$AH$7:$AH$406,0),3),""))</f>
        <v/>
      </c>
      <c r="AI90" s="1" t="str">
        <f t="shared" si="25"/>
        <v/>
      </c>
      <c r="AJ90" s="1" t="str">
        <f t="shared" si="26"/>
        <v/>
      </c>
      <c r="AK90" s="1" t="str">
        <f t="shared" si="27"/>
        <v/>
      </c>
      <c r="AL90" s="1" t="str" cm="1">
        <f t="array" ref="AL90">_xlfn.IFNA(_xlfn.IFNA(INDEX(競技会設定!$X$25:$AC$47,MATCH(INDEX(女子エントリー!$J$7:$AH$406,MATCH($G90&amp;RIGHT(AL$1,1),女子エントリー!$AH$7:$AH$406,0),1),競技会設定!$AC$25:$AC$47,0),1),INDEX(競技会設定!$X$25:$AC$47,MATCH(INDEX(女子エントリー!$R$6:$V$406,MATCH($G90&amp;RIGHT(AL$1,1),女子エントリー!$V$6:$V$406,0)-MATCH($G90&amp;RIGHT(AL$1,1),女子エントリー!$V$6:$V$406,0)+1,1),競技会設定!$AC$25:$AC$47,0),1)),"")</f>
        <v/>
      </c>
      <c r="AM90" s="1" t="str">
        <f>IF(AL90=37,リレーエントリー!$I$27,_xlfn.IFNA(INDEX(女子エントリー!$J$7:$AH$406,MATCH($G90&amp;RIGHT(AN$1,1),女子エントリー!$AH$7:$AH$406,0),3),""))</f>
        <v/>
      </c>
      <c r="AN90" s="1" t="str">
        <f t="shared" si="28"/>
        <v/>
      </c>
      <c r="AO90" s="1" t="str">
        <f t="shared" si="29"/>
        <v/>
      </c>
      <c r="AP90" s="1" t="str">
        <f t="shared" si="30"/>
        <v/>
      </c>
    </row>
    <row r="91" spans="1:42">
      <c r="A91" s="1">
        <v>90</v>
      </c>
      <c r="B91" s="92" t="str">
        <f>女子エントリー!D363</f>
        <v/>
      </c>
      <c r="C91" s="1" t="str">
        <f>基本情報!$E$6</f>
        <v/>
      </c>
      <c r="D91" s="1" t="str">
        <f>基本情報!$E$7</f>
        <v/>
      </c>
      <c r="F91" s="92">
        <f>女子エントリー!C363</f>
        <v>0</v>
      </c>
      <c r="G91" s="92" t="str">
        <f>女子エントリー!E363</f>
        <v/>
      </c>
      <c r="H91" s="92" t="str">
        <f>女子エントリー!F363</f>
        <v/>
      </c>
      <c r="I91" s="1" t="str">
        <f t="shared" si="31"/>
        <v/>
      </c>
      <c r="J91" s="1" t="e">
        <f>LEFT(女子エントリー!E365,FIND(",",LEFT(女子エントリー!E365,LEN(女子エントリー!E365)-5))-1)&amp;LEFT(RIGHT(女子エントリー!E365,LEN(女子エントリー!E365)-FIND(",",女子エントリー!E365)),LEN(RIGHT(女子エントリー!E365,LEN(女子エントリー!E365)-FIND(",",女子エントリー!E365)))-5)</f>
        <v>#VALUE!</v>
      </c>
      <c r="K91" s="92" t="str">
        <f>女子エントリー!G365</f>
        <v/>
      </c>
      <c r="L91" s="1" t="str">
        <f t="shared" si="18"/>
        <v/>
      </c>
      <c r="M91" s="92" t="str">
        <f>女子エントリー!G363</f>
        <v/>
      </c>
      <c r="N91" s="92" t="e">
        <f>MID(女子エントリー!E365,FIND("(",女子エントリー!E365)+1,2)</f>
        <v>#VALUE!</v>
      </c>
      <c r="O91" s="1">
        <v>0</v>
      </c>
      <c r="P91" s="92" t="e">
        <f>VLOOKUP(女子エントリー!G364,競技会設定!$F$3:$I$50,2,0)</f>
        <v>#N/A</v>
      </c>
      <c r="R91" s="1" t="str" cm="1">
        <f t="array" ref="R91">_xlfn.IFNA(_xlfn.IFNA(INDEX(競技会設定!$X$25:$AC$47,MATCH(INDEX(女子エントリー!$J$7:$AH$406,MATCH($G91&amp;RIGHT(R$1,1),女子エントリー!$AH$7:$AH$406,0),1),競技会設定!$AC$25:$AC$47,0),1),INDEX(競技会設定!$X$25:$AC$47,MATCH(INDEX(女子エントリー!$R$6:$V$406,MATCH($G91&amp;RIGHT(R$1,1),女子エントリー!$V$6:$V$406,0)-MATCH($G91&amp;RIGHT(R$1,1),女子エントリー!$V$6:$V$406,0)+1,1),競技会設定!$AC$25:$AC$47,0),1)),"")</f>
        <v/>
      </c>
      <c r="S91" s="1" t="str">
        <f>IF(R91=37,リレーエントリー!$I$27,_xlfn.IFNA(INDEX(女子エントリー!$J$7:$AH$406,MATCH($G91&amp;RIGHT(T$1,1),女子エントリー!$AH$7:$AH$406,0),3),""))</f>
        <v/>
      </c>
      <c r="T91" s="1" t="str">
        <f t="shared" si="32"/>
        <v/>
      </c>
      <c r="U91" s="1" t="str">
        <f t="shared" si="33"/>
        <v/>
      </c>
      <c r="V91" s="1" t="str">
        <f t="shared" si="34"/>
        <v/>
      </c>
      <c r="W91" s="1" t="str" cm="1">
        <f t="array" ref="W91">_xlfn.IFNA(_xlfn.IFNA(INDEX(競技会設定!$X$25:$AC$47,MATCH(INDEX(女子エントリー!$J$7:$AH$406,MATCH($G91&amp;RIGHT(W$1,1),女子エントリー!$AH$7:$AH$406,0),1),競技会設定!$AC$25:$AC$47,0),1),INDEX(競技会設定!$X$25:$AC$47,MATCH(INDEX(女子エントリー!$R$6:$V$406,MATCH($G91&amp;RIGHT(W$1,1),女子エントリー!$V$6:$V$406,0)-MATCH($G91&amp;RIGHT(W$1,1),女子エントリー!$V$6:$V$406,0)+1,1),競技会設定!$AC$25:$AC$47,0),1)),"")</f>
        <v/>
      </c>
      <c r="X91" s="1" t="str">
        <f>IF(W91=37,リレーエントリー!$I$27,_xlfn.IFNA(INDEX(女子エントリー!$J$7:$AH$406,MATCH($G91&amp;RIGHT(Y$1,1),女子エントリー!$AH$7:$AH$406,0),3),""))</f>
        <v/>
      </c>
      <c r="Y91" s="1" t="str">
        <f t="shared" si="19"/>
        <v/>
      </c>
      <c r="Z91" s="1" t="str">
        <f t="shared" si="20"/>
        <v/>
      </c>
      <c r="AA91" s="1" t="str">
        <f t="shared" si="21"/>
        <v/>
      </c>
      <c r="AB91" s="1" t="str" cm="1">
        <f t="array" ref="AB91">_xlfn.IFNA(_xlfn.IFNA(INDEX(競技会設定!$X$25:$AC$47,MATCH(INDEX(女子エントリー!$J$7:$AH$406,MATCH($G91&amp;RIGHT(AB$1,1),女子エントリー!$AH$7:$AH$406,0),1),競技会設定!$AC$25:$AC$47,0),1),INDEX(競技会設定!$X$25:$AC$47,MATCH(INDEX(女子エントリー!$R$6:$V$406,MATCH($G91&amp;RIGHT(AB$1,1),女子エントリー!$V$6:$V$406,0)-MATCH($G91&amp;RIGHT(AB$1,1),女子エントリー!$V$6:$V$406,0)+1,1),競技会設定!$AC$25:$AC$47,0),1)),"")</f>
        <v/>
      </c>
      <c r="AC91" s="1" t="str">
        <f>IF(AB91=37,リレーエントリー!$I$27,_xlfn.IFNA(INDEX(女子エントリー!$J$7:$AH$406,MATCH($G91&amp;RIGHT(AD$1,1),女子エントリー!$AH$7:$AH$406,0),3),""))</f>
        <v/>
      </c>
      <c r="AD91" s="1" t="str">
        <f t="shared" si="22"/>
        <v/>
      </c>
      <c r="AE91" s="1" t="str">
        <f t="shared" si="23"/>
        <v/>
      </c>
      <c r="AF91" s="1" t="str">
        <f t="shared" si="24"/>
        <v/>
      </c>
      <c r="AG91" s="1" t="str" cm="1">
        <f t="array" ref="AG91">_xlfn.IFNA(_xlfn.IFNA(INDEX(競技会設定!$X$25:$AC$47,MATCH(INDEX(女子エントリー!$J$7:$AH$406,MATCH($G91&amp;RIGHT(AG$1,1),女子エントリー!$AH$7:$AH$406,0),1),競技会設定!$AC$25:$AC$47,0),1),INDEX(競技会設定!$X$25:$AC$47,MATCH(INDEX(女子エントリー!$R$6:$V$406,MATCH($G91&amp;RIGHT(AG$1,1),女子エントリー!$V$6:$V$406,0)-MATCH($G91&amp;RIGHT(AG$1,1),女子エントリー!$V$6:$V$406,0)+1,1),競技会設定!$AC$25:$AC$47,0),1)),"")</f>
        <v/>
      </c>
      <c r="AH91" s="1" t="str">
        <f>IF(AG91=37,リレーエントリー!$I$27,_xlfn.IFNA(INDEX(女子エントリー!$J$7:$AH$406,MATCH($G91&amp;RIGHT(AI$1,1),女子エントリー!$AH$7:$AH$406,0),3),""))</f>
        <v/>
      </c>
      <c r="AI91" s="1" t="str">
        <f t="shared" si="25"/>
        <v/>
      </c>
      <c r="AJ91" s="1" t="str">
        <f t="shared" si="26"/>
        <v/>
      </c>
      <c r="AK91" s="1" t="str">
        <f t="shared" si="27"/>
        <v/>
      </c>
      <c r="AL91" s="1" t="str" cm="1">
        <f t="array" ref="AL91">_xlfn.IFNA(_xlfn.IFNA(INDEX(競技会設定!$X$25:$AC$47,MATCH(INDEX(女子エントリー!$J$7:$AH$406,MATCH($G91&amp;RIGHT(AL$1,1),女子エントリー!$AH$7:$AH$406,0),1),競技会設定!$AC$25:$AC$47,0),1),INDEX(競技会設定!$X$25:$AC$47,MATCH(INDEX(女子エントリー!$R$6:$V$406,MATCH($G91&amp;RIGHT(AL$1,1),女子エントリー!$V$6:$V$406,0)-MATCH($G91&amp;RIGHT(AL$1,1),女子エントリー!$V$6:$V$406,0)+1,1),競技会設定!$AC$25:$AC$47,0),1)),"")</f>
        <v/>
      </c>
      <c r="AM91" s="1" t="str">
        <f>IF(AL91=37,リレーエントリー!$I$27,_xlfn.IFNA(INDEX(女子エントリー!$J$7:$AH$406,MATCH($G91&amp;RIGHT(AN$1,1),女子エントリー!$AH$7:$AH$406,0),3),""))</f>
        <v/>
      </c>
      <c r="AN91" s="1" t="str">
        <f t="shared" si="28"/>
        <v/>
      </c>
      <c r="AO91" s="1" t="str">
        <f t="shared" si="29"/>
        <v/>
      </c>
      <c r="AP91" s="1" t="str">
        <f t="shared" si="30"/>
        <v/>
      </c>
    </row>
    <row r="92" spans="1:42">
      <c r="A92" s="1">
        <v>91</v>
      </c>
      <c r="B92" s="92" t="str">
        <f>女子エントリー!D367</f>
        <v/>
      </c>
      <c r="C92" s="1" t="str">
        <f>基本情報!$E$6</f>
        <v/>
      </c>
      <c r="D92" s="1" t="str">
        <f>基本情報!$E$7</f>
        <v/>
      </c>
      <c r="F92" s="92">
        <f>女子エントリー!C367</f>
        <v>0</v>
      </c>
      <c r="G92" s="92" t="str">
        <f>女子エントリー!E367</f>
        <v/>
      </c>
      <c r="H92" s="92" t="str">
        <f>女子エントリー!F367</f>
        <v/>
      </c>
      <c r="I92" s="1" t="str">
        <f t="shared" si="31"/>
        <v/>
      </c>
      <c r="J92" s="1" t="e">
        <f>LEFT(女子エントリー!E369,FIND(",",LEFT(女子エントリー!E369,LEN(女子エントリー!E369)-5))-1)&amp;LEFT(RIGHT(女子エントリー!E369,LEN(女子エントリー!E369)-FIND(",",女子エントリー!E369)),LEN(RIGHT(女子エントリー!E369,LEN(女子エントリー!E369)-FIND(",",女子エントリー!E369)))-5)</f>
        <v>#VALUE!</v>
      </c>
      <c r="K92" s="92" t="str">
        <f>女子エントリー!G369</f>
        <v/>
      </c>
      <c r="L92" s="1" t="str">
        <f t="shared" si="18"/>
        <v/>
      </c>
      <c r="M92" s="92" t="str">
        <f>女子エントリー!G367</f>
        <v/>
      </c>
      <c r="N92" s="92" t="e">
        <f>MID(女子エントリー!E369,FIND("(",女子エントリー!E369)+1,2)</f>
        <v>#VALUE!</v>
      </c>
      <c r="O92" s="1">
        <v>0</v>
      </c>
      <c r="P92" s="92" t="e">
        <f>VLOOKUP(女子エントリー!G368,競技会設定!$F$3:$I$50,2,0)</f>
        <v>#N/A</v>
      </c>
      <c r="R92" s="1" t="str" cm="1">
        <f t="array" ref="R92">_xlfn.IFNA(_xlfn.IFNA(INDEX(競技会設定!$X$25:$AC$47,MATCH(INDEX(女子エントリー!$J$7:$AH$406,MATCH($G92&amp;RIGHT(R$1,1),女子エントリー!$AH$7:$AH$406,0),1),競技会設定!$AC$25:$AC$47,0),1),INDEX(競技会設定!$X$25:$AC$47,MATCH(INDEX(女子エントリー!$R$6:$V$406,MATCH($G92&amp;RIGHT(R$1,1),女子エントリー!$V$6:$V$406,0)-MATCH($G92&amp;RIGHT(R$1,1),女子エントリー!$V$6:$V$406,0)+1,1),競技会設定!$AC$25:$AC$47,0),1)),"")</f>
        <v/>
      </c>
      <c r="S92" s="1" t="str">
        <f>IF(R92=37,リレーエントリー!$I$27,_xlfn.IFNA(INDEX(女子エントリー!$J$7:$AH$406,MATCH($G92&amp;RIGHT(T$1,1),女子エントリー!$AH$7:$AH$406,0),3),""))</f>
        <v/>
      </c>
      <c r="T92" s="1" t="str">
        <f t="shared" si="32"/>
        <v/>
      </c>
      <c r="U92" s="1" t="str">
        <f t="shared" si="33"/>
        <v/>
      </c>
      <c r="V92" s="1" t="str">
        <f t="shared" si="34"/>
        <v/>
      </c>
      <c r="W92" s="1" t="str" cm="1">
        <f t="array" ref="W92">_xlfn.IFNA(_xlfn.IFNA(INDEX(競技会設定!$X$25:$AC$47,MATCH(INDEX(女子エントリー!$J$7:$AH$406,MATCH($G92&amp;RIGHT(W$1,1),女子エントリー!$AH$7:$AH$406,0),1),競技会設定!$AC$25:$AC$47,0),1),INDEX(競技会設定!$X$25:$AC$47,MATCH(INDEX(女子エントリー!$R$6:$V$406,MATCH($G92&amp;RIGHT(W$1,1),女子エントリー!$V$6:$V$406,0)-MATCH($G92&amp;RIGHT(W$1,1),女子エントリー!$V$6:$V$406,0)+1,1),競技会設定!$AC$25:$AC$47,0),1)),"")</f>
        <v/>
      </c>
      <c r="X92" s="1" t="str">
        <f>IF(W92=37,リレーエントリー!$I$27,_xlfn.IFNA(INDEX(女子エントリー!$J$7:$AH$406,MATCH($G92&amp;RIGHT(Y$1,1),女子エントリー!$AH$7:$AH$406,0),3),""))</f>
        <v/>
      </c>
      <c r="Y92" s="1" t="str">
        <f t="shared" si="19"/>
        <v/>
      </c>
      <c r="Z92" s="1" t="str">
        <f t="shared" si="20"/>
        <v/>
      </c>
      <c r="AA92" s="1" t="str">
        <f t="shared" si="21"/>
        <v/>
      </c>
      <c r="AB92" s="1" t="str" cm="1">
        <f t="array" ref="AB92">_xlfn.IFNA(_xlfn.IFNA(INDEX(競技会設定!$X$25:$AC$47,MATCH(INDEX(女子エントリー!$J$7:$AH$406,MATCH($G92&amp;RIGHT(AB$1,1),女子エントリー!$AH$7:$AH$406,0),1),競技会設定!$AC$25:$AC$47,0),1),INDEX(競技会設定!$X$25:$AC$47,MATCH(INDEX(女子エントリー!$R$6:$V$406,MATCH($G92&amp;RIGHT(AB$1,1),女子エントリー!$V$6:$V$406,0)-MATCH($G92&amp;RIGHT(AB$1,1),女子エントリー!$V$6:$V$406,0)+1,1),競技会設定!$AC$25:$AC$47,0),1)),"")</f>
        <v/>
      </c>
      <c r="AC92" s="1" t="str">
        <f>IF(AB92=37,リレーエントリー!$I$27,_xlfn.IFNA(INDEX(女子エントリー!$J$7:$AH$406,MATCH($G92&amp;RIGHT(AD$1,1),女子エントリー!$AH$7:$AH$406,0),3),""))</f>
        <v/>
      </c>
      <c r="AD92" s="1" t="str">
        <f t="shared" si="22"/>
        <v/>
      </c>
      <c r="AE92" s="1" t="str">
        <f t="shared" si="23"/>
        <v/>
      </c>
      <c r="AF92" s="1" t="str">
        <f t="shared" si="24"/>
        <v/>
      </c>
      <c r="AG92" s="1" t="str" cm="1">
        <f t="array" ref="AG92">_xlfn.IFNA(_xlfn.IFNA(INDEX(競技会設定!$X$25:$AC$47,MATCH(INDEX(女子エントリー!$J$7:$AH$406,MATCH($G92&amp;RIGHT(AG$1,1),女子エントリー!$AH$7:$AH$406,0),1),競技会設定!$AC$25:$AC$47,0),1),INDEX(競技会設定!$X$25:$AC$47,MATCH(INDEX(女子エントリー!$R$6:$V$406,MATCH($G92&amp;RIGHT(AG$1,1),女子エントリー!$V$6:$V$406,0)-MATCH($G92&amp;RIGHT(AG$1,1),女子エントリー!$V$6:$V$406,0)+1,1),競技会設定!$AC$25:$AC$47,0),1)),"")</f>
        <v/>
      </c>
      <c r="AH92" s="1" t="str">
        <f>IF(AG92=37,リレーエントリー!$I$27,_xlfn.IFNA(INDEX(女子エントリー!$J$7:$AH$406,MATCH($G92&amp;RIGHT(AI$1,1),女子エントリー!$AH$7:$AH$406,0),3),""))</f>
        <v/>
      </c>
      <c r="AI92" s="1" t="str">
        <f t="shared" si="25"/>
        <v/>
      </c>
      <c r="AJ92" s="1" t="str">
        <f t="shared" si="26"/>
        <v/>
      </c>
      <c r="AK92" s="1" t="str">
        <f t="shared" si="27"/>
        <v/>
      </c>
      <c r="AL92" s="1" t="str" cm="1">
        <f t="array" ref="AL92">_xlfn.IFNA(_xlfn.IFNA(INDEX(競技会設定!$X$25:$AC$47,MATCH(INDEX(女子エントリー!$J$7:$AH$406,MATCH($G92&amp;RIGHT(AL$1,1),女子エントリー!$AH$7:$AH$406,0),1),競技会設定!$AC$25:$AC$47,0),1),INDEX(競技会設定!$X$25:$AC$47,MATCH(INDEX(女子エントリー!$R$6:$V$406,MATCH($G92&amp;RIGHT(AL$1,1),女子エントリー!$V$6:$V$406,0)-MATCH($G92&amp;RIGHT(AL$1,1),女子エントリー!$V$6:$V$406,0)+1,1),競技会設定!$AC$25:$AC$47,0),1)),"")</f>
        <v/>
      </c>
      <c r="AM92" s="1" t="str">
        <f>IF(AL92=37,リレーエントリー!$I$27,_xlfn.IFNA(INDEX(女子エントリー!$J$7:$AH$406,MATCH($G92&amp;RIGHT(AN$1,1),女子エントリー!$AH$7:$AH$406,0),3),""))</f>
        <v/>
      </c>
      <c r="AN92" s="1" t="str">
        <f t="shared" si="28"/>
        <v/>
      </c>
      <c r="AO92" s="1" t="str">
        <f t="shared" si="29"/>
        <v/>
      </c>
      <c r="AP92" s="1" t="str">
        <f t="shared" si="30"/>
        <v/>
      </c>
    </row>
    <row r="93" spans="1:42">
      <c r="A93" s="1">
        <v>92</v>
      </c>
      <c r="B93" s="92" t="str">
        <f>女子エントリー!D371</f>
        <v/>
      </c>
      <c r="C93" s="1" t="str">
        <f>基本情報!$E$6</f>
        <v/>
      </c>
      <c r="D93" s="1" t="str">
        <f>基本情報!$E$7</f>
        <v/>
      </c>
      <c r="F93" s="92">
        <f>女子エントリー!C371</f>
        <v>0</v>
      </c>
      <c r="G93" s="92" t="str">
        <f>女子エントリー!E371</f>
        <v/>
      </c>
      <c r="H93" s="92" t="str">
        <f>女子エントリー!F371</f>
        <v/>
      </c>
      <c r="I93" s="1" t="str">
        <f t="shared" si="31"/>
        <v/>
      </c>
      <c r="J93" s="1" t="e">
        <f>LEFT(女子エントリー!E373,FIND(",",LEFT(女子エントリー!E373,LEN(女子エントリー!E373)-5))-1)&amp;LEFT(RIGHT(女子エントリー!E373,LEN(女子エントリー!E373)-FIND(",",女子エントリー!E373)),LEN(RIGHT(女子エントリー!E373,LEN(女子エントリー!E373)-FIND(",",女子エントリー!E373)))-5)</f>
        <v>#VALUE!</v>
      </c>
      <c r="K93" s="92" t="str">
        <f>女子エントリー!G373</f>
        <v/>
      </c>
      <c r="L93" s="1" t="str">
        <f t="shared" si="18"/>
        <v/>
      </c>
      <c r="M93" s="92" t="str">
        <f>女子エントリー!G371</f>
        <v/>
      </c>
      <c r="N93" s="92" t="e">
        <f>MID(女子エントリー!E373,FIND("(",女子エントリー!E373)+1,2)</f>
        <v>#VALUE!</v>
      </c>
      <c r="O93" s="1">
        <v>0</v>
      </c>
      <c r="P93" s="92" t="e">
        <f>VLOOKUP(女子エントリー!G372,競技会設定!$F$3:$I$50,2,0)</f>
        <v>#N/A</v>
      </c>
      <c r="R93" s="1" t="str" cm="1">
        <f t="array" ref="R93">_xlfn.IFNA(_xlfn.IFNA(INDEX(競技会設定!$X$25:$AC$47,MATCH(INDEX(女子エントリー!$J$7:$AH$406,MATCH($G93&amp;RIGHT(R$1,1),女子エントリー!$AH$7:$AH$406,0),1),競技会設定!$AC$25:$AC$47,0),1),INDEX(競技会設定!$X$25:$AC$47,MATCH(INDEX(女子エントリー!$R$6:$V$406,MATCH($G93&amp;RIGHT(R$1,1),女子エントリー!$V$6:$V$406,0)-MATCH($G93&amp;RIGHT(R$1,1),女子エントリー!$V$6:$V$406,0)+1,1),競技会設定!$AC$25:$AC$47,0),1)),"")</f>
        <v/>
      </c>
      <c r="S93" s="1" t="str">
        <f>IF(R93=37,リレーエントリー!$I$27,_xlfn.IFNA(INDEX(女子エントリー!$J$7:$AH$406,MATCH($G93&amp;RIGHT(T$1,1),女子エントリー!$AH$7:$AH$406,0),3),""))</f>
        <v/>
      </c>
      <c r="T93" s="1" t="str">
        <f t="shared" si="32"/>
        <v/>
      </c>
      <c r="U93" s="1" t="str">
        <f t="shared" si="33"/>
        <v/>
      </c>
      <c r="V93" s="1" t="str">
        <f t="shared" si="34"/>
        <v/>
      </c>
      <c r="W93" s="1" t="str" cm="1">
        <f t="array" ref="W93">_xlfn.IFNA(_xlfn.IFNA(INDEX(競技会設定!$X$25:$AC$47,MATCH(INDEX(女子エントリー!$J$7:$AH$406,MATCH($G93&amp;RIGHT(W$1,1),女子エントリー!$AH$7:$AH$406,0),1),競技会設定!$AC$25:$AC$47,0),1),INDEX(競技会設定!$X$25:$AC$47,MATCH(INDEX(女子エントリー!$R$6:$V$406,MATCH($G93&amp;RIGHT(W$1,1),女子エントリー!$V$6:$V$406,0)-MATCH($G93&amp;RIGHT(W$1,1),女子エントリー!$V$6:$V$406,0)+1,1),競技会設定!$AC$25:$AC$47,0),1)),"")</f>
        <v/>
      </c>
      <c r="X93" s="1" t="str">
        <f>IF(W93=37,リレーエントリー!$I$27,_xlfn.IFNA(INDEX(女子エントリー!$J$7:$AH$406,MATCH($G93&amp;RIGHT(Y$1,1),女子エントリー!$AH$7:$AH$406,0),3),""))</f>
        <v/>
      </c>
      <c r="Y93" s="1" t="str">
        <f t="shared" si="19"/>
        <v/>
      </c>
      <c r="Z93" s="1" t="str">
        <f t="shared" si="20"/>
        <v/>
      </c>
      <c r="AA93" s="1" t="str">
        <f t="shared" si="21"/>
        <v/>
      </c>
      <c r="AB93" s="1" t="str" cm="1">
        <f t="array" ref="AB93">_xlfn.IFNA(_xlfn.IFNA(INDEX(競技会設定!$X$25:$AC$47,MATCH(INDEX(女子エントリー!$J$7:$AH$406,MATCH($G93&amp;RIGHT(AB$1,1),女子エントリー!$AH$7:$AH$406,0),1),競技会設定!$AC$25:$AC$47,0),1),INDEX(競技会設定!$X$25:$AC$47,MATCH(INDEX(女子エントリー!$R$6:$V$406,MATCH($G93&amp;RIGHT(AB$1,1),女子エントリー!$V$6:$V$406,0)-MATCH($G93&amp;RIGHT(AB$1,1),女子エントリー!$V$6:$V$406,0)+1,1),競技会設定!$AC$25:$AC$47,0),1)),"")</f>
        <v/>
      </c>
      <c r="AC93" s="1" t="str">
        <f>IF(AB93=37,リレーエントリー!$I$27,_xlfn.IFNA(INDEX(女子エントリー!$J$7:$AH$406,MATCH($G93&amp;RIGHT(AD$1,1),女子エントリー!$AH$7:$AH$406,0),3),""))</f>
        <v/>
      </c>
      <c r="AD93" s="1" t="str">
        <f t="shared" si="22"/>
        <v/>
      </c>
      <c r="AE93" s="1" t="str">
        <f t="shared" si="23"/>
        <v/>
      </c>
      <c r="AF93" s="1" t="str">
        <f t="shared" si="24"/>
        <v/>
      </c>
      <c r="AG93" s="1" t="str" cm="1">
        <f t="array" ref="AG93">_xlfn.IFNA(_xlfn.IFNA(INDEX(競技会設定!$X$25:$AC$47,MATCH(INDEX(女子エントリー!$J$7:$AH$406,MATCH($G93&amp;RIGHT(AG$1,1),女子エントリー!$AH$7:$AH$406,0),1),競技会設定!$AC$25:$AC$47,0),1),INDEX(競技会設定!$X$25:$AC$47,MATCH(INDEX(女子エントリー!$R$6:$V$406,MATCH($G93&amp;RIGHT(AG$1,1),女子エントリー!$V$6:$V$406,0)-MATCH($G93&amp;RIGHT(AG$1,1),女子エントリー!$V$6:$V$406,0)+1,1),競技会設定!$AC$25:$AC$47,0),1)),"")</f>
        <v/>
      </c>
      <c r="AH93" s="1" t="str">
        <f>IF(AG93=37,リレーエントリー!$I$27,_xlfn.IFNA(INDEX(女子エントリー!$J$7:$AH$406,MATCH($G93&amp;RIGHT(AI$1,1),女子エントリー!$AH$7:$AH$406,0),3),""))</f>
        <v/>
      </c>
      <c r="AI93" s="1" t="str">
        <f t="shared" si="25"/>
        <v/>
      </c>
      <c r="AJ93" s="1" t="str">
        <f t="shared" si="26"/>
        <v/>
      </c>
      <c r="AK93" s="1" t="str">
        <f t="shared" si="27"/>
        <v/>
      </c>
      <c r="AL93" s="1" t="str" cm="1">
        <f t="array" ref="AL93">_xlfn.IFNA(_xlfn.IFNA(INDEX(競技会設定!$X$25:$AC$47,MATCH(INDEX(女子エントリー!$J$7:$AH$406,MATCH($G93&amp;RIGHT(AL$1,1),女子エントリー!$AH$7:$AH$406,0),1),競技会設定!$AC$25:$AC$47,0),1),INDEX(競技会設定!$X$25:$AC$47,MATCH(INDEX(女子エントリー!$R$6:$V$406,MATCH($G93&amp;RIGHT(AL$1,1),女子エントリー!$V$6:$V$406,0)-MATCH($G93&amp;RIGHT(AL$1,1),女子エントリー!$V$6:$V$406,0)+1,1),競技会設定!$AC$25:$AC$47,0),1)),"")</f>
        <v/>
      </c>
      <c r="AM93" s="1" t="str">
        <f>IF(AL93=37,リレーエントリー!$I$27,_xlfn.IFNA(INDEX(女子エントリー!$J$7:$AH$406,MATCH($G93&amp;RIGHT(AN$1,1),女子エントリー!$AH$7:$AH$406,0),3),""))</f>
        <v/>
      </c>
      <c r="AN93" s="1" t="str">
        <f t="shared" si="28"/>
        <v/>
      </c>
      <c r="AO93" s="1" t="str">
        <f t="shared" si="29"/>
        <v/>
      </c>
      <c r="AP93" s="1" t="str">
        <f t="shared" si="30"/>
        <v/>
      </c>
    </row>
    <row r="94" spans="1:42">
      <c r="A94" s="1">
        <v>93</v>
      </c>
      <c r="B94" s="92" t="str">
        <f>女子エントリー!D375</f>
        <v/>
      </c>
      <c r="C94" s="1" t="str">
        <f>基本情報!$E$6</f>
        <v/>
      </c>
      <c r="D94" s="1" t="str">
        <f>基本情報!$E$7</f>
        <v/>
      </c>
      <c r="F94" s="92">
        <f>女子エントリー!C375</f>
        <v>0</v>
      </c>
      <c r="G94" s="92" t="str">
        <f>女子エントリー!E375</f>
        <v/>
      </c>
      <c r="H94" s="92" t="str">
        <f>女子エントリー!F375</f>
        <v/>
      </c>
      <c r="I94" s="1" t="str">
        <f t="shared" si="31"/>
        <v/>
      </c>
      <c r="J94" s="1" t="e">
        <f>LEFT(女子エントリー!E377,FIND(",",LEFT(女子エントリー!E377,LEN(女子エントリー!E377)-5))-1)&amp;LEFT(RIGHT(女子エントリー!E377,LEN(女子エントリー!E377)-FIND(",",女子エントリー!E377)),LEN(RIGHT(女子エントリー!E377,LEN(女子エントリー!E377)-FIND(",",女子エントリー!E377)))-5)</f>
        <v>#VALUE!</v>
      </c>
      <c r="K94" s="92" t="str">
        <f>女子エントリー!G377</f>
        <v/>
      </c>
      <c r="L94" s="1" t="str">
        <f t="shared" si="18"/>
        <v/>
      </c>
      <c r="M94" s="92" t="str">
        <f>女子エントリー!G375</f>
        <v/>
      </c>
      <c r="N94" s="92" t="e">
        <f>MID(女子エントリー!E377,FIND("(",女子エントリー!E377)+1,2)</f>
        <v>#VALUE!</v>
      </c>
      <c r="O94" s="1">
        <v>0</v>
      </c>
      <c r="P94" s="92" t="e">
        <f>VLOOKUP(女子エントリー!G376,競技会設定!$F$3:$I$50,2,0)</f>
        <v>#N/A</v>
      </c>
      <c r="R94" s="1" t="str" cm="1">
        <f t="array" ref="R94">_xlfn.IFNA(_xlfn.IFNA(INDEX(競技会設定!$X$25:$AC$47,MATCH(INDEX(女子エントリー!$J$7:$AH$406,MATCH($G94&amp;RIGHT(R$1,1),女子エントリー!$AH$7:$AH$406,0),1),競技会設定!$AC$25:$AC$47,0),1),INDEX(競技会設定!$X$25:$AC$47,MATCH(INDEX(女子エントリー!$R$6:$V$406,MATCH($G94&amp;RIGHT(R$1,1),女子エントリー!$V$6:$V$406,0)-MATCH($G94&amp;RIGHT(R$1,1),女子エントリー!$V$6:$V$406,0)+1,1),競技会設定!$AC$25:$AC$47,0),1)),"")</f>
        <v/>
      </c>
      <c r="S94" s="1" t="str">
        <f>IF(R94=37,リレーエントリー!$I$27,_xlfn.IFNA(INDEX(女子エントリー!$J$7:$AH$406,MATCH($G94&amp;RIGHT(T$1,1),女子エントリー!$AH$7:$AH$406,0),3),""))</f>
        <v/>
      </c>
      <c r="T94" s="1" t="str">
        <f t="shared" si="32"/>
        <v/>
      </c>
      <c r="U94" s="1" t="str">
        <f t="shared" si="33"/>
        <v/>
      </c>
      <c r="V94" s="1" t="str">
        <f t="shared" si="34"/>
        <v/>
      </c>
      <c r="W94" s="1" t="str" cm="1">
        <f t="array" ref="W94">_xlfn.IFNA(_xlfn.IFNA(INDEX(競技会設定!$X$25:$AC$47,MATCH(INDEX(女子エントリー!$J$7:$AH$406,MATCH($G94&amp;RIGHT(W$1,1),女子エントリー!$AH$7:$AH$406,0),1),競技会設定!$AC$25:$AC$47,0),1),INDEX(競技会設定!$X$25:$AC$47,MATCH(INDEX(女子エントリー!$R$6:$V$406,MATCH($G94&amp;RIGHT(W$1,1),女子エントリー!$V$6:$V$406,0)-MATCH($G94&amp;RIGHT(W$1,1),女子エントリー!$V$6:$V$406,0)+1,1),競技会設定!$AC$25:$AC$47,0),1)),"")</f>
        <v/>
      </c>
      <c r="X94" s="1" t="str">
        <f>IF(W94=37,リレーエントリー!$I$27,_xlfn.IFNA(INDEX(女子エントリー!$J$7:$AH$406,MATCH($G94&amp;RIGHT(Y$1,1),女子エントリー!$AH$7:$AH$406,0),3),""))</f>
        <v/>
      </c>
      <c r="Y94" s="1" t="str">
        <f t="shared" si="19"/>
        <v/>
      </c>
      <c r="Z94" s="1" t="str">
        <f t="shared" si="20"/>
        <v/>
      </c>
      <c r="AA94" s="1" t="str">
        <f t="shared" si="21"/>
        <v/>
      </c>
      <c r="AB94" s="1" t="str" cm="1">
        <f t="array" ref="AB94">_xlfn.IFNA(_xlfn.IFNA(INDEX(競技会設定!$X$25:$AC$47,MATCH(INDEX(女子エントリー!$J$7:$AH$406,MATCH($G94&amp;RIGHT(AB$1,1),女子エントリー!$AH$7:$AH$406,0),1),競技会設定!$AC$25:$AC$47,0),1),INDEX(競技会設定!$X$25:$AC$47,MATCH(INDEX(女子エントリー!$R$6:$V$406,MATCH($G94&amp;RIGHT(AB$1,1),女子エントリー!$V$6:$V$406,0)-MATCH($G94&amp;RIGHT(AB$1,1),女子エントリー!$V$6:$V$406,0)+1,1),競技会設定!$AC$25:$AC$47,0),1)),"")</f>
        <v/>
      </c>
      <c r="AC94" s="1" t="str">
        <f>IF(AB94=37,リレーエントリー!$I$27,_xlfn.IFNA(INDEX(女子エントリー!$J$7:$AH$406,MATCH($G94&amp;RIGHT(AD$1,1),女子エントリー!$AH$7:$AH$406,0),3),""))</f>
        <v/>
      </c>
      <c r="AD94" s="1" t="str">
        <f t="shared" si="22"/>
        <v/>
      </c>
      <c r="AE94" s="1" t="str">
        <f t="shared" si="23"/>
        <v/>
      </c>
      <c r="AF94" s="1" t="str">
        <f t="shared" si="24"/>
        <v/>
      </c>
      <c r="AG94" s="1" t="str" cm="1">
        <f t="array" ref="AG94">_xlfn.IFNA(_xlfn.IFNA(INDEX(競技会設定!$X$25:$AC$47,MATCH(INDEX(女子エントリー!$J$7:$AH$406,MATCH($G94&amp;RIGHT(AG$1,1),女子エントリー!$AH$7:$AH$406,0),1),競技会設定!$AC$25:$AC$47,0),1),INDEX(競技会設定!$X$25:$AC$47,MATCH(INDEX(女子エントリー!$R$6:$V$406,MATCH($G94&amp;RIGHT(AG$1,1),女子エントリー!$V$6:$V$406,0)-MATCH($G94&amp;RIGHT(AG$1,1),女子エントリー!$V$6:$V$406,0)+1,1),競技会設定!$AC$25:$AC$47,0),1)),"")</f>
        <v/>
      </c>
      <c r="AH94" s="1" t="str">
        <f>IF(AG94=37,リレーエントリー!$I$27,_xlfn.IFNA(INDEX(女子エントリー!$J$7:$AH$406,MATCH($G94&amp;RIGHT(AI$1,1),女子エントリー!$AH$7:$AH$406,0),3),""))</f>
        <v/>
      </c>
      <c r="AI94" s="1" t="str">
        <f t="shared" si="25"/>
        <v/>
      </c>
      <c r="AJ94" s="1" t="str">
        <f t="shared" si="26"/>
        <v/>
      </c>
      <c r="AK94" s="1" t="str">
        <f t="shared" si="27"/>
        <v/>
      </c>
      <c r="AL94" s="1" t="str" cm="1">
        <f t="array" ref="AL94">_xlfn.IFNA(_xlfn.IFNA(INDEX(競技会設定!$X$25:$AC$47,MATCH(INDEX(女子エントリー!$J$7:$AH$406,MATCH($G94&amp;RIGHT(AL$1,1),女子エントリー!$AH$7:$AH$406,0),1),競技会設定!$AC$25:$AC$47,0),1),INDEX(競技会設定!$X$25:$AC$47,MATCH(INDEX(女子エントリー!$R$6:$V$406,MATCH($G94&amp;RIGHT(AL$1,1),女子エントリー!$V$6:$V$406,0)-MATCH($G94&amp;RIGHT(AL$1,1),女子エントリー!$V$6:$V$406,0)+1,1),競技会設定!$AC$25:$AC$47,0),1)),"")</f>
        <v/>
      </c>
      <c r="AM94" s="1" t="str">
        <f>IF(AL94=37,リレーエントリー!$I$27,_xlfn.IFNA(INDEX(女子エントリー!$J$7:$AH$406,MATCH($G94&amp;RIGHT(AN$1,1),女子エントリー!$AH$7:$AH$406,0),3),""))</f>
        <v/>
      </c>
      <c r="AN94" s="1" t="str">
        <f t="shared" si="28"/>
        <v/>
      </c>
      <c r="AO94" s="1" t="str">
        <f t="shared" si="29"/>
        <v/>
      </c>
      <c r="AP94" s="1" t="str">
        <f t="shared" si="30"/>
        <v/>
      </c>
    </row>
    <row r="95" spans="1:42">
      <c r="A95" s="1">
        <v>94</v>
      </c>
      <c r="B95" s="92" t="str">
        <f>女子エントリー!D379</f>
        <v/>
      </c>
      <c r="C95" s="1" t="str">
        <f>基本情報!$E$6</f>
        <v/>
      </c>
      <c r="D95" s="1" t="str">
        <f>基本情報!$E$7</f>
        <v/>
      </c>
      <c r="F95" s="92">
        <f>女子エントリー!C379</f>
        <v>0</v>
      </c>
      <c r="G95" s="92" t="str">
        <f>女子エントリー!E379</f>
        <v/>
      </c>
      <c r="H95" s="92" t="str">
        <f>女子エントリー!F379</f>
        <v/>
      </c>
      <c r="I95" s="1" t="str">
        <f t="shared" si="31"/>
        <v/>
      </c>
      <c r="J95" s="1" t="e">
        <f>LEFT(女子エントリー!E381,FIND(",",LEFT(女子エントリー!E381,LEN(女子エントリー!E381)-5))-1)&amp;LEFT(RIGHT(女子エントリー!E381,LEN(女子エントリー!E381)-FIND(",",女子エントリー!E381)),LEN(RIGHT(女子エントリー!E381,LEN(女子エントリー!E381)-FIND(",",女子エントリー!E381)))-5)</f>
        <v>#VALUE!</v>
      </c>
      <c r="K95" s="92" t="str">
        <f>女子エントリー!G381</f>
        <v/>
      </c>
      <c r="L95" s="1" t="str">
        <f t="shared" si="18"/>
        <v/>
      </c>
      <c r="M95" s="92" t="str">
        <f>女子エントリー!G379</f>
        <v/>
      </c>
      <c r="N95" s="92" t="e">
        <f>MID(女子エントリー!E381,FIND("(",女子エントリー!E381)+1,2)</f>
        <v>#VALUE!</v>
      </c>
      <c r="O95" s="1">
        <v>0</v>
      </c>
      <c r="P95" s="92" t="e">
        <f>VLOOKUP(女子エントリー!G380,競技会設定!$F$3:$I$50,2,0)</f>
        <v>#N/A</v>
      </c>
      <c r="R95" s="1" t="str" cm="1">
        <f t="array" ref="R95">_xlfn.IFNA(_xlfn.IFNA(INDEX(競技会設定!$X$25:$AC$47,MATCH(INDEX(女子エントリー!$J$7:$AH$406,MATCH($G95&amp;RIGHT(R$1,1),女子エントリー!$AH$7:$AH$406,0),1),競技会設定!$AC$25:$AC$47,0),1),INDEX(競技会設定!$X$25:$AC$47,MATCH(INDEX(女子エントリー!$R$6:$V$406,MATCH($G95&amp;RIGHT(R$1,1),女子エントリー!$V$6:$V$406,0)-MATCH($G95&amp;RIGHT(R$1,1),女子エントリー!$V$6:$V$406,0)+1,1),競技会設定!$AC$25:$AC$47,0),1)),"")</f>
        <v/>
      </c>
      <c r="S95" s="1" t="str">
        <f>IF(R95=37,リレーエントリー!$I$27,_xlfn.IFNA(INDEX(女子エントリー!$J$7:$AH$406,MATCH($G95&amp;RIGHT(T$1,1),女子エントリー!$AH$7:$AH$406,0),3),""))</f>
        <v/>
      </c>
      <c r="T95" s="1" t="str">
        <f t="shared" si="32"/>
        <v/>
      </c>
      <c r="U95" s="1" t="str">
        <f t="shared" si="33"/>
        <v/>
      </c>
      <c r="V95" s="1" t="str">
        <f t="shared" si="34"/>
        <v/>
      </c>
      <c r="W95" s="1" t="str" cm="1">
        <f t="array" ref="W95">_xlfn.IFNA(_xlfn.IFNA(INDEX(競技会設定!$X$25:$AC$47,MATCH(INDEX(女子エントリー!$J$7:$AH$406,MATCH($G95&amp;RIGHT(W$1,1),女子エントリー!$AH$7:$AH$406,0),1),競技会設定!$AC$25:$AC$47,0),1),INDEX(競技会設定!$X$25:$AC$47,MATCH(INDEX(女子エントリー!$R$6:$V$406,MATCH($G95&amp;RIGHT(W$1,1),女子エントリー!$V$6:$V$406,0)-MATCH($G95&amp;RIGHT(W$1,1),女子エントリー!$V$6:$V$406,0)+1,1),競技会設定!$AC$25:$AC$47,0),1)),"")</f>
        <v/>
      </c>
      <c r="X95" s="1" t="str">
        <f>IF(W95=37,リレーエントリー!$I$27,_xlfn.IFNA(INDEX(女子エントリー!$J$7:$AH$406,MATCH($G95&amp;RIGHT(Y$1,1),女子エントリー!$AH$7:$AH$406,0),3),""))</f>
        <v/>
      </c>
      <c r="Y95" s="1" t="str">
        <f t="shared" si="19"/>
        <v/>
      </c>
      <c r="Z95" s="1" t="str">
        <f t="shared" si="20"/>
        <v/>
      </c>
      <c r="AA95" s="1" t="str">
        <f t="shared" si="21"/>
        <v/>
      </c>
      <c r="AB95" s="1" t="str" cm="1">
        <f t="array" ref="AB95">_xlfn.IFNA(_xlfn.IFNA(INDEX(競技会設定!$X$25:$AC$47,MATCH(INDEX(女子エントリー!$J$7:$AH$406,MATCH($G95&amp;RIGHT(AB$1,1),女子エントリー!$AH$7:$AH$406,0),1),競技会設定!$AC$25:$AC$47,0),1),INDEX(競技会設定!$X$25:$AC$47,MATCH(INDEX(女子エントリー!$R$6:$V$406,MATCH($G95&amp;RIGHT(AB$1,1),女子エントリー!$V$6:$V$406,0)-MATCH($G95&amp;RIGHT(AB$1,1),女子エントリー!$V$6:$V$406,0)+1,1),競技会設定!$AC$25:$AC$47,0),1)),"")</f>
        <v/>
      </c>
      <c r="AC95" s="1" t="str">
        <f>IF(AB95=37,リレーエントリー!$I$27,_xlfn.IFNA(INDEX(女子エントリー!$J$7:$AH$406,MATCH($G95&amp;RIGHT(AD$1,1),女子エントリー!$AH$7:$AH$406,0),3),""))</f>
        <v/>
      </c>
      <c r="AD95" s="1" t="str">
        <f t="shared" si="22"/>
        <v/>
      </c>
      <c r="AE95" s="1" t="str">
        <f t="shared" si="23"/>
        <v/>
      </c>
      <c r="AF95" s="1" t="str">
        <f t="shared" si="24"/>
        <v/>
      </c>
      <c r="AG95" s="1" t="str" cm="1">
        <f t="array" ref="AG95">_xlfn.IFNA(_xlfn.IFNA(INDEX(競技会設定!$X$25:$AC$47,MATCH(INDEX(女子エントリー!$J$7:$AH$406,MATCH($G95&amp;RIGHT(AG$1,1),女子エントリー!$AH$7:$AH$406,0),1),競技会設定!$AC$25:$AC$47,0),1),INDEX(競技会設定!$X$25:$AC$47,MATCH(INDEX(女子エントリー!$R$6:$V$406,MATCH($G95&amp;RIGHT(AG$1,1),女子エントリー!$V$6:$V$406,0)-MATCH($G95&amp;RIGHT(AG$1,1),女子エントリー!$V$6:$V$406,0)+1,1),競技会設定!$AC$25:$AC$47,0),1)),"")</f>
        <v/>
      </c>
      <c r="AH95" s="1" t="str">
        <f>IF(AG95=37,リレーエントリー!$I$27,_xlfn.IFNA(INDEX(女子エントリー!$J$7:$AH$406,MATCH($G95&amp;RIGHT(AI$1,1),女子エントリー!$AH$7:$AH$406,0),3),""))</f>
        <v/>
      </c>
      <c r="AI95" s="1" t="str">
        <f t="shared" si="25"/>
        <v/>
      </c>
      <c r="AJ95" s="1" t="str">
        <f t="shared" si="26"/>
        <v/>
      </c>
      <c r="AK95" s="1" t="str">
        <f t="shared" si="27"/>
        <v/>
      </c>
      <c r="AL95" s="1" t="str" cm="1">
        <f t="array" ref="AL95">_xlfn.IFNA(_xlfn.IFNA(INDEX(競技会設定!$X$25:$AC$47,MATCH(INDEX(女子エントリー!$J$7:$AH$406,MATCH($G95&amp;RIGHT(AL$1,1),女子エントリー!$AH$7:$AH$406,0),1),競技会設定!$AC$25:$AC$47,0),1),INDEX(競技会設定!$X$25:$AC$47,MATCH(INDEX(女子エントリー!$R$6:$V$406,MATCH($G95&amp;RIGHT(AL$1,1),女子エントリー!$V$6:$V$406,0)-MATCH($G95&amp;RIGHT(AL$1,1),女子エントリー!$V$6:$V$406,0)+1,1),競技会設定!$AC$25:$AC$47,0),1)),"")</f>
        <v/>
      </c>
      <c r="AM95" s="1" t="str">
        <f>IF(AL95=37,リレーエントリー!$I$27,_xlfn.IFNA(INDEX(女子エントリー!$J$7:$AH$406,MATCH($G95&amp;RIGHT(AN$1,1),女子エントリー!$AH$7:$AH$406,0),3),""))</f>
        <v/>
      </c>
      <c r="AN95" s="1" t="str">
        <f t="shared" si="28"/>
        <v/>
      </c>
      <c r="AO95" s="1" t="str">
        <f t="shared" si="29"/>
        <v/>
      </c>
      <c r="AP95" s="1" t="str">
        <f t="shared" si="30"/>
        <v/>
      </c>
    </row>
    <row r="96" spans="1:42">
      <c r="A96" s="1">
        <v>95</v>
      </c>
      <c r="B96" s="92" t="str">
        <f>女子エントリー!D383</f>
        <v/>
      </c>
      <c r="C96" s="1" t="str">
        <f>基本情報!$E$6</f>
        <v/>
      </c>
      <c r="D96" s="1" t="str">
        <f>基本情報!$E$7</f>
        <v/>
      </c>
      <c r="F96" s="92">
        <f>女子エントリー!C383</f>
        <v>0</v>
      </c>
      <c r="G96" s="92" t="str">
        <f>女子エントリー!E383</f>
        <v/>
      </c>
      <c r="H96" s="92" t="str">
        <f>女子エントリー!F383</f>
        <v/>
      </c>
      <c r="I96" s="1" t="str">
        <f t="shared" si="31"/>
        <v/>
      </c>
      <c r="J96" s="1" t="e">
        <f>LEFT(女子エントリー!E385,FIND(",",LEFT(女子エントリー!E385,LEN(女子エントリー!E385)-5))-1)&amp;LEFT(RIGHT(女子エントリー!E385,LEN(女子エントリー!E385)-FIND(",",女子エントリー!E385)),LEN(RIGHT(女子エントリー!E385,LEN(女子エントリー!E385)-FIND(",",女子エントリー!E385)))-5)</f>
        <v>#VALUE!</v>
      </c>
      <c r="K96" s="92" t="str">
        <f>女子エントリー!G385</f>
        <v/>
      </c>
      <c r="L96" s="1" t="str">
        <f t="shared" si="18"/>
        <v/>
      </c>
      <c r="M96" s="92" t="str">
        <f>女子エントリー!G383</f>
        <v/>
      </c>
      <c r="N96" s="92" t="e">
        <f>MID(女子エントリー!E385,FIND("(",女子エントリー!E385)+1,2)</f>
        <v>#VALUE!</v>
      </c>
      <c r="O96" s="1">
        <v>0</v>
      </c>
      <c r="P96" s="92" t="e">
        <f>VLOOKUP(女子エントリー!G384,競技会設定!$F$3:$I$50,2,0)</f>
        <v>#N/A</v>
      </c>
      <c r="R96" s="1" t="str" cm="1">
        <f t="array" ref="R96">_xlfn.IFNA(_xlfn.IFNA(INDEX(競技会設定!$X$25:$AC$47,MATCH(INDEX(女子エントリー!$J$7:$AH$406,MATCH($G96&amp;RIGHT(R$1,1),女子エントリー!$AH$7:$AH$406,0),1),競技会設定!$AC$25:$AC$47,0),1),INDEX(競技会設定!$X$25:$AC$47,MATCH(INDEX(女子エントリー!$R$6:$V$406,MATCH($G96&amp;RIGHT(R$1,1),女子エントリー!$V$6:$V$406,0)-MATCH($G96&amp;RIGHT(R$1,1),女子エントリー!$V$6:$V$406,0)+1,1),競技会設定!$AC$25:$AC$47,0),1)),"")</f>
        <v/>
      </c>
      <c r="S96" s="1" t="str">
        <f>IF(R96=37,リレーエントリー!$I$27,_xlfn.IFNA(INDEX(女子エントリー!$J$7:$AH$406,MATCH($G96&amp;RIGHT(T$1,1),女子エントリー!$AH$7:$AH$406,0),3),""))</f>
        <v/>
      </c>
      <c r="T96" s="1" t="str">
        <f t="shared" si="32"/>
        <v/>
      </c>
      <c r="U96" s="1" t="str">
        <f t="shared" si="33"/>
        <v/>
      </c>
      <c r="V96" s="1" t="str">
        <f t="shared" si="34"/>
        <v/>
      </c>
      <c r="W96" s="1" t="str" cm="1">
        <f t="array" ref="W96">_xlfn.IFNA(_xlfn.IFNA(INDEX(競技会設定!$X$25:$AC$47,MATCH(INDEX(女子エントリー!$J$7:$AH$406,MATCH($G96&amp;RIGHT(W$1,1),女子エントリー!$AH$7:$AH$406,0),1),競技会設定!$AC$25:$AC$47,0),1),INDEX(競技会設定!$X$25:$AC$47,MATCH(INDEX(女子エントリー!$R$6:$V$406,MATCH($G96&amp;RIGHT(W$1,1),女子エントリー!$V$6:$V$406,0)-MATCH($G96&amp;RIGHT(W$1,1),女子エントリー!$V$6:$V$406,0)+1,1),競技会設定!$AC$25:$AC$47,0),1)),"")</f>
        <v/>
      </c>
      <c r="X96" s="1" t="str">
        <f>IF(W96=37,リレーエントリー!$I$27,_xlfn.IFNA(INDEX(女子エントリー!$J$7:$AH$406,MATCH($G96&amp;RIGHT(Y$1,1),女子エントリー!$AH$7:$AH$406,0),3),""))</f>
        <v/>
      </c>
      <c r="Y96" s="1" t="str">
        <f t="shared" si="19"/>
        <v/>
      </c>
      <c r="Z96" s="1" t="str">
        <f t="shared" si="20"/>
        <v/>
      </c>
      <c r="AA96" s="1" t="str">
        <f t="shared" si="21"/>
        <v/>
      </c>
      <c r="AB96" s="1" t="str" cm="1">
        <f t="array" ref="AB96">_xlfn.IFNA(_xlfn.IFNA(INDEX(競技会設定!$X$25:$AC$47,MATCH(INDEX(女子エントリー!$J$7:$AH$406,MATCH($G96&amp;RIGHT(AB$1,1),女子エントリー!$AH$7:$AH$406,0),1),競技会設定!$AC$25:$AC$47,0),1),INDEX(競技会設定!$X$25:$AC$47,MATCH(INDEX(女子エントリー!$R$6:$V$406,MATCH($G96&amp;RIGHT(AB$1,1),女子エントリー!$V$6:$V$406,0)-MATCH($G96&amp;RIGHT(AB$1,1),女子エントリー!$V$6:$V$406,0)+1,1),競技会設定!$AC$25:$AC$47,0),1)),"")</f>
        <v/>
      </c>
      <c r="AC96" s="1" t="str">
        <f>IF(AB96=37,リレーエントリー!$I$27,_xlfn.IFNA(INDEX(女子エントリー!$J$7:$AH$406,MATCH($G96&amp;RIGHT(AD$1,1),女子エントリー!$AH$7:$AH$406,0),3),""))</f>
        <v/>
      </c>
      <c r="AD96" s="1" t="str">
        <f t="shared" si="22"/>
        <v/>
      </c>
      <c r="AE96" s="1" t="str">
        <f t="shared" si="23"/>
        <v/>
      </c>
      <c r="AF96" s="1" t="str">
        <f t="shared" si="24"/>
        <v/>
      </c>
      <c r="AG96" s="1" t="str" cm="1">
        <f t="array" ref="AG96">_xlfn.IFNA(_xlfn.IFNA(INDEX(競技会設定!$X$25:$AC$47,MATCH(INDEX(女子エントリー!$J$7:$AH$406,MATCH($G96&amp;RIGHT(AG$1,1),女子エントリー!$AH$7:$AH$406,0),1),競技会設定!$AC$25:$AC$47,0),1),INDEX(競技会設定!$X$25:$AC$47,MATCH(INDEX(女子エントリー!$R$6:$V$406,MATCH($G96&amp;RIGHT(AG$1,1),女子エントリー!$V$6:$V$406,0)-MATCH($G96&amp;RIGHT(AG$1,1),女子エントリー!$V$6:$V$406,0)+1,1),競技会設定!$AC$25:$AC$47,0),1)),"")</f>
        <v/>
      </c>
      <c r="AH96" s="1" t="str">
        <f>IF(AG96=37,リレーエントリー!$I$27,_xlfn.IFNA(INDEX(女子エントリー!$J$7:$AH$406,MATCH($G96&amp;RIGHT(AI$1,1),女子エントリー!$AH$7:$AH$406,0),3),""))</f>
        <v/>
      </c>
      <c r="AI96" s="1" t="str">
        <f t="shared" si="25"/>
        <v/>
      </c>
      <c r="AJ96" s="1" t="str">
        <f t="shared" si="26"/>
        <v/>
      </c>
      <c r="AK96" s="1" t="str">
        <f t="shared" si="27"/>
        <v/>
      </c>
      <c r="AL96" s="1" t="str" cm="1">
        <f t="array" ref="AL96">_xlfn.IFNA(_xlfn.IFNA(INDEX(競技会設定!$X$25:$AC$47,MATCH(INDEX(女子エントリー!$J$7:$AH$406,MATCH($G96&amp;RIGHT(AL$1,1),女子エントリー!$AH$7:$AH$406,0),1),競技会設定!$AC$25:$AC$47,0),1),INDEX(競技会設定!$X$25:$AC$47,MATCH(INDEX(女子エントリー!$R$6:$V$406,MATCH($G96&amp;RIGHT(AL$1,1),女子エントリー!$V$6:$V$406,0)-MATCH($G96&amp;RIGHT(AL$1,1),女子エントリー!$V$6:$V$406,0)+1,1),競技会設定!$AC$25:$AC$47,0),1)),"")</f>
        <v/>
      </c>
      <c r="AM96" s="1" t="str">
        <f>IF(AL96=37,リレーエントリー!$I$27,_xlfn.IFNA(INDEX(女子エントリー!$J$7:$AH$406,MATCH($G96&amp;RIGHT(AN$1,1),女子エントリー!$AH$7:$AH$406,0),3),""))</f>
        <v/>
      </c>
      <c r="AN96" s="1" t="str">
        <f t="shared" si="28"/>
        <v/>
      </c>
      <c r="AO96" s="1" t="str">
        <f t="shared" si="29"/>
        <v/>
      </c>
      <c r="AP96" s="1" t="str">
        <f t="shared" si="30"/>
        <v/>
      </c>
    </row>
    <row r="97" spans="1:42">
      <c r="A97" s="1">
        <v>96</v>
      </c>
      <c r="B97" s="92" t="str">
        <f>女子エントリー!D387</f>
        <v/>
      </c>
      <c r="C97" s="1" t="str">
        <f>基本情報!$E$6</f>
        <v/>
      </c>
      <c r="D97" s="1" t="str">
        <f>基本情報!$E$7</f>
        <v/>
      </c>
      <c r="F97" s="92">
        <f>女子エントリー!C387</f>
        <v>0</v>
      </c>
      <c r="G97" s="92" t="str">
        <f>女子エントリー!E387</f>
        <v/>
      </c>
      <c r="H97" s="92" t="str">
        <f>女子エントリー!F387</f>
        <v/>
      </c>
      <c r="I97" s="1" t="str">
        <f t="shared" si="31"/>
        <v/>
      </c>
      <c r="J97" s="1" t="e">
        <f>LEFT(女子エントリー!E389,FIND(",",LEFT(女子エントリー!E389,LEN(女子エントリー!E389)-5))-1)&amp;LEFT(RIGHT(女子エントリー!E389,LEN(女子エントリー!E389)-FIND(",",女子エントリー!E389)),LEN(RIGHT(女子エントリー!E389,LEN(女子エントリー!E389)-FIND(",",女子エントリー!E389)))-5)</f>
        <v>#VALUE!</v>
      </c>
      <c r="K97" s="92" t="str">
        <f>女子エントリー!G389</f>
        <v/>
      </c>
      <c r="L97" s="1" t="str">
        <f t="shared" si="18"/>
        <v/>
      </c>
      <c r="M97" s="92" t="str">
        <f>女子エントリー!G387</f>
        <v/>
      </c>
      <c r="N97" s="92" t="e">
        <f>MID(女子エントリー!E389,FIND("(",女子エントリー!E389)+1,2)</f>
        <v>#VALUE!</v>
      </c>
      <c r="O97" s="1">
        <v>0</v>
      </c>
      <c r="P97" s="92" t="e">
        <f>VLOOKUP(女子エントリー!G388,競技会設定!$F$3:$I$50,2,0)</f>
        <v>#N/A</v>
      </c>
      <c r="R97" s="1" t="str" cm="1">
        <f t="array" ref="R97">_xlfn.IFNA(_xlfn.IFNA(INDEX(競技会設定!$X$25:$AC$47,MATCH(INDEX(女子エントリー!$J$7:$AH$406,MATCH($G97&amp;RIGHT(R$1,1),女子エントリー!$AH$7:$AH$406,0),1),競技会設定!$AC$25:$AC$47,0),1),INDEX(競技会設定!$X$25:$AC$47,MATCH(INDEX(女子エントリー!$R$6:$V$406,MATCH($G97&amp;RIGHT(R$1,1),女子エントリー!$V$6:$V$406,0)-MATCH($G97&amp;RIGHT(R$1,1),女子エントリー!$V$6:$V$406,0)+1,1),競技会設定!$AC$25:$AC$47,0),1)),"")</f>
        <v/>
      </c>
      <c r="S97" s="1" t="str">
        <f>IF(R97=37,リレーエントリー!$I$27,_xlfn.IFNA(INDEX(女子エントリー!$J$7:$AH$406,MATCH($G97&amp;RIGHT(T$1,1),女子エントリー!$AH$7:$AH$406,0),3),""))</f>
        <v/>
      </c>
      <c r="T97" s="1" t="str">
        <f t="shared" si="32"/>
        <v/>
      </c>
      <c r="U97" s="1" t="str">
        <f t="shared" si="33"/>
        <v/>
      </c>
      <c r="V97" s="1" t="str">
        <f t="shared" si="34"/>
        <v/>
      </c>
      <c r="W97" s="1" t="str" cm="1">
        <f t="array" ref="W97">_xlfn.IFNA(_xlfn.IFNA(INDEX(競技会設定!$X$25:$AC$47,MATCH(INDEX(女子エントリー!$J$7:$AH$406,MATCH($G97&amp;RIGHT(W$1,1),女子エントリー!$AH$7:$AH$406,0),1),競技会設定!$AC$25:$AC$47,0),1),INDEX(競技会設定!$X$25:$AC$47,MATCH(INDEX(女子エントリー!$R$6:$V$406,MATCH($G97&amp;RIGHT(W$1,1),女子エントリー!$V$6:$V$406,0)-MATCH($G97&amp;RIGHT(W$1,1),女子エントリー!$V$6:$V$406,0)+1,1),競技会設定!$AC$25:$AC$47,0),1)),"")</f>
        <v/>
      </c>
      <c r="X97" s="1" t="str">
        <f>IF(W97=37,リレーエントリー!$I$27,_xlfn.IFNA(INDEX(女子エントリー!$J$7:$AH$406,MATCH($G97&amp;RIGHT(Y$1,1),女子エントリー!$AH$7:$AH$406,0),3),""))</f>
        <v/>
      </c>
      <c r="Y97" s="1" t="str">
        <f t="shared" si="19"/>
        <v/>
      </c>
      <c r="Z97" s="1" t="str">
        <f t="shared" si="20"/>
        <v/>
      </c>
      <c r="AA97" s="1" t="str">
        <f t="shared" si="21"/>
        <v/>
      </c>
      <c r="AB97" s="1" t="str" cm="1">
        <f t="array" ref="AB97">_xlfn.IFNA(_xlfn.IFNA(INDEX(競技会設定!$X$25:$AC$47,MATCH(INDEX(女子エントリー!$J$7:$AH$406,MATCH($G97&amp;RIGHT(AB$1,1),女子エントリー!$AH$7:$AH$406,0),1),競技会設定!$AC$25:$AC$47,0),1),INDEX(競技会設定!$X$25:$AC$47,MATCH(INDEX(女子エントリー!$R$6:$V$406,MATCH($G97&amp;RIGHT(AB$1,1),女子エントリー!$V$6:$V$406,0)-MATCH($G97&amp;RIGHT(AB$1,1),女子エントリー!$V$6:$V$406,0)+1,1),競技会設定!$AC$25:$AC$47,0),1)),"")</f>
        <v/>
      </c>
      <c r="AC97" s="1" t="str">
        <f>IF(AB97=37,リレーエントリー!$I$27,_xlfn.IFNA(INDEX(女子エントリー!$J$7:$AH$406,MATCH($G97&amp;RIGHT(AD$1,1),女子エントリー!$AH$7:$AH$406,0),3),""))</f>
        <v/>
      </c>
      <c r="AD97" s="1" t="str">
        <f t="shared" si="22"/>
        <v/>
      </c>
      <c r="AE97" s="1" t="str">
        <f t="shared" si="23"/>
        <v/>
      </c>
      <c r="AF97" s="1" t="str">
        <f t="shared" si="24"/>
        <v/>
      </c>
      <c r="AG97" s="1" t="str" cm="1">
        <f t="array" ref="AG97">_xlfn.IFNA(_xlfn.IFNA(INDEX(競技会設定!$X$25:$AC$47,MATCH(INDEX(女子エントリー!$J$7:$AH$406,MATCH($G97&amp;RIGHT(AG$1,1),女子エントリー!$AH$7:$AH$406,0),1),競技会設定!$AC$25:$AC$47,0),1),INDEX(競技会設定!$X$25:$AC$47,MATCH(INDEX(女子エントリー!$R$6:$V$406,MATCH($G97&amp;RIGHT(AG$1,1),女子エントリー!$V$6:$V$406,0)-MATCH($G97&amp;RIGHT(AG$1,1),女子エントリー!$V$6:$V$406,0)+1,1),競技会設定!$AC$25:$AC$47,0),1)),"")</f>
        <v/>
      </c>
      <c r="AH97" s="1" t="str">
        <f>IF(AG97=37,リレーエントリー!$I$27,_xlfn.IFNA(INDEX(女子エントリー!$J$7:$AH$406,MATCH($G97&amp;RIGHT(AI$1,1),女子エントリー!$AH$7:$AH$406,0),3),""))</f>
        <v/>
      </c>
      <c r="AI97" s="1" t="str">
        <f t="shared" si="25"/>
        <v/>
      </c>
      <c r="AJ97" s="1" t="str">
        <f t="shared" si="26"/>
        <v/>
      </c>
      <c r="AK97" s="1" t="str">
        <f t="shared" si="27"/>
        <v/>
      </c>
      <c r="AL97" s="1" t="str" cm="1">
        <f t="array" ref="AL97">_xlfn.IFNA(_xlfn.IFNA(INDEX(競技会設定!$X$25:$AC$47,MATCH(INDEX(女子エントリー!$J$7:$AH$406,MATCH($G97&amp;RIGHT(AL$1,1),女子エントリー!$AH$7:$AH$406,0),1),競技会設定!$AC$25:$AC$47,0),1),INDEX(競技会設定!$X$25:$AC$47,MATCH(INDEX(女子エントリー!$R$6:$V$406,MATCH($G97&amp;RIGHT(AL$1,1),女子エントリー!$V$6:$V$406,0)-MATCH($G97&amp;RIGHT(AL$1,1),女子エントリー!$V$6:$V$406,0)+1,1),競技会設定!$AC$25:$AC$47,0),1)),"")</f>
        <v/>
      </c>
      <c r="AM97" s="1" t="str">
        <f>IF(AL97=37,リレーエントリー!$I$27,_xlfn.IFNA(INDEX(女子エントリー!$J$7:$AH$406,MATCH($G97&amp;RIGHT(AN$1,1),女子エントリー!$AH$7:$AH$406,0),3),""))</f>
        <v/>
      </c>
      <c r="AN97" s="1" t="str">
        <f t="shared" si="28"/>
        <v/>
      </c>
      <c r="AO97" s="1" t="str">
        <f t="shared" si="29"/>
        <v/>
      </c>
      <c r="AP97" s="1" t="str">
        <f t="shared" si="30"/>
        <v/>
      </c>
    </row>
    <row r="98" spans="1:42">
      <c r="A98" s="1">
        <v>97</v>
      </c>
      <c r="B98" s="92" t="str">
        <f>女子エントリー!D391</f>
        <v/>
      </c>
      <c r="C98" s="1" t="str">
        <f>基本情報!$E$6</f>
        <v/>
      </c>
      <c r="D98" s="1" t="str">
        <f>基本情報!$E$7</f>
        <v/>
      </c>
      <c r="F98" s="92">
        <f>女子エントリー!C391</f>
        <v>0</v>
      </c>
      <c r="G98" s="92" t="str">
        <f>女子エントリー!E391</f>
        <v/>
      </c>
      <c r="H98" s="92" t="str">
        <f>女子エントリー!F391</f>
        <v/>
      </c>
      <c r="I98" s="1" t="str">
        <f t="shared" si="31"/>
        <v/>
      </c>
      <c r="J98" s="1" t="e">
        <f>LEFT(女子エントリー!E393,FIND(",",LEFT(女子エントリー!E393,LEN(女子エントリー!E393)-5))-1)&amp;LEFT(RIGHT(女子エントリー!E393,LEN(女子エントリー!E393)-FIND(",",女子エントリー!E393)),LEN(RIGHT(女子エントリー!E393,LEN(女子エントリー!E393)-FIND(",",女子エントリー!E393)))-5)</f>
        <v>#VALUE!</v>
      </c>
      <c r="K98" s="92" t="str">
        <f>女子エントリー!G393</f>
        <v/>
      </c>
      <c r="L98" s="1" t="str">
        <f t="shared" si="18"/>
        <v/>
      </c>
      <c r="M98" s="92" t="str">
        <f>女子エントリー!G391</f>
        <v/>
      </c>
      <c r="N98" s="92" t="e">
        <f>MID(女子エントリー!E393,FIND("(",女子エントリー!E393)+1,2)</f>
        <v>#VALUE!</v>
      </c>
      <c r="O98" s="1">
        <v>0</v>
      </c>
      <c r="P98" s="92" t="e">
        <f>VLOOKUP(女子エントリー!G392,競技会設定!$F$3:$I$50,2,0)</f>
        <v>#N/A</v>
      </c>
      <c r="R98" s="1" t="str" cm="1">
        <f t="array" ref="R98">_xlfn.IFNA(_xlfn.IFNA(INDEX(競技会設定!$X$25:$AC$47,MATCH(INDEX(女子エントリー!$J$7:$AH$406,MATCH($G98&amp;RIGHT(R$1,1),女子エントリー!$AH$7:$AH$406,0),1),競技会設定!$AC$25:$AC$47,0),1),INDEX(競技会設定!$X$25:$AC$47,MATCH(INDEX(女子エントリー!$R$6:$V$406,MATCH($G98&amp;RIGHT(R$1,1),女子エントリー!$V$6:$V$406,0)-MATCH($G98&amp;RIGHT(R$1,1),女子エントリー!$V$6:$V$406,0)+1,1),競技会設定!$AC$25:$AC$47,0),1)),"")</f>
        <v/>
      </c>
      <c r="S98" s="1" t="str">
        <f>IF(R98=37,リレーエントリー!$I$27,_xlfn.IFNA(INDEX(女子エントリー!$J$7:$AH$406,MATCH($G98&amp;RIGHT(T$1,1),女子エントリー!$AH$7:$AH$406,0),3),""))</f>
        <v/>
      </c>
      <c r="T98" s="1" t="str">
        <f t="shared" si="32"/>
        <v/>
      </c>
      <c r="U98" s="1" t="str">
        <f t="shared" si="33"/>
        <v/>
      </c>
      <c r="V98" s="1" t="str">
        <f t="shared" si="34"/>
        <v/>
      </c>
      <c r="W98" s="1" t="str" cm="1">
        <f t="array" ref="W98">_xlfn.IFNA(_xlfn.IFNA(INDEX(競技会設定!$X$25:$AC$47,MATCH(INDEX(女子エントリー!$J$7:$AH$406,MATCH($G98&amp;RIGHT(W$1,1),女子エントリー!$AH$7:$AH$406,0),1),競技会設定!$AC$25:$AC$47,0),1),INDEX(競技会設定!$X$25:$AC$47,MATCH(INDEX(女子エントリー!$R$6:$V$406,MATCH($G98&amp;RIGHT(W$1,1),女子エントリー!$V$6:$V$406,0)-MATCH($G98&amp;RIGHT(W$1,1),女子エントリー!$V$6:$V$406,0)+1,1),競技会設定!$AC$25:$AC$47,0),1)),"")</f>
        <v/>
      </c>
      <c r="X98" s="1" t="str">
        <f>IF(W98=37,リレーエントリー!$I$27,_xlfn.IFNA(INDEX(女子エントリー!$J$7:$AH$406,MATCH($G98&amp;RIGHT(Y$1,1),女子エントリー!$AH$7:$AH$406,0),3),""))</f>
        <v/>
      </c>
      <c r="Y98" s="1" t="str">
        <f t="shared" si="19"/>
        <v/>
      </c>
      <c r="Z98" s="1" t="str">
        <f t="shared" si="20"/>
        <v/>
      </c>
      <c r="AA98" s="1" t="str">
        <f t="shared" si="21"/>
        <v/>
      </c>
      <c r="AB98" s="1" t="str" cm="1">
        <f t="array" ref="AB98">_xlfn.IFNA(_xlfn.IFNA(INDEX(競技会設定!$X$25:$AC$47,MATCH(INDEX(女子エントリー!$J$7:$AH$406,MATCH($G98&amp;RIGHT(AB$1,1),女子エントリー!$AH$7:$AH$406,0),1),競技会設定!$AC$25:$AC$47,0),1),INDEX(競技会設定!$X$25:$AC$47,MATCH(INDEX(女子エントリー!$R$6:$V$406,MATCH($G98&amp;RIGHT(AB$1,1),女子エントリー!$V$6:$V$406,0)-MATCH($G98&amp;RIGHT(AB$1,1),女子エントリー!$V$6:$V$406,0)+1,1),競技会設定!$AC$25:$AC$47,0),1)),"")</f>
        <v/>
      </c>
      <c r="AC98" s="1" t="str">
        <f>IF(AB98=37,リレーエントリー!$I$27,_xlfn.IFNA(INDEX(女子エントリー!$J$7:$AH$406,MATCH($G98&amp;RIGHT(AD$1,1),女子エントリー!$AH$7:$AH$406,0),3),""))</f>
        <v/>
      </c>
      <c r="AD98" s="1" t="str">
        <f t="shared" si="22"/>
        <v/>
      </c>
      <c r="AE98" s="1" t="str">
        <f t="shared" si="23"/>
        <v/>
      </c>
      <c r="AF98" s="1" t="str">
        <f t="shared" si="24"/>
        <v/>
      </c>
      <c r="AG98" s="1" t="str" cm="1">
        <f t="array" ref="AG98">_xlfn.IFNA(_xlfn.IFNA(INDEX(競技会設定!$X$25:$AC$47,MATCH(INDEX(女子エントリー!$J$7:$AH$406,MATCH($G98&amp;RIGHT(AG$1,1),女子エントリー!$AH$7:$AH$406,0),1),競技会設定!$AC$25:$AC$47,0),1),INDEX(競技会設定!$X$25:$AC$47,MATCH(INDEX(女子エントリー!$R$6:$V$406,MATCH($G98&amp;RIGHT(AG$1,1),女子エントリー!$V$6:$V$406,0)-MATCH($G98&amp;RIGHT(AG$1,1),女子エントリー!$V$6:$V$406,0)+1,1),競技会設定!$AC$25:$AC$47,0),1)),"")</f>
        <v/>
      </c>
      <c r="AH98" s="1" t="str">
        <f>IF(AG98=37,リレーエントリー!$I$27,_xlfn.IFNA(INDEX(女子エントリー!$J$7:$AH$406,MATCH($G98&amp;RIGHT(AI$1,1),女子エントリー!$AH$7:$AH$406,0),3),""))</f>
        <v/>
      </c>
      <c r="AI98" s="1" t="str">
        <f t="shared" si="25"/>
        <v/>
      </c>
      <c r="AJ98" s="1" t="str">
        <f t="shared" si="26"/>
        <v/>
      </c>
      <c r="AK98" s="1" t="str">
        <f t="shared" si="27"/>
        <v/>
      </c>
      <c r="AL98" s="1" t="str" cm="1">
        <f t="array" ref="AL98">_xlfn.IFNA(_xlfn.IFNA(INDEX(競技会設定!$X$25:$AC$47,MATCH(INDEX(女子エントリー!$J$7:$AH$406,MATCH($G98&amp;RIGHT(AL$1,1),女子エントリー!$AH$7:$AH$406,0),1),競技会設定!$AC$25:$AC$47,0),1),INDEX(競技会設定!$X$25:$AC$47,MATCH(INDEX(女子エントリー!$R$6:$V$406,MATCH($G98&amp;RIGHT(AL$1,1),女子エントリー!$V$6:$V$406,0)-MATCH($G98&amp;RIGHT(AL$1,1),女子エントリー!$V$6:$V$406,0)+1,1),競技会設定!$AC$25:$AC$47,0),1)),"")</f>
        <v/>
      </c>
      <c r="AM98" s="1" t="str">
        <f>IF(AL98=37,リレーエントリー!$I$27,_xlfn.IFNA(INDEX(女子エントリー!$J$7:$AH$406,MATCH($G98&amp;RIGHT(AN$1,1),女子エントリー!$AH$7:$AH$406,0),3),""))</f>
        <v/>
      </c>
      <c r="AN98" s="1" t="str">
        <f t="shared" si="28"/>
        <v/>
      </c>
      <c r="AO98" s="1" t="str">
        <f t="shared" si="29"/>
        <v/>
      </c>
      <c r="AP98" s="1" t="str">
        <f t="shared" si="30"/>
        <v/>
      </c>
    </row>
    <row r="99" spans="1:42">
      <c r="A99" s="1">
        <v>98</v>
      </c>
      <c r="B99" s="92" t="str">
        <f>女子エントリー!D395</f>
        <v/>
      </c>
      <c r="C99" s="1" t="str">
        <f>基本情報!$E$6</f>
        <v/>
      </c>
      <c r="D99" s="1" t="str">
        <f>基本情報!$E$7</f>
        <v/>
      </c>
      <c r="F99" s="92">
        <f>女子エントリー!C395</f>
        <v>0</v>
      </c>
      <c r="G99" s="92" t="str">
        <f>女子エントリー!E395</f>
        <v/>
      </c>
      <c r="H99" s="92" t="str">
        <f>女子エントリー!F395</f>
        <v/>
      </c>
      <c r="I99" s="1" t="str">
        <f t="shared" si="31"/>
        <v/>
      </c>
      <c r="J99" s="1" t="e">
        <f>LEFT(女子エントリー!E397,FIND(",",LEFT(女子エントリー!E397,LEN(女子エントリー!E397)-5))-1)&amp;LEFT(RIGHT(女子エントリー!E397,LEN(女子エントリー!E397)-FIND(",",女子エントリー!E397)),LEN(RIGHT(女子エントリー!E397,LEN(女子エントリー!E397)-FIND(",",女子エントリー!E397)))-5)</f>
        <v>#VALUE!</v>
      </c>
      <c r="K99" s="92" t="str">
        <f>女子エントリー!G397</f>
        <v/>
      </c>
      <c r="L99" s="1" t="str">
        <f t="shared" si="18"/>
        <v/>
      </c>
      <c r="M99" s="92" t="str">
        <f>女子エントリー!G395</f>
        <v/>
      </c>
      <c r="N99" s="92" t="e">
        <f>MID(女子エントリー!E397,FIND("(",女子エントリー!E397)+1,2)</f>
        <v>#VALUE!</v>
      </c>
      <c r="O99" s="1">
        <v>0</v>
      </c>
      <c r="P99" s="92" t="e">
        <f>VLOOKUP(女子エントリー!G396,競技会設定!$F$3:$I$50,2,0)</f>
        <v>#N/A</v>
      </c>
      <c r="R99" s="1" t="str" cm="1">
        <f t="array" ref="R99">_xlfn.IFNA(_xlfn.IFNA(INDEX(競技会設定!$X$25:$AC$47,MATCH(INDEX(女子エントリー!$J$7:$AH$406,MATCH($G99&amp;RIGHT(R$1,1),女子エントリー!$AH$7:$AH$406,0),1),競技会設定!$AC$25:$AC$47,0),1),INDEX(競技会設定!$X$25:$AC$47,MATCH(INDEX(女子エントリー!$R$6:$V$406,MATCH($G99&amp;RIGHT(R$1,1),女子エントリー!$V$6:$V$406,0)-MATCH($G99&amp;RIGHT(R$1,1),女子エントリー!$V$6:$V$406,0)+1,1),競技会設定!$AC$25:$AC$47,0),1)),"")</f>
        <v/>
      </c>
      <c r="S99" s="1" t="str">
        <f>IF(R99=37,リレーエントリー!$I$27,_xlfn.IFNA(INDEX(女子エントリー!$J$7:$AH$406,MATCH($G99&amp;RIGHT(T$1,1),女子エントリー!$AH$7:$AH$406,0),3),""))</f>
        <v/>
      </c>
      <c r="T99" s="1" t="str">
        <f t="shared" si="32"/>
        <v/>
      </c>
      <c r="U99" s="1" t="str">
        <f t="shared" si="33"/>
        <v/>
      </c>
      <c r="V99" s="1" t="str">
        <f t="shared" si="34"/>
        <v/>
      </c>
      <c r="W99" s="1" t="str" cm="1">
        <f t="array" ref="W99">_xlfn.IFNA(_xlfn.IFNA(INDEX(競技会設定!$X$25:$AC$47,MATCH(INDEX(女子エントリー!$J$7:$AH$406,MATCH($G99&amp;RIGHT(W$1,1),女子エントリー!$AH$7:$AH$406,0),1),競技会設定!$AC$25:$AC$47,0),1),INDEX(競技会設定!$X$25:$AC$47,MATCH(INDEX(女子エントリー!$R$6:$V$406,MATCH($G99&amp;RIGHT(W$1,1),女子エントリー!$V$6:$V$406,0)-MATCH($G99&amp;RIGHT(W$1,1),女子エントリー!$V$6:$V$406,0)+1,1),競技会設定!$AC$25:$AC$47,0),1)),"")</f>
        <v/>
      </c>
      <c r="X99" s="1" t="str">
        <f>IF(W99=37,リレーエントリー!$I$27,_xlfn.IFNA(INDEX(女子エントリー!$J$7:$AH$406,MATCH($G99&amp;RIGHT(Y$1,1),女子エントリー!$AH$7:$AH$406,0),3),""))</f>
        <v/>
      </c>
      <c r="Y99" s="1" t="str">
        <f t="shared" si="19"/>
        <v/>
      </c>
      <c r="Z99" s="1" t="str">
        <f t="shared" si="20"/>
        <v/>
      </c>
      <c r="AA99" s="1" t="str">
        <f t="shared" si="21"/>
        <v/>
      </c>
      <c r="AB99" s="1" t="str" cm="1">
        <f t="array" ref="AB99">_xlfn.IFNA(_xlfn.IFNA(INDEX(競技会設定!$X$25:$AC$47,MATCH(INDEX(女子エントリー!$J$7:$AH$406,MATCH($G99&amp;RIGHT(AB$1,1),女子エントリー!$AH$7:$AH$406,0),1),競技会設定!$AC$25:$AC$47,0),1),INDEX(競技会設定!$X$25:$AC$47,MATCH(INDEX(女子エントリー!$R$6:$V$406,MATCH($G99&amp;RIGHT(AB$1,1),女子エントリー!$V$6:$V$406,0)-MATCH($G99&amp;RIGHT(AB$1,1),女子エントリー!$V$6:$V$406,0)+1,1),競技会設定!$AC$25:$AC$47,0),1)),"")</f>
        <v/>
      </c>
      <c r="AC99" s="1" t="str">
        <f>IF(AB99=37,リレーエントリー!$I$27,_xlfn.IFNA(INDEX(女子エントリー!$J$7:$AH$406,MATCH($G99&amp;RIGHT(AD$1,1),女子エントリー!$AH$7:$AH$406,0),3),""))</f>
        <v/>
      </c>
      <c r="AD99" s="1" t="str">
        <f t="shared" si="22"/>
        <v/>
      </c>
      <c r="AE99" s="1" t="str">
        <f t="shared" si="23"/>
        <v/>
      </c>
      <c r="AF99" s="1" t="str">
        <f t="shared" si="24"/>
        <v/>
      </c>
      <c r="AG99" s="1" t="str" cm="1">
        <f t="array" ref="AG99">_xlfn.IFNA(_xlfn.IFNA(INDEX(競技会設定!$X$25:$AC$47,MATCH(INDEX(女子エントリー!$J$7:$AH$406,MATCH($G99&amp;RIGHT(AG$1,1),女子エントリー!$AH$7:$AH$406,0),1),競技会設定!$AC$25:$AC$47,0),1),INDEX(競技会設定!$X$25:$AC$47,MATCH(INDEX(女子エントリー!$R$6:$V$406,MATCH($G99&amp;RIGHT(AG$1,1),女子エントリー!$V$6:$V$406,0)-MATCH($G99&amp;RIGHT(AG$1,1),女子エントリー!$V$6:$V$406,0)+1,1),競技会設定!$AC$25:$AC$47,0),1)),"")</f>
        <v/>
      </c>
      <c r="AH99" s="1" t="str">
        <f>IF(AG99=37,リレーエントリー!$I$27,_xlfn.IFNA(INDEX(女子エントリー!$J$7:$AH$406,MATCH($G99&amp;RIGHT(AI$1,1),女子エントリー!$AH$7:$AH$406,0),3),""))</f>
        <v/>
      </c>
      <c r="AI99" s="1" t="str">
        <f t="shared" si="25"/>
        <v/>
      </c>
      <c r="AJ99" s="1" t="str">
        <f t="shared" si="26"/>
        <v/>
      </c>
      <c r="AK99" s="1" t="str">
        <f t="shared" si="27"/>
        <v/>
      </c>
      <c r="AL99" s="1" t="str" cm="1">
        <f t="array" ref="AL99">_xlfn.IFNA(_xlfn.IFNA(INDEX(競技会設定!$X$25:$AC$47,MATCH(INDEX(女子エントリー!$J$7:$AH$406,MATCH($G99&amp;RIGHT(AL$1,1),女子エントリー!$AH$7:$AH$406,0),1),競技会設定!$AC$25:$AC$47,0),1),INDEX(競技会設定!$X$25:$AC$47,MATCH(INDEX(女子エントリー!$R$6:$V$406,MATCH($G99&amp;RIGHT(AL$1,1),女子エントリー!$V$6:$V$406,0)-MATCH($G99&amp;RIGHT(AL$1,1),女子エントリー!$V$6:$V$406,0)+1,1),競技会設定!$AC$25:$AC$47,0),1)),"")</f>
        <v/>
      </c>
      <c r="AM99" s="1" t="str">
        <f>IF(AL99=37,リレーエントリー!$I$27,_xlfn.IFNA(INDEX(女子エントリー!$J$7:$AH$406,MATCH($G99&amp;RIGHT(AN$1,1),女子エントリー!$AH$7:$AH$406,0),3),""))</f>
        <v/>
      </c>
      <c r="AN99" s="1" t="str">
        <f t="shared" si="28"/>
        <v/>
      </c>
      <c r="AO99" s="1" t="str">
        <f t="shared" si="29"/>
        <v/>
      </c>
      <c r="AP99" s="1" t="str">
        <f t="shared" si="30"/>
        <v/>
      </c>
    </row>
    <row r="100" spans="1:42">
      <c r="A100" s="1">
        <v>99</v>
      </c>
      <c r="B100" s="92" t="str">
        <f>女子エントリー!D399</f>
        <v/>
      </c>
      <c r="C100" s="1" t="str">
        <f>基本情報!$E$6</f>
        <v/>
      </c>
      <c r="D100" s="1" t="str">
        <f>基本情報!$E$7</f>
        <v/>
      </c>
      <c r="F100" s="92">
        <f>女子エントリー!C399</f>
        <v>0</v>
      </c>
      <c r="G100" s="92" t="str">
        <f>女子エントリー!E399</f>
        <v/>
      </c>
      <c r="H100" s="92" t="str">
        <f>女子エントリー!F399</f>
        <v/>
      </c>
      <c r="I100" s="1" t="str">
        <f t="shared" si="31"/>
        <v/>
      </c>
      <c r="J100" s="1" t="e">
        <f>LEFT(女子エントリー!E401,FIND(",",LEFT(女子エントリー!E401,LEN(女子エントリー!E401)-5))-1)&amp;LEFT(RIGHT(女子エントリー!E401,LEN(女子エントリー!E401)-FIND(",",女子エントリー!E401)),LEN(RIGHT(女子エントリー!E401,LEN(女子エントリー!E401)-FIND(",",女子エントリー!E401)))-5)</f>
        <v>#VALUE!</v>
      </c>
      <c r="K100" s="92" t="str">
        <f>女子エントリー!G401</f>
        <v/>
      </c>
      <c r="L100" s="1" t="str">
        <f t="shared" si="18"/>
        <v/>
      </c>
      <c r="M100" s="92" t="str">
        <f>女子エントリー!G399</f>
        <v/>
      </c>
      <c r="N100" s="92" t="e">
        <f>MID(女子エントリー!E401,FIND("(",女子エントリー!E401)+1,2)</f>
        <v>#VALUE!</v>
      </c>
      <c r="O100" s="1">
        <v>0</v>
      </c>
      <c r="P100" s="92" t="e">
        <f>VLOOKUP(女子エントリー!G400,競技会設定!$F$3:$I$50,2,0)</f>
        <v>#N/A</v>
      </c>
      <c r="R100" s="1" t="str" cm="1">
        <f t="array" ref="R100">_xlfn.IFNA(_xlfn.IFNA(INDEX(競技会設定!$X$25:$AC$47,MATCH(INDEX(女子エントリー!$J$7:$AH$406,MATCH($G100&amp;RIGHT(R$1,1),女子エントリー!$AH$7:$AH$406,0),1),競技会設定!$AC$25:$AC$47,0),1),INDEX(競技会設定!$X$25:$AC$47,MATCH(INDEX(女子エントリー!$R$6:$V$406,MATCH($G100&amp;RIGHT(R$1,1),女子エントリー!$V$6:$V$406,0)-MATCH($G100&amp;RIGHT(R$1,1),女子エントリー!$V$6:$V$406,0)+1,1),競技会設定!$AC$25:$AC$47,0),1)),"")</f>
        <v/>
      </c>
      <c r="S100" s="1" t="str">
        <f>IF(R100=37,リレーエントリー!$I$27,_xlfn.IFNA(INDEX(女子エントリー!$J$7:$AH$406,MATCH($G100&amp;RIGHT(T$1,1),女子エントリー!$AH$7:$AH$406,0),3),""))</f>
        <v/>
      </c>
      <c r="T100" s="1" t="str">
        <f t="shared" si="32"/>
        <v/>
      </c>
      <c r="U100" s="1" t="str">
        <f t="shared" si="33"/>
        <v/>
      </c>
      <c r="V100" s="1" t="str">
        <f t="shared" si="34"/>
        <v/>
      </c>
      <c r="W100" s="1" t="str" cm="1">
        <f t="array" ref="W100">_xlfn.IFNA(_xlfn.IFNA(INDEX(競技会設定!$X$25:$AC$47,MATCH(INDEX(女子エントリー!$J$7:$AH$406,MATCH($G100&amp;RIGHT(W$1,1),女子エントリー!$AH$7:$AH$406,0),1),競技会設定!$AC$25:$AC$47,0),1),INDEX(競技会設定!$X$25:$AC$47,MATCH(INDEX(女子エントリー!$R$6:$V$406,MATCH($G100&amp;RIGHT(W$1,1),女子エントリー!$V$6:$V$406,0)-MATCH($G100&amp;RIGHT(W$1,1),女子エントリー!$V$6:$V$406,0)+1,1),競技会設定!$AC$25:$AC$47,0),1)),"")</f>
        <v/>
      </c>
      <c r="X100" s="1" t="str">
        <f>IF(W100=37,リレーエントリー!$I$27,_xlfn.IFNA(INDEX(女子エントリー!$J$7:$AH$406,MATCH($G100&amp;RIGHT(Y$1,1),女子エントリー!$AH$7:$AH$406,0),3),""))</f>
        <v/>
      </c>
      <c r="Y100" s="1" t="str">
        <f t="shared" si="19"/>
        <v/>
      </c>
      <c r="Z100" s="1" t="str">
        <f t="shared" si="20"/>
        <v/>
      </c>
      <c r="AA100" s="1" t="str">
        <f t="shared" si="21"/>
        <v/>
      </c>
      <c r="AB100" s="1" t="str" cm="1">
        <f t="array" ref="AB100">_xlfn.IFNA(_xlfn.IFNA(INDEX(競技会設定!$X$25:$AC$47,MATCH(INDEX(女子エントリー!$J$7:$AH$406,MATCH($G100&amp;RIGHT(AB$1,1),女子エントリー!$AH$7:$AH$406,0),1),競技会設定!$AC$25:$AC$47,0),1),INDEX(競技会設定!$X$25:$AC$47,MATCH(INDEX(女子エントリー!$R$6:$V$406,MATCH($G100&amp;RIGHT(AB$1,1),女子エントリー!$V$6:$V$406,0)-MATCH($G100&amp;RIGHT(AB$1,1),女子エントリー!$V$6:$V$406,0)+1,1),競技会設定!$AC$25:$AC$47,0),1)),"")</f>
        <v/>
      </c>
      <c r="AC100" s="1" t="str">
        <f>IF(AB100=37,リレーエントリー!$I$27,_xlfn.IFNA(INDEX(女子エントリー!$J$7:$AH$406,MATCH($G100&amp;RIGHT(AD$1,1),女子エントリー!$AH$7:$AH$406,0),3),""))</f>
        <v/>
      </c>
      <c r="AD100" s="1" t="str">
        <f t="shared" si="22"/>
        <v/>
      </c>
      <c r="AE100" s="1" t="str">
        <f t="shared" si="23"/>
        <v/>
      </c>
      <c r="AF100" s="1" t="str">
        <f t="shared" si="24"/>
        <v/>
      </c>
      <c r="AG100" s="1" t="str" cm="1">
        <f t="array" ref="AG100">_xlfn.IFNA(_xlfn.IFNA(INDEX(競技会設定!$X$25:$AC$47,MATCH(INDEX(女子エントリー!$J$7:$AH$406,MATCH($G100&amp;RIGHT(AG$1,1),女子エントリー!$AH$7:$AH$406,0),1),競技会設定!$AC$25:$AC$47,0),1),INDEX(競技会設定!$X$25:$AC$47,MATCH(INDEX(女子エントリー!$R$6:$V$406,MATCH($G100&amp;RIGHT(AG$1,1),女子エントリー!$V$6:$V$406,0)-MATCH($G100&amp;RIGHT(AG$1,1),女子エントリー!$V$6:$V$406,0)+1,1),競技会設定!$AC$25:$AC$47,0),1)),"")</f>
        <v/>
      </c>
      <c r="AH100" s="1" t="str">
        <f>IF(AG100=37,リレーエントリー!$I$27,_xlfn.IFNA(INDEX(女子エントリー!$J$7:$AH$406,MATCH($G100&amp;RIGHT(AI$1,1),女子エントリー!$AH$7:$AH$406,0),3),""))</f>
        <v/>
      </c>
      <c r="AI100" s="1" t="str">
        <f t="shared" si="25"/>
        <v/>
      </c>
      <c r="AJ100" s="1" t="str">
        <f t="shared" si="26"/>
        <v/>
      </c>
      <c r="AK100" s="1" t="str">
        <f t="shared" si="27"/>
        <v/>
      </c>
      <c r="AL100" s="1" t="str" cm="1">
        <f t="array" ref="AL100">_xlfn.IFNA(_xlfn.IFNA(INDEX(競技会設定!$X$25:$AC$47,MATCH(INDEX(女子エントリー!$J$7:$AH$406,MATCH($G100&amp;RIGHT(AL$1,1),女子エントリー!$AH$7:$AH$406,0),1),競技会設定!$AC$25:$AC$47,0),1),INDEX(競技会設定!$X$25:$AC$47,MATCH(INDEX(女子エントリー!$R$6:$V$406,MATCH($G100&amp;RIGHT(AL$1,1),女子エントリー!$V$6:$V$406,0)-MATCH($G100&amp;RIGHT(AL$1,1),女子エントリー!$V$6:$V$406,0)+1,1),競技会設定!$AC$25:$AC$47,0),1)),"")</f>
        <v/>
      </c>
      <c r="AM100" s="1" t="str">
        <f>IF(AL100=37,リレーエントリー!$I$27,_xlfn.IFNA(INDEX(女子エントリー!$J$7:$AH$406,MATCH($G100&amp;RIGHT(AN$1,1),女子エントリー!$AH$7:$AH$406,0),3),""))</f>
        <v/>
      </c>
      <c r="AN100" s="1" t="str">
        <f t="shared" si="28"/>
        <v/>
      </c>
      <c r="AO100" s="1" t="str">
        <f t="shared" si="29"/>
        <v/>
      </c>
      <c r="AP100" s="1" t="str">
        <f t="shared" si="30"/>
        <v/>
      </c>
    </row>
    <row r="101" spans="1:42">
      <c r="A101" s="1">
        <v>100</v>
      </c>
      <c r="B101" s="92" t="str">
        <f>女子エントリー!D403</f>
        <v/>
      </c>
      <c r="C101" s="1" t="str">
        <f>基本情報!$E$6</f>
        <v/>
      </c>
      <c r="D101" s="1" t="str">
        <f>基本情報!$E$7</f>
        <v/>
      </c>
      <c r="F101" s="92">
        <f>女子エントリー!C403</f>
        <v>0</v>
      </c>
      <c r="G101" s="92" t="str">
        <f>女子エントリー!E403</f>
        <v/>
      </c>
      <c r="H101" s="92" t="str">
        <f>女子エントリー!F403</f>
        <v/>
      </c>
      <c r="I101" s="1" t="str">
        <f>G101</f>
        <v/>
      </c>
      <c r="J101" s="1" t="e">
        <f>LEFT(女子エントリー!E405,FIND(",",LEFT(女子エントリー!E405,LEN(女子エントリー!E405)-5))-1)&amp;LEFT(RIGHT(女子エントリー!E405,LEN(女子エントリー!E405)-FIND(",",女子エントリー!E405)),LEN(RIGHT(女子エントリー!E405,LEN(女子エントリー!E405)-FIND(",",女子エントリー!E405)))-5)</f>
        <v>#VALUE!</v>
      </c>
      <c r="K101" s="92" t="str">
        <f>女子エントリー!G405</f>
        <v/>
      </c>
      <c r="L101" s="1" t="str">
        <f t="shared" si="18"/>
        <v/>
      </c>
      <c r="M101" s="92" t="str">
        <f>女子エントリー!G403</f>
        <v/>
      </c>
      <c r="N101" s="92" t="e">
        <f>MID(女子エントリー!E405,FIND("(",女子エントリー!E405)+1,2)</f>
        <v>#VALUE!</v>
      </c>
      <c r="O101" s="1">
        <v>0</v>
      </c>
      <c r="P101" s="92" t="e">
        <f>VLOOKUP(女子エントリー!G404,競技会設定!$F$3:$I$50,2,0)</f>
        <v>#N/A</v>
      </c>
      <c r="R101" s="1" t="str" cm="1">
        <f t="array" ref="R101">_xlfn.IFNA(_xlfn.IFNA(INDEX(競技会設定!$X$25:$AC$47,MATCH(INDEX(女子エントリー!$J$7:$AH$406,MATCH($G101&amp;RIGHT(R$1,1),女子エントリー!$AH$7:$AH$406,0),1),競技会設定!$AC$25:$AC$47,0),1),INDEX(競技会設定!$X$25:$AC$47,MATCH(INDEX(女子エントリー!$R$6:$V$406,MATCH($G101&amp;RIGHT(R$1,1),女子エントリー!$V$6:$V$406,0)-MATCH($G101&amp;RIGHT(R$1,1),女子エントリー!$V$6:$V$406,0)+1,1),競技会設定!$AC$25:$AC$47,0),1)),"")</f>
        <v/>
      </c>
      <c r="S101" s="1" t="str">
        <f>IF(R101=37,リレーエントリー!$I$27,_xlfn.IFNA(INDEX(女子エントリー!$J$7:$AH$406,MATCH($G101&amp;RIGHT(T$1,1),女子エントリー!$AH$7:$AH$406,0),3),""))</f>
        <v/>
      </c>
      <c r="T101" s="1" t="str">
        <f t="shared" si="32"/>
        <v/>
      </c>
      <c r="U101" s="1" t="str">
        <f t="shared" si="33"/>
        <v/>
      </c>
      <c r="V101" s="1" t="str">
        <f t="shared" si="34"/>
        <v/>
      </c>
      <c r="W101" s="1" t="str" cm="1">
        <f t="array" ref="W101">_xlfn.IFNA(_xlfn.IFNA(INDEX(競技会設定!$X$25:$AC$47,MATCH(INDEX(女子エントリー!$J$7:$AH$406,MATCH($G101&amp;RIGHT(W$1,1),女子エントリー!$AH$7:$AH$406,0),1),競技会設定!$AC$25:$AC$47,0),1),INDEX(競技会設定!$X$25:$AC$47,MATCH(INDEX(女子エントリー!$R$6:$V$406,MATCH($G101&amp;RIGHT(W$1,1),女子エントリー!$V$6:$V$406,0)-MATCH($G101&amp;RIGHT(W$1,1),女子エントリー!$V$6:$V$406,0)+1,1),競技会設定!$AC$25:$AC$47,0),1)),"")</f>
        <v/>
      </c>
      <c r="X101" s="1" t="str">
        <f>IF(W101=37,リレーエントリー!$I$27,_xlfn.IFNA(INDEX(女子エントリー!$J$7:$AH$406,MATCH($G101&amp;RIGHT(Y$1,1),女子エントリー!$AH$7:$AH$406,0),3),""))</f>
        <v/>
      </c>
      <c r="Y101" s="1" t="str">
        <f t="shared" si="19"/>
        <v/>
      </c>
      <c r="Z101" s="1" t="str">
        <f t="shared" si="20"/>
        <v/>
      </c>
      <c r="AA101" s="1" t="str">
        <f t="shared" si="21"/>
        <v/>
      </c>
      <c r="AB101" s="1" t="str" cm="1">
        <f t="array" ref="AB101">_xlfn.IFNA(_xlfn.IFNA(INDEX(競技会設定!$X$25:$AC$47,MATCH(INDEX(女子エントリー!$J$7:$AH$406,MATCH($G101&amp;RIGHT(AB$1,1),女子エントリー!$AH$7:$AH$406,0),1),競技会設定!$AC$25:$AC$47,0),1),INDEX(競技会設定!$X$25:$AC$47,MATCH(INDEX(女子エントリー!$R$6:$V$406,MATCH($G101&amp;RIGHT(AB$1,1),女子エントリー!$V$6:$V$406,0)-MATCH($G101&amp;RIGHT(AB$1,1),女子エントリー!$V$6:$V$406,0)+1,1),競技会設定!$AC$25:$AC$47,0),1)),"")</f>
        <v/>
      </c>
      <c r="AC101" s="1" t="str">
        <f>IF(AB101=37,リレーエントリー!$I$27,_xlfn.IFNA(INDEX(女子エントリー!$J$7:$AH$406,MATCH($G101&amp;RIGHT(AD$1,1),女子エントリー!$AH$7:$AH$406,0),3),""))</f>
        <v/>
      </c>
      <c r="AD101" s="1" t="str">
        <f t="shared" si="22"/>
        <v/>
      </c>
      <c r="AE101" s="1" t="str">
        <f t="shared" si="23"/>
        <v/>
      </c>
      <c r="AF101" s="1" t="str">
        <f t="shared" si="24"/>
        <v/>
      </c>
      <c r="AG101" s="1" t="str" cm="1">
        <f t="array" ref="AG101">_xlfn.IFNA(_xlfn.IFNA(INDEX(競技会設定!$X$25:$AC$47,MATCH(INDEX(女子エントリー!$J$7:$AH$406,MATCH($G101&amp;RIGHT(AG$1,1),女子エントリー!$AH$7:$AH$406,0),1),競技会設定!$AC$25:$AC$47,0),1),INDEX(競技会設定!$X$25:$AC$47,MATCH(INDEX(女子エントリー!$R$6:$V$406,MATCH($G101&amp;RIGHT(AG$1,1),女子エントリー!$V$6:$V$406,0)-MATCH($G101&amp;RIGHT(AG$1,1),女子エントリー!$V$6:$V$406,0)+1,1),競技会設定!$AC$25:$AC$47,0),1)),"")</f>
        <v/>
      </c>
      <c r="AH101" s="1" t="str">
        <f>IF(AG101=37,リレーエントリー!$I$27,_xlfn.IFNA(INDEX(女子エントリー!$J$7:$AH$406,MATCH($G101&amp;RIGHT(AI$1,1),女子エントリー!$AH$7:$AH$406,0),3),""))</f>
        <v/>
      </c>
      <c r="AI101" s="1" t="str">
        <f t="shared" si="25"/>
        <v/>
      </c>
      <c r="AJ101" s="1" t="str">
        <f t="shared" si="26"/>
        <v/>
      </c>
      <c r="AK101" s="1" t="str">
        <f t="shared" si="27"/>
        <v/>
      </c>
      <c r="AL101" s="1" t="str" cm="1">
        <f t="array" ref="AL101">_xlfn.IFNA(_xlfn.IFNA(INDEX(競技会設定!$X$25:$AC$47,MATCH(INDEX(女子エントリー!$J$7:$AH$406,MATCH($G101&amp;RIGHT(AL$1,1),女子エントリー!$AH$7:$AH$406,0),1),競技会設定!$AC$25:$AC$47,0),1),INDEX(競技会設定!$X$25:$AC$47,MATCH(INDEX(女子エントリー!$R$6:$V$406,MATCH($G101&amp;RIGHT(AL$1,1),女子エントリー!$V$6:$V$406,0)-MATCH($G101&amp;RIGHT(AL$1,1),女子エントリー!$V$6:$V$406,0)+1,1),競技会設定!$AC$25:$AC$47,0),1)),"")</f>
        <v/>
      </c>
      <c r="AM101" s="1" t="str">
        <f>IF(AL101=37,リレーエントリー!$I$27,_xlfn.IFNA(INDEX(女子エントリー!$J$7:$AH$406,MATCH($G101&amp;RIGHT(AN$1,1),女子エントリー!$AH$7:$AH$406,0),3),""))</f>
        <v/>
      </c>
      <c r="AN101" s="1" t="str">
        <f t="shared" si="28"/>
        <v/>
      </c>
      <c r="AO101" s="1" t="str">
        <f t="shared" si="29"/>
        <v/>
      </c>
      <c r="AP101" s="1" t="str">
        <f t="shared" si="30"/>
        <v/>
      </c>
    </row>
  </sheetData>
  <phoneticPr fontId="3"/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D8BCA-CEBA-4D8D-9383-E19A3BD31857}">
  <sheetPr codeName="Sheet12"/>
  <dimension ref="A1:S22"/>
  <sheetViews>
    <sheetView workbookViewId="0">
      <selection activeCell="Q20" sqref="Q20"/>
    </sheetView>
  </sheetViews>
  <sheetFormatPr defaultRowHeight="13.2"/>
  <cols>
    <col min="1" max="16384" width="8.796875" style="1"/>
  </cols>
  <sheetData>
    <row r="1" spans="1:19">
      <c r="A1" s="105"/>
      <c r="B1" s="119" t="s">
        <v>6941</v>
      </c>
      <c r="C1" s="119" t="s">
        <v>6942</v>
      </c>
      <c r="D1" s="119" t="s">
        <v>6943</v>
      </c>
      <c r="E1" s="119" t="s">
        <v>6944</v>
      </c>
      <c r="F1" s="119" t="s">
        <v>6945</v>
      </c>
      <c r="G1" s="119" t="s">
        <v>6946</v>
      </c>
      <c r="H1" s="119" t="s">
        <v>6908</v>
      </c>
      <c r="I1" s="119" t="s">
        <v>6913</v>
      </c>
      <c r="J1" s="119" t="s">
        <v>6947</v>
      </c>
      <c r="K1" s="119" t="s">
        <v>6948</v>
      </c>
      <c r="L1" s="119" t="s">
        <v>6949</v>
      </c>
      <c r="M1" s="120" t="s">
        <v>6950</v>
      </c>
    </row>
    <row r="2" spans="1:19">
      <c r="A2" s="533" t="s">
        <v>6991</v>
      </c>
      <c r="B2" s="35" t="str">
        <f>基本情報!$E$6</f>
        <v/>
      </c>
      <c r="C2" s="35">
        <f>基本情報!$E$5</f>
        <v>0</v>
      </c>
      <c r="D2" s="35" t="str">
        <f>基本情報!$E$3</f>
        <v/>
      </c>
      <c r="E2" s="35">
        <f>基本情報!$E$5</f>
        <v>0</v>
      </c>
      <c r="F2" s="35" t="str">
        <f>基本情報!$E$4</f>
        <v/>
      </c>
      <c r="G2" s="35">
        <v>1</v>
      </c>
      <c r="H2" s="35" t="e">
        <f>INDEX(男子エントリー!$D$7:$W$436,MATCH($G2,男子エントリー!$W$7:$W$436,0),1)</f>
        <v>#N/A</v>
      </c>
      <c r="I2" s="35" t="e">
        <f>INDEX(男子エントリー!$D$7:$W$436,MATCH($G2,男子エントリー!$W$7:$W$436,0),2)</f>
        <v>#N/A</v>
      </c>
      <c r="J2" s="35">
        <v>14</v>
      </c>
      <c r="K2" s="35" t="str">
        <f>IF(リレーエントリー!$I$12=0,"",IF(リレーエントリー!$I$12&gt;5999,INT(リレーエントリー!$I$12/10000)&amp;"."&amp;TEXT(INT(MOD(リレーエントリー!$I$12,10000)/100),"00")&amp;"."&amp;TEXT(MOD(リレーエントリー!$I$12,100),"00")&amp;"0",INT(リレーエントリー!$I$12/100)&amp;"."&amp;TEXT(MOD(リレーエントリー!$I$12,100),"00")))</f>
        <v/>
      </c>
      <c r="L2" s="35">
        <v>0</v>
      </c>
      <c r="M2" s="107" t="str">
        <f t="shared" ref="M2:M7" si="0">IF(K2="","",2)</f>
        <v/>
      </c>
    </row>
    <row r="3" spans="1:19">
      <c r="A3" s="534"/>
      <c r="B3" s="35" t="str">
        <f>基本情報!$E$6</f>
        <v/>
      </c>
      <c r="C3" s="35">
        <f>基本情報!$E$5</f>
        <v>0</v>
      </c>
      <c r="D3" s="35" t="str">
        <f>基本情報!$E$3</f>
        <v/>
      </c>
      <c r="E3" s="35">
        <f>基本情報!$E$5</f>
        <v>0</v>
      </c>
      <c r="F3" s="35" t="str">
        <f>基本情報!$E$4</f>
        <v/>
      </c>
      <c r="G3" s="35">
        <v>2</v>
      </c>
      <c r="H3" s="35" t="e">
        <f>INDEX(男子エントリー!$D$7:$W$436,MATCH($G3,男子エントリー!$W$7:$W$436,0),1)</f>
        <v>#N/A</v>
      </c>
      <c r="I3" s="35" t="e">
        <f>INDEX(男子エントリー!$D$7:$W$436,MATCH($G3,男子エントリー!$W$7:$W$436,0),2)</f>
        <v>#N/A</v>
      </c>
      <c r="J3" s="35">
        <v>14</v>
      </c>
      <c r="K3" s="35" t="str">
        <f>IF(リレーエントリー!$I$12=0,"",IF(リレーエントリー!$I$12&gt;5999,INT(リレーエントリー!$I$12/10000)&amp;"."&amp;TEXT(INT(MOD(リレーエントリー!$I$12,10000)/100),"00")&amp;"."&amp;TEXT(MOD(リレーエントリー!$I$12,100),"00")&amp;"0",INT(リレーエントリー!$I$12/100)&amp;"."&amp;TEXT(MOD(リレーエントリー!$I$12,100),"00")))</f>
        <v/>
      </c>
      <c r="L3" s="35">
        <v>0</v>
      </c>
      <c r="M3" s="107" t="str">
        <f t="shared" si="0"/>
        <v/>
      </c>
    </row>
    <row r="4" spans="1:19">
      <c r="A4" s="534"/>
      <c r="B4" s="35" t="str">
        <f>基本情報!$E$6</f>
        <v/>
      </c>
      <c r="C4" s="35">
        <f>基本情報!$E$5</f>
        <v>0</v>
      </c>
      <c r="D4" s="35" t="str">
        <f>基本情報!$E$3</f>
        <v/>
      </c>
      <c r="E4" s="35">
        <f>基本情報!$E$5</f>
        <v>0</v>
      </c>
      <c r="F4" s="35" t="str">
        <f>基本情報!$E$4</f>
        <v/>
      </c>
      <c r="G4" s="35">
        <v>3</v>
      </c>
      <c r="H4" s="35" t="e">
        <f>INDEX(男子エントリー!$D$7:$W$436,MATCH($G4,男子エントリー!$W$7:$W$436,0),1)</f>
        <v>#N/A</v>
      </c>
      <c r="I4" s="35" t="e">
        <f>INDEX(男子エントリー!$D$7:$W$436,MATCH($G4,男子エントリー!$W$7:$W$436,0),2)</f>
        <v>#N/A</v>
      </c>
      <c r="J4" s="35">
        <v>14</v>
      </c>
      <c r="K4" s="35" t="str">
        <f>IF(リレーエントリー!$I$12=0,"",IF(リレーエントリー!$I$12&gt;5999,INT(リレーエントリー!$I$12/10000)&amp;"."&amp;TEXT(INT(MOD(リレーエントリー!$I$12,10000)/100),"00")&amp;"."&amp;TEXT(MOD(リレーエントリー!$I$12,100),"00")&amp;"0",INT(リレーエントリー!$I$12/100)&amp;"."&amp;TEXT(MOD(リレーエントリー!$I$12,100),"00")))</f>
        <v/>
      </c>
      <c r="L4" s="35">
        <v>0</v>
      </c>
      <c r="M4" s="107" t="str">
        <f t="shared" si="0"/>
        <v/>
      </c>
    </row>
    <row r="5" spans="1:19">
      <c r="A5" s="534"/>
      <c r="B5" s="35" t="str">
        <f>基本情報!$E$6</f>
        <v/>
      </c>
      <c r="C5" s="35">
        <f>基本情報!$E$5</f>
        <v>0</v>
      </c>
      <c r="D5" s="35" t="str">
        <f>基本情報!$E$3</f>
        <v/>
      </c>
      <c r="E5" s="35">
        <f>基本情報!$E$5</f>
        <v>0</v>
      </c>
      <c r="F5" s="35" t="str">
        <f>基本情報!$E$4</f>
        <v/>
      </c>
      <c r="G5" s="35">
        <v>4</v>
      </c>
      <c r="H5" s="35" t="e">
        <f>INDEX(男子エントリー!$D$7:$W$436,MATCH($G5,男子エントリー!$W$7:$W$436,0),1)</f>
        <v>#N/A</v>
      </c>
      <c r="I5" s="35" t="e">
        <f>INDEX(男子エントリー!$D$7:$W$436,MATCH($G5,男子エントリー!$W$7:$W$436,0),2)</f>
        <v>#N/A</v>
      </c>
      <c r="J5" s="35">
        <v>14</v>
      </c>
      <c r="K5" s="35" t="str">
        <f>IF(リレーエントリー!$I$12=0,"",IF(リレーエントリー!$I$12&gt;5999,INT(リレーエントリー!$I$12/10000)&amp;"."&amp;TEXT(INT(MOD(リレーエントリー!$I$12,10000)/100),"00")&amp;"."&amp;TEXT(MOD(リレーエントリー!$I$12,100),"00")&amp;"0",INT(リレーエントリー!$I$12/100)&amp;"."&amp;TEXT(MOD(リレーエントリー!$I$12,100),"00")))</f>
        <v/>
      </c>
      <c r="L5" s="35">
        <v>0</v>
      </c>
      <c r="M5" s="107" t="str">
        <f t="shared" si="0"/>
        <v/>
      </c>
    </row>
    <row r="6" spans="1:19">
      <c r="A6" s="534"/>
      <c r="B6" s="35" t="str">
        <f>基本情報!$E$6</f>
        <v/>
      </c>
      <c r="C6" s="35">
        <f>基本情報!$E$5</f>
        <v>0</v>
      </c>
      <c r="D6" s="35" t="str">
        <f>基本情報!$E$3</f>
        <v/>
      </c>
      <c r="E6" s="35">
        <f>基本情報!$E$5</f>
        <v>0</v>
      </c>
      <c r="F6" s="35" t="str">
        <f>基本情報!$E$4</f>
        <v/>
      </c>
      <c r="G6" s="35">
        <v>5</v>
      </c>
      <c r="H6" s="35" t="e">
        <f>INDEX(男子エントリー!$D$7:$W$436,MATCH($G6,男子エントリー!$W$7:$W$436,0),1)</f>
        <v>#N/A</v>
      </c>
      <c r="I6" s="35" t="e">
        <f>INDEX(男子エントリー!$D$7:$W$436,MATCH($G6,男子エントリー!$W$7:$W$436,0),2)</f>
        <v>#N/A</v>
      </c>
      <c r="J6" s="35">
        <v>14</v>
      </c>
      <c r="K6" s="35" t="str">
        <f>IF(リレーエントリー!$I$12=0,"",IF(リレーエントリー!$I$12&gt;5999,INT(リレーエントリー!$I$12/10000)&amp;"."&amp;TEXT(INT(MOD(リレーエントリー!$I$12,10000)/100),"00")&amp;"."&amp;TEXT(MOD(リレーエントリー!$I$12,100),"00")&amp;"0",INT(リレーエントリー!$I$12/100)&amp;"."&amp;TEXT(MOD(リレーエントリー!$I$12,100),"00")))</f>
        <v/>
      </c>
      <c r="L6" s="35">
        <v>0</v>
      </c>
      <c r="M6" s="107" t="str">
        <f t="shared" si="0"/>
        <v/>
      </c>
    </row>
    <row r="7" spans="1:19">
      <c r="A7" s="534"/>
      <c r="B7" s="35" t="str">
        <f>基本情報!$E$6</f>
        <v/>
      </c>
      <c r="C7" s="35">
        <f>基本情報!$E$5</f>
        <v>0</v>
      </c>
      <c r="D7" s="35" t="str">
        <f>基本情報!$E$3</f>
        <v/>
      </c>
      <c r="E7" s="35">
        <f>基本情報!$E$5</f>
        <v>0</v>
      </c>
      <c r="F7" s="35" t="str">
        <f>基本情報!$E$4</f>
        <v/>
      </c>
      <c r="G7" s="35">
        <v>6</v>
      </c>
      <c r="H7" s="35" t="e">
        <f>INDEX(男子エントリー!$D$7:$W$436,MATCH($G7,男子エントリー!$W$7:$W$436,0),1)</f>
        <v>#N/A</v>
      </c>
      <c r="I7" s="35" t="e">
        <f>INDEX(男子エントリー!$D$7:$W$436,MATCH($G7,男子エントリー!$W$7:$W$436,0),2)</f>
        <v>#N/A</v>
      </c>
      <c r="J7" s="35">
        <v>14</v>
      </c>
      <c r="K7" s="35" t="str">
        <f>IF(リレーエントリー!$I$12=0,"",IF(リレーエントリー!$I$12&gt;5999,INT(リレーエントリー!$I$12/10000)&amp;"."&amp;TEXT(INT(MOD(リレーエントリー!$I$12,10000)/100),"00")&amp;"."&amp;TEXT(MOD(リレーエントリー!$I$12,100),"00")&amp;"0",INT(リレーエントリー!$I$12/100)&amp;"."&amp;TEXT(MOD(リレーエントリー!$I$12,100),"00")))</f>
        <v/>
      </c>
      <c r="L7" s="35">
        <v>0</v>
      </c>
      <c r="M7" s="107" t="str">
        <f t="shared" si="0"/>
        <v/>
      </c>
    </row>
    <row r="8" spans="1:19">
      <c r="A8" s="106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107"/>
    </row>
    <row r="9" spans="1:19">
      <c r="A9" s="530" t="s">
        <v>6992</v>
      </c>
      <c r="B9" s="35" t="str">
        <f>基本情報!$E$6</f>
        <v/>
      </c>
      <c r="C9" s="35">
        <f>基本情報!$E$5</f>
        <v>0</v>
      </c>
      <c r="D9" s="35" t="str">
        <f>基本情報!$E$3</f>
        <v/>
      </c>
      <c r="E9" s="35">
        <f>基本情報!$E$5</f>
        <v>0</v>
      </c>
      <c r="F9" s="35" t="str">
        <f>基本情報!$E$4</f>
        <v/>
      </c>
      <c r="G9" s="35">
        <v>1</v>
      </c>
      <c r="H9" s="35" t="e">
        <f>INDEX(女子エントリー!$D$7:$W$436,MATCH($G9,女子エントリー!$W$7:$W$436,0),1)</f>
        <v>#N/A</v>
      </c>
      <c r="I9" s="35" t="e">
        <f>INDEX(女子エントリー!$D$7:$W$436,MATCH($G9,女子エントリー!$W$7:$W$436,0),2)</f>
        <v>#N/A</v>
      </c>
      <c r="J9" s="35">
        <v>37</v>
      </c>
      <c r="K9" s="35" t="str">
        <f>IF(リレーエントリー!$I$27=0,"",IF(リレーエントリー!$I$27&gt;5999,INT(リレーエントリー!$I$27/10000)&amp;"."&amp;TEXT(INT(MOD(リレーエントリー!$I$27,10000)/100),"00")&amp;"."&amp;TEXT(MOD(リレーエントリー!$I$27,100),"00")&amp;"0",INT(リレーエントリー!$I$27/100)&amp;"."&amp;TEXT(MOD(リレーエントリー!$I$27,100),"00")))</f>
        <v/>
      </c>
      <c r="L9" s="35">
        <v>0</v>
      </c>
      <c r="M9" s="107" t="str">
        <f t="shared" ref="M9:M14" si="1">IF(K9="","",2)</f>
        <v/>
      </c>
    </row>
    <row r="10" spans="1:19">
      <c r="A10" s="531"/>
      <c r="B10" s="35" t="str">
        <f>基本情報!$E$6</f>
        <v/>
      </c>
      <c r="C10" s="35">
        <f>基本情報!$E$5</f>
        <v>0</v>
      </c>
      <c r="D10" s="35" t="str">
        <f>基本情報!$E$3</f>
        <v/>
      </c>
      <c r="E10" s="35">
        <f>基本情報!$E$5</f>
        <v>0</v>
      </c>
      <c r="F10" s="35" t="str">
        <f>基本情報!$E$4</f>
        <v/>
      </c>
      <c r="G10" s="35">
        <v>2</v>
      </c>
      <c r="H10" s="35" t="e">
        <f>INDEX(女子エントリー!$D$7:$W$436,MATCH($G10,女子エントリー!$W$7:$W$436,0),1)</f>
        <v>#N/A</v>
      </c>
      <c r="I10" s="35" t="e">
        <f>INDEX(女子エントリー!$D$7:$W$436,MATCH($G10,女子エントリー!$W$7:$W$436,0),2)</f>
        <v>#N/A</v>
      </c>
      <c r="J10" s="35">
        <v>37</v>
      </c>
      <c r="K10" s="35" t="str">
        <f>IF(リレーエントリー!$I$27=0,"",IF(リレーエントリー!$I$27&gt;5999,INT(リレーエントリー!$I$27/10000)&amp;"."&amp;TEXT(INT(MOD(リレーエントリー!$I$27,10000)/100),"00")&amp;"."&amp;TEXT(MOD(リレーエントリー!$I$27,100),"00")&amp;"0",INT(リレーエントリー!$I$27/100)&amp;"."&amp;TEXT(MOD(リレーエントリー!$I$27,100),"00")))</f>
        <v/>
      </c>
      <c r="L10" s="35">
        <v>0</v>
      </c>
      <c r="M10" s="107" t="str">
        <f t="shared" si="1"/>
        <v/>
      </c>
    </row>
    <row r="11" spans="1:19">
      <c r="A11" s="531"/>
      <c r="B11" s="35" t="str">
        <f>基本情報!$E$6</f>
        <v/>
      </c>
      <c r="C11" s="35">
        <f>基本情報!$E$5</f>
        <v>0</v>
      </c>
      <c r="D11" s="35" t="str">
        <f>基本情報!$E$3</f>
        <v/>
      </c>
      <c r="E11" s="35">
        <f>基本情報!$E$5</f>
        <v>0</v>
      </c>
      <c r="F11" s="35" t="str">
        <f>基本情報!$E$4</f>
        <v/>
      </c>
      <c r="G11" s="35">
        <v>3</v>
      </c>
      <c r="H11" s="35" t="e">
        <f>INDEX(女子エントリー!$D$7:$W$436,MATCH($G11,女子エントリー!$W$7:$W$436,0),1)</f>
        <v>#N/A</v>
      </c>
      <c r="I11" s="35" t="e">
        <f>INDEX(女子エントリー!$D$7:$W$436,MATCH($G11,女子エントリー!$W$7:$W$436,0),2)</f>
        <v>#N/A</v>
      </c>
      <c r="J11" s="35">
        <v>37</v>
      </c>
      <c r="K11" s="35" t="str">
        <f>IF(リレーエントリー!$I$27=0,"",IF(リレーエントリー!$I$27&gt;5999,INT(リレーエントリー!$I$27/10000)&amp;"."&amp;TEXT(INT(MOD(リレーエントリー!$I$27,10000)/100),"00")&amp;"."&amp;TEXT(MOD(リレーエントリー!$I$27,100),"00")&amp;"0",INT(リレーエントリー!$I$27/100)&amp;"."&amp;TEXT(MOD(リレーエントリー!$I$27,100),"00")))</f>
        <v/>
      </c>
      <c r="L11" s="35">
        <v>0</v>
      </c>
      <c r="M11" s="107" t="str">
        <f t="shared" si="1"/>
        <v/>
      </c>
    </row>
    <row r="12" spans="1:19">
      <c r="A12" s="531"/>
      <c r="B12" s="35" t="str">
        <f>基本情報!$E$6</f>
        <v/>
      </c>
      <c r="C12" s="35">
        <f>基本情報!$E$5</f>
        <v>0</v>
      </c>
      <c r="D12" s="35" t="str">
        <f>基本情報!$E$3</f>
        <v/>
      </c>
      <c r="E12" s="35">
        <f>基本情報!$E$5</f>
        <v>0</v>
      </c>
      <c r="F12" s="35" t="str">
        <f>基本情報!$E$4</f>
        <v/>
      </c>
      <c r="G12" s="35">
        <v>4</v>
      </c>
      <c r="H12" s="35" t="e">
        <f>INDEX(女子エントリー!$D$7:$W$436,MATCH($G12,女子エントリー!$W$7:$W$436,0),1)</f>
        <v>#N/A</v>
      </c>
      <c r="I12" s="35" t="e">
        <f>INDEX(女子エントリー!$D$7:$W$436,MATCH($G12,女子エントリー!$W$7:$W$436,0),2)</f>
        <v>#N/A</v>
      </c>
      <c r="J12" s="35">
        <v>37</v>
      </c>
      <c r="K12" s="35" t="str">
        <f>IF(リレーエントリー!$I$27=0,"",IF(リレーエントリー!$I$27&gt;5999,INT(リレーエントリー!$I$27/10000)&amp;"."&amp;TEXT(INT(MOD(リレーエントリー!$I$27,10000)/100),"00")&amp;"."&amp;TEXT(MOD(リレーエントリー!$I$27,100),"00")&amp;"0",INT(リレーエントリー!$I$27/100)&amp;"."&amp;TEXT(MOD(リレーエントリー!$I$27,100),"00")))</f>
        <v/>
      </c>
      <c r="L12" s="35">
        <v>0</v>
      </c>
      <c r="M12" s="107" t="str">
        <f t="shared" si="1"/>
        <v/>
      </c>
    </row>
    <row r="13" spans="1:19">
      <c r="A13" s="531"/>
      <c r="B13" s="35" t="str">
        <f>基本情報!$E$6</f>
        <v/>
      </c>
      <c r="C13" s="35">
        <f>基本情報!$E$5</f>
        <v>0</v>
      </c>
      <c r="D13" s="35" t="str">
        <f>基本情報!$E$3</f>
        <v/>
      </c>
      <c r="E13" s="35">
        <f>基本情報!$E$5</f>
        <v>0</v>
      </c>
      <c r="F13" s="35" t="str">
        <f>基本情報!$E$4</f>
        <v/>
      </c>
      <c r="G13" s="35">
        <v>5</v>
      </c>
      <c r="H13" s="35" t="e">
        <f>INDEX(女子エントリー!$D$7:$W$436,MATCH($G13,女子エントリー!$W$7:$W$436,0),1)</f>
        <v>#N/A</v>
      </c>
      <c r="I13" s="35" t="e">
        <f>INDEX(女子エントリー!$D$7:$W$436,MATCH($G13,女子エントリー!$W$7:$W$436,0),2)</f>
        <v>#N/A</v>
      </c>
      <c r="J13" s="35">
        <v>37</v>
      </c>
      <c r="K13" s="35" t="str">
        <f>IF(リレーエントリー!$I$27=0,"",IF(リレーエントリー!$I$27&gt;5999,INT(リレーエントリー!$I$27/10000)&amp;"."&amp;TEXT(INT(MOD(リレーエントリー!$I$27,10000)/100),"00")&amp;"."&amp;TEXT(MOD(リレーエントリー!$I$27,100),"00")&amp;"0",INT(リレーエントリー!$I$27/100)&amp;"."&amp;TEXT(MOD(リレーエントリー!$I$27,100),"00")))</f>
        <v/>
      </c>
      <c r="L13" s="35">
        <v>0</v>
      </c>
      <c r="M13" s="107" t="str">
        <f t="shared" si="1"/>
        <v/>
      </c>
    </row>
    <row r="14" spans="1:19">
      <c r="A14" s="532"/>
      <c r="B14" s="109" t="str">
        <f>基本情報!$E$6</f>
        <v/>
      </c>
      <c r="C14" s="109">
        <f>基本情報!$E$5</f>
        <v>0</v>
      </c>
      <c r="D14" s="109" t="str">
        <f>基本情報!$E$3</f>
        <v/>
      </c>
      <c r="E14" s="109">
        <f>基本情報!$E$5</f>
        <v>0</v>
      </c>
      <c r="F14" s="109" t="str">
        <f>基本情報!$E$4</f>
        <v/>
      </c>
      <c r="G14" s="109">
        <v>6</v>
      </c>
      <c r="H14" s="109" t="e">
        <f>INDEX(女子エントリー!$D$7:$W$436,MATCH($G14,女子エントリー!$W$7:$W$436,0),1)</f>
        <v>#N/A</v>
      </c>
      <c r="I14" s="109" t="e">
        <f>INDEX(女子エントリー!$D$7:$W$436,MATCH($G14,女子エントリー!$W$7:$W$436,0),2)</f>
        <v>#N/A</v>
      </c>
      <c r="J14" s="109">
        <v>37</v>
      </c>
      <c r="K14" s="109" t="str">
        <f>IF(リレーエントリー!$I$27=0,"",IF(リレーエントリー!$I$27&gt;5999,INT(リレーエントリー!$I$27/10000)&amp;"."&amp;TEXT(INT(MOD(リレーエントリー!$I$27,10000)/100),"00")&amp;"."&amp;TEXT(MOD(リレーエントリー!$I$27,100),"00")&amp;"0",INT(リレーエントリー!$I$27/100)&amp;"."&amp;TEXT(MOD(リレーエントリー!$I$27,100),"00")))</f>
        <v/>
      </c>
      <c r="L14" s="109">
        <v>0</v>
      </c>
      <c r="M14" s="110" t="str">
        <f t="shared" si="1"/>
        <v/>
      </c>
    </row>
    <row r="16" spans="1:19">
      <c r="A16" s="105"/>
      <c r="B16" s="121"/>
      <c r="C16" s="119" t="s">
        <v>6993</v>
      </c>
      <c r="D16" s="119" t="s">
        <v>6995</v>
      </c>
      <c r="E16" s="119" t="s">
        <v>6994</v>
      </c>
      <c r="F16" s="119">
        <v>1</v>
      </c>
      <c r="G16" s="119"/>
      <c r="H16" s="119">
        <v>2</v>
      </c>
      <c r="I16" s="119"/>
      <c r="J16" s="119">
        <v>3</v>
      </c>
      <c r="K16" s="119"/>
      <c r="L16" s="119">
        <v>4</v>
      </c>
      <c r="M16" s="119"/>
      <c r="N16" s="119">
        <v>5</v>
      </c>
      <c r="O16" s="119"/>
      <c r="P16" s="119">
        <v>6</v>
      </c>
      <c r="Q16" s="119"/>
      <c r="R16" s="119">
        <v>7</v>
      </c>
      <c r="S16" s="120"/>
    </row>
    <row r="17" spans="1:19">
      <c r="A17" s="535" t="s">
        <v>6810</v>
      </c>
      <c r="B17" s="106">
        <v>1</v>
      </c>
      <c r="C17" s="35" t="str">
        <f>_xlfn.IFNA(INDEX(女子エントリー!$B$7:$AB$406,MATCH(B17,女子エントリー!$AB$7:$AB$406,0),3),"")</f>
        <v/>
      </c>
      <c r="D17" s="35" t="str">
        <f>_xlfn.IFNA(INDEX(女子エントリー!$B$7:$AB$406,MATCH(B17,女子エントリー!$AB$7:$AB$406,0),2),"")</f>
        <v/>
      </c>
      <c r="E17" s="35" t="str">
        <f>_xlfn.IFNA(INDEX(女子エントリー!$B$7:$AB$406,MATCH(B17,女子エントリー!$AB$7:$AB$406,0),4),"")</f>
        <v/>
      </c>
      <c r="F17" s="35">
        <v>25</v>
      </c>
      <c r="G17" s="35" t="str">
        <f>IF(混成競技エントリー!F23&gt;5999,INT(混成競技エントリー!F23/10000)&amp;"."&amp;TEXT(INT(MOD(混成競技エントリー!F23,10000)/100),"00")&amp;"."&amp;TEXT(MOD(混成競技エントリー!F23,100),"00")&amp;"0",INT(混成競技エントリー!F23/100)&amp;"."&amp;TEXT(MOD(混成競技エントリー!F23,100),"00"))</f>
        <v>0.00</v>
      </c>
      <c r="H17" s="35">
        <v>27</v>
      </c>
      <c r="I17" s="35" t="str">
        <f>IF(混成競技エントリー!F24&gt;5999,INT(混成競技エントリー!F24/10000)&amp;"."&amp;TEXT(INT(MOD(混成競技エントリー!F24,10000)/100),"00")&amp;"."&amp;TEXT(MOD(混成競技エントリー!F24,100),"00")&amp;"0",INT(混成競技エントリー!F24/100)&amp;"."&amp;TEXT(MOD(混成競技エントリー!F24,100),"00"))</f>
        <v>0.00</v>
      </c>
      <c r="J17" s="35">
        <v>31</v>
      </c>
      <c r="K17" s="35" t="str">
        <f>IF(混成競技エントリー!F25&gt;5999,INT(混成競技エントリー!F25/10000)&amp;"."&amp;TEXT(INT(MOD(混成競技エントリー!F25,10000)/100),"00")&amp;"."&amp;TEXT(MOD(混成競技エントリー!F25,100),"00")&amp;"0",INT(混成競技エントリー!F25/100)&amp;"."&amp;TEXT(MOD(混成競技エントリー!F25,100),"00"))</f>
        <v>0.00</v>
      </c>
      <c r="L17" s="35">
        <v>38</v>
      </c>
      <c r="M17" s="35" t="str">
        <f>INT(混成競技エントリー!F26/100)&amp;"m"&amp;TEXT(RIGHT(混成競技エントリー!F26,2),"00")</f>
        <v>0m</v>
      </c>
      <c r="N17" s="35">
        <v>40</v>
      </c>
      <c r="O17" s="35" t="str">
        <f>INT(混成競技エントリー!F27/100)&amp;"m"&amp;TEXT(RIGHT(混成競技エントリー!F27,2),"00")</f>
        <v>0m</v>
      </c>
      <c r="P17" s="35">
        <v>42</v>
      </c>
      <c r="Q17" s="35" t="str">
        <f>INT(混成競技エントリー!I23/100)&amp;"m"&amp;TEXT(RIGHT(混成競技エントリー!I23,2),"00")</f>
        <v>0m</v>
      </c>
      <c r="R17" s="35">
        <v>45</v>
      </c>
      <c r="S17" s="107" t="str">
        <f>INT(混成競技エントリー!I24/100)&amp;"m"&amp;TEXT(RIGHT(混成競技エントリー!I24,2),"00")</f>
        <v>0m</v>
      </c>
    </row>
    <row r="18" spans="1:19">
      <c r="A18" s="535"/>
      <c r="B18" s="106">
        <v>2</v>
      </c>
      <c r="C18" s="35" t="str">
        <f>_xlfn.IFNA(INDEX(女子エントリー!$B$7:$AB$406,MATCH(B18,女子エントリー!$AB$7:$AB$406,0),3),"")</f>
        <v/>
      </c>
      <c r="D18" s="35" t="str">
        <f>_xlfn.IFNA(INDEX(女子エントリー!$B$7:$AB$406,MATCH(B18,女子エントリー!$AB$7:$AB$406,0),2),"")</f>
        <v/>
      </c>
      <c r="E18" s="35" t="str">
        <f>_xlfn.IFNA(INDEX(女子エントリー!$B$7:$AB$406,MATCH(B18,女子エントリー!$AB$7:$AB$406,0),4),"")</f>
        <v/>
      </c>
      <c r="F18" s="35">
        <v>25</v>
      </c>
      <c r="G18" s="35" t="str">
        <f>IF(混成競技エントリー!P23&gt;5999,INT(混成競技エントリー!P23/10000)&amp;"."&amp;TEXT(INT(MOD(混成競技エントリー!P23,10000)/100),"00")&amp;"."&amp;TEXT(MOD(混成競技エントリー!P23,100),"00")&amp;"0",INT(混成競技エントリー!P23/100)&amp;"."&amp;TEXT(MOD(混成競技エントリー!P23,100),"00"))</f>
        <v>0.00</v>
      </c>
      <c r="H18" s="35">
        <v>27</v>
      </c>
      <c r="I18" s="35" t="str">
        <f>IF(混成競技エントリー!P24&gt;5999,INT(混成競技エントリー!P24/10000)&amp;"."&amp;TEXT(INT(MOD(混成競技エントリー!P24,10000)/100),"00")&amp;"."&amp;TEXT(MOD(混成競技エントリー!P24,100),"00")&amp;"0",INT(混成競技エントリー!P24/100)&amp;"."&amp;TEXT(MOD(混成競技エントリー!P24,100),"00"))</f>
        <v>0.00</v>
      </c>
      <c r="J18" s="35">
        <v>31</v>
      </c>
      <c r="K18" s="35" t="str">
        <f>IF(混成競技エントリー!P25&gt;5999,INT(混成競技エントリー!P25/10000)&amp;"."&amp;TEXT(INT(MOD(混成競技エントリー!P25,10000)/100),"00")&amp;"."&amp;TEXT(MOD(混成競技エントリー!P25,100),"00")&amp;"0",INT(混成競技エントリー!P25/100)&amp;"."&amp;TEXT(MOD(混成競技エントリー!P25,100),"00"))</f>
        <v>0.00</v>
      </c>
      <c r="L18" s="35">
        <v>38</v>
      </c>
      <c r="M18" s="35" t="str">
        <f>INT(混成競技エントリー!P26/100)&amp;"m"&amp;TEXT(RIGHT(混成競技エントリー!P26,2),"00")</f>
        <v>0m</v>
      </c>
      <c r="N18" s="35">
        <v>40</v>
      </c>
      <c r="O18" s="35" t="str">
        <f>INT(混成競技エントリー!P27/100)&amp;"m"&amp;TEXT(RIGHT(混成競技エントリー!P27,2),"00")</f>
        <v>0m</v>
      </c>
      <c r="P18" s="35">
        <v>42</v>
      </c>
      <c r="Q18" s="35" t="str">
        <f>INT(混成競技エントリー!S23/100)&amp;"m"&amp;TEXT(RIGHT(混成競技エントリー!S23,2),"00")</f>
        <v>0m</v>
      </c>
      <c r="R18" s="35">
        <v>45</v>
      </c>
      <c r="S18" s="107" t="str">
        <f>INT(混成競技エントリー!S24/100)&amp;"m"&amp;TEXT(RIGHT(混成競技エントリー!S24,2),"00")</f>
        <v>0m</v>
      </c>
    </row>
    <row r="19" spans="1:19">
      <c r="A19" s="535"/>
      <c r="B19" s="106">
        <v>3</v>
      </c>
      <c r="C19" s="35" t="str">
        <f>_xlfn.IFNA(INDEX(女子エントリー!$B$7:$AB$406,MATCH(B19,女子エントリー!$AB$7:$AB$406,0),3),"")</f>
        <v/>
      </c>
      <c r="D19" s="35" t="str">
        <f>_xlfn.IFNA(INDEX(女子エントリー!$B$7:$AB$406,MATCH(B19,女子エントリー!$AB$7:$AB$406,0),2),"")</f>
        <v/>
      </c>
      <c r="E19" s="35" t="str">
        <f>_xlfn.IFNA(INDEX(女子エントリー!$B$7:$AB$406,MATCH(B19,女子エントリー!$AB$7:$AB$406,0),4),"")</f>
        <v/>
      </c>
      <c r="F19" s="35">
        <v>25</v>
      </c>
      <c r="G19" s="35" t="str">
        <f>IF(混成競技エントリー!Z23&gt;5999,INT(混成競技エントリー!Z23/10000)&amp;"."&amp;TEXT(INT(MOD(混成競技エントリー!Z23,10000)/100),"00")&amp;"."&amp;TEXT(MOD(混成競技エントリー!Z23,100),"00")&amp;"0",INT(混成競技エントリー!Z23/100)&amp;"."&amp;TEXT(MOD(混成競技エントリー!Z23,100),"00"))</f>
        <v>0.00</v>
      </c>
      <c r="H19" s="35">
        <v>27</v>
      </c>
      <c r="I19" s="35" t="str">
        <f>IF(混成競技エントリー!Z24&gt;5999,INT(混成競技エントリー!Z24/10000)&amp;"."&amp;TEXT(INT(MOD(混成競技エントリー!Z24,10000)/100),"00")&amp;"."&amp;TEXT(MOD(混成競技エントリー!Z24,100),"00")&amp;"0",INT(混成競技エントリー!Z24/100)&amp;"."&amp;TEXT(MOD(混成競技エントリー!Z24,100),"00"))</f>
        <v>0.00</v>
      </c>
      <c r="J19" s="35">
        <v>31</v>
      </c>
      <c r="K19" s="35" t="str">
        <f>IF(混成競技エントリー!Z25&gt;5999,INT(混成競技エントリー!Z25/10000)&amp;"."&amp;TEXT(INT(MOD(混成競技エントリー!Z25,10000)/100),"00")&amp;"."&amp;TEXT(MOD(混成競技エントリー!Z25,100),"00")&amp;"0",INT(混成競技エントリー!Z25/100)&amp;"."&amp;TEXT(MOD(混成競技エントリー!Z25,100),"00"))</f>
        <v>0.00</v>
      </c>
      <c r="L19" s="35">
        <v>38</v>
      </c>
      <c r="M19" s="35" t="str">
        <f>INT(混成競技エントリー!Z26/100)&amp;"m"&amp;TEXT(RIGHT(混成競技エントリー!Z26,2),"00")</f>
        <v>0m</v>
      </c>
      <c r="N19" s="35">
        <v>40</v>
      </c>
      <c r="O19" s="35" t="str">
        <f>INT(混成競技エントリー!Z27/100)&amp;"m"&amp;TEXT(RIGHT(混成競技エントリー!Z27,2),"00")</f>
        <v>0m</v>
      </c>
      <c r="P19" s="35">
        <v>42</v>
      </c>
      <c r="Q19" s="35" t="str">
        <f>INT(混成競技エントリー!Z24/100)&amp;"m"&amp;TEXT(RIGHT(混成競技エントリー!Z24,2),"00")</f>
        <v>0m</v>
      </c>
      <c r="R19" s="35">
        <v>45</v>
      </c>
      <c r="S19" s="107" t="str">
        <f>INT(混成競技エントリー!AC24/100)&amp;"m"&amp;TEXT(RIGHT(混成競技エントリー!AC24,2),"00")</f>
        <v>0m</v>
      </c>
    </row>
    <row r="20" spans="1:19">
      <c r="A20" s="535"/>
      <c r="B20" s="106">
        <v>4</v>
      </c>
      <c r="C20" s="35" t="str">
        <f>_xlfn.IFNA(INDEX(女子エントリー!$B$7:$AB$406,MATCH(B20,女子エントリー!$AB$7:$AB$406,0),3),"")</f>
        <v/>
      </c>
      <c r="D20" s="35" t="str">
        <f>_xlfn.IFNA(INDEX(女子エントリー!$B$7:$AB$406,MATCH(B20,女子エントリー!$AB$7:$AB$406,0),2),"")</f>
        <v/>
      </c>
      <c r="E20" s="35" t="str">
        <f>_xlfn.IFNA(INDEX(女子エントリー!$B$7:$AB$406,MATCH(B20,女子エントリー!$AB$7:$AB$406,0),4),"")</f>
        <v/>
      </c>
      <c r="F20" s="35">
        <v>25</v>
      </c>
      <c r="G20" s="35" t="str">
        <f>IF(混成競技エントリー!F31&gt;5999,INT(混成競技エントリー!F31/10000)&amp;"."&amp;TEXT(INT(MOD(混成競技エントリー!F31,10000)/100),"00")&amp;"."&amp;TEXT(MOD(混成競技エントリー!F31,100),"00")&amp;"0",INT(混成競技エントリー!F31/100)&amp;"."&amp;TEXT(MOD(混成競技エントリー!F31,100),"00"))</f>
        <v>0.00</v>
      </c>
      <c r="H20" s="35">
        <v>27</v>
      </c>
      <c r="I20" s="35" t="str">
        <f>IF(混成競技エントリー!F32&gt;5999,INT(混成競技エントリー!F32/10000)&amp;"."&amp;TEXT(INT(MOD(混成競技エントリー!F32,10000)/100),"00")&amp;"."&amp;TEXT(MOD(混成競技エントリー!F32,100),"00")&amp;"0",INT(混成競技エントリー!F32/100)&amp;"."&amp;TEXT(MOD(混成競技エントリー!F32,100),"00"))</f>
        <v>0.00</v>
      </c>
      <c r="J20" s="35">
        <v>31</v>
      </c>
      <c r="K20" s="35" t="str">
        <f>IF(混成競技エントリー!F33&gt;5999,INT(混成競技エントリー!F33/10000)&amp;"."&amp;TEXT(INT(MOD(混成競技エントリー!F33,10000)/100),"00")&amp;"."&amp;TEXT(MOD(混成競技エントリー!F33,100),"00")&amp;"0",INT(混成競技エントリー!F33/100)&amp;"."&amp;TEXT(MOD(混成競技エントリー!F33,100),"00"))</f>
        <v>0.00</v>
      </c>
      <c r="L20" s="35">
        <v>38</v>
      </c>
      <c r="M20" s="35" t="str">
        <f>INT(混成競技エントリー!F34/100)&amp;"m"&amp;TEXT(RIGHT(混成競技エントリー!F34,2),"00")</f>
        <v>0m</v>
      </c>
      <c r="N20" s="35">
        <v>40</v>
      </c>
      <c r="O20" s="35" t="str">
        <f>INT(混成競技エントリー!F35/100)&amp;"m"&amp;TEXT(RIGHT(混成競技エントリー!F35,2),"00")</f>
        <v>0m</v>
      </c>
      <c r="P20" s="35">
        <v>42</v>
      </c>
      <c r="Q20" s="35" t="str">
        <f>INT(混成競技エントリー!I31/100)&amp;"m"&amp;TEXT(RIGHT(混成競技エントリー!I31,2),"00")</f>
        <v>0m</v>
      </c>
      <c r="R20" s="35">
        <v>45</v>
      </c>
      <c r="S20" s="107" t="str">
        <f>INT(混成競技エントリー!I32/100)&amp;"m"&amp;TEXT(RIGHT(混成競技エントリー!I32,2),"00")</f>
        <v>0m</v>
      </c>
    </row>
    <row r="21" spans="1:19">
      <c r="A21" s="535"/>
      <c r="B21" s="106">
        <v>5</v>
      </c>
      <c r="C21" s="35" t="str">
        <f>_xlfn.IFNA(INDEX(女子エントリー!$B$7:$AB$406,MATCH(B21,女子エントリー!$AB$7:$AB$406,0),3),"")</f>
        <v/>
      </c>
      <c r="D21" s="35" t="str">
        <f>_xlfn.IFNA(INDEX(女子エントリー!$B$7:$AB$406,MATCH(B21,女子エントリー!$AB$7:$AB$406,0),2),"")</f>
        <v/>
      </c>
      <c r="E21" s="35" t="str">
        <f>_xlfn.IFNA(INDEX(女子エントリー!$B$7:$AB$406,MATCH(B21,女子エントリー!$AB$7:$AB$406,0),4),"")</f>
        <v/>
      </c>
      <c r="F21" s="35">
        <v>25</v>
      </c>
      <c r="G21" s="35" t="str">
        <f>IF(混成競技エントリー!P31&gt;5999,INT(混成競技エントリー!P31/10000)&amp;"."&amp;TEXT(INT(MOD(混成競技エントリー!P31,10000)/100),"00")&amp;"."&amp;TEXT(MOD(混成競技エントリー!P31,100),"00")&amp;"0",INT(混成競技エントリー!P31/100)&amp;"."&amp;TEXT(MOD(混成競技エントリー!P31,100),"00"))</f>
        <v>0.00</v>
      </c>
      <c r="H21" s="35">
        <v>27</v>
      </c>
      <c r="I21" s="35" t="str">
        <f>IF(混成競技エントリー!P32&gt;5999,INT(混成競技エントリー!P32/10000)&amp;"."&amp;TEXT(INT(MOD(混成競技エントリー!P32,10000)/100),"00")&amp;"."&amp;TEXT(MOD(混成競技エントリー!P32,100),"00")&amp;"0",INT(混成競技エントリー!P32/100)&amp;"."&amp;TEXT(MOD(混成競技エントリー!P32,100),"00"))</f>
        <v>0.00</v>
      </c>
      <c r="J21" s="35">
        <v>31</v>
      </c>
      <c r="K21" s="35" t="str">
        <f>IF(混成競技エントリー!P33&gt;5999,INT(混成競技エントリー!P33/10000)&amp;"."&amp;TEXT(INT(MOD(混成競技エントリー!P33,10000)/100),"00")&amp;"."&amp;TEXT(MOD(混成競技エントリー!P33,100),"00")&amp;"0",INT(混成競技エントリー!P33/100)&amp;"."&amp;TEXT(MOD(混成競技エントリー!P33,100),"00"))</f>
        <v>0.00</v>
      </c>
      <c r="L21" s="35">
        <v>38</v>
      </c>
      <c r="M21" s="35" t="str">
        <f>INT(混成競技エントリー!P34/100)&amp;"m"&amp;TEXT(RIGHT(混成競技エントリー!P34,2),"00")</f>
        <v>0m</v>
      </c>
      <c r="N21" s="35">
        <v>40</v>
      </c>
      <c r="O21" s="35" t="str">
        <f>INT(混成競技エントリー!P35/100)&amp;"m"&amp;TEXT(RIGHT(混成競技エントリー!P35,2),"00")</f>
        <v>0m</v>
      </c>
      <c r="P21" s="35">
        <v>42</v>
      </c>
      <c r="Q21" s="35" t="str">
        <f>INT(混成競技エントリー!S31/100)&amp;"m"&amp;TEXT(RIGHT(混成競技エントリー!S31,2),"00")</f>
        <v>0m</v>
      </c>
      <c r="R21" s="35">
        <v>45</v>
      </c>
      <c r="S21" s="107" t="str">
        <f>INT(混成競技エントリー!S32/100)&amp;"m"&amp;TEXT(RIGHT(混成競技エントリー!S32,2),"00")</f>
        <v>0m</v>
      </c>
    </row>
    <row r="22" spans="1:19">
      <c r="A22" s="536"/>
      <c r="B22" s="108">
        <v>6</v>
      </c>
      <c r="C22" s="109" t="str">
        <f>_xlfn.IFNA(INDEX(女子エントリー!$B$7:$AB$406,MATCH(B22,女子エントリー!$AB$7:$AB$406,0),3),"")</f>
        <v/>
      </c>
      <c r="D22" s="109" t="str">
        <f>_xlfn.IFNA(INDEX(女子エントリー!$B$7:$AB$406,MATCH(B22,女子エントリー!$AB$7:$AB$406,0),2),"")</f>
        <v/>
      </c>
      <c r="E22" s="109" t="str">
        <f>_xlfn.IFNA(INDEX(女子エントリー!$B$7:$AB$406,MATCH(B22,女子エントリー!$AB$7:$AB$406,0),4),"")</f>
        <v/>
      </c>
      <c r="F22" s="109">
        <v>25</v>
      </c>
      <c r="G22" s="109" t="str">
        <f>IF(混成競技エントリー!Z31&gt;5999,INT(混成競技エントリー!Z31/10000)&amp;"."&amp;TEXT(INT(MOD(混成競技エントリー!Z31,10000)/100),"00")&amp;"."&amp;TEXT(MOD(混成競技エントリー!Z31,100),"00")&amp;"0",INT(混成競技エントリー!Z31/100)&amp;"."&amp;TEXT(MOD(混成競技エントリー!Z31,100),"00"))</f>
        <v>0.00</v>
      </c>
      <c r="H22" s="109">
        <v>27</v>
      </c>
      <c r="I22" s="109" t="str">
        <f>IF(混成競技エントリー!Z32&gt;5999,INT(混成競技エントリー!Z32/10000)&amp;"."&amp;TEXT(INT(MOD(混成競技エントリー!Z32,10000)/100),"00")&amp;"."&amp;TEXT(MOD(混成競技エントリー!Z32,100),"00")&amp;"0",INT(混成競技エントリー!Z32/100)&amp;"."&amp;TEXT(MOD(混成競技エントリー!Z32,100),"00"))</f>
        <v>0.00</v>
      </c>
      <c r="J22" s="109">
        <v>31</v>
      </c>
      <c r="K22" s="109" t="str">
        <f>IF(混成競技エントリー!Z33&gt;5999,INT(混成競技エントリー!Z33/10000)&amp;"."&amp;TEXT(INT(MOD(混成競技エントリー!Z33,10000)/100),"00")&amp;"."&amp;TEXT(MOD(混成競技エントリー!Z33,100),"00")&amp;"0",INT(混成競技エントリー!Z33/100)&amp;"."&amp;TEXT(MOD(混成競技エントリー!Z33,100),"00"))</f>
        <v>0.00</v>
      </c>
      <c r="L22" s="109">
        <v>38</v>
      </c>
      <c r="M22" s="109" t="str">
        <f>INT(混成競技エントリー!Z34/100)&amp;"m"&amp;TEXT(RIGHT(混成競技エントリー!Z34,2),"00")</f>
        <v>0m</v>
      </c>
      <c r="N22" s="109">
        <v>40</v>
      </c>
      <c r="O22" s="109" t="str">
        <f>INT(混成競技エントリー!Z35/100)&amp;"m"&amp;TEXT(RIGHT(混成競技エントリー!Z35,2),"00")</f>
        <v>0m</v>
      </c>
      <c r="P22" s="109">
        <v>42</v>
      </c>
      <c r="Q22" s="109" t="str">
        <f>INT(混成競技エントリー!AC31/100)&amp;"m"&amp;TEXT(RIGHT(混成競技エントリー!AC31,2),"00")</f>
        <v>0m</v>
      </c>
      <c r="R22" s="109">
        <v>45</v>
      </c>
      <c r="S22" s="110" t="str">
        <f>INT(混成競技エントリー!AC32/100)&amp;"m"&amp;TEXT(RIGHT(混成競技エントリー!AC32,2),"00")</f>
        <v>0m</v>
      </c>
    </row>
  </sheetData>
  <mergeCells count="3">
    <mergeCell ref="A9:A14"/>
    <mergeCell ref="A2:A7"/>
    <mergeCell ref="A17:A22"/>
  </mergeCells>
  <phoneticPr fontId="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8E4EE-7279-4D85-BF3E-E0AD81615ACB}">
  <sheetPr codeName="Sheet13"/>
  <dimension ref="A1:O1121"/>
  <sheetViews>
    <sheetView workbookViewId="0"/>
  </sheetViews>
  <sheetFormatPr defaultRowHeight="13.2"/>
  <cols>
    <col min="1" max="1" width="8.796875" style="17"/>
    <col min="2" max="10" width="8.796875" style="15"/>
    <col min="11" max="12" width="8.796875" style="17"/>
    <col min="13" max="13" width="8.796875" style="15"/>
    <col min="14" max="15" width="8.796875" style="17"/>
    <col min="16" max="16384" width="8.796875" style="8"/>
  </cols>
  <sheetData>
    <row r="1" spans="1:15" s="102" customFormat="1">
      <c r="A1" s="100" t="s">
        <v>208</v>
      </c>
      <c r="B1" s="101" t="s">
        <v>217</v>
      </c>
      <c r="C1" s="101" t="s">
        <v>209</v>
      </c>
      <c r="D1" s="101" t="s">
        <v>210</v>
      </c>
      <c r="E1" s="101" t="s">
        <v>212</v>
      </c>
      <c r="F1" s="101" t="s">
        <v>211</v>
      </c>
      <c r="G1" s="101" t="s">
        <v>213</v>
      </c>
      <c r="H1" s="101" t="s">
        <v>214</v>
      </c>
      <c r="I1" s="101" t="s">
        <v>215</v>
      </c>
      <c r="J1" s="101" t="s">
        <v>218</v>
      </c>
      <c r="K1" s="100" t="s">
        <v>4079</v>
      </c>
      <c r="L1" s="100" t="s">
        <v>219</v>
      </c>
      <c r="M1" s="101" t="s">
        <v>216</v>
      </c>
      <c r="N1" s="100" t="s">
        <v>221</v>
      </c>
      <c r="O1" s="100" t="s">
        <v>220</v>
      </c>
    </row>
    <row r="2" spans="1:15">
      <c r="A2" s="17" t="str">
        <f>IF(B2="","","501"&amp;TEXT(B2,"000000"))</f>
        <v>501000001</v>
      </c>
      <c r="B2" s="97">
        <v>1</v>
      </c>
      <c r="C2" s="97" t="s">
        <v>222</v>
      </c>
      <c r="D2" s="97" t="s">
        <v>223</v>
      </c>
      <c r="E2" s="312" t="s">
        <v>2080</v>
      </c>
      <c r="F2" s="312" t="s">
        <v>2081</v>
      </c>
      <c r="G2" s="97" t="s">
        <v>3061</v>
      </c>
      <c r="H2" s="97" t="s">
        <v>4037</v>
      </c>
      <c r="I2" s="97" t="s">
        <v>4039</v>
      </c>
      <c r="J2" s="97" t="s">
        <v>4040</v>
      </c>
      <c r="K2" s="17" t="str">
        <f>IFERROR(INDEX(競技会設定!$J$3:$O$47,MATCH(J2,競技会設定!$M$3:$M$47,0),5),"")</f>
        <v>中京大</v>
      </c>
      <c r="L2" s="17" t="str">
        <f>IFERROR(INDEX(競技会設定!$J$3:$N$47,MATCH(K2,競技会設定!$N$3:$N$47,0),2),"")</f>
        <v>492173</v>
      </c>
      <c r="M2" s="97" t="s">
        <v>3859</v>
      </c>
      <c r="N2" s="17" t="str">
        <f>IF(E2="","",E2&amp;", "&amp;F2)</f>
        <v>UNO, Tomoki</v>
      </c>
      <c r="O2" s="17" t="str">
        <f>IFERROR(TEXT(INT(LEFT(G2,2)),"00"),"")</f>
        <v>98</v>
      </c>
    </row>
    <row r="3" spans="1:15">
      <c r="A3" s="17" t="str">
        <f t="shared" ref="A3:A66" si="0">IF(B3="","","501"&amp;TEXT(B3,"000000"))</f>
        <v>501000002</v>
      </c>
      <c r="B3" s="97">
        <v>2</v>
      </c>
      <c r="C3" s="97" t="s">
        <v>224</v>
      </c>
      <c r="D3" s="97" t="s">
        <v>225</v>
      </c>
      <c r="E3" s="312" t="s">
        <v>2082</v>
      </c>
      <c r="F3" s="312" t="s">
        <v>2083</v>
      </c>
      <c r="G3" s="97" t="s">
        <v>3062</v>
      </c>
      <c r="H3" s="97" t="s">
        <v>4025</v>
      </c>
      <c r="I3" s="97" t="s">
        <v>4039</v>
      </c>
      <c r="J3" s="97" t="s">
        <v>4040</v>
      </c>
      <c r="K3" s="17" t="str">
        <f>IFERROR(INDEX(競技会設定!$J$3:$O$47,MATCH(J3,競技会設定!$M$3:$M$47,0),5),"")</f>
        <v>中京大</v>
      </c>
      <c r="L3" s="17" t="str">
        <f>IFERROR(INDEX(競技会設定!$J$3:$N$47,MATCH(K3,競技会設定!$N$3:$N$47,0),2),"")</f>
        <v>492173</v>
      </c>
      <c r="M3" s="97" t="s">
        <v>3857</v>
      </c>
      <c r="N3" s="17" t="str">
        <f t="shared" ref="N3:N66" si="1">IF(E3="","",E3&amp;", "&amp;F3)</f>
        <v>ITO, Yasuharu</v>
      </c>
      <c r="O3" s="17" t="str">
        <f t="shared" ref="O3:O66" si="2">IFERROR(TEXT(INT(LEFT(G3,2)),"00"),"")</f>
        <v>98</v>
      </c>
    </row>
    <row r="4" spans="1:15">
      <c r="A4" s="17" t="str">
        <f t="shared" si="0"/>
        <v>501000003</v>
      </c>
      <c r="B4" s="97">
        <v>3</v>
      </c>
      <c r="C4" s="97" t="s">
        <v>226</v>
      </c>
      <c r="D4" s="97" t="s">
        <v>227</v>
      </c>
      <c r="E4" s="312" t="s">
        <v>2084</v>
      </c>
      <c r="F4" s="312" t="s">
        <v>2085</v>
      </c>
      <c r="G4" s="97" t="s">
        <v>3063</v>
      </c>
      <c r="H4" s="97" t="s">
        <v>4038</v>
      </c>
      <c r="I4" s="97" t="s">
        <v>4039</v>
      </c>
      <c r="J4" s="97" t="s">
        <v>4040</v>
      </c>
      <c r="K4" s="17" t="str">
        <f>IFERROR(INDEX(競技会設定!$J$3:$O$47,MATCH(J4,競技会設定!$M$3:$M$47,0),5),"")</f>
        <v>中京大</v>
      </c>
      <c r="L4" s="17" t="str">
        <f>IFERROR(INDEX(競技会設定!$J$3:$N$47,MATCH(K4,競技会設定!$N$3:$N$47,0),2),"")</f>
        <v>492173</v>
      </c>
      <c r="M4" s="97" t="s">
        <v>3859</v>
      </c>
      <c r="N4" s="17" t="str">
        <f t="shared" si="1"/>
        <v>ODAGIRI, Takuma</v>
      </c>
      <c r="O4" s="17" t="str">
        <f t="shared" si="2"/>
        <v>99</v>
      </c>
    </row>
    <row r="5" spans="1:15">
      <c r="A5" s="17" t="str">
        <f t="shared" si="0"/>
        <v>501000004</v>
      </c>
      <c r="B5" s="97">
        <v>4</v>
      </c>
      <c r="C5" s="97" t="s">
        <v>228</v>
      </c>
      <c r="D5" s="97" t="s">
        <v>229</v>
      </c>
      <c r="E5" s="312" t="s">
        <v>2086</v>
      </c>
      <c r="F5" s="312" t="s">
        <v>2087</v>
      </c>
      <c r="G5" s="97" t="s">
        <v>3064</v>
      </c>
      <c r="H5" s="97" t="s">
        <v>4027</v>
      </c>
      <c r="I5" s="97" t="s">
        <v>4039</v>
      </c>
      <c r="J5" s="97" t="s">
        <v>4040</v>
      </c>
      <c r="K5" s="17" t="str">
        <f>IFERROR(INDEX(競技会設定!$J$3:$O$47,MATCH(J5,競技会設定!$M$3:$M$47,0),5),"")</f>
        <v>中京大</v>
      </c>
      <c r="L5" s="17" t="str">
        <f>IFERROR(INDEX(競技会設定!$J$3:$N$47,MATCH(K5,競技会設定!$N$3:$N$47,0),2),"")</f>
        <v>492173</v>
      </c>
      <c r="M5" s="97" t="s">
        <v>3859</v>
      </c>
      <c r="N5" s="17" t="str">
        <f t="shared" si="1"/>
        <v>ENOKI, Shota</v>
      </c>
      <c r="O5" s="17" t="str">
        <f t="shared" si="2"/>
        <v>94</v>
      </c>
    </row>
    <row r="6" spans="1:15">
      <c r="A6" s="17" t="str">
        <f t="shared" si="0"/>
        <v>501000005</v>
      </c>
      <c r="B6" s="97">
        <v>5</v>
      </c>
      <c r="C6" s="97" t="s">
        <v>230</v>
      </c>
      <c r="D6" s="97" t="s">
        <v>231</v>
      </c>
      <c r="E6" s="312" t="s">
        <v>2088</v>
      </c>
      <c r="F6" s="312" t="s">
        <v>2089</v>
      </c>
      <c r="G6" s="97" t="s">
        <v>3065</v>
      </c>
      <c r="H6" s="97" t="s">
        <v>4028</v>
      </c>
      <c r="I6" s="97" t="s">
        <v>4039</v>
      </c>
      <c r="J6" s="97" t="s">
        <v>4040</v>
      </c>
      <c r="K6" s="17" t="str">
        <f>IFERROR(INDEX(競技会設定!$J$3:$O$47,MATCH(J6,競技会設定!$M$3:$M$47,0),5),"")</f>
        <v>中京大</v>
      </c>
      <c r="L6" s="17" t="str">
        <f>IFERROR(INDEX(競技会設定!$J$3:$N$47,MATCH(K6,競技会設定!$N$3:$N$47,0),2),"")</f>
        <v>492173</v>
      </c>
      <c r="M6" s="97" t="s">
        <v>3859</v>
      </c>
      <c r="N6" s="17" t="str">
        <f t="shared" si="1"/>
        <v>EBISUYA, Yuichi</v>
      </c>
      <c r="O6" s="17" t="str">
        <f t="shared" si="2"/>
        <v>96</v>
      </c>
    </row>
    <row r="7" spans="1:15">
      <c r="A7" s="17" t="str">
        <f t="shared" si="0"/>
        <v>501000006</v>
      </c>
      <c r="B7" s="97">
        <v>6</v>
      </c>
      <c r="C7" s="97" t="s">
        <v>232</v>
      </c>
      <c r="D7" s="97" t="s">
        <v>233</v>
      </c>
      <c r="E7" s="312" t="s">
        <v>2090</v>
      </c>
      <c r="F7" s="312" t="s">
        <v>2091</v>
      </c>
      <c r="G7" s="97" t="s">
        <v>3066</v>
      </c>
      <c r="H7" s="97" t="s">
        <v>4028</v>
      </c>
      <c r="I7" s="97" t="s">
        <v>4039</v>
      </c>
      <c r="J7" s="97" t="s">
        <v>4040</v>
      </c>
      <c r="K7" s="17" t="str">
        <f>IFERROR(INDEX(競技会設定!$J$3:$O$47,MATCH(J7,競技会設定!$M$3:$M$47,0),5),"")</f>
        <v>中京大</v>
      </c>
      <c r="L7" s="17" t="str">
        <f>IFERROR(INDEX(競技会設定!$J$3:$N$47,MATCH(K7,競技会設定!$N$3:$N$47,0),2),"")</f>
        <v>492173</v>
      </c>
      <c r="M7" s="97" t="s">
        <v>3859</v>
      </c>
      <c r="N7" s="17" t="str">
        <f t="shared" si="1"/>
        <v>KOBATA, Takahiro</v>
      </c>
      <c r="O7" s="17" t="str">
        <f t="shared" si="2"/>
        <v>97</v>
      </c>
    </row>
    <row r="8" spans="1:15">
      <c r="A8" s="17" t="str">
        <f t="shared" si="0"/>
        <v>501000007</v>
      </c>
      <c r="B8" s="97">
        <v>7</v>
      </c>
      <c r="C8" s="97" t="s">
        <v>234</v>
      </c>
      <c r="D8" s="97" t="s">
        <v>235</v>
      </c>
      <c r="E8" s="312" t="s">
        <v>2092</v>
      </c>
      <c r="F8" s="312" t="s">
        <v>2093</v>
      </c>
      <c r="G8" s="97" t="s">
        <v>3067</v>
      </c>
      <c r="H8" s="97" t="s">
        <v>4025</v>
      </c>
      <c r="I8" s="97" t="s">
        <v>4039</v>
      </c>
      <c r="J8" s="97" t="s">
        <v>4040</v>
      </c>
      <c r="K8" s="17" t="str">
        <f>IFERROR(INDEX(競技会設定!$J$3:$O$47,MATCH(J8,競技会設定!$M$3:$M$47,0),5),"")</f>
        <v>中京大</v>
      </c>
      <c r="L8" s="17" t="str">
        <f>IFERROR(INDEX(競技会設定!$J$3:$N$47,MATCH(K8,競技会設定!$N$3:$N$47,0),2),"")</f>
        <v>492173</v>
      </c>
      <c r="M8" s="97" t="s">
        <v>3859</v>
      </c>
      <c r="N8" s="17" t="str">
        <f t="shared" si="1"/>
        <v>ICHIHASHI, Naoya</v>
      </c>
      <c r="O8" s="17" t="str">
        <f t="shared" si="2"/>
        <v>98</v>
      </c>
    </row>
    <row r="9" spans="1:15">
      <c r="A9" s="17" t="str">
        <f t="shared" si="0"/>
        <v>501000008</v>
      </c>
      <c r="B9" s="97">
        <v>8</v>
      </c>
      <c r="C9" s="97" t="s">
        <v>236</v>
      </c>
      <c r="D9" s="97" t="s">
        <v>237</v>
      </c>
      <c r="E9" s="312" t="s">
        <v>2082</v>
      </c>
      <c r="F9" s="312" t="s">
        <v>2094</v>
      </c>
      <c r="G9" s="97" t="s">
        <v>3068</v>
      </c>
      <c r="H9" s="97" t="s">
        <v>4025</v>
      </c>
      <c r="I9" s="97" t="s">
        <v>4039</v>
      </c>
      <c r="J9" s="97" t="s">
        <v>4040</v>
      </c>
      <c r="K9" s="17" t="str">
        <f>IFERROR(INDEX(競技会設定!$J$3:$O$47,MATCH(J9,競技会設定!$M$3:$M$47,0),5),"")</f>
        <v>中京大</v>
      </c>
      <c r="L9" s="17" t="str">
        <f>IFERROR(INDEX(競技会設定!$J$3:$N$47,MATCH(K9,競技会設定!$N$3:$N$47,0),2),"")</f>
        <v>492173</v>
      </c>
      <c r="M9" s="97" t="s">
        <v>3859</v>
      </c>
      <c r="N9" s="17" t="str">
        <f t="shared" si="1"/>
        <v>ITO, Sota</v>
      </c>
      <c r="O9" s="17" t="str">
        <f t="shared" si="2"/>
        <v>98</v>
      </c>
    </row>
    <row r="10" spans="1:15">
      <c r="A10" s="17" t="str">
        <f t="shared" si="0"/>
        <v>501000009</v>
      </c>
      <c r="B10" s="97">
        <v>9</v>
      </c>
      <c r="C10" s="97" t="s">
        <v>238</v>
      </c>
      <c r="D10" s="97" t="s">
        <v>239</v>
      </c>
      <c r="E10" s="312" t="s">
        <v>2095</v>
      </c>
      <c r="F10" s="312" t="s">
        <v>2096</v>
      </c>
      <c r="G10" s="97" t="s">
        <v>3069</v>
      </c>
      <c r="H10" s="97" t="s">
        <v>4025</v>
      </c>
      <c r="I10" s="97" t="s">
        <v>4039</v>
      </c>
      <c r="J10" s="97" t="s">
        <v>4040</v>
      </c>
      <c r="K10" s="17" t="str">
        <f>IFERROR(INDEX(競技会設定!$J$3:$O$47,MATCH(J10,競技会設定!$M$3:$M$47,0),5),"")</f>
        <v>中京大</v>
      </c>
      <c r="L10" s="17" t="str">
        <f>IFERROR(INDEX(競技会設定!$J$3:$N$47,MATCH(K10,競技会設定!$N$3:$N$47,0),2),"")</f>
        <v>492173</v>
      </c>
      <c r="M10" s="97" t="s">
        <v>3845</v>
      </c>
      <c r="N10" s="17" t="str">
        <f t="shared" si="1"/>
        <v>INOUE, Haya</v>
      </c>
      <c r="O10" s="17" t="str">
        <f t="shared" si="2"/>
        <v>98</v>
      </c>
    </row>
    <row r="11" spans="1:15">
      <c r="A11" s="17" t="str">
        <f t="shared" si="0"/>
        <v>501000010</v>
      </c>
      <c r="B11" s="97">
        <v>10</v>
      </c>
      <c r="C11" s="97" t="s">
        <v>240</v>
      </c>
      <c r="D11" s="97" t="s">
        <v>241</v>
      </c>
      <c r="E11" s="312" t="s">
        <v>2097</v>
      </c>
      <c r="F11" s="312" t="s">
        <v>2098</v>
      </c>
      <c r="G11" s="97" t="s">
        <v>3070</v>
      </c>
      <c r="H11" s="97" t="s">
        <v>4025</v>
      </c>
      <c r="I11" s="97" t="s">
        <v>4039</v>
      </c>
      <c r="J11" s="97" t="s">
        <v>4040</v>
      </c>
      <c r="K11" s="17" t="str">
        <f>IFERROR(INDEX(競技会設定!$J$3:$O$47,MATCH(J11,競技会設定!$M$3:$M$47,0),5),"")</f>
        <v>中京大</v>
      </c>
      <c r="L11" s="17" t="str">
        <f>IFERROR(INDEX(競技会設定!$J$3:$N$47,MATCH(K11,競技会設定!$N$3:$N$47,0),2),"")</f>
        <v>492173</v>
      </c>
      <c r="M11" s="97" t="s">
        <v>3859</v>
      </c>
      <c r="N11" s="17" t="str">
        <f t="shared" si="1"/>
        <v>OHATA, Shintaro</v>
      </c>
      <c r="O11" s="17" t="str">
        <f t="shared" si="2"/>
        <v>98</v>
      </c>
    </row>
    <row r="12" spans="1:15">
      <c r="A12" s="17" t="str">
        <f t="shared" si="0"/>
        <v>501000011</v>
      </c>
      <c r="B12" s="97">
        <v>11</v>
      </c>
      <c r="C12" s="97" t="s">
        <v>242</v>
      </c>
      <c r="D12" s="97" t="s">
        <v>243</v>
      </c>
      <c r="E12" s="312" t="s">
        <v>2099</v>
      </c>
      <c r="F12" s="312" t="s">
        <v>2100</v>
      </c>
      <c r="G12" s="97" t="s">
        <v>3071</v>
      </c>
      <c r="H12" s="97" t="s">
        <v>4025</v>
      </c>
      <c r="I12" s="97" t="s">
        <v>4039</v>
      </c>
      <c r="J12" s="97" t="s">
        <v>4040</v>
      </c>
      <c r="K12" s="17" t="str">
        <f>IFERROR(INDEX(競技会設定!$J$3:$O$47,MATCH(J12,競技会設定!$M$3:$M$47,0),5),"")</f>
        <v>中京大</v>
      </c>
      <c r="L12" s="17" t="str">
        <f>IFERROR(INDEX(競技会設定!$J$3:$N$47,MATCH(K12,競技会設定!$N$3:$N$47,0),2),"")</f>
        <v>492173</v>
      </c>
      <c r="M12" s="97" t="s">
        <v>3861</v>
      </c>
      <c r="N12" s="17" t="str">
        <f t="shared" si="1"/>
        <v>KAWABATA, Kaito</v>
      </c>
      <c r="O12" s="17" t="str">
        <f t="shared" si="2"/>
        <v>98</v>
      </c>
    </row>
    <row r="13" spans="1:15">
      <c r="A13" s="17" t="str">
        <f t="shared" si="0"/>
        <v>501000012</v>
      </c>
      <c r="B13" s="97">
        <v>12</v>
      </c>
      <c r="C13" s="97" t="s">
        <v>244</v>
      </c>
      <c r="D13" s="97" t="s">
        <v>245</v>
      </c>
      <c r="E13" s="312" t="s">
        <v>2101</v>
      </c>
      <c r="F13" s="312" t="s">
        <v>2102</v>
      </c>
      <c r="G13" s="97" t="s">
        <v>3072</v>
      </c>
      <c r="H13" s="97" t="s">
        <v>4025</v>
      </c>
      <c r="I13" s="97" t="s">
        <v>4039</v>
      </c>
      <c r="J13" s="97" t="s">
        <v>4040</v>
      </c>
      <c r="K13" s="17" t="str">
        <f>IFERROR(INDEX(競技会設定!$J$3:$O$47,MATCH(J13,競技会設定!$M$3:$M$47,0),5),"")</f>
        <v>中京大</v>
      </c>
      <c r="L13" s="17" t="str">
        <f>IFERROR(INDEX(競技会設定!$J$3:$N$47,MATCH(K13,競技会設定!$N$3:$N$47,0),2),"")</f>
        <v>492173</v>
      </c>
      <c r="M13" s="97" t="s">
        <v>3887</v>
      </c>
      <c r="N13" s="17" t="str">
        <f t="shared" si="1"/>
        <v>KUJIME, Yuga</v>
      </c>
      <c r="O13" s="17" t="str">
        <f t="shared" si="2"/>
        <v>98</v>
      </c>
    </row>
    <row r="14" spans="1:15">
      <c r="A14" s="17" t="str">
        <f t="shared" si="0"/>
        <v>501000013</v>
      </c>
      <c r="B14" s="97">
        <v>13</v>
      </c>
      <c r="C14" s="97" t="s">
        <v>246</v>
      </c>
      <c r="D14" s="97" t="s">
        <v>247</v>
      </c>
      <c r="E14" s="312" t="s">
        <v>2103</v>
      </c>
      <c r="F14" s="312" t="s">
        <v>2104</v>
      </c>
      <c r="G14" s="97" t="s">
        <v>3073</v>
      </c>
      <c r="H14" s="97" t="s">
        <v>4025</v>
      </c>
      <c r="I14" s="97" t="s">
        <v>4039</v>
      </c>
      <c r="J14" s="97" t="s">
        <v>4040</v>
      </c>
      <c r="K14" s="17" t="str">
        <f>IFERROR(INDEX(競技会設定!$J$3:$O$47,MATCH(J14,競技会設定!$M$3:$M$47,0),5),"")</f>
        <v>中京大</v>
      </c>
      <c r="L14" s="17" t="str">
        <f>IFERROR(INDEX(競技会設定!$J$3:$N$47,MATCH(K14,競技会設定!$N$3:$N$47,0),2),"")</f>
        <v>492173</v>
      </c>
      <c r="M14" s="97" t="s">
        <v>3907</v>
      </c>
      <c r="N14" s="17" t="str">
        <f t="shared" si="1"/>
        <v>KODAMA, Iki</v>
      </c>
      <c r="O14" s="17" t="str">
        <f t="shared" si="2"/>
        <v>98</v>
      </c>
    </row>
    <row r="15" spans="1:15">
      <c r="A15" s="17" t="str">
        <f t="shared" si="0"/>
        <v>501000014</v>
      </c>
      <c r="B15" s="97">
        <v>14</v>
      </c>
      <c r="C15" s="97" t="s">
        <v>248</v>
      </c>
      <c r="D15" s="97" t="s">
        <v>249</v>
      </c>
      <c r="E15" s="312" t="s">
        <v>2105</v>
      </c>
      <c r="F15" s="312" t="s">
        <v>2106</v>
      </c>
      <c r="G15" s="97" t="s">
        <v>3074</v>
      </c>
      <c r="H15" s="97" t="s">
        <v>4025</v>
      </c>
      <c r="I15" s="97" t="s">
        <v>4039</v>
      </c>
      <c r="J15" s="97" t="s">
        <v>4040</v>
      </c>
      <c r="K15" s="17" t="str">
        <f>IFERROR(INDEX(競技会設定!$J$3:$O$47,MATCH(J15,競技会設定!$M$3:$M$47,0),5),"")</f>
        <v>中京大</v>
      </c>
      <c r="L15" s="17" t="str">
        <f>IFERROR(INDEX(競技会設定!$J$3:$N$47,MATCH(K15,競技会設定!$N$3:$N$47,0),2),"")</f>
        <v>492173</v>
      </c>
      <c r="M15" s="97" t="s">
        <v>3859</v>
      </c>
      <c r="N15" s="17" t="str">
        <f t="shared" si="1"/>
        <v>NISHIO, Yusuke</v>
      </c>
      <c r="O15" s="17" t="str">
        <f t="shared" si="2"/>
        <v>98</v>
      </c>
    </row>
    <row r="16" spans="1:15">
      <c r="A16" s="17" t="str">
        <f t="shared" si="0"/>
        <v>501000015</v>
      </c>
      <c r="B16" s="97">
        <v>15</v>
      </c>
      <c r="C16" s="97" t="s">
        <v>250</v>
      </c>
      <c r="D16" s="97" t="s">
        <v>251</v>
      </c>
      <c r="E16" s="312" t="s">
        <v>2107</v>
      </c>
      <c r="F16" s="312" t="s">
        <v>2108</v>
      </c>
      <c r="G16" s="97" t="s">
        <v>3075</v>
      </c>
      <c r="H16" s="97" t="s">
        <v>4025</v>
      </c>
      <c r="I16" s="97" t="s">
        <v>4039</v>
      </c>
      <c r="J16" s="97" t="s">
        <v>4040</v>
      </c>
      <c r="K16" s="17" t="str">
        <f>IFERROR(INDEX(競技会設定!$J$3:$O$47,MATCH(J16,競技会設定!$M$3:$M$47,0),5),"")</f>
        <v>中京大</v>
      </c>
      <c r="L16" s="17" t="str">
        <f>IFERROR(INDEX(競技会設定!$J$3:$N$47,MATCH(K16,競技会設定!$N$3:$N$47,0),2),"")</f>
        <v>492173</v>
      </c>
      <c r="M16" s="97" t="s">
        <v>3905</v>
      </c>
      <c r="N16" s="17" t="str">
        <f t="shared" si="1"/>
        <v>NOMURA, Yuki</v>
      </c>
      <c r="O16" s="17" t="str">
        <f t="shared" si="2"/>
        <v>98</v>
      </c>
    </row>
    <row r="17" spans="1:15">
      <c r="A17" s="17" t="str">
        <f t="shared" si="0"/>
        <v>501000016</v>
      </c>
      <c r="B17" s="97">
        <v>16</v>
      </c>
      <c r="C17" s="97" t="s">
        <v>252</v>
      </c>
      <c r="D17" s="97" t="s">
        <v>253</v>
      </c>
      <c r="E17" s="312" t="s">
        <v>2109</v>
      </c>
      <c r="F17" s="312" t="s">
        <v>2110</v>
      </c>
      <c r="G17" s="97" t="s">
        <v>3076</v>
      </c>
      <c r="H17" s="97" t="s">
        <v>4025</v>
      </c>
      <c r="I17" s="97" t="s">
        <v>4039</v>
      </c>
      <c r="J17" s="97" t="s">
        <v>4040</v>
      </c>
      <c r="K17" s="17" t="str">
        <f>IFERROR(INDEX(競技会設定!$J$3:$O$47,MATCH(J17,競技会設定!$M$3:$M$47,0),5),"")</f>
        <v>中京大</v>
      </c>
      <c r="L17" s="17" t="str">
        <f>IFERROR(INDEX(競技会設定!$J$3:$N$47,MATCH(K17,競技会設定!$N$3:$N$47,0),2),"")</f>
        <v>492173</v>
      </c>
      <c r="M17" s="97" t="s">
        <v>3859</v>
      </c>
      <c r="N17" s="17" t="str">
        <f t="shared" si="1"/>
        <v>HIKOSAKA, Yohei</v>
      </c>
      <c r="O17" s="17" t="str">
        <f t="shared" si="2"/>
        <v>98</v>
      </c>
    </row>
    <row r="18" spans="1:15">
      <c r="A18" s="17" t="str">
        <f t="shared" si="0"/>
        <v>501000017</v>
      </c>
      <c r="B18" s="97">
        <v>17</v>
      </c>
      <c r="C18" s="97" t="s">
        <v>254</v>
      </c>
      <c r="D18" s="97" t="s">
        <v>255</v>
      </c>
      <c r="E18" s="312" t="s">
        <v>2111</v>
      </c>
      <c r="F18" s="312" t="s">
        <v>2112</v>
      </c>
      <c r="G18" s="97" t="s">
        <v>3077</v>
      </c>
      <c r="H18" s="97" t="s">
        <v>4025</v>
      </c>
      <c r="I18" s="97" t="s">
        <v>4039</v>
      </c>
      <c r="J18" s="97" t="s">
        <v>4040</v>
      </c>
      <c r="K18" s="17" t="str">
        <f>IFERROR(INDEX(競技会設定!$J$3:$O$47,MATCH(J18,競技会設定!$M$3:$M$47,0),5),"")</f>
        <v>中京大</v>
      </c>
      <c r="L18" s="17" t="str">
        <f>IFERROR(INDEX(競技会設定!$J$3:$N$47,MATCH(K18,競技会設定!$N$3:$N$47,0),2),"")</f>
        <v>492173</v>
      </c>
      <c r="M18" s="97" t="s">
        <v>3881</v>
      </c>
      <c r="N18" s="17" t="str">
        <f t="shared" si="1"/>
        <v>FUJIWARA, Masashi</v>
      </c>
      <c r="O18" s="17" t="str">
        <f t="shared" si="2"/>
        <v>98</v>
      </c>
    </row>
    <row r="19" spans="1:15">
      <c r="A19" s="17" t="str">
        <f t="shared" si="0"/>
        <v>501000018</v>
      </c>
      <c r="B19" s="97">
        <v>18</v>
      </c>
      <c r="C19" s="97" t="s">
        <v>256</v>
      </c>
      <c r="D19" s="97" t="s">
        <v>257</v>
      </c>
      <c r="E19" s="312" t="s">
        <v>2113</v>
      </c>
      <c r="F19" s="312" t="s">
        <v>2114</v>
      </c>
      <c r="G19" s="97" t="s">
        <v>3078</v>
      </c>
      <c r="H19" s="97" t="s">
        <v>4025</v>
      </c>
      <c r="I19" s="97" t="s">
        <v>4039</v>
      </c>
      <c r="J19" s="97" t="s">
        <v>4040</v>
      </c>
      <c r="K19" s="17" t="str">
        <f>IFERROR(INDEX(競技会設定!$J$3:$O$47,MATCH(J19,競技会設定!$M$3:$M$47,0),5),"")</f>
        <v>中京大</v>
      </c>
      <c r="L19" s="17" t="str">
        <f>IFERROR(INDEX(競技会設定!$J$3:$N$47,MATCH(K19,競技会設定!$N$3:$N$47,0),2),"")</f>
        <v>492173</v>
      </c>
      <c r="M19" s="97" t="s">
        <v>3859</v>
      </c>
      <c r="N19" s="17" t="str">
        <f t="shared" si="1"/>
        <v>MIZUNO, Syunsuke</v>
      </c>
      <c r="O19" s="17" t="str">
        <f t="shared" si="2"/>
        <v>98</v>
      </c>
    </row>
    <row r="20" spans="1:15">
      <c r="A20" s="17" t="str">
        <f t="shared" si="0"/>
        <v>501000019</v>
      </c>
      <c r="B20" s="97">
        <v>19</v>
      </c>
      <c r="C20" s="97" t="s">
        <v>258</v>
      </c>
      <c r="D20" s="97" t="s">
        <v>259</v>
      </c>
      <c r="E20" s="312" t="s">
        <v>2115</v>
      </c>
      <c r="F20" s="312" t="s">
        <v>2116</v>
      </c>
      <c r="G20" s="97" t="s">
        <v>3079</v>
      </c>
      <c r="H20" s="97" t="s">
        <v>4025</v>
      </c>
      <c r="I20" s="97" t="s">
        <v>4039</v>
      </c>
      <c r="J20" s="97" t="s">
        <v>4040</v>
      </c>
      <c r="K20" s="17" t="str">
        <f>IFERROR(INDEX(競技会設定!$J$3:$O$47,MATCH(J20,競技会設定!$M$3:$M$47,0),5),"")</f>
        <v>中京大</v>
      </c>
      <c r="L20" s="17" t="str">
        <f>IFERROR(INDEX(競技会設定!$J$3:$N$47,MATCH(K20,競技会設定!$N$3:$N$47,0),2),"")</f>
        <v>492173</v>
      </c>
      <c r="M20" s="97" t="s">
        <v>3853</v>
      </c>
      <c r="N20" s="17" t="str">
        <f t="shared" si="1"/>
        <v>MIYAKE, Hiroki</v>
      </c>
      <c r="O20" s="17" t="str">
        <f t="shared" si="2"/>
        <v>98</v>
      </c>
    </row>
    <row r="21" spans="1:15">
      <c r="A21" s="17" t="str">
        <f t="shared" si="0"/>
        <v>501000020</v>
      </c>
      <c r="B21" s="97">
        <v>20</v>
      </c>
      <c r="C21" s="97" t="s">
        <v>260</v>
      </c>
      <c r="D21" s="97" t="s">
        <v>261</v>
      </c>
      <c r="E21" s="312" t="s">
        <v>2117</v>
      </c>
      <c r="F21" s="312" t="s">
        <v>2118</v>
      </c>
      <c r="G21" s="97" t="s">
        <v>3080</v>
      </c>
      <c r="H21" s="97" t="s">
        <v>4025</v>
      </c>
      <c r="I21" s="97" t="s">
        <v>4039</v>
      </c>
      <c r="J21" s="97" t="s">
        <v>4040</v>
      </c>
      <c r="K21" s="17" t="str">
        <f>IFERROR(INDEX(競技会設定!$J$3:$O$47,MATCH(J21,競技会設定!$M$3:$M$47,0),5),"")</f>
        <v>中京大</v>
      </c>
      <c r="L21" s="17" t="str">
        <f>IFERROR(INDEX(競技会設定!$J$3:$N$47,MATCH(K21,競技会設定!$N$3:$N$47,0),2),"")</f>
        <v>492173</v>
      </c>
      <c r="M21" s="97" t="s">
        <v>3859</v>
      </c>
      <c r="N21" s="17" t="str">
        <f t="shared" si="1"/>
        <v>NISHITSUZI, Kazuki</v>
      </c>
      <c r="O21" s="17" t="str">
        <f t="shared" si="2"/>
        <v>98</v>
      </c>
    </row>
    <row r="22" spans="1:15">
      <c r="A22" s="17" t="str">
        <f t="shared" si="0"/>
        <v>501000021</v>
      </c>
      <c r="B22" s="97">
        <v>21</v>
      </c>
      <c r="C22" s="97" t="s">
        <v>262</v>
      </c>
      <c r="D22" s="97" t="s">
        <v>263</v>
      </c>
      <c r="E22" s="312" t="s">
        <v>2119</v>
      </c>
      <c r="F22" s="312" t="s">
        <v>2120</v>
      </c>
      <c r="G22" s="97" t="s">
        <v>3081</v>
      </c>
      <c r="H22" s="97" t="s">
        <v>4025</v>
      </c>
      <c r="I22" s="97" t="s">
        <v>4039</v>
      </c>
      <c r="J22" s="97" t="s">
        <v>4040</v>
      </c>
      <c r="K22" s="17" t="str">
        <f>IFERROR(INDEX(競技会設定!$J$3:$O$47,MATCH(J22,競技会設定!$M$3:$M$47,0),5),"")</f>
        <v>中京大</v>
      </c>
      <c r="L22" s="17" t="str">
        <f>IFERROR(INDEX(競技会設定!$J$3:$N$47,MATCH(K22,競技会設定!$N$3:$N$47,0),2),"")</f>
        <v>492173</v>
      </c>
      <c r="M22" s="97" t="s">
        <v>3863</v>
      </c>
      <c r="N22" s="17" t="str">
        <f t="shared" si="1"/>
        <v>KAWATA, Atsuto</v>
      </c>
      <c r="O22" s="17" t="str">
        <f t="shared" si="2"/>
        <v>98</v>
      </c>
    </row>
    <row r="23" spans="1:15">
      <c r="A23" s="17" t="str">
        <f t="shared" si="0"/>
        <v>501000022</v>
      </c>
      <c r="B23" s="97">
        <v>22</v>
      </c>
      <c r="C23" s="97" t="s">
        <v>264</v>
      </c>
      <c r="D23" s="97" t="s">
        <v>265</v>
      </c>
      <c r="E23" s="312" t="s">
        <v>2121</v>
      </c>
      <c r="F23" s="312" t="s">
        <v>2122</v>
      </c>
      <c r="G23" s="97" t="s">
        <v>3082</v>
      </c>
      <c r="H23" s="97" t="s">
        <v>4025</v>
      </c>
      <c r="I23" s="97" t="s">
        <v>4039</v>
      </c>
      <c r="J23" s="97" t="s">
        <v>4040</v>
      </c>
      <c r="K23" s="17" t="str">
        <f>IFERROR(INDEX(競技会設定!$J$3:$O$47,MATCH(J23,競技会設定!$M$3:$M$47,0),5),"")</f>
        <v>中京大</v>
      </c>
      <c r="L23" s="17" t="str">
        <f>IFERROR(INDEX(競技会設定!$J$3:$N$47,MATCH(K23,競技会設定!$N$3:$N$47,0),2),"")</f>
        <v>492173</v>
      </c>
      <c r="M23" s="97" t="s">
        <v>3865</v>
      </c>
      <c r="N23" s="17" t="str">
        <f t="shared" si="1"/>
        <v>KAWAKUBO, Tomohiro</v>
      </c>
      <c r="O23" s="17" t="str">
        <f t="shared" si="2"/>
        <v>98</v>
      </c>
    </row>
    <row r="24" spans="1:15">
      <c r="A24" s="17" t="str">
        <f t="shared" si="0"/>
        <v>501000023</v>
      </c>
      <c r="B24" s="97">
        <v>23</v>
      </c>
      <c r="C24" s="97" t="s">
        <v>266</v>
      </c>
      <c r="D24" s="97" t="s">
        <v>267</v>
      </c>
      <c r="E24" s="312" t="s">
        <v>2123</v>
      </c>
      <c r="F24" s="312" t="s">
        <v>2124</v>
      </c>
      <c r="G24" s="97" t="s">
        <v>3070</v>
      </c>
      <c r="H24" s="97" t="s">
        <v>4025</v>
      </c>
      <c r="I24" s="97" t="s">
        <v>4039</v>
      </c>
      <c r="J24" s="97" t="s">
        <v>4040</v>
      </c>
      <c r="K24" s="17" t="str">
        <f>IFERROR(INDEX(競技会設定!$J$3:$O$47,MATCH(J24,競技会設定!$M$3:$M$47,0),5),"")</f>
        <v>中京大</v>
      </c>
      <c r="L24" s="17" t="str">
        <f>IFERROR(INDEX(競技会設定!$J$3:$N$47,MATCH(K24,競技会設定!$N$3:$N$47,0),2),"")</f>
        <v>492173</v>
      </c>
      <c r="M24" s="97" t="s">
        <v>3843</v>
      </c>
      <c r="N24" s="17" t="str">
        <f t="shared" si="1"/>
        <v>KUSUMI, Keita</v>
      </c>
      <c r="O24" s="17" t="str">
        <f t="shared" si="2"/>
        <v>98</v>
      </c>
    </row>
    <row r="25" spans="1:15">
      <c r="A25" s="17" t="str">
        <f t="shared" si="0"/>
        <v>501000024</v>
      </c>
      <c r="B25" s="97">
        <v>24</v>
      </c>
      <c r="C25" s="97" t="s">
        <v>268</v>
      </c>
      <c r="D25" s="97" t="s">
        <v>269</v>
      </c>
      <c r="E25" s="312" t="s">
        <v>2125</v>
      </c>
      <c r="F25" s="312" t="s">
        <v>2087</v>
      </c>
      <c r="G25" s="97" t="s">
        <v>3083</v>
      </c>
      <c r="H25" s="97" t="s">
        <v>4025</v>
      </c>
      <c r="I25" s="97" t="s">
        <v>4039</v>
      </c>
      <c r="J25" s="97" t="s">
        <v>4040</v>
      </c>
      <c r="K25" s="17" t="str">
        <f>IFERROR(INDEX(競技会設定!$J$3:$O$47,MATCH(J25,競技会設定!$M$3:$M$47,0),5),"")</f>
        <v>中京大</v>
      </c>
      <c r="L25" s="17" t="str">
        <f>IFERROR(INDEX(競技会設定!$J$3:$N$47,MATCH(K25,競技会設定!$N$3:$N$47,0),2),"")</f>
        <v>492173</v>
      </c>
      <c r="M25" s="97" t="s">
        <v>3859</v>
      </c>
      <c r="N25" s="17" t="str">
        <f t="shared" si="1"/>
        <v>TSUMAGARI, Shota</v>
      </c>
      <c r="O25" s="17" t="str">
        <f t="shared" si="2"/>
        <v>98</v>
      </c>
    </row>
    <row r="26" spans="1:15">
      <c r="A26" s="17" t="str">
        <f t="shared" si="0"/>
        <v>501000025</v>
      </c>
      <c r="B26" s="97">
        <v>25</v>
      </c>
      <c r="C26" s="97" t="s">
        <v>270</v>
      </c>
      <c r="D26" s="97" t="s">
        <v>271</v>
      </c>
      <c r="E26" s="312" t="s">
        <v>2126</v>
      </c>
      <c r="F26" s="312" t="s">
        <v>2127</v>
      </c>
      <c r="G26" s="97" t="s">
        <v>3084</v>
      </c>
      <c r="H26" s="97" t="s">
        <v>4025</v>
      </c>
      <c r="I26" s="97" t="s">
        <v>4039</v>
      </c>
      <c r="J26" s="97" t="s">
        <v>4040</v>
      </c>
      <c r="K26" s="17" t="str">
        <f>IFERROR(INDEX(競技会設定!$J$3:$O$47,MATCH(J26,競技会設定!$M$3:$M$47,0),5),"")</f>
        <v>中京大</v>
      </c>
      <c r="L26" s="17" t="str">
        <f>IFERROR(INDEX(競技会設定!$J$3:$N$47,MATCH(K26,競技会設定!$N$3:$N$47,0),2),"")</f>
        <v>492173</v>
      </c>
      <c r="M26" s="97" t="s">
        <v>3838</v>
      </c>
      <c r="N26" s="17" t="str">
        <f t="shared" si="1"/>
        <v>NAKAJIMA, Yura</v>
      </c>
      <c r="O26" s="17" t="str">
        <f t="shared" si="2"/>
        <v>96</v>
      </c>
    </row>
    <row r="27" spans="1:15">
      <c r="A27" s="17" t="str">
        <f t="shared" si="0"/>
        <v>501000026</v>
      </c>
      <c r="B27" s="97">
        <v>26</v>
      </c>
      <c r="C27" s="97" t="s">
        <v>272</v>
      </c>
      <c r="D27" s="97" t="s">
        <v>273</v>
      </c>
      <c r="E27" s="312" t="s">
        <v>2128</v>
      </c>
      <c r="F27" s="312" t="s">
        <v>2129</v>
      </c>
      <c r="G27" s="97" t="s">
        <v>3085</v>
      </c>
      <c r="H27" s="97" t="s">
        <v>4025</v>
      </c>
      <c r="I27" s="97" t="s">
        <v>4039</v>
      </c>
      <c r="J27" s="97" t="s">
        <v>4040</v>
      </c>
      <c r="K27" s="17" t="str">
        <f>IFERROR(INDEX(競技会設定!$J$3:$O$47,MATCH(J27,競技会設定!$M$3:$M$47,0),5),"")</f>
        <v>中京大</v>
      </c>
      <c r="L27" s="17" t="str">
        <f>IFERROR(INDEX(競技会設定!$J$3:$N$47,MATCH(K27,競技会設定!$N$3:$N$47,0),2),"")</f>
        <v>492173</v>
      </c>
      <c r="M27" s="97" t="s">
        <v>3863</v>
      </c>
      <c r="N27" s="17" t="str">
        <f t="shared" si="1"/>
        <v>NARUMIYA, Takeshi</v>
      </c>
      <c r="O27" s="17" t="str">
        <f t="shared" si="2"/>
        <v>98</v>
      </c>
    </row>
    <row r="28" spans="1:15">
      <c r="A28" s="17" t="str">
        <f t="shared" si="0"/>
        <v>501000027</v>
      </c>
      <c r="B28" s="97">
        <v>27</v>
      </c>
      <c r="C28" s="97" t="s">
        <v>274</v>
      </c>
      <c r="D28" s="97" t="s">
        <v>275</v>
      </c>
      <c r="E28" s="312" t="s">
        <v>2130</v>
      </c>
      <c r="F28" s="312" t="s">
        <v>2131</v>
      </c>
      <c r="G28" s="97" t="s">
        <v>3086</v>
      </c>
      <c r="H28" s="97" t="s">
        <v>4025</v>
      </c>
      <c r="I28" s="97" t="s">
        <v>4039</v>
      </c>
      <c r="J28" s="97" t="s">
        <v>4040</v>
      </c>
      <c r="K28" s="17" t="str">
        <f>IFERROR(INDEX(競技会設定!$J$3:$O$47,MATCH(J28,競技会設定!$M$3:$M$47,0),5),"")</f>
        <v>中京大</v>
      </c>
      <c r="L28" s="17" t="str">
        <f>IFERROR(INDEX(競技会設定!$J$3:$N$47,MATCH(K28,競技会設定!$N$3:$N$47,0),2),"")</f>
        <v>492173</v>
      </c>
      <c r="M28" s="97" t="s">
        <v>3861</v>
      </c>
      <c r="N28" s="17" t="str">
        <f t="shared" si="1"/>
        <v>HASEGAWA, Haruki</v>
      </c>
      <c r="O28" s="17" t="str">
        <f t="shared" si="2"/>
        <v>98</v>
      </c>
    </row>
    <row r="29" spans="1:15">
      <c r="A29" s="17" t="str">
        <f t="shared" si="0"/>
        <v>501000028</v>
      </c>
      <c r="B29" s="97">
        <v>28</v>
      </c>
      <c r="C29" s="97" t="s">
        <v>276</v>
      </c>
      <c r="D29" s="97" t="s">
        <v>277</v>
      </c>
      <c r="E29" s="312" t="s">
        <v>2132</v>
      </c>
      <c r="F29" s="312" t="s">
        <v>2133</v>
      </c>
      <c r="G29" s="97" t="s">
        <v>3087</v>
      </c>
      <c r="H29" s="97" t="s">
        <v>4025</v>
      </c>
      <c r="I29" s="97" t="s">
        <v>4039</v>
      </c>
      <c r="J29" s="97" t="s">
        <v>4040</v>
      </c>
      <c r="K29" s="17" t="str">
        <f>IFERROR(INDEX(競技会設定!$J$3:$O$47,MATCH(J29,競技会設定!$M$3:$M$47,0),5),"")</f>
        <v>中京大</v>
      </c>
      <c r="L29" s="17" t="str">
        <f>IFERROR(INDEX(競技会設定!$J$3:$N$47,MATCH(K29,競技会設定!$N$3:$N$47,0),2),"")</f>
        <v>492173</v>
      </c>
      <c r="M29" s="97" t="s">
        <v>3859</v>
      </c>
      <c r="N29" s="17" t="str">
        <f t="shared" si="1"/>
        <v>FUKUOKA, Shuta</v>
      </c>
      <c r="O29" s="17" t="str">
        <f t="shared" si="2"/>
        <v>98</v>
      </c>
    </row>
    <row r="30" spans="1:15">
      <c r="A30" s="17" t="str">
        <f t="shared" si="0"/>
        <v>501000029</v>
      </c>
      <c r="B30" s="97">
        <v>29</v>
      </c>
      <c r="C30" s="97" t="s">
        <v>278</v>
      </c>
      <c r="D30" s="97" t="s">
        <v>279</v>
      </c>
      <c r="E30" s="312" t="s">
        <v>2134</v>
      </c>
      <c r="F30" s="312" t="s">
        <v>2135</v>
      </c>
      <c r="G30" s="97" t="s">
        <v>3088</v>
      </c>
      <c r="H30" s="97" t="s">
        <v>4025</v>
      </c>
      <c r="I30" s="97" t="s">
        <v>4039</v>
      </c>
      <c r="J30" s="97" t="s">
        <v>4040</v>
      </c>
      <c r="K30" s="17" t="str">
        <f>IFERROR(INDEX(競技会設定!$J$3:$O$47,MATCH(J30,競技会設定!$M$3:$M$47,0),5),"")</f>
        <v>中京大</v>
      </c>
      <c r="L30" s="17" t="str">
        <f>IFERROR(INDEX(競技会設定!$J$3:$N$47,MATCH(K30,競技会設定!$N$3:$N$47,0),2),"")</f>
        <v>492173</v>
      </c>
      <c r="M30" s="97" t="s">
        <v>3853</v>
      </c>
      <c r="N30" s="17" t="str">
        <f t="shared" si="1"/>
        <v>MASUKO, Ryohei</v>
      </c>
      <c r="O30" s="17" t="str">
        <f t="shared" si="2"/>
        <v>98</v>
      </c>
    </row>
    <row r="31" spans="1:15">
      <c r="A31" s="17" t="str">
        <f t="shared" si="0"/>
        <v>501000030</v>
      </c>
      <c r="B31" s="97">
        <v>30</v>
      </c>
      <c r="C31" s="97" t="s">
        <v>280</v>
      </c>
      <c r="D31" s="97" t="s">
        <v>281</v>
      </c>
      <c r="E31" s="312" t="s">
        <v>2136</v>
      </c>
      <c r="F31" s="312" t="s">
        <v>2137</v>
      </c>
      <c r="G31" s="97" t="s">
        <v>3089</v>
      </c>
      <c r="H31" s="97" t="s">
        <v>4025</v>
      </c>
      <c r="I31" s="97" t="s">
        <v>4039</v>
      </c>
      <c r="J31" s="97" t="s">
        <v>4040</v>
      </c>
      <c r="K31" s="17" t="str">
        <f>IFERROR(INDEX(競技会設定!$J$3:$O$47,MATCH(J31,競技会設定!$M$3:$M$47,0),5),"")</f>
        <v>中京大</v>
      </c>
      <c r="L31" s="17" t="str">
        <f>IFERROR(INDEX(競技会設定!$J$3:$N$47,MATCH(K31,競技会設定!$N$3:$N$47,0),2),"")</f>
        <v>492173</v>
      </c>
      <c r="M31" s="97" t="s">
        <v>3865</v>
      </c>
      <c r="N31" s="17" t="str">
        <f t="shared" si="1"/>
        <v>YOSHITOME, Ryota</v>
      </c>
      <c r="O31" s="17" t="str">
        <f t="shared" si="2"/>
        <v>98</v>
      </c>
    </row>
    <row r="32" spans="1:15">
      <c r="A32" s="17" t="str">
        <f t="shared" si="0"/>
        <v>501000031</v>
      </c>
      <c r="B32" s="97">
        <v>31</v>
      </c>
      <c r="C32" s="97" t="s">
        <v>282</v>
      </c>
      <c r="D32" s="97" t="s">
        <v>283</v>
      </c>
      <c r="E32" s="312" t="s">
        <v>2138</v>
      </c>
      <c r="F32" s="312" t="s">
        <v>2139</v>
      </c>
      <c r="G32" s="97" t="s">
        <v>3090</v>
      </c>
      <c r="H32" s="97" t="s">
        <v>4025</v>
      </c>
      <c r="I32" s="97" t="s">
        <v>4039</v>
      </c>
      <c r="J32" s="97" t="s">
        <v>4040</v>
      </c>
      <c r="K32" s="17" t="str">
        <f>IFERROR(INDEX(競技会設定!$J$3:$O$47,MATCH(J32,競技会設定!$M$3:$M$47,0),5),"")</f>
        <v>中京大</v>
      </c>
      <c r="L32" s="17" t="str">
        <f>IFERROR(INDEX(競技会設定!$J$3:$N$47,MATCH(K32,競技会設定!$N$3:$N$47,0),2),"")</f>
        <v>492173</v>
      </c>
      <c r="M32" s="97" t="s">
        <v>3833</v>
      </c>
      <c r="N32" s="17" t="str">
        <f t="shared" si="1"/>
        <v>AIZAWA, Junichiro</v>
      </c>
      <c r="O32" s="17" t="str">
        <f t="shared" si="2"/>
        <v>99</v>
      </c>
    </row>
    <row r="33" spans="1:15">
      <c r="A33" s="17" t="str">
        <f t="shared" si="0"/>
        <v>501000032</v>
      </c>
      <c r="B33" s="97">
        <v>32</v>
      </c>
      <c r="C33" s="97" t="s">
        <v>284</v>
      </c>
      <c r="D33" s="97" t="s">
        <v>285</v>
      </c>
      <c r="E33" s="312" t="s">
        <v>2140</v>
      </c>
      <c r="F33" s="312" t="s">
        <v>2141</v>
      </c>
      <c r="G33" s="97" t="s">
        <v>3091</v>
      </c>
      <c r="H33" s="97" t="s">
        <v>4025</v>
      </c>
      <c r="I33" s="97" t="s">
        <v>4039</v>
      </c>
      <c r="J33" s="97" t="s">
        <v>4040</v>
      </c>
      <c r="K33" s="17" t="str">
        <f>IFERROR(INDEX(競技会設定!$J$3:$O$47,MATCH(J33,競技会設定!$M$3:$M$47,0),5),"")</f>
        <v>中京大</v>
      </c>
      <c r="L33" s="17" t="str">
        <f>IFERROR(INDEX(競技会設定!$J$3:$N$47,MATCH(K33,競技会設定!$N$3:$N$47,0),2),"")</f>
        <v>492173</v>
      </c>
      <c r="M33" s="97" t="s">
        <v>3859</v>
      </c>
      <c r="N33" s="17" t="str">
        <f t="shared" si="1"/>
        <v>IWATA, Tomoya</v>
      </c>
      <c r="O33" s="17" t="str">
        <f t="shared" si="2"/>
        <v>99</v>
      </c>
    </row>
    <row r="34" spans="1:15">
      <c r="A34" s="17" t="str">
        <f t="shared" si="0"/>
        <v>501000033</v>
      </c>
      <c r="B34" s="97">
        <v>33</v>
      </c>
      <c r="C34" s="97" t="s">
        <v>286</v>
      </c>
      <c r="D34" s="97" t="s">
        <v>287</v>
      </c>
      <c r="E34" s="312" t="s">
        <v>2142</v>
      </c>
      <c r="F34" s="312" t="s">
        <v>2143</v>
      </c>
      <c r="G34" s="97" t="s">
        <v>3092</v>
      </c>
      <c r="H34" s="97" t="s">
        <v>4025</v>
      </c>
      <c r="I34" s="97" t="s">
        <v>4039</v>
      </c>
      <c r="J34" s="97" t="s">
        <v>4040</v>
      </c>
      <c r="K34" s="17" t="str">
        <f>IFERROR(INDEX(競技会設定!$J$3:$O$47,MATCH(J34,競技会設定!$M$3:$M$47,0),5),"")</f>
        <v>中京大</v>
      </c>
      <c r="L34" s="17" t="str">
        <f>IFERROR(INDEX(競技会設定!$J$3:$N$47,MATCH(K34,競技会設定!$N$3:$N$47,0),2),"")</f>
        <v>492173</v>
      </c>
      <c r="M34" s="97" t="s">
        <v>3899</v>
      </c>
      <c r="N34" s="17" t="str">
        <f t="shared" si="1"/>
        <v>TAKADA, Hiromichi</v>
      </c>
      <c r="O34" s="17" t="str">
        <f t="shared" si="2"/>
        <v>98</v>
      </c>
    </row>
    <row r="35" spans="1:15">
      <c r="A35" s="17" t="str">
        <f t="shared" si="0"/>
        <v>501000034</v>
      </c>
      <c r="B35" s="97">
        <v>34</v>
      </c>
      <c r="C35" s="97" t="s">
        <v>288</v>
      </c>
      <c r="D35" s="97" t="s">
        <v>289</v>
      </c>
      <c r="E35" s="312" t="s">
        <v>2144</v>
      </c>
      <c r="F35" s="312" t="s">
        <v>2145</v>
      </c>
      <c r="G35" s="97" t="s">
        <v>3093</v>
      </c>
      <c r="H35" s="97" t="s">
        <v>4025</v>
      </c>
      <c r="I35" s="97" t="s">
        <v>4039</v>
      </c>
      <c r="J35" s="97" t="s">
        <v>4040</v>
      </c>
      <c r="K35" s="17" t="str">
        <f>IFERROR(INDEX(競技会設定!$J$3:$O$47,MATCH(J35,競技会設定!$M$3:$M$47,0),5),"")</f>
        <v>中京大</v>
      </c>
      <c r="L35" s="17" t="str">
        <f>IFERROR(INDEX(競技会設定!$J$3:$N$47,MATCH(K35,競技会設定!$N$3:$N$47,0),2),"")</f>
        <v>492173</v>
      </c>
      <c r="M35" s="97" t="s">
        <v>3859</v>
      </c>
      <c r="N35" s="17" t="str">
        <f t="shared" si="1"/>
        <v>NAKAI, Koji</v>
      </c>
      <c r="O35" s="17" t="str">
        <f t="shared" si="2"/>
        <v>98</v>
      </c>
    </row>
    <row r="36" spans="1:15">
      <c r="A36" s="17" t="str">
        <f t="shared" si="0"/>
        <v>501000035</v>
      </c>
      <c r="B36" s="97">
        <v>35</v>
      </c>
      <c r="C36" s="97" t="s">
        <v>290</v>
      </c>
      <c r="D36" s="97" t="s">
        <v>291</v>
      </c>
      <c r="E36" s="312" t="s">
        <v>2146</v>
      </c>
      <c r="F36" s="312" t="s">
        <v>2147</v>
      </c>
      <c r="G36" s="97" t="s">
        <v>3094</v>
      </c>
      <c r="H36" s="97" t="s">
        <v>4025</v>
      </c>
      <c r="I36" s="97" t="s">
        <v>4039</v>
      </c>
      <c r="J36" s="97" t="s">
        <v>4040</v>
      </c>
      <c r="K36" s="17" t="str">
        <f>IFERROR(INDEX(競技会設定!$J$3:$O$47,MATCH(J36,競技会設定!$M$3:$M$47,0),5),"")</f>
        <v>中京大</v>
      </c>
      <c r="L36" s="17" t="str">
        <f>IFERROR(INDEX(競技会設定!$J$3:$N$47,MATCH(K36,競技会設定!$N$3:$N$47,0),2),"")</f>
        <v>492173</v>
      </c>
      <c r="M36" s="97" t="s">
        <v>3870</v>
      </c>
      <c r="N36" s="17" t="str">
        <f t="shared" si="1"/>
        <v>HATTORI, Masanobu</v>
      </c>
      <c r="O36" s="17" t="str">
        <f t="shared" si="2"/>
        <v>99</v>
      </c>
    </row>
    <row r="37" spans="1:15">
      <c r="A37" s="17" t="str">
        <f t="shared" si="0"/>
        <v>501000036</v>
      </c>
      <c r="B37" s="97">
        <v>36</v>
      </c>
      <c r="C37" s="97" t="s">
        <v>292</v>
      </c>
      <c r="D37" s="97" t="s">
        <v>293</v>
      </c>
      <c r="E37" s="312" t="s">
        <v>2148</v>
      </c>
      <c r="F37" s="312" t="s">
        <v>2149</v>
      </c>
      <c r="G37" s="97" t="s">
        <v>3095</v>
      </c>
      <c r="H37" s="97" t="s">
        <v>4025</v>
      </c>
      <c r="I37" s="97" t="s">
        <v>4039</v>
      </c>
      <c r="J37" s="97" t="s">
        <v>4040</v>
      </c>
      <c r="K37" s="17" t="str">
        <f>IFERROR(INDEX(競技会設定!$J$3:$O$47,MATCH(J37,競技会設定!$M$3:$M$47,0),5),"")</f>
        <v>中京大</v>
      </c>
      <c r="L37" s="17" t="str">
        <f>IFERROR(INDEX(競技会設定!$J$3:$N$47,MATCH(K37,競技会設定!$N$3:$N$47,0),2),"")</f>
        <v>492173</v>
      </c>
      <c r="M37" s="97" t="s">
        <v>3816</v>
      </c>
      <c r="N37" s="17" t="str">
        <f t="shared" si="1"/>
        <v>METOKI, Ryo</v>
      </c>
      <c r="O37" s="17" t="str">
        <f t="shared" si="2"/>
        <v>98</v>
      </c>
    </row>
    <row r="38" spans="1:15">
      <c r="A38" s="17" t="str">
        <f t="shared" si="0"/>
        <v>501000037</v>
      </c>
      <c r="B38" s="97">
        <v>37</v>
      </c>
      <c r="C38" s="97" t="s">
        <v>294</v>
      </c>
      <c r="D38" s="97" t="s">
        <v>295</v>
      </c>
      <c r="E38" s="312" t="s">
        <v>2150</v>
      </c>
      <c r="F38" s="312" t="s">
        <v>2137</v>
      </c>
      <c r="G38" s="97" t="s">
        <v>3096</v>
      </c>
      <c r="H38" s="97" t="s">
        <v>4025</v>
      </c>
      <c r="I38" s="97" t="s">
        <v>4039</v>
      </c>
      <c r="J38" s="97" t="s">
        <v>4040</v>
      </c>
      <c r="K38" s="17" t="str">
        <f>IFERROR(INDEX(競技会設定!$J$3:$O$47,MATCH(J38,競技会設定!$M$3:$M$47,0),5),"")</f>
        <v>中京大</v>
      </c>
      <c r="L38" s="17" t="str">
        <f>IFERROR(INDEX(競技会設定!$J$3:$N$47,MATCH(K38,競技会設定!$N$3:$N$47,0),2),"")</f>
        <v>492173</v>
      </c>
      <c r="M38" s="97" t="s">
        <v>3863</v>
      </c>
      <c r="N38" s="17" t="str">
        <f t="shared" si="1"/>
        <v>FUKUNAGA, Ryota</v>
      </c>
      <c r="O38" s="17" t="str">
        <f t="shared" si="2"/>
        <v>98</v>
      </c>
    </row>
    <row r="39" spans="1:15">
      <c r="A39" s="17" t="str">
        <f t="shared" si="0"/>
        <v>501000038</v>
      </c>
      <c r="B39" s="97">
        <v>38</v>
      </c>
      <c r="C39" s="97" t="s">
        <v>296</v>
      </c>
      <c r="D39" s="97" t="s">
        <v>297</v>
      </c>
      <c r="E39" s="312" t="s">
        <v>2151</v>
      </c>
      <c r="F39" s="312" t="s">
        <v>2152</v>
      </c>
      <c r="G39" s="97" t="s">
        <v>3097</v>
      </c>
      <c r="H39" s="97" t="s">
        <v>4025</v>
      </c>
      <c r="I39" s="97" t="s">
        <v>4039</v>
      </c>
      <c r="J39" s="97" t="s">
        <v>4040</v>
      </c>
      <c r="K39" s="17" t="str">
        <f>IFERROR(INDEX(競技会設定!$J$3:$O$47,MATCH(J39,競技会設定!$M$3:$M$47,0),5),"")</f>
        <v>中京大</v>
      </c>
      <c r="L39" s="17" t="str">
        <f>IFERROR(INDEX(競技会設定!$J$3:$N$47,MATCH(K39,競技会設定!$N$3:$N$47,0),2),"")</f>
        <v>492173</v>
      </c>
      <c r="M39" s="97" t="s">
        <v>3891</v>
      </c>
      <c r="N39" s="17" t="str">
        <f t="shared" si="1"/>
        <v>IZUMI, Kazuma</v>
      </c>
      <c r="O39" s="17" t="str">
        <f t="shared" si="2"/>
        <v>98</v>
      </c>
    </row>
    <row r="40" spans="1:15">
      <c r="A40" s="17" t="str">
        <f t="shared" si="0"/>
        <v>501000039</v>
      </c>
      <c r="B40" s="97">
        <v>39</v>
      </c>
      <c r="C40" s="97" t="s">
        <v>298</v>
      </c>
      <c r="D40" s="97" t="s">
        <v>299</v>
      </c>
      <c r="E40" s="312" t="s">
        <v>2095</v>
      </c>
      <c r="F40" s="312" t="s">
        <v>2153</v>
      </c>
      <c r="G40" s="97" t="s">
        <v>3098</v>
      </c>
      <c r="H40" s="97" t="s">
        <v>4025</v>
      </c>
      <c r="I40" s="97" t="s">
        <v>4039</v>
      </c>
      <c r="J40" s="97" t="s">
        <v>4040</v>
      </c>
      <c r="K40" s="17" t="str">
        <f>IFERROR(INDEX(競技会設定!$J$3:$O$47,MATCH(J40,競技会設定!$M$3:$M$47,0),5),"")</f>
        <v>中京大</v>
      </c>
      <c r="L40" s="17" t="str">
        <f>IFERROR(INDEX(競技会設定!$J$3:$N$47,MATCH(K40,競技会設定!$N$3:$N$47,0),2),"")</f>
        <v>492173</v>
      </c>
      <c r="M40" s="97" t="s">
        <v>3859</v>
      </c>
      <c r="N40" s="17" t="str">
        <f t="shared" si="1"/>
        <v>INOUE, Kota</v>
      </c>
      <c r="O40" s="17" t="str">
        <f t="shared" si="2"/>
        <v>98</v>
      </c>
    </row>
    <row r="41" spans="1:15">
      <c r="A41" s="17" t="str">
        <f t="shared" si="0"/>
        <v>501000040</v>
      </c>
      <c r="B41" s="97">
        <v>40</v>
      </c>
      <c r="C41" s="97" t="s">
        <v>300</v>
      </c>
      <c r="D41" s="97" t="s">
        <v>301</v>
      </c>
      <c r="E41" s="312" t="s">
        <v>2154</v>
      </c>
      <c r="F41" s="312" t="s">
        <v>2116</v>
      </c>
      <c r="G41" s="97" t="s">
        <v>3099</v>
      </c>
      <c r="H41" s="97" t="s">
        <v>4025</v>
      </c>
      <c r="I41" s="97" t="s">
        <v>4039</v>
      </c>
      <c r="J41" s="97" t="s">
        <v>4040</v>
      </c>
      <c r="K41" s="17" t="str">
        <f>IFERROR(INDEX(競技会設定!$J$3:$O$47,MATCH(J41,競技会設定!$M$3:$M$47,0),5),"")</f>
        <v>中京大</v>
      </c>
      <c r="L41" s="17" t="str">
        <f>IFERROR(INDEX(競技会設定!$J$3:$N$47,MATCH(K41,競技会設定!$N$3:$N$47,0),2),"")</f>
        <v>492173</v>
      </c>
      <c r="M41" s="97" t="s">
        <v>3859</v>
      </c>
      <c r="N41" s="17" t="str">
        <f t="shared" si="1"/>
        <v>ODA, Hiroki</v>
      </c>
      <c r="O41" s="17" t="str">
        <f t="shared" si="2"/>
        <v>98</v>
      </c>
    </row>
    <row r="42" spans="1:15">
      <c r="A42" s="17" t="str">
        <f t="shared" si="0"/>
        <v>501000041</v>
      </c>
      <c r="B42" s="97">
        <v>41</v>
      </c>
      <c r="C42" s="97" t="s">
        <v>302</v>
      </c>
      <c r="D42" s="97" t="s">
        <v>303</v>
      </c>
      <c r="E42" s="312" t="s">
        <v>2155</v>
      </c>
      <c r="F42" s="312" t="s">
        <v>2156</v>
      </c>
      <c r="G42" s="97" t="s">
        <v>3100</v>
      </c>
      <c r="H42" s="97" t="s">
        <v>4024</v>
      </c>
      <c r="I42" s="97" t="s">
        <v>4039</v>
      </c>
      <c r="J42" s="97" t="s">
        <v>4040</v>
      </c>
      <c r="K42" s="17" t="str">
        <f>IFERROR(INDEX(競技会設定!$J$3:$O$47,MATCH(J42,競技会設定!$M$3:$M$47,0),5),"")</f>
        <v>中京大</v>
      </c>
      <c r="L42" s="17" t="str">
        <f>IFERROR(INDEX(競技会設定!$J$3:$N$47,MATCH(K42,競技会設定!$N$3:$N$47,0),2),"")</f>
        <v>492173</v>
      </c>
      <c r="M42" s="97" t="s">
        <v>3865</v>
      </c>
      <c r="N42" s="17" t="str">
        <f t="shared" si="1"/>
        <v>INABA, Koshi</v>
      </c>
      <c r="O42" s="17" t="str">
        <f t="shared" si="2"/>
        <v>99</v>
      </c>
    </row>
    <row r="43" spans="1:15">
      <c r="A43" s="17" t="str">
        <f t="shared" si="0"/>
        <v>501000042</v>
      </c>
      <c r="B43" s="97">
        <v>42</v>
      </c>
      <c r="C43" s="97" t="s">
        <v>304</v>
      </c>
      <c r="D43" s="97" t="s">
        <v>305</v>
      </c>
      <c r="E43" s="312" t="s">
        <v>2157</v>
      </c>
      <c r="F43" s="312" t="s">
        <v>2158</v>
      </c>
      <c r="G43" s="97" t="s">
        <v>3101</v>
      </c>
      <c r="H43" s="97" t="s">
        <v>4024</v>
      </c>
      <c r="I43" s="97" t="s">
        <v>4039</v>
      </c>
      <c r="J43" s="97" t="s">
        <v>4040</v>
      </c>
      <c r="K43" s="17" t="str">
        <f>IFERROR(INDEX(競技会設定!$J$3:$O$47,MATCH(J43,競技会設定!$M$3:$M$47,0),5),"")</f>
        <v>中京大</v>
      </c>
      <c r="L43" s="17" t="str">
        <f>IFERROR(INDEX(競技会設定!$J$3:$N$47,MATCH(K43,競技会設定!$N$3:$N$47,0),2),"")</f>
        <v>492173</v>
      </c>
      <c r="M43" s="97" t="s">
        <v>3855</v>
      </c>
      <c r="N43" s="17" t="str">
        <f t="shared" si="1"/>
        <v>ENDO, Keito</v>
      </c>
      <c r="O43" s="17" t="str">
        <f t="shared" si="2"/>
        <v>99</v>
      </c>
    </row>
    <row r="44" spans="1:15">
      <c r="A44" s="17" t="str">
        <f t="shared" si="0"/>
        <v>501000043</v>
      </c>
      <c r="B44" s="97">
        <v>43</v>
      </c>
      <c r="C44" s="97" t="s">
        <v>306</v>
      </c>
      <c r="D44" s="97" t="s">
        <v>307</v>
      </c>
      <c r="E44" s="312" t="s">
        <v>2159</v>
      </c>
      <c r="F44" s="312" t="s">
        <v>2160</v>
      </c>
      <c r="G44" s="97" t="s">
        <v>3102</v>
      </c>
      <c r="H44" s="97" t="s">
        <v>4024</v>
      </c>
      <c r="I44" s="97" t="s">
        <v>4039</v>
      </c>
      <c r="J44" s="97" t="s">
        <v>4040</v>
      </c>
      <c r="K44" s="17" t="str">
        <f>IFERROR(INDEX(競技会設定!$J$3:$O$47,MATCH(J44,競技会設定!$M$3:$M$47,0),5),"")</f>
        <v>中京大</v>
      </c>
      <c r="L44" s="17" t="str">
        <f>IFERROR(INDEX(競技会設定!$J$3:$N$47,MATCH(K44,競技会設定!$N$3:$N$47,0),2),"")</f>
        <v>492173</v>
      </c>
      <c r="M44" s="97" t="s">
        <v>3859</v>
      </c>
      <c r="N44" s="17" t="str">
        <f t="shared" si="1"/>
        <v>OHARA, Kohei</v>
      </c>
      <c r="O44" s="17" t="str">
        <f t="shared" si="2"/>
        <v>99</v>
      </c>
    </row>
    <row r="45" spans="1:15">
      <c r="A45" s="17" t="str">
        <f t="shared" si="0"/>
        <v>501000044</v>
      </c>
      <c r="B45" s="97">
        <v>44</v>
      </c>
      <c r="C45" s="97" t="s">
        <v>308</v>
      </c>
      <c r="D45" s="97" t="s">
        <v>309</v>
      </c>
      <c r="E45" s="312" t="s">
        <v>2161</v>
      </c>
      <c r="F45" s="312" t="s">
        <v>2116</v>
      </c>
      <c r="G45" s="97" t="s">
        <v>3103</v>
      </c>
      <c r="H45" s="97" t="s">
        <v>4024</v>
      </c>
      <c r="I45" s="97" t="s">
        <v>4039</v>
      </c>
      <c r="J45" s="97" t="s">
        <v>4040</v>
      </c>
      <c r="K45" s="17" t="str">
        <f>IFERROR(INDEX(競技会設定!$J$3:$O$47,MATCH(J45,競技会設定!$M$3:$M$47,0),5),"")</f>
        <v>中京大</v>
      </c>
      <c r="L45" s="17" t="str">
        <f>IFERROR(INDEX(競技会設定!$J$3:$N$47,MATCH(K45,競技会設定!$N$3:$N$47,0),2),"")</f>
        <v>492173</v>
      </c>
      <c r="M45" s="97" t="s">
        <v>3853</v>
      </c>
      <c r="N45" s="17" t="str">
        <f t="shared" si="1"/>
        <v>KINOSHITA, Hiroki</v>
      </c>
      <c r="O45" s="17" t="str">
        <f t="shared" si="2"/>
        <v>99</v>
      </c>
    </row>
    <row r="46" spans="1:15">
      <c r="A46" s="17" t="str">
        <f t="shared" si="0"/>
        <v>501000045</v>
      </c>
      <c r="B46" s="97">
        <v>45</v>
      </c>
      <c r="C46" s="97" t="s">
        <v>310</v>
      </c>
      <c r="D46" s="97" t="s">
        <v>311</v>
      </c>
      <c r="E46" s="312" t="s">
        <v>2162</v>
      </c>
      <c r="F46" s="312" t="s">
        <v>2163</v>
      </c>
      <c r="G46" s="97" t="s">
        <v>3104</v>
      </c>
      <c r="H46" s="97" t="s">
        <v>4024</v>
      </c>
      <c r="I46" s="97" t="s">
        <v>4039</v>
      </c>
      <c r="J46" s="97" t="s">
        <v>4040</v>
      </c>
      <c r="K46" s="17" t="str">
        <f>IFERROR(INDEX(競技会設定!$J$3:$O$47,MATCH(J46,競技会設定!$M$3:$M$47,0),5),"")</f>
        <v>中京大</v>
      </c>
      <c r="L46" s="17" t="str">
        <f>IFERROR(INDEX(競技会設定!$J$3:$N$47,MATCH(K46,競技会設定!$N$3:$N$47,0),2),"")</f>
        <v>492173</v>
      </c>
      <c r="M46" s="97" t="s">
        <v>3853</v>
      </c>
      <c r="N46" s="17" t="str">
        <f t="shared" si="1"/>
        <v>KOIDE, Fumiya</v>
      </c>
      <c r="O46" s="17" t="str">
        <f t="shared" si="2"/>
        <v>99</v>
      </c>
    </row>
    <row r="47" spans="1:15">
      <c r="A47" s="17" t="str">
        <f t="shared" si="0"/>
        <v>501000046</v>
      </c>
      <c r="B47" s="97">
        <v>46</v>
      </c>
      <c r="C47" s="97" t="s">
        <v>312</v>
      </c>
      <c r="D47" s="97" t="s">
        <v>313</v>
      </c>
      <c r="E47" s="312" t="s">
        <v>2164</v>
      </c>
      <c r="F47" s="312" t="s">
        <v>2165</v>
      </c>
      <c r="G47" s="97" t="s">
        <v>3105</v>
      </c>
      <c r="H47" s="97" t="s">
        <v>4024</v>
      </c>
      <c r="I47" s="97" t="s">
        <v>4039</v>
      </c>
      <c r="J47" s="97" t="s">
        <v>4040</v>
      </c>
      <c r="K47" s="17" t="str">
        <f>IFERROR(INDEX(競技会設定!$J$3:$O$47,MATCH(J47,競技会設定!$M$3:$M$47,0),5),"")</f>
        <v>中京大</v>
      </c>
      <c r="L47" s="17" t="str">
        <f>IFERROR(INDEX(競技会設定!$J$3:$N$47,MATCH(K47,競技会設定!$N$3:$N$47,0),2),"")</f>
        <v>492173</v>
      </c>
      <c r="M47" s="97" t="s">
        <v>3845</v>
      </c>
      <c r="N47" s="17" t="str">
        <f t="shared" si="1"/>
        <v>SASAKI, Riku</v>
      </c>
      <c r="O47" s="17" t="str">
        <f t="shared" si="2"/>
        <v>99</v>
      </c>
    </row>
    <row r="48" spans="1:15">
      <c r="A48" s="17" t="str">
        <f t="shared" si="0"/>
        <v>501000047</v>
      </c>
      <c r="B48" s="97">
        <v>47</v>
      </c>
      <c r="C48" s="97" t="s">
        <v>314</v>
      </c>
      <c r="D48" s="97" t="s">
        <v>315</v>
      </c>
      <c r="E48" s="312" t="s">
        <v>2166</v>
      </c>
      <c r="F48" s="312" t="s">
        <v>2167</v>
      </c>
      <c r="G48" s="97" t="s">
        <v>3106</v>
      </c>
      <c r="H48" s="97" t="s">
        <v>4024</v>
      </c>
      <c r="I48" s="97" t="s">
        <v>4039</v>
      </c>
      <c r="J48" s="97" t="s">
        <v>4040</v>
      </c>
      <c r="K48" s="17" t="str">
        <f>IFERROR(INDEX(競技会設定!$J$3:$O$47,MATCH(J48,競技会設定!$M$3:$M$47,0),5),"")</f>
        <v>中京大</v>
      </c>
      <c r="L48" s="17" t="str">
        <f>IFERROR(INDEX(競技会設定!$J$3:$N$47,MATCH(K48,競技会設定!$N$3:$N$47,0),2),"")</f>
        <v>492173</v>
      </c>
      <c r="M48" s="97" t="s">
        <v>3859</v>
      </c>
      <c r="N48" s="17" t="str">
        <f t="shared" si="1"/>
        <v>SATO, Chihiro</v>
      </c>
      <c r="O48" s="17" t="str">
        <f t="shared" si="2"/>
        <v>99</v>
      </c>
    </row>
    <row r="49" spans="1:15">
      <c r="A49" s="17" t="str">
        <f t="shared" si="0"/>
        <v>501000048</v>
      </c>
      <c r="B49" s="97">
        <v>48</v>
      </c>
      <c r="C49" s="97" t="s">
        <v>316</v>
      </c>
      <c r="D49" s="97" t="s">
        <v>317</v>
      </c>
      <c r="E49" s="312" t="s">
        <v>2168</v>
      </c>
      <c r="F49" s="312" t="s">
        <v>2094</v>
      </c>
      <c r="G49" s="97" t="s">
        <v>3107</v>
      </c>
      <c r="H49" s="97" t="s">
        <v>4024</v>
      </c>
      <c r="I49" s="97" t="s">
        <v>4039</v>
      </c>
      <c r="J49" s="97" t="s">
        <v>4040</v>
      </c>
      <c r="K49" s="17" t="str">
        <f>IFERROR(INDEX(競技会設定!$J$3:$O$47,MATCH(J49,競技会設定!$M$3:$M$47,0),5),"")</f>
        <v>中京大</v>
      </c>
      <c r="L49" s="17" t="str">
        <f>IFERROR(INDEX(競技会設定!$J$3:$N$47,MATCH(K49,競技会設定!$N$3:$N$47,0),2),"")</f>
        <v>492173</v>
      </c>
      <c r="M49" s="97" t="s">
        <v>3859</v>
      </c>
      <c r="N49" s="17" t="str">
        <f t="shared" si="1"/>
        <v>SUGINO, Sota</v>
      </c>
      <c r="O49" s="17" t="str">
        <f t="shared" si="2"/>
        <v>99</v>
      </c>
    </row>
    <row r="50" spans="1:15">
      <c r="A50" s="17" t="str">
        <f t="shared" si="0"/>
        <v>501000049</v>
      </c>
      <c r="B50" s="97">
        <v>49</v>
      </c>
      <c r="C50" s="97" t="s">
        <v>318</v>
      </c>
      <c r="D50" s="97" t="s">
        <v>319</v>
      </c>
      <c r="E50" s="312" t="s">
        <v>2169</v>
      </c>
      <c r="F50" s="312" t="s">
        <v>2170</v>
      </c>
      <c r="G50" s="97" t="s">
        <v>3108</v>
      </c>
      <c r="H50" s="97" t="s">
        <v>4024</v>
      </c>
      <c r="I50" s="97" t="s">
        <v>4039</v>
      </c>
      <c r="J50" s="97" t="s">
        <v>4040</v>
      </c>
      <c r="K50" s="17" t="str">
        <f>IFERROR(INDEX(競技会設定!$J$3:$O$47,MATCH(J50,競技会設定!$M$3:$M$47,0),5),"")</f>
        <v>中京大</v>
      </c>
      <c r="L50" s="17" t="str">
        <f>IFERROR(INDEX(競技会設定!$J$3:$N$47,MATCH(K50,競技会設定!$N$3:$N$47,0),2),"")</f>
        <v>492173</v>
      </c>
      <c r="M50" s="97" t="s">
        <v>3859</v>
      </c>
      <c r="N50" s="17" t="str">
        <f t="shared" si="1"/>
        <v>SUGIMOTO, Daiki</v>
      </c>
      <c r="O50" s="17" t="str">
        <f t="shared" si="2"/>
        <v>99</v>
      </c>
    </row>
    <row r="51" spans="1:15">
      <c r="A51" s="17" t="str">
        <f t="shared" si="0"/>
        <v>501000050</v>
      </c>
      <c r="B51" s="97">
        <v>50</v>
      </c>
      <c r="C51" s="97" t="s">
        <v>7598</v>
      </c>
      <c r="D51" s="97" t="s">
        <v>320</v>
      </c>
      <c r="E51" s="312" t="s">
        <v>2171</v>
      </c>
      <c r="F51" s="312" t="s">
        <v>2172</v>
      </c>
      <c r="G51" s="97" t="s">
        <v>3109</v>
      </c>
      <c r="H51" s="97" t="s">
        <v>4024</v>
      </c>
      <c r="I51" s="97" t="s">
        <v>4039</v>
      </c>
      <c r="J51" s="97" t="s">
        <v>4040</v>
      </c>
      <c r="K51" s="17" t="str">
        <f>IFERROR(INDEX(競技会設定!$J$3:$O$47,MATCH(J51,競技会設定!$M$3:$M$47,0),5),"")</f>
        <v>中京大</v>
      </c>
      <c r="L51" s="17" t="str">
        <f>IFERROR(INDEX(競技会設定!$J$3:$N$47,MATCH(K51,競技会設定!$N$3:$N$47,0),2),"")</f>
        <v>492173</v>
      </c>
      <c r="M51" s="97" t="s">
        <v>3861</v>
      </c>
      <c r="N51" s="17" t="str">
        <f t="shared" si="1"/>
        <v>SUZAKI, Masaya</v>
      </c>
      <c r="O51" s="17" t="str">
        <f t="shared" si="2"/>
        <v>99</v>
      </c>
    </row>
    <row r="52" spans="1:15">
      <c r="A52" s="17" t="str">
        <f t="shared" si="0"/>
        <v>501000051</v>
      </c>
      <c r="B52" s="97">
        <v>51</v>
      </c>
      <c r="C52" s="97" t="s">
        <v>321</v>
      </c>
      <c r="D52" s="97" t="s">
        <v>322</v>
      </c>
      <c r="E52" s="312" t="s">
        <v>2173</v>
      </c>
      <c r="F52" s="312" t="s">
        <v>2174</v>
      </c>
      <c r="G52" s="97" t="s">
        <v>3110</v>
      </c>
      <c r="H52" s="97" t="s">
        <v>4024</v>
      </c>
      <c r="I52" s="97" t="s">
        <v>4039</v>
      </c>
      <c r="J52" s="97" t="s">
        <v>4040</v>
      </c>
      <c r="K52" s="17" t="str">
        <f>IFERROR(INDEX(競技会設定!$J$3:$O$47,MATCH(J52,競技会設定!$M$3:$M$47,0),5),"")</f>
        <v>中京大</v>
      </c>
      <c r="L52" s="17" t="str">
        <f>IFERROR(INDEX(競技会設定!$J$3:$N$47,MATCH(K52,競技会設定!$N$3:$N$47,0),2),"")</f>
        <v>492173</v>
      </c>
      <c r="M52" s="97" t="s">
        <v>3859</v>
      </c>
      <c r="N52" s="17" t="str">
        <f t="shared" si="1"/>
        <v>TAKAHASHI, Maiya</v>
      </c>
      <c r="O52" s="17" t="str">
        <f t="shared" si="2"/>
        <v>99</v>
      </c>
    </row>
    <row r="53" spans="1:15">
      <c r="A53" s="17" t="str">
        <f t="shared" si="0"/>
        <v>501000052</v>
      </c>
      <c r="B53" s="97">
        <v>52</v>
      </c>
      <c r="C53" s="97" t="s">
        <v>323</v>
      </c>
      <c r="D53" s="97" t="s">
        <v>324</v>
      </c>
      <c r="E53" s="312" t="s">
        <v>2175</v>
      </c>
      <c r="F53" s="312" t="s">
        <v>2137</v>
      </c>
      <c r="G53" s="97" t="s">
        <v>3111</v>
      </c>
      <c r="H53" s="97" t="s">
        <v>4024</v>
      </c>
      <c r="I53" s="97" t="s">
        <v>4039</v>
      </c>
      <c r="J53" s="97" t="s">
        <v>4040</v>
      </c>
      <c r="K53" s="17" t="str">
        <f>IFERROR(INDEX(競技会設定!$J$3:$O$47,MATCH(J53,競技会設定!$M$3:$M$47,0),5),"")</f>
        <v>中京大</v>
      </c>
      <c r="L53" s="17" t="str">
        <f>IFERROR(INDEX(競技会設定!$J$3:$N$47,MATCH(K53,競技会設定!$N$3:$N$47,0),2),"")</f>
        <v>492173</v>
      </c>
      <c r="M53" s="97" t="s">
        <v>3857</v>
      </c>
      <c r="N53" s="17" t="str">
        <f t="shared" si="1"/>
        <v>TOYAMA, Ryota</v>
      </c>
      <c r="O53" s="17" t="str">
        <f t="shared" si="2"/>
        <v>99</v>
      </c>
    </row>
    <row r="54" spans="1:15">
      <c r="A54" s="17" t="str">
        <f t="shared" si="0"/>
        <v>501000053</v>
      </c>
      <c r="B54" s="97">
        <v>53</v>
      </c>
      <c r="C54" s="97" t="s">
        <v>325</v>
      </c>
      <c r="D54" s="97" t="s">
        <v>326</v>
      </c>
      <c r="E54" s="312" t="s">
        <v>2176</v>
      </c>
      <c r="F54" s="312" t="s">
        <v>2177</v>
      </c>
      <c r="G54" s="97" t="s">
        <v>3112</v>
      </c>
      <c r="H54" s="97" t="s">
        <v>4024</v>
      </c>
      <c r="I54" s="97" t="s">
        <v>4039</v>
      </c>
      <c r="J54" s="97" t="s">
        <v>4040</v>
      </c>
      <c r="K54" s="17" t="str">
        <f>IFERROR(INDEX(競技会設定!$J$3:$O$47,MATCH(J54,競技会設定!$M$3:$M$47,0),5),"")</f>
        <v>中京大</v>
      </c>
      <c r="L54" s="17" t="str">
        <f>IFERROR(INDEX(競技会設定!$J$3:$N$47,MATCH(K54,競技会設定!$N$3:$N$47,0),2),"")</f>
        <v>492173</v>
      </c>
      <c r="M54" s="97" t="s">
        <v>3861</v>
      </c>
      <c r="N54" s="17" t="str">
        <f t="shared" si="1"/>
        <v>NAKAMURA, Ko</v>
      </c>
      <c r="O54" s="17" t="str">
        <f t="shared" si="2"/>
        <v>00</v>
      </c>
    </row>
    <row r="55" spans="1:15">
      <c r="A55" s="17" t="str">
        <f t="shared" si="0"/>
        <v>501000054</v>
      </c>
      <c r="B55" s="97">
        <v>54</v>
      </c>
      <c r="C55" s="97" t="s">
        <v>327</v>
      </c>
      <c r="D55" s="97" t="s">
        <v>328</v>
      </c>
      <c r="E55" s="312" t="s">
        <v>2130</v>
      </c>
      <c r="F55" s="312" t="s">
        <v>2178</v>
      </c>
      <c r="G55" s="97" t="s">
        <v>3113</v>
      </c>
      <c r="H55" s="97" t="s">
        <v>4024</v>
      </c>
      <c r="I55" s="97" t="s">
        <v>4039</v>
      </c>
      <c r="J55" s="97" t="s">
        <v>4040</v>
      </c>
      <c r="K55" s="17" t="str">
        <f>IFERROR(INDEX(競技会設定!$J$3:$O$47,MATCH(J55,競技会設定!$M$3:$M$47,0),5),"")</f>
        <v>中京大</v>
      </c>
      <c r="L55" s="17" t="str">
        <f>IFERROR(INDEX(競技会設定!$J$3:$N$47,MATCH(K55,競技会設定!$N$3:$N$47,0),2),"")</f>
        <v>492173</v>
      </c>
      <c r="M55" s="97" t="s">
        <v>3855</v>
      </c>
      <c r="N55" s="17" t="str">
        <f t="shared" si="1"/>
        <v>HASEGAWA, Takashi</v>
      </c>
      <c r="O55" s="17" t="str">
        <f t="shared" si="2"/>
        <v>99</v>
      </c>
    </row>
    <row r="56" spans="1:15">
      <c r="A56" s="17" t="str">
        <f t="shared" si="0"/>
        <v>501000055</v>
      </c>
      <c r="B56" s="97">
        <v>55</v>
      </c>
      <c r="C56" s="97" t="s">
        <v>329</v>
      </c>
      <c r="D56" s="97" t="s">
        <v>330</v>
      </c>
      <c r="E56" s="312" t="s">
        <v>2179</v>
      </c>
      <c r="F56" s="312" t="s">
        <v>2180</v>
      </c>
      <c r="G56" s="97" t="s">
        <v>3114</v>
      </c>
      <c r="H56" s="97" t="s">
        <v>4024</v>
      </c>
      <c r="I56" s="97" t="s">
        <v>4039</v>
      </c>
      <c r="J56" s="97" t="s">
        <v>4040</v>
      </c>
      <c r="K56" s="17" t="str">
        <f>IFERROR(INDEX(競技会設定!$J$3:$O$47,MATCH(J56,競技会設定!$M$3:$M$47,0),5),"")</f>
        <v>中京大</v>
      </c>
      <c r="L56" s="17" t="str">
        <f>IFERROR(INDEX(競技会設定!$J$3:$N$47,MATCH(K56,競技会設定!$N$3:$N$47,0),2),"")</f>
        <v>492173</v>
      </c>
      <c r="M56" s="97" t="s">
        <v>3859</v>
      </c>
      <c r="N56" s="17" t="str">
        <f t="shared" si="1"/>
        <v>HINO, Ryuki</v>
      </c>
      <c r="O56" s="17" t="str">
        <f t="shared" si="2"/>
        <v>00</v>
      </c>
    </row>
    <row r="57" spans="1:15">
      <c r="A57" s="17" t="str">
        <f t="shared" si="0"/>
        <v>501000056</v>
      </c>
      <c r="B57" s="97">
        <v>56</v>
      </c>
      <c r="C57" s="97" t="s">
        <v>331</v>
      </c>
      <c r="D57" s="97" t="s">
        <v>332</v>
      </c>
      <c r="E57" s="312" t="s">
        <v>2181</v>
      </c>
      <c r="F57" s="312" t="s">
        <v>2182</v>
      </c>
      <c r="G57" s="97" t="s">
        <v>3115</v>
      </c>
      <c r="H57" s="97" t="s">
        <v>4024</v>
      </c>
      <c r="I57" s="97" t="s">
        <v>4039</v>
      </c>
      <c r="J57" s="97" t="s">
        <v>4040</v>
      </c>
      <c r="K57" s="17" t="str">
        <f>IFERROR(INDEX(競技会設定!$J$3:$O$47,MATCH(J57,競技会設定!$M$3:$M$47,0),5),"")</f>
        <v>中京大</v>
      </c>
      <c r="L57" s="17" t="str">
        <f>IFERROR(INDEX(競技会設定!$J$3:$N$47,MATCH(K57,競技会設定!$N$3:$N$47,0),2),"")</f>
        <v>492173</v>
      </c>
      <c r="M57" s="97" t="s">
        <v>3897</v>
      </c>
      <c r="N57" s="17" t="str">
        <f t="shared" si="1"/>
        <v>HOTTA, Yuya</v>
      </c>
      <c r="O57" s="17" t="str">
        <f t="shared" si="2"/>
        <v>99</v>
      </c>
    </row>
    <row r="58" spans="1:15">
      <c r="A58" s="17" t="str">
        <f t="shared" si="0"/>
        <v>501000057</v>
      </c>
      <c r="B58" s="97">
        <v>57</v>
      </c>
      <c r="C58" s="97" t="s">
        <v>333</v>
      </c>
      <c r="D58" s="97" t="s">
        <v>334</v>
      </c>
      <c r="E58" s="312" t="s">
        <v>2183</v>
      </c>
      <c r="F58" s="312" t="s">
        <v>2184</v>
      </c>
      <c r="G58" s="97" t="s">
        <v>3116</v>
      </c>
      <c r="H58" s="97" t="s">
        <v>4024</v>
      </c>
      <c r="I58" s="97" t="s">
        <v>4039</v>
      </c>
      <c r="J58" s="97" t="s">
        <v>4040</v>
      </c>
      <c r="K58" s="17" t="str">
        <f>IFERROR(INDEX(競技会設定!$J$3:$O$47,MATCH(J58,競技会設定!$M$3:$M$47,0),5),"")</f>
        <v>中京大</v>
      </c>
      <c r="L58" s="17" t="str">
        <f>IFERROR(INDEX(競技会設定!$J$3:$N$47,MATCH(K58,競技会設定!$N$3:$N$47,0),2),"")</f>
        <v>492173</v>
      </c>
      <c r="M58" s="97" t="s">
        <v>3812</v>
      </c>
      <c r="N58" s="17" t="str">
        <f t="shared" si="1"/>
        <v>MEYA, Taisei</v>
      </c>
      <c r="O58" s="17" t="str">
        <f t="shared" si="2"/>
        <v>99</v>
      </c>
    </row>
    <row r="59" spans="1:15">
      <c r="A59" s="17" t="str">
        <f t="shared" si="0"/>
        <v>501000058</v>
      </c>
      <c r="B59" s="97">
        <v>58</v>
      </c>
      <c r="C59" s="97" t="s">
        <v>335</v>
      </c>
      <c r="D59" s="97" t="s">
        <v>336</v>
      </c>
      <c r="E59" s="312" t="s">
        <v>2185</v>
      </c>
      <c r="F59" s="312" t="s">
        <v>2186</v>
      </c>
      <c r="G59" s="97" t="s">
        <v>3117</v>
      </c>
      <c r="H59" s="97" t="s">
        <v>4024</v>
      </c>
      <c r="I59" s="97" t="s">
        <v>4039</v>
      </c>
      <c r="J59" s="97" t="s">
        <v>4040</v>
      </c>
      <c r="K59" s="17" t="str">
        <f>IFERROR(INDEX(競技会設定!$J$3:$O$47,MATCH(J59,競技会設定!$M$3:$M$47,0),5),"")</f>
        <v>中京大</v>
      </c>
      <c r="L59" s="17" t="str">
        <f>IFERROR(INDEX(競技会設定!$J$3:$N$47,MATCH(K59,競技会設定!$N$3:$N$47,0),2),"")</f>
        <v>492173</v>
      </c>
      <c r="M59" s="97" t="s">
        <v>3905</v>
      </c>
      <c r="N59" s="17" t="str">
        <f t="shared" si="1"/>
        <v>KAWACHI, Syuya</v>
      </c>
      <c r="O59" s="17" t="str">
        <f t="shared" si="2"/>
        <v>99</v>
      </c>
    </row>
    <row r="60" spans="1:15">
      <c r="A60" s="17" t="str">
        <f t="shared" si="0"/>
        <v>501000059</v>
      </c>
      <c r="B60" s="97">
        <v>59</v>
      </c>
      <c r="C60" s="97" t="s">
        <v>337</v>
      </c>
      <c r="D60" s="97" t="s">
        <v>338</v>
      </c>
      <c r="E60" s="312" t="s">
        <v>2187</v>
      </c>
      <c r="F60" s="312" t="s">
        <v>2165</v>
      </c>
      <c r="G60" s="97" t="s">
        <v>3118</v>
      </c>
      <c r="H60" s="97" t="s">
        <v>4024</v>
      </c>
      <c r="I60" s="97" t="s">
        <v>4039</v>
      </c>
      <c r="J60" s="97" t="s">
        <v>4040</v>
      </c>
      <c r="K60" s="17" t="str">
        <f>IFERROR(INDEX(競技会設定!$J$3:$O$47,MATCH(J60,競技会設定!$M$3:$M$47,0),5),"")</f>
        <v>中京大</v>
      </c>
      <c r="L60" s="17" t="str">
        <f>IFERROR(INDEX(競技会設定!$J$3:$N$47,MATCH(K60,競技会設定!$N$3:$N$47,0),2),"")</f>
        <v>492173</v>
      </c>
      <c r="M60" s="97" t="s">
        <v>3859</v>
      </c>
      <c r="N60" s="17" t="str">
        <f t="shared" si="1"/>
        <v>TAMURA, Riku</v>
      </c>
      <c r="O60" s="17" t="str">
        <f t="shared" si="2"/>
        <v>99</v>
      </c>
    </row>
    <row r="61" spans="1:15">
      <c r="A61" s="17" t="str">
        <f t="shared" si="0"/>
        <v>501000060</v>
      </c>
      <c r="B61" s="97">
        <v>60</v>
      </c>
      <c r="C61" s="97" t="s">
        <v>339</v>
      </c>
      <c r="D61" s="97" t="s">
        <v>340</v>
      </c>
      <c r="E61" s="312" t="s">
        <v>2188</v>
      </c>
      <c r="F61" s="312" t="s">
        <v>2189</v>
      </c>
      <c r="G61" s="97" t="s">
        <v>3119</v>
      </c>
      <c r="H61" s="97" t="s">
        <v>4024</v>
      </c>
      <c r="I61" s="97" t="s">
        <v>4039</v>
      </c>
      <c r="J61" s="97" t="s">
        <v>4040</v>
      </c>
      <c r="K61" s="17" t="str">
        <f>IFERROR(INDEX(競技会設定!$J$3:$O$47,MATCH(J61,競技会設定!$M$3:$M$47,0),5),"")</f>
        <v>中京大</v>
      </c>
      <c r="L61" s="17" t="str">
        <f>IFERROR(INDEX(競技会設定!$J$3:$N$47,MATCH(K61,競技会設定!$N$3:$N$47,0),2),"")</f>
        <v>492173</v>
      </c>
      <c r="M61" s="97" t="s">
        <v>3838</v>
      </c>
      <c r="N61" s="17" t="str">
        <f t="shared" si="1"/>
        <v>YOKOTA, Keisuke</v>
      </c>
      <c r="O61" s="17" t="str">
        <f t="shared" si="2"/>
        <v>96</v>
      </c>
    </row>
    <row r="62" spans="1:15">
      <c r="A62" s="17" t="str">
        <f t="shared" si="0"/>
        <v>501000061</v>
      </c>
      <c r="B62" s="97">
        <v>61</v>
      </c>
      <c r="C62" s="97" t="s">
        <v>341</v>
      </c>
      <c r="D62" s="97" t="s">
        <v>342</v>
      </c>
      <c r="E62" s="312" t="s">
        <v>2190</v>
      </c>
      <c r="F62" s="312" t="s">
        <v>2191</v>
      </c>
      <c r="G62" s="97" t="s">
        <v>3120</v>
      </c>
      <c r="H62" s="97" t="s">
        <v>4024</v>
      </c>
      <c r="I62" s="97" t="s">
        <v>4039</v>
      </c>
      <c r="J62" s="97" t="s">
        <v>4040</v>
      </c>
      <c r="K62" s="17" t="str">
        <f>IFERROR(INDEX(競技会設定!$J$3:$O$47,MATCH(J62,競技会設定!$M$3:$M$47,0),5),"")</f>
        <v>中京大</v>
      </c>
      <c r="L62" s="17" t="str">
        <f>IFERROR(INDEX(競技会設定!$J$3:$N$47,MATCH(K62,競技会設定!$N$3:$N$47,0),2),"")</f>
        <v>492173</v>
      </c>
      <c r="M62" s="97" t="s">
        <v>3824</v>
      </c>
      <c r="N62" s="17" t="str">
        <f t="shared" si="1"/>
        <v>TAKAKI, Kenta</v>
      </c>
      <c r="O62" s="17" t="str">
        <f t="shared" si="2"/>
        <v>99</v>
      </c>
    </row>
    <row r="63" spans="1:15">
      <c r="A63" s="17" t="str">
        <f t="shared" si="0"/>
        <v>501000062</v>
      </c>
      <c r="B63" s="97">
        <v>62</v>
      </c>
      <c r="C63" s="97" t="s">
        <v>343</v>
      </c>
      <c r="D63" s="97" t="s">
        <v>344</v>
      </c>
      <c r="E63" s="312" t="s">
        <v>2192</v>
      </c>
      <c r="F63" s="312" t="s">
        <v>2193</v>
      </c>
      <c r="G63" s="97" t="s">
        <v>3115</v>
      </c>
      <c r="H63" s="97" t="s">
        <v>4024</v>
      </c>
      <c r="I63" s="97" t="s">
        <v>4039</v>
      </c>
      <c r="J63" s="97" t="s">
        <v>4040</v>
      </c>
      <c r="K63" s="17" t="str">
        <f>IFERROR(INDEX(競技会設定!$J$3:$O$47,MATCH(J63,競技会設定!$M$3:$M$47,0),5),"")</f>
        <v>中京大</v>
      </c>
      <c r="L63" s="17" t="str">
        <f>IFERROR(INDEX(競技会設定!$J$3:$N$47,MATCH(K63,競技会設定!$N$3:$N$47,0),2),"")</f>
        <v>492173</v>
      </c>
      <c r="M63" s="97" t="s">
        <v>3859</v>
      </c>
      <c r="N63" s="17" t="str">
        <f t="shared" si="1"/>
        <v>WASHIO, Yuta</v>
      </c>
      <c r="O63" s="17" t="str">
        <f t="shared" si="2"/>
        <v>99</v>
      </c>
    </row>
    <row r="64" spans="1:15">
      <c r="A64" s="17" t="str">
        <f t="shared" si="0"/>
        <v>501000063</v>
      </c>
      <c r="B64" s="97">
        <v>63</v>
      </c>
      <c r="C64" s="97" t="s">
        <v>345</v>
      </c>
      <c r="D64" s="97" t="s">
        <v>346</v>
      </c>
      <c r="E64" s="312" t="s">
        <v>2194</v>
      </c>
      <c r="F64" s="312" t="s">
        <v>2184</v>
      </c>
      <c r="G64" s="97" t="s">
        <v>3121</v>
      </c>
      <c r="H64" s="97" t="s">
        <v>4024</v>
      </c>
      <c r="I64" s="97" t="s">
        <v>4039</v>
      </c>
      <c r="J64" s="97" t="s">
        <v>4040</v>
      </c>
      <c r="K64" s="17" t="str">
        <f>IFERROR(INDEX(競技会設定!$J$3:$O$47,MATCH(J64,競技会設定!$M$3:$M$47,0),5),"")</f>
        <v>中京大</v>
      </c>
      <c r="L64" s="17" t="str">
        <f>IFERROR(INDEX(競技会設定!$J$3:$N$47,MATCH(K64,競技会設定!$N$3:$N$47,0),2),"")</f>
        <v>492173</v>
      </c>
      <c r="M64" s="97" t="s">
        <v>3859</v>
      </c>
      <c r="N64" s="17" t="str">
        <f t="shared" si="1"/>
        <v>OKAI, Taisei</v>
      </c>
      <c r="O64" s="17" t="str">
        <f t="shared" si="2"/>
        <v>99</v>
      </c>
    </row>
    <row r="65" spans="1:15">
      <c r="A65" s="17" t="str">
        <f t="shared" si="0"/>
        <v>501000064</v>
      </c>
      <c r="B65" s="97">
        <v>64</v>
      </c>
      <c r="C65" s="97" t="s">
        <v>347</v>
      </c>
      <c r="D65" s="97" t="s">
        <v>348</v>
      </c>
      <c r="E65" s="312" t="s">
        <v>2195</v>
      </c>
      <c r="F65" s="312" t="s">
        <v>2196</v>
      </c>
      <c r="G65" s="97" t="s">
        <v>3122</v>
      </c>
      <c r="H65" s="97" t="s">
        <v>4024</v>
      </c>
      <c r="I65" s="97" t="s">
        <v>4039</v>
      </c>
      <c r="J65" s="97" t="s">
        <v>4040</v>
      </c>
      <c r="K65" s="17" t="str">
        <f>IFERROR(INDEX(競技会設定!$J$3:$O$47,MATCH(J65,競技会設定!$M$3:$M$47,0),5),"")</f>
        <v>中京大</v>
      </c>
      <c r="L65" s="17" t="str">
        <f>IFERROR(INDEX(競技会設定!$J$3:$N$47,MATCH(K65,競技会設定!$N$3:$N$47,0),2),"")</f>
        <v>492173</v>
      </c>
      <c r="M65" s="97" t="s">
        <v>3857</v>
      </c>
      <c r="N65" s="17" t="str">
        <f t="shared" si="1"/>
        <v>SAHARA, Satsuki</v>
      </c>
      <c r="O65" s="17" t="str">
        <f t="shared" si="2"/>
        <v>99</v>
      </c>
    </row>
    <row r="66" spans="1:15">
      <c r="A66" s="17" t="str">
        <f t="shared" si="0"/>
        <v>501000065</v>
      </c>
      <c r="B66" s="97">
        <v>65</v>
      </c>
      <c r="C66" s="97" t="s">
        <v>349</v>
      </c>
      <c r="D66" s="97" t="s">
        <v>350</v>
      </c>
      <c r="E66" s="312" t="s">
        <v>2197</v>
      </c>
      <c r="F66" s="312" t="s">
        <v>2198</v>
      </c>
      <c r="G66" s="97" t="s">
        <v>3123</v>
      </c>
      <c r="H66" s="97" t="s">
        <v>4024</v>
      </c>
      <c r="I66" s="97" t="s">
        <v>4039</v>
      </c>
      <c r="J66" s="97" t="s">
        <v>4040</v>
      </c>
      <c r="K66" s="17" t="str">
        <f>IFERROR(INDEX(競技会設定!$J$3:$O$47,MATCH(J66,競技会設定!$M$3:$M$47,0),5),"")</f>
        <v>中京大</v>
      </c>
      <c r="L66" s="17" t="str">
        <f>IFERROR(INDEX(競技会設定!$J$3:$N$47,MATCH(K66,競技会設定!$N$3:$N$47,0),2),"")</f>
        <v>492173</v>
      </c>
      <c r="M66" s="97" t="s">
        <v>3859</v>
      </c>
      <c r="N66" s="17" t="str">
        <f t="shared" si="1"/>
        <v>SUGITA, Hikaru</v>
      </c>
      <c r="O66" s="17" t="str">
        <f t="shared" si="2"/>
        <v>99</v>
      </c>
    </row>
    <row r="67" spans="1:15">
      <c r="A67" s="17" t="str">
        <f t="shared" ref="A67:A130" si="3">IF(B67="","","501"&amp;TEXT(B67,"000000"))</f>
        <v>501000066</v>
      </c>
      <c r="B67" s="97">
        <v>66</v>
      </c>
      <c r="C67" s="97" t="s">
        <v>351</v>
      </c>
      <c r="D67" s="97" t="s">
        <v>352</v>
      </c>
      <c r="E67" s="312" t="s">
        <v>2199</v>
      </c>
      <c r="F67" s="312" t="s">
        <v>2200</v>
      </c>
      <c r="G67" s="97" t="s">
        <v>3124</v>
      </c>
      <c r="H67" s="97" t="s">
        <v>4024</v>
      </c>
      <c r="I67" s="97" t="s">
        <v>4039</v>
      </c>
      <c r="J67" s="97" t="s">
        <v>4040</v>
      </c>
      <c r="K67" s="17" t="str">
        <f>IFERROR(INDEX(競技会設定!$J$3:$O$47,MATCH(J67,競技会設定!$M$3:$M$47,0),5),"")</f>
        <v>中京大</v>
      </c>
      <c r="L67" s="17" t="str">
        <f>IFERROR(INDEX(競技会設定!$J$3:$N$47,MATCH(K67,競技会設定!$N$3:$N$47,0),2),"")</f>
        <v>492173</v>
      </c>
      <c r="M67" s="97" t="s">
        <v>3861</v>
      </c>
      <c r="N67" s="17" t="str">
        <f t="shared" ref="N67:N130" si="4">IF(E67="","",E67&amp;", "&amp;F67)</f>
        <v>NISHIMOTO, Ryotaro</v>
      </c>
      <c r="O67" s="17" t="str">
        <f t="shared" ref="O67:O130" si="5">IFERROR(TEXT(INT(LEFT(G67,2)),"00"),"")</f>
        <v>99</v>
      </c>
    </row>
    <row r="68" spans="1:15">
      <c r="A68" s="17" t="str">
        <f t="shared" si="3"/>
        <v>501000067</v>
      </c>
      <c r="B68" s="97">
        <v>67</v>
      </c>
      <c r="C68" s="97" t="s">
        <v>353</v>
      </c>
      <c r="D68" s="97" t="s">
        <v>354</v>
      </c>
      <c r="E68" s="312" t="s">
        <v>2176</v>
      </c>
      <c r="F68" s="312" t="s">
        <v>2201</v>
      </c>
      <c r="G68" s="97" t="s">
        <v>3125</v>
      </c>
      <c r="H68" s="97" t="s">
        <v>4024</v>
      </c>
      <c r="I68" s="97" t="s">
        <v>4039</v>
      </c>
      <c r="J68" s="97" t="s">
        <v>4040</v>
      </c>
      <c r="K68" s="17" t="str">
        <f>IFERROR(INDEX(競技会設定!$J$3:$O$47,MATCH(J68,競技会設定!$M$3:$M$47,0),5),"")</f>
        <v>中京大</v>
      </c>
      <c r="L68" s="17" t="str">
        <f>IFERROR(INDEX(競技会設定!$J$3:$N$47,MATCH(K68,競技会設定!$N$3:$N$47,0),2),"")</f>
        <v>492173</v>
      </c>
      <c r="M68" s="97" t="s">
        <v>3870</v>
      </c>
      <c r="N68" s="17" t="str">
        <f t="shared" si="4"/>
        <v>NAKAMURA, Yoshifumi</v>
      </c>
      <c r="O68" s="17" t="str">
        <f t="shared" si="5"/>
        <v>99</v>
      </c>
    </row>
    <row r="69" spans="1:15">
      <c r="A69" s="17" t="str">
        <f t="shared" si="3"/>
        <v>501000068</v>
      </c>
      <c r="B69" s="97">
        <v>68</v>
      </c>
      <c r="C69" s="97" t="s">
        <v>355</v>
      </c>
      <c r="D69" s="97" t="s">
        <v>356</v>
      </c>
      <c r="E69" s="312" t="s">
        <v>2202</v>
      </c>
      <c r="F69" s="312" t="s">
        <v>2203</v>
      </c>
      <c r="G69" s="97" t="s">
        <v>3126</v>
      </c>
      <c r="H69" s="97" t="s">
        <v>4024</v>
      </c>
      <c r="I69" s="97" t="s">
        <v>4039</v>
      </c>
      <c r="J69" s="97" t="s">
        <v>4040</v>
      </c>
      <c r="K69" s="17" t="str">
        <f>IFERROR(INDEX(競技会設定!$J$3:$O$47,MATCH(J69,競技会設定!$M$3:$M$47,0),5),"")</f>
        <v>中京大</v>
      </c>
      <c r="L69" s="17" t="str">
        <f>IFERROR(INDEX(競技会設定!$J$3:$N$47,MATCH(K69,競技会設定!$N$3:$N$47,0),2),"")</f>
        <v>492173</v>
      </c>
      <c r="M69" s="97" t="s">
        <v>3881</v>
      </c>
      <c r="N69" s="17" t="str">
        <f t="shared" si="4"/>
        <v>HARUNA, Daichi</v>
      </c>
      <c r="O69" s="17" t="str">
        <f t="shared" si="5"/>
        <v>99</v>
      </c>
    </row>
    <row r="70" spans="1:15">
      <c r="A70" s="17" t="str">
        <f t="shared" si="3"/>
        <v>501000069</v>
      </c>
      <c r="B70" s="97">
        <v>69</v>
      </c>
      <c r="C70" s="97" t="s">
        <v>357</v>
      </c>
      <c r="D70" s="97" t="s">
        <v>358</v>
      </c>
      <c r="E70" s="312" t="s">
        <v>2204</v>
      </c>
      <c r="F70" s="312" t="s">
        <v>2205</v>
      </c>
      <c r="G70" s="97" t="s">
        <v>3127</v>
      </c>
      <c r="H70" s="97" t="s">
        <v>4024</v>
      </c>
      <c r="I70" s="97" t="s">
        <v>6659</v>
      </c>
      <c r="J70" s="97" t="s">
        <v>4040</v>
      </c>
      <c r="K70" s="17" t="str">
        <f>IFERROR(INDEX(競技会設定!$J$3:$O$47,MATCH(J70,競技会設定!$M$3:$M$47,0),5),"")</f>
        <v>中京大</v>
      </c>
      <c r="L70" s="17" t="str">
        <f>IFERROR(INDEX(競技会設定!$J$3:$N$47,MATCH(K70,競技会設定!$N$3:$N$47,0),2),"")</f>
        <v>492173</v>
      </c>
      <c r="M70" s="97" t="s">
        <v>3857</v>
      </c>
      <c r="N70" s="17" t="str">
        <f t="shared" si="4"/>
        <v>FUZIY, Lucas</v>
      </c>
      <c r="O70" s="17" t="str">
        <f t="shared" si="5"/>
        <v>99</v>
      </c>
    </row>
    <row r="71" spans="1:15">
      <c r="A71" s="17" t="str">
        <f t="shared" si="3"/>
        <v>501000070</v>
      </c>
      <c r="B71" s="97">
        <v>70</v>
      </c>
      <c r="C71" s="97" t="s">
        <v>359</v>
      </c>
      <c r="D71" s="97" t="s">
        <v>360</v>
      </c>
      <c r="E71" s="312" t="s">
        <v>2206</v>
      </c>
      <c r="F71" s="312" t="s">
        <v>2207</v>
      </c>
      <c r="G71" s="97" t="s">
        <v>3128</v>
      </c>
      <c r="H71" s="97" t="s">
        <v>4024</v>
      </c>
      <c r="I71" s="97" t="s">
        <v>4039</v>
      </c>
      <c r="J71" s="97" t="s">
        <v>4040</v>
      </c>
      <c r="K71" s="17" t="str">
        <f>IFERROR(INDEX(競技会設定!$J$3:$O$47,MATCH(J71,競技会設定!$M$3:$M$47,0),5),"")</f>
        <v>中京大</v>
      </c>
      <c r="L71" s="17" t="str">
        <f>IFERROR(INDEX(競技会設定!$J$3:$N$47,MATCH(K71,競技会設定!$N$3:$N$47,0),2),"")</f>
        <v>492173</v>
      </c>
      <c r="M71" s="97" t="s">
        <v>3833</v>
      </c>
      <c r="N71" s="17" t="str">
        <f t="shared" si="4"/>
        <v>MIYAZAKI, Tatsuya</v>
      </c>
      <c r="O71" s="17" t="str">
        <f t="shared" si="5"/>
        <v>00</v>
      </c>
    </row>
    <row r="72" spans="1:15">
      <c r="A72" s="17" t="str">
        <f t="shared" si="3"/>
        <v>501000071</v>
      </c>
      <c r="B72" s="97">
        <v>71</v>
      </c>
      <c r="C72" s="97" t="s">
        <v>361</v>
      </c>
      <c r="D72" s="97" t="s">
        <v>362</v>
      </c>
      <c r="E72" s="312" t="s">
        <v>2208</v>
      </c>
      <c r="F72" s="312" t="s">
        <v>2209</v>
      </c>
      <c r="G72" s="97" t="s">
        <v>3129</v>
      </c>
      <c r="H72" s="97" t="s">
        <v>4024</v>
      </c>
      <c r="I72" s="97" t="s">
        <v>4039</v>
      </c>
      <c r="J72" s="97" t="s">
        <v>4040</v>
      </c>
      <c r="K72" s="17" t="str">
        <f>IFERROR(INDEX(競技会設定!$J$3:$O$47,MATCH(J72,競技会設定!$M$3:$M$47,0),5),"")</f>
        <v>中京大</v>
      </c>
      <c r="L72" s="17" t="str">
        <f>IFERROR(INDEX(競技会設定!$J$3:$N$47,MATCH(K72,競技会設定!$N$3:$N$47,0),2),"")</f>
        <v>492173</v>
      </c>
      <c r="M72" s="97" t="s">
        <v>3865</v>
      </c>
      <c r="N72" s="17" t="str">
        <f t="shared" si="4"/>
        <v>IWASAKI, Shoma</v>
      </c>
      <c r="O72" s="17" t="str">
        <f t="shared" si="5"/>
        <v>98</v>
      </c>
    </row>
    <row r="73" spans="1:15">
      <c r="A73" s="17" t="str">
        <f t="shared" si="3"/>
        <v>501000072</v>
      </c>
      <c r="B73" s="97">
        <v>72</v>
      </c>
      <c r="C73" s="97" t="s">
        <v>363</v>
      </c>
      <c r="D73" s="97" t="s">
        <v>364</v>
      </c>
      <c r="E73" s="312" t="s">
        <v>2210</v>
      </c>
      <c r="F73" s="312" t="s">
        <v>2211</v>
      </c>
      <c r="G73" s="97" t="s">
        <v>3130</v>
      </c>
      <c r="H73" s="97" t="s">
        <v>4024</v>
      </c>
      <c r="I73" s="97" t="s">
        <v>4039</v>
      </c>
      <c r="J73" s="97" t="s">
        <v>4040</v>
      </c>
      <c r="K73" s="17" t="str">
        <f>IFERROR(INDEX(競技会設定!$J$3:$O$47,MATCH(J73,競技会設定!$M$3:$M$47,0),5),"")</f>
        <v>中京大</v>
      </c>
      <c r="L73" s="17" t="str">
        <f>IFERROR(INDEX(競技会設定!$J$3:$N$47,MATCH(K73,競技会設定!$N$3:$N$47,0),2),"")</f>
        <v>492173</v>
      </c>
      <c r="M73" s="97" t="s">
        <v>3855</v>
      </c>
      <c r="N73" s="17" t="str">
        <f t="shared" si="4"/>
        <v>HATANO, Koudai</v>
      </c>
      <c r="O73" s="17" t="str">
        <f t="shared" si="5"/>
        <v>99</v>
      </c>
    </row>
    <row r="74" spans="1:15">
      <c r="A74" s="17" t="str">
        <f t="shared" si="3"/>
        <v>501000073</v>
      </c>
      <c r="B74" s="97">
        <v>73</v>
      </c>
      <c r="C74" s="97" t="s">
        <v>365</v>
      </c>
      <c r="D74" s="97" t="s">
        <v>366</v>
      </c>
      <c r="E74" s="312" t="s">
        <v>2212</v>
      </c>
      <c r="F74" s="312" t="s">
        <v>2213</v>
      </c>
      <c r="G74" s="97" t="s">
        <v>3131</v>
      </c>
      <c r="H74" s="97" t="s">
        <v>4024</v>
      </c>
      <c r="I74" s="97" t="s">
        <v>4039</v>
      </c>
      <c r="J74" s="97" t="s">
        <v>4040</v>
      </c>
      <c r="K74" s="17" t="str">
        <f>IFERROR(INDEX(競技会設定!$J$3:$O$47,MATCH(J74,競技会設定!$M$3:$M$47,0),5),"")</f>
        <v>中京大</v>
      </c>
      <c r="L74" s="17" t="str">
        <f>IFERROR(INDEX(競技会設定!$J$3:$N$47,MATCH(K74,競技会設定!$N$3:$N$47,0),2),"")</f>
        <v>492173</v>
      </c>
      <c r="M74" s="97" t="s">
        <v>3861</v>
      </c>
      <c r="N74" s="17" t="str">
        <f t="shared" si="4"/>
        <v>MAEGAWA, Masayuki</v>
      </c>
      <c r="O74" s="17" t="str">
        <f t="shared" si="5"/>
        <v>99</v>
      </c>
    </row>
    <row r="75" spans="1:15">
      <c r="A75" s="17" t="str">
        <f t="shared" si="3"/>
        <v>501000074</v>
      </c>
      <c r="B75" s="97">
        <v>74</v>
      </c>
      <c r="C75" s="97" t="s">
        <v>367</v>
      </c>
      <c r="D75" s="97" t="s">
        <v>368</v>
      </c>
      <c r="E75" s="312" t="s">
        <v>2214</v>
      </c>
      <c r="F75" s="312" t="s">
        <v>2215</v>
      </c>
      <c r="G75" s="97" t="s">
        <v>3132</v>
      </c>
      <c r="H75" s="97" t="s">
        <v>4024</v>
      </c>
      <c r="I75" s="97" t="s">
        <v>4039</v>
      </c>
      <c r="J75" s="97" t="s">
        <v>4040</v>
      </c>
      <c r="K75" s="17" t="str">
        <f>IFERROR(INDEX(競技会設定!$J$3:$O$47,MATCH(J75,競技会設定!$M$3:$M$47,0),5),"")</f>
        <v>中京大</v>
      </c>
      <c r="L75" s="17" t="str">
        <f>IFERROR(INDEX(競技会設定!$J$3:$N$47,MATCH(K75,競技会設定!$N$3:$N$47,0),2),"")</f>
        <v>492173</v>
      </c>
      <c r="M75" s="97" t="s">
        <v>3859</v>
      </c>
      <c r="N75" s="17" t="str">
        <f t="shared" si="4"/>
        <v>NAGURA, Hiroto</v>
      </c>
      <c r="O75" s="17" t="str">
        <f t="shared" si="5"/>
        <v>99</v>
      </c>
    </row>
    <row r="76" spans="1:15">
      <c r="A76" s="17" t="str">
        <f t="shared" si="3"/>
        <v>501000075</v>
      </c>
      <c r="B76" s="97">
        <v>75</v>
      </c>
      <c r="C76" s="97" t="s">
        <v>369</v>
      </c>
      <c r="D76" s="97" t="s">
        <v>370</v>
      </c>
      <c r="E76" s="312" t="s">
        <v>2216</v>
      </c>
      <c r="F76" s="312" t="s">
        <v>2217</v>
      </c>
      <c r="G76" s="97" t="s">
        <v>3133</v>
      </c>
      <c r="H76" s="97" t="s">
        <v>4026</v>
      </c>
      <c r="I76" s="97" t="s">
        <v>4039</v>
      </c>
      <c r="J76" s="97" t="s">
        <v>4040</v>
      </c>
      <c r="K76" s="17" t="str">
        <f>IFERROR(INDEX(競技会設定!$J$3:$O$47,MATCH(J76,競技会設定!$M$3:$M$47,0),5),"")</f>
        <v>中京大</v>
      </c>
      <c r="L76" s="17" t="str">
        <f>IFERROR(INDEX(競技会設定!$J$3:$N$47,MATCH(K76,競技会設定!$N$3:$N$47,0),2),"")</f>
        <v>492173</v>
      </c>
      <c r="M76" s="97" t="s">
        <v>3853</v>
      </c>
      <c r="N76" s="17" t="str">
        <f t="shared" si="4"/>
        <v>IKEDA, Syoki</v>
      </c>
      <c r="O76" s="17" t="str">
        <f t="shared" si="5"/>
        <v>00</v>
      </c>
    </row>
    <row r="77" spans="1:15">
      <c r="A77" s="17" t="str">
        <f t="shared" si="3"/>
        <v>501000076</v>
      </c>
      <c r="B77" s="97">
        <v>76</v>
      </c>
      <c r="C77" s="97" t="s">
        <v>371</v>
      </c>
      <c r="D77" s="97" t="s">
        <v>372</v>
      </c>
      <c r="E77" s="312" t="s">
        <v>2082</v>
      </c>
      <c r="F77" s="312" t="s">
        <v>2152</v>
      </c>
      <c r="G77" s="97" t="s">
        <v>3134</v>
      </c>
      <c r="H77" s="97" t="s">
        <v>4026</v>
      </c>
      <c r="I77" s="97" t="s">
        <v>4039</v>
      </c>
      <c r="J77" s="97" t="s">
        <v>4040</v>
      </c>
      <c r="K77" s="17" t="str">
        <f>IFERROR(INDEX(競技会設定!$J$3:$O$47,MATCH(J77,競技会設定!$M$3:$M$47,0),5),"")</f>
        <v>中京大</v>
      </c>
      <c r="L77" s="17" t="str">
        <f>IFERROR(INDEX(競技会設定!$J$3:$N$47,MATCH(K77,競技会設定!$N$3:$N$47,0),2),"")</f>
        <v>492173</v>
      </c>
      <c r="M77" s="97" t="s">
        <v>3861</v>
      </c>
      <c r="N77" s="17" t="str">
        <f t="shared" si="4"/>
        <v>ITO, Kazuma</v>
      </c>
      <c r="O77" s="17" t="str">
        <f t="shared" si="5"/>
        <v>00</v>
      </c>
    </row>
    <row r="78" spans="1:15">
      <c r="A78" s="17" t="str">
        <f t="shared" si="3"/>
        <v>501000077</v>
      </c>
      <c r="B78" s="97">
        <v>77</v>
      </c>
      <c r="C78" s="97" t="s">
        <v>373</v>
      </c>
      <c r="D78" s="97" t="s">
        <v>374</v>
      </c>
      <c r="E78" s="312" t="s">
        <v>2218</v>
      </c>
      <c r="F78" s="312" t="s">
        <v>2189</v>
      </c>
      <c r="G78" s="97" t="s">
        <v>3135</v>
      </c>
      <c r="H78" s="97" t="s">
        <v>4026</v>
      </c>
      <c r="I78" s="97" t="s">
        <v>4039</v>
      </c>
      <c r="J78" s="97" t="s">
        <v>4040</v>
      </c>
      <c r="K78" s="17" t="str">
        <f>IFERROR(INDEX(競技会設定!$J$3:$O$47,MATCH(J78,競技会設定!$M$3:$M$47,0),5),"")</f>
        <v>中京大</v>
      </c>
      <c r="L78" s="17" t="str">
        <f>IFERROR(INDEX(競技会設定!$J$3:$N$47,MATCH(K78,競技会設定!$N$3:$N$47,0),2),"")</f>
        <v>492173</v>
      </c>
      <c r="M78" s="97" t="s">
        <v>3857</v>
      </c>
      <c r="N78" s="17" t="str">
        <f t="shared" si="4"/>
        <v>IWASE, Keisuke</v>
      </c>
      <c r="O78" s="17" t="str">
        <f t="shared" si="5"/>
        <v>01</v>
      </c>
    </row>
    <row r="79" spans="1:15">
      <c r="A79" s="17" t="str">
        <f t="shared" si="3"/>
        <v>501000078</v>
      </c>
      <c r="B79" s="97">
        <v>78</v>
      </c>
      <c r="C79" s="97" t="s">
        <v>375</v>
      </c>
      <c r="D79" s="97" t="s">
        <v>376</v>
      </c>
      <c r="E79" s="312" t="s">
        <v>2219</v>
      </c>
      <c r="F79" s="312" t="s">
        <v>2172</v>
      </c>
      <c r="G79" s="97" t="s">
        <v>3136</v>
      </c>
      <c r="H79" s="97" t="s">
        <v>4026</v>
      </c>
      <c r="I79" s="97" t="s">
        <v>4039</v>
      </c>
      <c r="J79" s="97" t="s">
        <v>4040</v>
      </c>
      <c r="K79" s="17" t="str">
        <f>IFERROR(INDEX(競技会設定!$J$3:$O$47,MATCH(J79,競技会設定!$M$3:$M$47,0),5),"")</f>
        <v>中京大</v>
      </c>
      <c r="L79" s="17" t="str">
        <f>IFERROR(INDEX(競技会設定!$J$3:$N$47,MATCH(K79,競技会設定!$N$3:$N$47,0),2),"")</f>
        <v>492173</v>
      </c>
      <c r="M79" s="97" t="s">
        <v>3859</v>
      </c>
      <c r="N79" s="17" t="str">
        <f t="shared" si="4"/>
        <v>SADAMORI, Masaya</v>
      </c>
      <c r="O79" s="17" t="str">
        <f t="shared" si="5"/>
        <v>00</v>
      </c>
    </row>
    <row r="80" spans="1:15">
      <c r="A80" s="17" t="str">
        <f t="shared" si="3"/>
        <v>501000079</v>
      </c>
      <c r="B80" s="97">
        <v>79</v>
      </c>
      <c r="C80" s="97" t="s">
        <v>377</v>
      </c>
      <c r="D80" s="97" t="s">
        <v>378</v>
      </c>
      <c r="E80" s="312" t="s">
        <v>2173</v>
      </c>
      <c r="F80" s="312" t="s">
        <v>2220</v>
      </c>
      <c r="G80" s="97" t="s">
        <v>3137</v>
      </c>
      <c r="H80" s="97" t="s">
        <v>4026</v>
      </c>
      <c r="I80" s="97" t="s">
        <v>4039</v>
      </c>
      <c r="J80" s="97" t="s">
        <v>4040</v>
      </c>
      <c r="K80" s="17" t="str">
        <f>IFERROR(INDEX(競技会設定!$J$3:$O$47,MATCH(J80,競技会設定!$M$3:$M$47,0),5),"")</f>
        <v>中京大</v>
      </c>
      <c r="L80" s="17" t="str">
        <f>IFERROR(INDEX(競技会設定!$J$3:$N$47,MATCH(K80,競技会設定!$N$3:$N$47,0),2),"")</f>
        <v>492173</v>
      </c>
      <c r="M80" s="97" t="s">
        <v>3861</v>
      </c>
      <c r="N80" s="17" t="str">
        <f t="shared" si="4"/>
        <v>TAKAHASHI, Ryusei</v>
      </c>
      <c r="O80" s="17" t="str">
        <f t="shared" si="5"/>
        <v>00</v>
      </c>
    </row>
    <row r="81" spans="1:15">
      <c r="A81" s="17" t="str">
        <f t="shared" si="3"/>
        <v>501000080</v>
      </c>
      <c r="B81" s="97">
        <v>80</v>
      </c>
      <c r="C81" s="97" t="s">
        <v>379</v>
      </c>
      <c r="D81" s="97" t="s">
        <v>380</v>
      </c>
      <c r="E81" s="312" t="s">
        <v>2221</v>
      </c>
      <c r="F81" s="312" t="s">
        <v>2108</v>
      </c>
      <c r="G81" s="97" t="s">
        <v>3138</v>
      </c>
      <c r="H81" s="97" t="s">
        <v>4026</v>
      </c>
      <c r="I81" s="97" t="s">
        <v>4039</v>
      </c>
      <c r="J81" s="97" t="s">
        <v>4040</v>
      </c>
      <c r="K81" s="17" t="str">
        <f>IFERROR(INDEX(競技会設定!$J$3:$O$47,MATCH(J81,競技会設定!$M$3:$M$47,0),5),"")</f>
        <v>中京大</v>
      </c>
      <c r="L81" s="17" t="str">
        <f>IFERROR(INDEX(競技会設定!$J$3:$N$47,MATCH(K81,競技会設定!$N$3:$N$47,0),2),"")</f>
        <v>492173</v>
      </c>
      <c r="M81" s="97" t="s">
        <v>3859</v>
      </c>
      <c r="N81" s="17" t="str">
        <f t="shared" si="4"/>
        <v>TANAKA, Yuki</v>
      </c>
      <c r="O81" s="17" t="str">
        <f t="shared" si="5"/>
        <v>00</v>
      </c>
    </row>
    <row r="82" spans="1:15">
      <c r="A82" s="17" t="str">
        <f t="shared" si="3"/>
        <v>501000081</v>
      </c>
      <c r="B82" s="97">
        <v>81</v>
      </c>
      <c r="C82" s="97" t="s">
        <v>381</v>
      </c>
      <c r="D82" s="97" t="s">
        <v>382</v>
      </c>
      <c r="E82" s="312" t="s">
        <v>2126</v>
      </c>
      <c r="F82" s="312" t="s">
        <v>2222</v>
      </c>
      <c r="G82" s="97" t="s">
        <v>3139</v>
      </c>
      <c r="H82" s="97" t="s">
        <v>4026</v>
      </c>
      <c r="I82" s="97" t="s">
        <v>4039</v>
      </c>
      <c r="J82" s="97" t="s">
        <v>4040</v>
      </c>
      <c r="K82" s="17" t="str">
        <f>IFERROR(INDEX(競技会設定!$J$3:$O$47,MATCH(J82,競技会設定!$M$3:$M$47,0),5),"")</f>
        <v>中京大</v>
      </c>
      <c r="L82" s="17" t="str">
        <f>IFERROR(INDEX(競技会設定!$J$3:$N$47,MATCH(K82,競技会設定!$N$3:$N$47,0),2),"")</f>
        <v>492173</v>
      </c>
      <c r="M82" s="97" t="s">
        <v>3853</v>
      </c>
      <c r="N82" s="17" t="str">
        <f t="shared" si="4"/>
        <v>NAKAJIMA, Yuzuru</v>
      </c>
      <c r="O82" s="17" t="str">
        <f t="shared" si="5"/>
        <v>00</v>
      </c>
    </row>
    <row r="83" spans="1:15">
      <c r="A83" s="17" t="str">
        <f t="shared" si="3"/>
        <v>501000082</v>
      </c>
      <c r="B83" s="97">
        <v>82</v>
      </c>
      <c r="C83" s="97" t="s">
        <v>383</v>
      </c>
      <c r="D83" s="97" t="s">
        <v>384</v>
      </c>
      <c r="E83" s="312" t="s">
        <v>2223</v>
      </c>
      <c r="F83" s="312" t="s">
        <v>2224</v>
      </c>
      <c r="G83" s="97" t="s">
        <v>3140</v>
      </c>
      <c r="H83" s="97" t="s">
        <v>4026</v>
      </c>
      <c r="I83" s="97" t="s">
        <v>4039</v>
      </c>
      <c r="J83" s="97" t="s">
        <v>4040</v>
      </c>
      <c r="K83" s="17" t="str">
        <f>IFERROR(INDEX(競技会設定!$J$3:$O$47,MATCH(J83,競技会設定!$M$3:$M$47,0),5),"")</f>
        <v>中京大</v>
      </c>
      <c r="L83" s="17" t="str">
        <f>IFERROR(INDEX(競技会設定!$J$3:$N$47,MATCH(K83,競技会設定!$N$3:$N$47,0),2),"")</f>
        <v>492173</v>
      </c>
      <c r="M83" s="97" t="s">
        <v>3849</v>
      </c>
      <c r="N83" s="17" t="str">
        <f t="shared" si="4"/>
        <v>HATA, Yushin</v>
      </c>
      <c r="O83" s="17" t="str">
        <f t="shared" si="5"/>
        <v>00</v>
      </c>
    </row>
    <row r="84" spans="1:15">
      <c r="A84" s="17" t="str">
        <f t="shared" si="3"/>
        <v>501000083</v>
      </c>
      <c r="B84" s="97">
        <v>83</v>
      </c>
      <c r="C84" s="97" t="s">
        <v>385</v>
      </c>
      <c r="D84" s="97" t="s">
        <v>386</v>
      </c>
      <c r="E84" s="312" t="s">
        <v>2146</v>
      </c>
      <c r="F84" s="312" t="s">
        <v>2225</v>
      </c>
      <c r="G84" s="97" t="s">
        <v>3141</v>
      </c>
      <c r="H84" s="97" t="s">
        <v>4026</v>
      </c>
      <c r="I84" s="97" t="s">
        <v>4039</v>
      </c>
      <c r="J84" s="97" t="s">
        <v>4040</v>
      </c>
      <c r="K84" s="17" t="str">
        <f>IFERROR(INDEX(競技会設定!$J$3:$O$47,MATCH(J84,競技会設定!$M$3:$M$47,0),5),"")</f>
        <v>中京大</v>
      </c>
      <c r="L84" s="17" t="str">
        <f>IFERROR(INDEX(競技会設定!$J$3:$N$47,MATCH(K84,競技会設定!$N$3:$N$47,0),2),"")</f>
        <v>492173</v>
      </c>
      <c r="M84" s="97" t="s">
        <v>3859</v>
      </c>
      <c r="N84" s="17" t="str">
        <f t="shared" si="4"/>
        <v>HATTORI, Masayoshi</v>
      </c>
      <c r="O84" s="17" t="str">
        <f t="shared" si="5"/>
        <v>00</v>
      </c>
    </row>
    <row r="85" spans="1:15">
      <c r="A85" s="17" t="str">
        <f t="shared" si="3"/>
        <v>501000084</v>
      </c>
      <c r="B85" s="97">
        <v>84</v>
      </c>
      <c r="C85" s="97" t="s">
        <v>387</v>
      </c>
      <c r="D85" s="97" t="s">
        <v>388</v>
      </c>
      <c r="E85" s="312" t="s">
        <v>2226</v>
      </c>
      <c r="F85" s="312" t="s">
        <v>2227</v>
      </c>
      <c r="G85" s="97" t="s">
        <v>3142</v>
      </c>
      <c r="H85" s="97" t="s">
        <v>4026</v>
      </c>
      <c r="I85" s="97" t="s">
        <v>4039</v>
      </c>
      <c r="J85" s="97" t="s">
        <v>4040</v>
      </c>
      <c r="K85" s="17" t="str">
        <f>IFERROR(INDEX(競技会設定!$J$3:$O$47,MATCH(J85,競技会設定!$M$3:$M$47,0),5),"")</f>
        <v>中京大</v>
      </c>
      <c r="L85" s="17" t="str">
        <f>IFERROR(INDEX(競技会設定!$J$3:$N$47,MATCH(K85,競技会設定!$N$3:$N$47,0),2),"")</f>
        <v>492173</v>
      </c>
      <c r="M85" s="97" t="s">
        <v>3859</v>
      </c>
      <c r="N85" s="17" t="str">
        <f t="shared" si="4"/>
        <v>HIRAMATSU, Koryu</v>
      </c>
      <c r="O85" s="17" t="str">
        <f t="shared" si="5"/>
        <v>01</v>
      </c>
    </row>
    <row r="86" spans="1:15">
      <c r="A86" s="17" t="str">
        <f t="shared" si="3"/>
        <v>501000085</v>
      </c>
      <c r="B86" s="97">
        <v>85</v>
      </c>
      <c r="C86" s="97" t="s">
        <v>389</v>
      </c>
      <c r="D86" s="97" t="s">
        <v>390</v>
      </c>
      <c r="E86" s="312" t="s">
        <v>2228</v>
      </c>
      <c r="F86" s="312" t="s">
        <v>2116</v>
      </c>
      <c r="G86" s="97" t="s">
        <v>3143</v>
      </c>
      <c r="H86" s="97" t="s">
        <v>4026</v>
      </c>
      <c r="I86" s="97" t="s">
        <v>4039</v>
      </c>
      <c r="J86" s="97" t="s">
        <v>4040</v>
      </c>
      <c r="K86" s="17" t="str">
        <f>IFERROR(INDEX(競技会設定!$J$3:$O$47,MATCH(J86,競技会設定!$M$3:$M$47,0),5),"")</f>
        <v>中京大</v>
      </c>
      <c r="L86" s="17" t="str">
        <f>IFERROR(INDEX(競技会設定!$J$3:$N$47,MATCH(K86,競技会設定!$N$3:$N$47,0),2),"")</f>
        <v>492173</v>
      </c>
      <c r="M86" s="97" t="s">
        <v>3859</v>
      </c>
      <c r="N86" s="17" t="str">
        <f t="shared" si="4"/>
        <v>MITA, Hiroki</v>
      </c>
      <c r="O86" s="17" t="str">
        <f t="shared" si="5"/>
        <v>01</v>
      </c>
    </row>
    <row r="87" spans="1:15">
      <c r="A87" s="17" t="str">
        <f t="shared" si="3"/>
        <v>501000086</v>
      </c>
      <c r="B87" s="97">
        <v>86</v>
      </c>
      <c r="C87" s="97" t="s">
        <v>391</v>
      </c>
      <c r="D87" s="97" t="s">
        <v>392</v>
      </c>
      <c r="E87" s="312" t="s">
        <v>2229</v>
      </c>
      <c r="F87" s="312" t="s">
        <v>2230</v>
      </c>
      <c r="G87" s="97" t="s">
        <v>3144</v>
      </c>
      <c r="H87" s="97" t="s">
        <v>4026</v>
      </c>
      <c r="I87" s="97" t="s">
        <v>4039</v>
      </c>
      <c r="J87" s="97" t="s">
        <v>4040</v>
      </c>
      <c r="K87" s="17" t="str">
        <f>IFERROR(INDEX(競技会設定!$J$3:$O$47,MATCH(J87,競技会設定!$M$3:$M$47,0),5),"")</f>
        <v>中京大</v>
      </c>
      <c r="L87" s="17" t="str">
        <f>IFERROR(INDEX(競技会設定!$J$3:$N$47,MATCH(K87,競技会設定!$N$3:$N$47,0),2),"")</f>
        <v>492173</v>
      </c>
      <c r="M87" s="97" t="s">
        <v>3865</v>
      </c>
      <c r="N87" s="17" t="str">
        <f t="shared" si="4"/>
        <v>MURAKAMI, Kairi</v>
      </c>
      <c r="O87" s="17" t="str">
        <f t="shared" si="5"/>
        <v>01</v>
      </c>
    </row>
    <row r="88" spans="1:15">
      <c r="A88" s="17" t="str">
        <f t="shared" si="3"/>
        <v>501000087</v>
      </c>
      <c r="B88" s="97">
        <v>87</v>
      </c>
      <c r="C88" s="97" t="s">
        <v>393</v>
      </c>
      <c r="D88" s="97" t="s">
        <v>394</v>
      </c>
      <c r="E88" s="312" t="s">
        <v>2231</v>
      </c>
      <c r="F88" s="312" t="s">
        <v>2232</v>
      </c>
      <c r="G88" s="97" t="s">
        <v>3145</v>
      </c>
      <c r="H88" s="97" t="s">
        <v>4026</v>
      </c>
      <c r="I88" s="97" t="s">
        <v>4039</v>
      </c>
      <c r="J88" s="97" t="s">
        <v>4040</v>
      </c>
      <c r="K88" s="17" t="str">
        <f>IFERROR(INDEX(競技会設定!$J$3:$O$47,MATCH(J88,競技会設定!$M$3:$M$47,0),5),"")</f>
        <v>中京大</v>
      </c>
      <c r="L88" s="17" t="str">
        <f>IFERROR(INDEX(競技会設定!$J$3:$N$47,MATCH(K88,競技会設定!$N$3:$N$47,0),2),"")</f>
        <v>492173</v>
      </c>
      <c r="M88" s="97" t="s">
        <v>3870</v>
      </c>
      <c r="N88" s="17" t="str">
        <f t="shared" si="4"/>
        <v>OKUNO, Kaoru</v>
      </c>
      <c r="O88" s="17" t="str">
        <f t="shared" si="5"/>
        <v>99</v>
      </c>
    </row>
    <row r="89" spans="1:15">
      <c r="A89" s="17" t="str">
        <f t="shared" si="3"/>
        <v>501000088</v>
      </c>
      <c r="B89" s="97">
        <v>88</v>
      </c>
      <c r="C89" s="97" t="s">
        <v>395</v>
      </c>
      <c r="D89" s="97" t="s">
        <v>396</v>
      </c>
      <c r="E89" s="312" t="s">
        <v>2233</v>
      </c>
      <c r="F89" s="312" t="s">
        <v>2234</v>
      </c>
      <c r="G89" s="97" t="s">
        <v>3146</v>
      </c>
      <c r="H89" s="97" t="s">
        <v>4026</v>
      </c>
      <c r="I89" s="97" t="s">
        <v>4039</v>
      </c>
      <c r="J89" s="97" t="s">
        <v>4040</v>
      </c>
      <c r="K89" s="17" t="str">
        <f>IFERROR(INDEX(競技会設定!$J$3:$O$47,MATCH(J89,競技会設定!$M$3:$M$47,0),5),"")</f>
        <v>中京大</v>
      </c>
      <c r="L89" s="17" t="str">
        <f>IFERROR(INDEX(競技会設定!$J$3:$N$47,MATCH(K89,競技会設定!$N$3:$N$47,0),2),"")</f>
        <v>492173</v>
      </c>
      <c r="M89" s="97" t="s">
        <v>3859</v>
      </c>
      <c r="N89" s="17" t="str">
        <f t="shared" si="4"/>
        <v>SUZUKI, Yuto</v>
      </c>
      <c r="O89" s="17" t="str">
        <f t="shared" si="5"/>
        <v>00</v>
      </c>
    </row>
    <row r="90" spans="1:15">
      <c r="A90" s="17" t="str">
        <f t="shared" si="3"/>
        <v>501000089</v>
      </c>
      <c r="B90" s="97">
        <v>89</v>
      </c>
      <c r="C90" s="97" t="s">
        <v>397</v>
      </c>
      <c r="D90" s="97" t="s">
        <v>398</v>
      </c>
      <c r="E90" s="312" t="s">
        <v>2235</v>
      </c>
      <c r="F90" s="312" t="s">
        <v>2236</v>
      </c>
      <c r="G90" s="97" t="s">
        <v>3147</v>
      </c>
      <c r="H90" s="97" t="s">
        <v>4026</v>
      </c>
      <c r="I90" s="97" t="s">
        <v>4039</v>
      </c>
      <c r="J90" s="97" t="s">
        <v>4040</v>
      </c>
      <c r="K90" s="17" t="str">
        <f>IFERROR(INDEX(競技会設定!$J$3:$O$47,MATCH(J90,競技会設定!$M$3:$M$47,0),5),"")</f>
        <v>中京大</v>
      </c>
      <c r="L90" s="17" t="str">
        <f>IFERROR(INDEX(競技会設定!$J$3:$N$47,MATCH(K90,競技会設定!$N$3:$N$47,0),2),"")</f>
        <v>492173</v>
      </c>
      <c r="M90" s="97" t="s">
        <v>3859</v>
      </c>
      <c r="N90" s="17" t="str">
        <f t="shared" si="4"/>
        <v>CHAKI, Kosuke</v>
      </c>
      <c r="O90" s="17" t="str">
        <f t="shared" si="5"/>
        <v>00</v>
      </c>
    </row>
    <row r="91" spans="1:15">
      <c r="A91" s="17" t="str">
        <f t="shared" si="3"/>
        <v>501000090</v>
      </c>
      <c r="B91" s="97">
        <v>90</v>
      </c>
      <c r="C91" s="97" t="s">
        <v>399</v>
      </c>
      <c r="D91" s="97" t="s">
        <v>400</v>
      </c>
      <c r="E91" s="312" t="s">
        <v>2237</v>
      </c>
      <c r="F91" s="312" t="s">
        <v>2238</v>
      </c>
      <c r="G91" s="97" t="s">
        <v>3148</v>
      </c>
      <c r="H91" s="97" t="s">
        <v>4026</v>
      </c>
      <c r="I91" s="97" t="s">
        <v>4039</v>
      </c>
      <c r="J91" s="97" t="s">
        <v>4040</v>
      </c>
      <c r="K91" s="17" t="str">
        <f>IFERROR(INDEX(競技会設定!$J$3:$O$47,MATCH(J91,競技会設定!$M$3:$M$47,0),5),"")</f>
        <v>中京大</v>
      </c>
      <c r="L91" s="17" t="str">
        <f>IFERROR(INDEX(競技会設定!$J$3:$N$47,MATCH(K91,競技会設定!$N$3:$N$47,0),2),"")</f>
        <v>492173</v>
      </c>
      <c r="M91" s="97" t="s">
        <v>3859</v>
      </c>
      <c r="N91" s="17" t="str">
        <f t="shared" si="4"/>
        <v xml:space="preserve">YONETANI, Haruki </v>
      </c>
      <c r="O91" s="17" t="str">
        <f t="shared" si="5"/>
        <v>00</v>
      </c>
    </row>
    <row r="92" spans="1:15">
      <c r="A92" s="17" t="str">
        <f t="shared" si="3"/>
        <v>501000091</v>
      </c>
      <c r="B92" s="97">
        <v>91</v>
      </c>
      <c r="C92" s="97" t="s">
        <v>401</v>
      </c>
      <c r="D92" s="97" t="s">
        <v>402</v>
      </c>
      <c r="E92" s="312" t="s">
        <v>2239</v>
      </c>
      <c r="F92" s="312" t="s">
        <v>2240</v>
      </c>
      <c r="G92" s="97" t="s">
        <v>3149</v>
      </c>
      <c r="H92" s="97" t="s">
        <v>4026</v>
      </c>
      <c r="I92" s="97" t="s">
        <v>4039</v>
      </c>
      <c r="J92" s="97" t="s">
        <v>4040</v>
      </c>
      <c r="K92" s="17" t="str">
        <f>IFERROR(INDEX(競技会設定!$J$3:$O$47,MATCH(J92,競技会設定!$M$3:$M$47,0),5),"")</f>
        <v>中京大</v>
      </c>
      <c r="L92" s="17" t="str">
        <f>IFERROR(INDEX(競技会設定!$J$3:$N$47,MATCH(K92,競技会設定!$N$3:$N$47,0),2),"")</f>
        <v>492173</v>
      </c>
      <c r="M92" s="97" t="s">
        <v>3859</v>
      </c>
      <c r="N92" s="17" t="str">
        <f t="shared" si="4"/>
        <v>ISOBE, Taichi</v>
      </c>
      <c r="O92" s="17" t="str">
        <f t="shared" si="5"/>
        <v>01</v>
      </c>
    </row>
    <row r="93" spans="1:15">
      <c r="A93" s="17" t="str">
        <f t="shared" si="3"/>
        <v>501000092</v>
      </c>
      <c r="B93" s="97">
        <v>92</v>
      </c>
      <c r="C93" s="97" t="s">
        <v>403</v>
      </c>
      <c r="D93" s="97" t="s">
        <v>404</v>
      </c>
      <c r="E93" s="312" t="s">
        <v>2241</v>
      </c>
      <c r="F93" s="312" t="s">
        <v>2242</v>
      </c>
      <c r="G93" s="97" t="s">
        <v>3150</v>
      </c>
      <c r="H93" s="97" t="s">
        <v>4026</v>
      </c>
      <c r="I93" s="97" t="s">
        <v>4039</v>
      </c>
      <c r="J93" s="97" t="s">
        <v>4040</v>
      </c>
      <c r="K93" s="17" t="str">
        <f>IFERROR(INDEX(競技会設定!$J$3:$O$47,MATCH(J93,競技会設定!$M$3:$M$47,0),5),"")</f>
        <v>中京大</v>
      </c>
      <c r="L93" s="17" t="str">
        <f>IFERROR(INDEX(競技会設定!$J$3:$N$47,MATCH(K93,競技会設定!$N$3:$N$47,0),2),"")</f>
        <v>492173</v>
      </c>
      <c r="M93" s="97" t="s">
        <v>3870</v>
      </c>
      <c r="N93" s="17" t="str">
        <f t="shared" si="4"/>
        <v>SAWADA, Hayato</v>
      </c>
      <c r="O93" s="17" t="str">
        <f t="shared" si="5"/>
        <v>00</v>
      </c>
    </row>
    <row r="94" spans="1:15">
      <c r="A94" s="17" t="str">
        <f t="shared" si="3"/>
        <v>501000093</v>
      </c>
      <c r="B94" s="97">
        <v>93</v>
      </c>
      <c r="C94" s="97" t="s">
        <v>405</v>
      </c>
      <c r="D94" s="97" t="s">
        <v>406</v>
      </c>
      <c r="E94" s="312" t="s">
        <v>2146</v>
      </c>
      <c r="F94" s="312" t="s">
        <v>2106</v>
      </c>
      <c r="G94" s="97" t="s">
        <v>3151</v>
      </c>
      <c r="H94" s="97" t="s">
        <v>4026</v>
      </c>
      <c r="I94" s="97" t="s">
        <v>4039</v>
      </c>
      <c r="J94" s="97" t="s">
        <v>4040</v>
      </c>
      <c r="K94" s="17" t="str">
        <f>IFERROR(INDEX(競技会設定!$J$3:$O$47,MATCH(J94,競技会設定!$M$3:$M$47,0),5),"")</f>
        <v>中京大</v>
      </c>
      <c r="L94" s="17" t="str">
        <f>IFERROR(INDEX(競技会設定!$J$3:$N$47,MATCH(K94,競技会設定!$N$3:$N$47,0),2),"")</f>
        <v>492173</v>
      </c>
      <c r="M94" s="97" t="s">
        <v>3861</v>
      </c>
      <c r="N94" s="17" t="str">
        <f t="shared" si="4"/>
        <v>HATTORI, Yusuke</v>
      </c>
      <c r="O94" s="17" t="str">
        <f t="shared" si="5"/>
        <v>00</v>
      </c>
    </row>
    <row r="95" spans="1:15">
      <c r="A95" s="17" t="str">
        <f t="shared" si="3"/>
        <v>501000094</v>
      </c>
      <c r="B95" s="97">
        <v>94</v>
      </c>
      <c r="C95" s="97" t="s">
        <v>407</v>
      </c>
      <c r="D95" s="97" t="s">
        <v>408</v>
      </c>
      <c r="E95" s="312" t="s">
        <v>2243</v>
      </c>
      <c r="F95" s="312" t="s">
        <v>2160</v>
      </c>
      <c r="G95" s="97" t="s">
        <v>3152</v>
      </c>
      <c r="H95" s="97" t="s">
        <v>4026</v>
      </c>
      <c r="I95" s="97" t="s">
        <v>4039</v>
      </c>
      <c r="J95" s="97" t="s">
        <v>4040</v>
      </c>
      <c r="K95" s="17" t="str">
        <f>IFERROR(INDEX(競技会設定!$J$3:$O$47,MATCH(J95,競技会設定!$M$3:$M$47,0),5),"")</f>
        <v>中京大</v>
      </c>
      <c r="L95" s="17" t="str">
        <f>IFERROR(INDEX(競技会設定!$J$3:$N$47,MATCH(K95,競技会設定!$N$3:$N$47,0),2),"")</f>
        <v>492173</v>
      </c>
      <c r="M95" s="97" t="s">
        <v>3826</v>
      </c>
      <c r="N95" s="17" t="str">
        <f t="shared" si="4"/>
        <v>AOKI, Kohei</v>
      </c>
      <c r="O95" s="17" t="str">
        <f t="shared" si="5"/>
        <v>00</v>
      </c>
    </row>
    <row r="96" spans="1:15">
      <c r="A96" s="17" t="str">
        <f t="shared" si="3"/>
        <v>501000095</v>
      </c>
      <c r="B96" s="97">
        <v>95</v>
      </c>
      <c r="C96" s="97" t="s">
        <v>409</v>
      </c>
      <c r="D96" s="97" t="s">
        <v>410</v>
      </c>
      <c r="E96" s="312" t="s">
        <v>2244</v>
      </c>
      <c r="F96" s="312" t="s">
        <v>2245</v>
      </c>
      <c r="G96" s="97" t="s">
        <v>3153</v>
      </c>
      <c r="H96" s="97" t="s">
        <v>4026</v>
      </c>
      <c r="I96" s="97" t="s">
        <v>4039</v>
      </c>
      <c r="J96" s="97" t="s">
        <v>4040</v>
      </c>
      <c r="K96" s="17" t="str">
        <f>IFERROR(INDEX(競技会設定!$J$3:$O$47,MATCH(J96,競技会設定!$M$3:$M$47,0),5),"")</f>
        <v>中京大</v>
      </c>
      <c r="L96" s="17" t="str">
        <f>IFERROR(INDEX(競技会設定!$J$3:$N$47,MATCH(K96,競技会設定!$N$3:$N$47,0),2),"")</f>
        <v>492173</v>
      </c>
      <c r="M96" s="97" t="s">
        <v>3859</v>
      </c>
      <c r="N96" s="17" t="str">
        <f t="shared" si="4"/>
        <v>KAWAI, Yusaku</v>
      </c>
      <c r="O96" s="17" t="str">
        <f t="shared" si="5"/>
        <v>00</v>
      </c>
    </row>
    <row r="97" spans="1:15">
      <c r="A97" s="17" t="str">
        <f t="shared" si="3"/>
        <v>501000096</v>
      </c>
      <c r="B97" s="97">
        <v>96</v>
      </c>
      <c r="C97" s="97" t="s">
        <v>411</v>
      </c>
      <c r="D97" s="97" t="s">
        <v>412</v>
      </c>
      <c r="E97" s="312" t="s">
        <v>2246</v>
      </c>
      <c r="F97" s="312" t="s">
        <v>2247</v>
      </c>
      <c r="G97" s="97" t="s">
        <v>3154</v>
      </c>
      <c r="H97" s="97" t="s">
        <v>4026</v>
      </c>
      <c r="I97" s="97" t="s">
        <v>4039</v>
      </c>
      <c r="J97" s="97" t="s">
        <v>4040</v>
      </c>
      <c r="K97" s="17" t="str">
        <f>IFERROR(INDEX(競技会設定!$J$3:$O$47,MATCH(J97,競技会設定!$M$3:$M$47,0),5),"")</f>
        <v>中京大</v>
      </c>
      <c r="L97" s="17" t="str">
        <f>IFERROR(INDEX(競技会設定!$J$3:$N$47,MATCH(K97,競技会設定!$N$3:$N$47,0),2),"")</f>
        <v>492173</v>
      </c>
      <c r="M97" s="97" t="s">
        <v>3859</v>
      </c>
      <c r="N97" s="17" t="str">
        <f t="shared" si="4"/>
        <v>SAKAKIBARA , Keigo</v>
      </c>
      <c r="O97" s="17" t="str">
        <f t="shared" si="5"/>
        <v>00</v>
      </c>
    </row>
    <row r="98" spans="1:15">
      <c r="A98" s="17" t="str">
        <f t="shared" si="3"/>
        <v>501000097</v>
      </c>
      <c r="B98" s="97">
        <v>97</v>
      </c>
      <c r="C98" s="97" t="s">
        <v>413</v>
      </c>
      <c r="D98" s="97" t="s">
        <v>414</v>
      </c>
      <c r="E98" s="312" t="s">
        <v>2126</v>
      </c>
      <c r="F98" s="312" t="s">
        <v>2248</v>
      </c>
      <c r="G98" s="97" t="s">
        <v>3155</v>
      </c>
      <c r="H98" s="97" t="s">
        <v>4026</v>
      </c>
      <c r="I98" s="97" t="s">
        <v>4039</v>
      </c>
      <c r="J98" s="97" t="s">
        <v>4040</v>
      </c>
      <c r="K98" s="17" t="str">
        <f>IFERROR(INDEX(競技会設定!$J$3:$O$47,MATCH(J98,競技会設定!$M$3:$M$47,0),5),"")</f>
        <v>中京大</v>
      </c>
      <c r="L98" s="17" t="str">
        <f>IFERROR(INDEX(競技会設定!$J$3:$N$47,MATCH(K98,競技会設定!$N$3:$N$47,0),2),"")</f>
        <v>492173</v>
      </c>
      <c r="M98" s="97" t="s">
        <v>3881</v>
      </c>
      <c r="N98" s="17" t="str">
        <f t="shared" si="4"/>
        <v>NAKAJIMA, Akinori</v>
      </c>
      <c r="O98" s="17" t="str">
        <f t="shared" si="5"/>
        <v>01</v>
      </c>
    </row>
    <row r="99" spans="1:15">
      <c r="A99" s="17" t="str">
        <f t="shared" si="3"/>
        <v>501000098</v>
      </c>
      <c r="B99" s="97">
        <v>98</v>
      </c>
      <c r="C99" s="97" t="s">
        <v>415</v>
      </c>
      <c r="D99" s="97" t="s">
        <v>416</v>
      </c>
      <c r="E99" s="312" t="s">
        <v>2249</v>
      </c>
      <c r="F99" s="312" t="s">
        <v>2141</v>
      </c>
      <c r="G99" s="97" t="s">
        <v>3156</v>
      </c>
      <c r="H99" s="97" t="s">
        <v>4026</v>
      </c>
      <c r="I99" s="97" t="s">
        <v>4039</v>
      </c>
      <c r="J99" s="97" t="s">
        <v>4040</v>
      </c>
      <c r="K99" s="17" t="str">
        <f>IFERROR(INDEX(競技会設定!$J$3:$O$47,MATCH(J99,競技会設定!$M$3:$M$47,0),5),"")</f>
        <v>中京大</v>
      </c>
      <c r="L99" s="17" t="str">
        <f>IFERROR(INDEX(競技会設定!$J$3:$N$47,MATCH(K99,競技会設定!$N$3:$N$47,0),2),"")</f>
        <v>492173</v>
      </c>
      <c r="M99" s="97" t="s">
        <v>3859</v>
      </c>
      <c r="N99" s="17" t="str">
        <f t="shared" si="4"/>
        <v>MASUDA, Tomoya</v>
      </c>
      <c r="O99" s="17" t="str">
        <f t="shared" si="5"/>
        <v>00</v>
      </c>
    </row>
    <row r="100" spans="1:15">
      <c r="A100" s="17" t="str">
        <f t="shared" si="3"/>
        <v>501000099</v>
      </c>
      <c r="B100" s="97">
        <v>99</v>
      </c>
      <c r="C100" s="97" t="s">
        <v>417</v>
      </c>
      <c r="D100" s="97" t="s">
        <v>418</v>
      </c>
      <c r="E100" s="312" t="s">
        <v>2250</v>
      </c>
      <c r="F100" s="312" t="s">
        <v>2207</v>
      </c>
      <c r="G100" s="97" t="s">
        <v>3157</v>
      </c>
      <c r="H100" s="97" t="s">
        <v>4026</v>
      </c>
      <c r="I100" s="97" t="s">
        <v>4039</v>
      </c>
      <c r="J100" s="97" t="s">
        <v>4040</v>
      </c>
      <c r="K100" s="17" t="str">
        <f>IFERROR(INDEX(競技会設定!$J$3:$O$47,MATCH(J100,競技会設定!$M$3:$M$47,0),5),"")</f>
        <v>中京大</v>
      </c>
      <c r="L100" s="17" t="str">
        <f>IFERROR(INDEX(競技会設定!$J$3:$N$47,MATCH(K100,競技会設定!$N$3:$N$47,0),2),"")</f>
        <v>492173</v>
      </c>
      <c r="M100" s="97" t="s">
        <v>3859</v>
      </c>
      <c r="N100" s="17" t="str">
        <f t="shared" si="4"/>
        <v>MISONO, Tatsuya</v>
      </c>
      <c r="O100" s="17" t="str">
        <f t="shared" si="5"/>
        <v>00</v>
      </c>
    </row>
    <row r="101" spans="1:15">
      <c r="A101" s="17" t="str">
        <f t="shared" si="3"/>
        <v>501000100</v>
      </c>
      <c r="B101" s="97">
        <v>100</v>
      </c>
      <c r="C101" s="97" t="s">
        <v>419</v>
      </c>
      <c r="D101" s="97" t="s">
        <v>420</v>
      </c>
      <c r="E101" s="312" t="s">
        <v>2251</v>
      </c>
      <c r="F101" s="312" t="s">
        <v>2252</v>
      </c>
      <c r="G101" s="97" t="s">
        <v>3158</v>
      </c>
      <c r="H101" s="97" t="s">
        <v>4026</v>
      </c>
      <c r="I101" s="97" t="s">
        <v>4039</v>
      </c>
      <c r="J101" s="97" t="s">
        <v>4040</v>
      </c>
      <c r="K101" s="17" t="str">
        <f>IFERROR(INDEX(競技会設定!$J$3:$O$47,MATCH(J101,競技会設定!$M$3:$M$47,0),5),"")</f>
        <v>中京大</v>
      </c>
      <c r="L101" s="17" t="str">
        <f>IFERROR(INDEX(競技会設定!$J$3:$N$47,MATCH(K101,競技会設定!$N$3:$N$47,0),2),"")</f>
        <v>492173</v>
      </c>
      <c r="M101" s="97" t="s">
        <v>3855</v>
      </c>
      <c r="N101" s="17" t="str">
        <f t="shared" si="4"/>
        <v>INAFUKU, Hayate</v>
      </c>
      <c r="O101" s="17" t="str">
        <f t="shared" si="5"/>
        <v>00</v>
      </c>
    </row>
    <row r="102" spans="1:15">
      <c r="A102" s="17" t="str">
        <f t="shared" si="3"/>
        <v>501000101</v>
      </c>
      <c r="B102" s="97">
        <v>101</v>
      </c>
      <c r="C102" s="97" t="s">
        <v>421</v>
      </c>
      <c r="D102" s="97" t="s">
        <v>422</v>
      </c>
      <c r="E102" s="312" t="s">
        <v>2233</v>
      </c>
      <c r="F102" s="312" t="s">
        <v>2253</v>
      </c>
      <c r="G102" s="97" t="s">
        <v>3159</v>
      </c>
      <c r="H102" s="97" t="s">
        <v>4026</v>
      </c>
      <c r="I102" s="97" t="s">
        <v>4039</v>
      </c>
      <c r="J102" s="97" t="s">
        <v>4040</v>
      </c>
      <c r="K102" s="17" t="str">
        <f>IFERROR(INDEX(競技会設定!$J$3:$O$47,MATCH(J102,競技会設定!$M$3:$M$47,0),5),"")</f>
        <v>中京大</v>
      </c>
      <c r="L102" s="17" t="str">
        <f>IFERROR(INDEX(競技会設定!$J$3:$N$47,MATCH(K102,競技会設定!$N$3:$N$47,0),2),"")</f>
        <v>492173</v>
      </c>
      <c r="M102" s="97" t="s">
        <v>3859</v>
      </c>
      <c r="N102" s="17" t="str">
        <f t="shared" si="4"/>
        <v>SUZUKI, Kentaro</v>
      </c>
      <c r="O102" s="17" t="str">
        <f t="shared" si="5"/>
        <v>00</v>
      </c>
    </row>
    <row r="103" spans="1:15">
      <c r="A103" s="17" t="str">
        <f t="shared" si="3"/>
        <v>501000102</v>
      </c>
      <c r="B103" s="97">
        <v>102</v>
      </c>
      <c r="C103" s="97" t="s">
        <v>423</v>
      </c>
      <c r="D103" s="97" t="s">
        <v>424</v>
      </c>
      <c r="E103" s="312" t="s">
        <v>2254</v>
      </c>
      <c r="F103" s="312" t="s">
        <v>2255</v>
      </c>
      <c r="G103" s="97" t="s">
        <v>3160</v>
      </c>
      <c r="H103" s="97" t="s">
        <v>4026</v>
      </c>
      <c r="I103" s="97" t="s">
        <v>4039</v>
      </c>
      <c r="J103" s="97" t="s">
        <v>4040</v>
      </c>
      <c r="K103" s="17" t="str">
        <f>IFERROR(INDEX(競技会設定!$J$3:$O$47,MATCH(J103,競技会設定!$M$3:$M$47,0),5),"")</f>
        <v>中京大</v>
      </c>
      <c r="L103" s="17" t="str">
        <f>IFERROR(INDEX(競技会設定!$J$3:$N$47,MATCH(K103,競技会設定!$N$3:$N$47,0),2),"")</f>
        <v>492173</v>
      </c>
      <c r="M103" s="97" t="s">
        <v>3859</v>
      </c>
      <c r="N103" s="17" t="str">
        <f t="shared" si="4"/>
        <v>MITSUOKA, Shohei</v>
      </c>
      <c r="O103" s="17" t="str">
        <f t="shared" si="5"/>
        <v>00</v>
      </c>
    </row>
    <row r="104" spans="1:15">
      <c r="A104" s="17" t="str">
        <f t="shared" si="3"/>
        <v>501000103</v>
      </c>
      <c r="B104" s="97">
        <v>103</v>
      </c>
      <c r="C104" s="97" t="s">
        <v>425</v>
      </c>
      <c r="D104" s="97" t="s">
        <v>426</v>
      </c>
      <c r="E104" s="312" t="s">
        <v>2206</v>
      </c>
      <c r="F104" s="312" t="s">
        <v>2256</v>
      </c>
      <c r="G104" s="97" t="s">
        <v>3161</v>
      </c>
      <c r="H104" s="97" t="s">
        <v>4026</v>
      </c>
      <c r="I104" s="97" t="s">
        <v>4039</v>
      </c>
      <c r="J104" s="97" t="s">
        <v>4040</v>
      </c>
      <c r="K104" s="17" t="str">
        <f>IFERROR(INDEX(競技会設定!$J$3:$O$47,MATCH(J104,競技会設定!$M$3:$M$47,0),5),"")</f>
        <v>中京大</v>
      </c>
      <c r="L104" s="17" t="str">
        <f>IFERROR(INDEX(競技会設定!$J$3:$N$47,MATCH(K104,競技会設定!$N$3:$N$47,0),2),"")</f>
        <v>492173</v>
      </c>
      <c r="M104" s="97" t="s">
        <v>3861</v>
      </c>
      <c r="N104" s="17" t="str">
        <f t="shared" si="4"/>
        <v>MIYAZAKI, Taketo</v>
      </c>
      <c r="O104" s="17" t="str">
        <f t="shared" si="5"/>
        <v>00</v>
      </c>
    </row>
    <row r="105" spans="1:15">
      <c r="A105" s="17" t="str">
        <f t="shared" si="3"/>
        <v>501000104</v>
      </c>
      <c r="B105" s="97">
        <v>104</v>
      </c>
      <c r="C105" s="97" t="s">
        <v>427</v>
      </c>
      <c r="D105" s="97" t="s">
        <v>428</v>
      </c>
      <c r="E105" s="312" t="s">
        <v>2257</v>
      </c>
      <c r="F105" s="312" t="s">
        <v>2258</v>
      </c>
      <c r="G105" s="97" t="s">
        <v>3162</v>
      </c>
      <c r="H105" s="97" t="s">
        <v>4026</v>
      </c>
      <c r="I105" s="97" t="s">
        <v>4039</v>
      </c>
      <c r="J105" s="97" t="s">
        <v>4040</v>
      </c>
      <c r="K105" s="17" t="str">
        <f>IFERROR(INDEX(競技会設定!$J$3:$O$47,MATCH(J105,競技会設定!$M$3:$M$47,0),5),"")</f>
        <v>中京大</v>
      </c>
      <c r="L105" s="17" t="str">
        <f>IFERROR(INDEX(競技会設定!$J$3:$N$47,MATCH(K105,競技会設定!$N$3:$N$47,0),2),"")</f>
        <v>492173</v>
      </c>
      <c r="M105" s="97" t="s">
        <v>3872</v>
      </c>
      <c r="N105" s="17" t="str">
        <f t="shared" si="4"/>
        <v>UMEDA, Sakuya</v>
      </c>
      <c r="O105" s="17" t="str">
        <f t="shared" si="5"/>
        <v>01</v>
      </c>
    </row>
    <row r="106" spans="1:15">
      <c r="A106" s="17" t="str">
        <f t="shared" si="3"/>
        <v>501000105</v>
      </c>
      <c r="B106" s="97">
        <v>105</v>
      </c>
      <c r="C106" s="97" t="s">
        <v>429</v>
      </c>
      <c r="D106" s="97" t="s">
        <v>430</v>
      </c>
      <c r="E106" s="312" t="s">
        <v>2259</v>
      </c>
      <c r="F106" s="312" t="s">
        <v>2260</v>
      </c>
      <c r="G106" s="97" t="s">
        <v>3163</v>
      </c>
      <c r="H106" s="97" t="s">
        <v>4026</v>
      </c>
      <c r="I106" s="97" t="s">
        <v>4039</v>
      </c>
      <c r="J106" s="97" t="s">
        <v>4040</v>
      </c>
      <c r="K106" s="17" t="str">
        <f>IFERROR(INDEX(競技会設定!$J$3:$O$47,MATCH(J106,競技会設定!$M$3:$M$47,0),5),"")</f>
        <v>中京大</v>
      </c>
      <c r="L106" s="17" t="str">
        <f>IFERROR(INDEX(競技会設定!$J$3:$N$47,MATCH(K106,競技会設定!$N$3:$N$47,0),2),"")</f>
        <v>492173</v>
      </c>
      <c r="M106" s="97" t="s">
        <v>3855</v>
      </c>
      <c r="N106" s="17" t="str">
        <f t="shared" si="4"/>
        <v>YAMAMOTO, Rintaro</v>
      </c>
      <c r="O106" s="17" t="str">
        <f t="shared" si="5"/>
        <v>00</v>
      </c>
    </row>
    <row r="107" spans="1:15">
      <c r="A107" s="17" t="str">
        <f t="shared" si="3"/>
        <v>501000106</v>
      </c>
      <c r="B107" s="97">
        <v>106</v>
      </c>
      <c r="C107" s="97" t="s">
        <v>431</v>
      </c>
      <c r="D107" s="97" t="s">
        <v>432</v>
      </c>
      <c r="E107" s="312" t="s">
        <v>2261</v>
      </c>
      <c r="F107" s="312" t="s">
        <v>2262</v>
      </c>
      <c r="G107" s="97" t="s">
        <v>3164</v>
      </c>
      <c r="H107" s="97" t="s">
        <v>4029</v>
      </c>
      <c r="I107" s="97" t="s">
        <v>4039</v>
      </c>
      <c r="J107" s="97" t="s">
        <v>4040</v>
      </c>
      <c r="K107" s="17" t="str">
        <f>IFERROR(INDEX(競技会設定!$J$3:$O$47,MATCH(J107,競技会設定!$M$3:$M$47,0),5),"")</f>
        <v>中京大</v>
      </c>
      <c r="L107" s="17" t="str">
        <f>IFERROR(INDEX(競技会設定!$J$3:$N$47,MATCH(K107,競技会設定!$N$3:$N$47,0),2),"")</f>
        <v>492173</v>
      </c>
      <c r="M107" s="97" t="s">
        <v>3859</v>
      </c>
      <c r="N107" s="17" t="str">
        <f t="shared" si="4"/>
        <v>ABE, Koshiro</v>
      </c>
      <c r="O107" s="17" t="str">
        <f t="shared" si="5"/>
        <v>01</v>
      </c>
    </row>
    <row r="108" spans="1:15">
      <c r="A108" s="17" t="str">
        <f t="shared" si="3"/>
        <v>501000107</v>
      </c>
      <c r="B108" s="97">
        <v>107</v>
      </c>
      <c r="C108" s="97" t="s">
        <v>433</v>
      </c>
      <c r="D108" s="97" t="s">
        <v>434</v>
      </c>
      <c r="E108" s="312" t="s">
        <v>2080</v>
      </c>
      <c r="F108" s="312" t="s">
        <v>2260</v>
      </c>
      <c r="G108" s="97" t="s">
        <v>3165</v>
      </c>
      <c r="H108" s="97" t="s">
        <v>4029</v>
      </c>
      <c r="I108" s="97" t="s">
        <v>4039</v>
      </c>
      <c r="J108" s="97" t="s">
        <v>4040</v>
      </c>
      <c r="K108" s="17" t="str">
        <f>IFERROR(INDEX(競技会設定!$J$3:$O$47,MATCH(J108,競技会設定!$M$3:$M$47,0),5),"")</f>
        <v>中京大</v>
      </c>
      <c r="L108" s="17" t="str">
        <f>IFERROR(INDEX(競技会設定!$J$3:$N$47,MATCH(K108,競技会設定!$N$3:$N$47,0),2),"")</f>
        <v>492173</v>
      </c>
      <c r="M108" s="97" t="s">
        <v>3859</v>
      </c>
      <c r="N108" s="17" t="str">
        <f t="shared" si="4"/>
        <v>UNO, Rintaro</v>
      </c>
      <c r="O108" s="17" t="str">
        <f t="shared" si="5"/>
        <v>01</v>
      </c>
    </row>
    <row r="109" spans="1:15">
      <c r="A109" s="17" t="str">
        <f t="shared" si="3"/>
        <v>501000108</v>
      </c>
      <c r="B109" s="97">
        <v>108</v>
      </c>
      <c r="C109" s="97" t="s">
        <v>435</v>
      </c>
      <c r="D109" s="97" t="s">
        <v>436</v>
      </c>
      <c r="E109" s="312" t="s">
        <v>2263</v>
      </c>
      <c r="F109" s="312" t="s">
        <v>2234</v>
      </c>
      <c r="G109" s="97" t="s">
        <v>3166</v>
      </c>
      <c r="H109" s="97" t="s">
        <v>4029</v>
      </c>
      <c r="I109" s="97" t="s">
        <v>4039</v>
      </c>
      <c r="J109" s="97" t="s">
        <v>4040</v>
      </c>
      <c r="K109" s="17" t="str">
        <f>IFERROR(INDEX(競技会設定!$J$3:$O$47,MATCH(J109,競技会設定!$M$3:$M$47,0),5),"")</f>
        <v>中京大</v>
      </c>
      <c r="L109" s="17" t="str">
        <f>IFERROR(INDEX(競技会設定!$J$3:$N$47,MATCH(K109,競技会設定!$N$3:$N$47,0),2),"")</f>
        <v>492173</v>
      </c>
      <c r="M109" s="97" t="s">
        <v>3859</v>
      </c>
      <c r="N109" s="17" t="str">
        <f t="shared" si="4"/>
        <v>KAJI , Yuto</v>
      </c>
      <c r="O109" s="17" t="str">
        <f t="shared" si="5"/>
        <v>01</v>
      </c>
    </row>
    <row r="110" spans="1:15">
      <c r="A110" s="17" t="str">
        <f t="shared" si="3"/>
        <v>501000109</v>
      </c>
      <c r="B110" s="97">
        <v>109</v>
      </c>
      <c r="C110" s="97" t="s">
        <v>437</v>
      </c>
      <c r="D110" s="97" t="s">
        <v>438</v>
      </c>
      <c r="E110" s="312" t="s">
        <v>2264</v>
      </c>
      <c r="F110" s="312" t="s">
        <v>2265</v>
      </c>
      <c r="G110" s="97" t="s">
        <v>3167</v>
      </c>
      <c r="H110" s="97" t="s">
        <v>4029</v>
      </c>
      <c r="I110" s="97" t="s">
        <v>4039</v>
      </c>
      <c r="J110" s="97" t="s">
        <v>4040</v>
      </c>
      <c r="K110" s="17" t="str">
        <f>IFERROR(INDEX(競技会設定!$J$3:$O$47,MATCH(J110,競技会設定!$M$3:$M$47,0),5),"")</f>
        <v>中京大</v>
      </c>
      <c r="L110" s="17" t="str">
        <f>IFERROR(INDEX(競技会設定!$J$3:$N$47,MATCH(K110,競技会設定!$N$3:$N$47,0),2),"")</f>
        <v>492173</v>
      </c>
      <c r="M110" s="97" t="s">
        <v>3887</v>
      </c>
      <c r="N110" s="17" t="str">
        <f t="shared" si="4"/>
        <v>KITAJIMA, Kafu</v>
      </c>
      <c r="O110" s="17" t="str">
        <f t="shared" si="5"/>
        <v>01</v>
      </c>
    </row>
    <row r="111" spans="1:15">
      <c r="A111" s="17" t="str">
        <f t="shared" si="3"/>
        <v>501000110</v>
      </c>
      <c r="B111" s="97">
        <v>110</v>
      </c>
      <c r="C111" s="97" t="s">
        <v>439</v>
      </c>
      <c r="D111" s="97" t="s">
        <v>440</v>
      </c>
      <c r="E111" s="312" t="s">
        <v>2162</v>
      </c>
      <c r="F111" s="312" t="s">
        <v>2193</v>
      </c>
      <c r="G111" s="97" t="s">
        <v>3168</v>
      </c>
      <c r="H111" s="97" t="s">
        <v>4029</v>
      </c>
      <c r="I111" s="97" t="s">
        <v>4039</v>
      </c>
      <c r="J111" s="97" t="s">
        <v>4040</v>
      </c>
      <c r="K111" s="17" t="str">
        <f>IFERROR(INDEX(競技会設定!$J$3:$O$47,MATCH(J111,競技会設定!$M$3:$M$47,0),5),"")</f>
        <v>中京大</v>
      </c>
      <c r="L111" s="17" t="str">
        <f>IFERROR(INDEX(競技会設定!$J$3:$N$47,MATCH(K111,競技会設定!$N$3:$N$47,0),2),"")</f>
        <v>492173</v>
      </c>
      <c r="M111" s="97" t="s">
        <v>3865</v>
      </c>
      <c r="N111" s="17" t="str">
        <f t="shared" si="4"/>
        <v>KOIDE, Yuta</v>
      </c>
      <c r="O111" s="17" t="str">
        <f t="shared" si="5"/>
        <v>01</v>
      </c>
    </row>
    <row r="112" spans="1:15">
      <c r="A112" s="17" t="str">
        <f t="shared" si="3"/>
        <v>501000111</v>
      </c>
      <c r="B112" s="97">
        <v>111</v>
      </c>
      <c r="C112" s="97" t="s">
        <v>441</v>
      </c>
      <c r="D112" s="97" t="s">
        <v>442</v>
      </c>
      <c r="E112" s="312" t="s">
        <v>2266</v>
      </c>
      <c r="F112" s="312" t="s">
        <v>2087</v>
      </c>
      <c r="G112" s="97" t="s">
        <v>3169</v>
      </c>
      <c r="H112" s="97" t="s">
        <v>4029</v>
      </c>
      <c r="I112" s="97" t="s">
        <v>4039</v>
      </c>
      <c r="J112" s="97" t="s">
        <v>4040</v>
      </c>
      <c r="K112" s="17" t="str">
        <f>IFERROR(INDEX(競技会設定!$J$3:$O$47,MATCH(J112,競技会設定!$M$3:$M$47,0),5),"")</f>
        <v>中京大</v>
      </c>
      <c r="L112" s="17" t="str">
        <f>IFERROR(INDEX(競技会設定!$J$3:$N$47,MATCH(K112,競技会設定!$N$3:$N$47,0),2),"")</f>
        <v>492173</v>
      </c>
      <c r="M112" s="97" t="s">
        <v>3826</v>
      </c>
      <c r="N112" s="17" t="str">
        <f t="shared" si="4"/>
        <v>KOMATSUZAWA, Shota</v>
      </c>
      <c r="O112" s="17" t="str">
        <f t="shared" si="5"/>
        <v>01</v>
      </c>
    </row>
    <row r="113" spans="1:15">
      <c r="A113" s="17" t="str">
        <f t="shared" si="3"/>
        <v>501000112</v>
      </c>
      <c r="B113" s="97">
        <v>112</v>
      </c>
      <c r="C113" s="97" t="s">
        <v>443</v>
      </c>
      <c r="D113" s="97" t="s">
        <v>444</v>
      </c>
      <c r="E113" s="312" t="s">
        <v>2267</v>
      </c>
      <c r="F113" s="312" t="s">
        <v>2268</v>
      </c>
      <c r="G113" s="97" t="s">
        <v>3170</v>
      </c>
      <c r="H113" s="97" t="s">
        <v>4029</v>
      </c>
      <c r="I113" s="97" t="s">
        <v>4039</v>
      </c>
      <c r="J113" s="97" t="s">
        <v>4040</v>
      </c>
      <c r="K113" s="17" t="str">
        <f>IFERROR(INDEX(競技会設定!$J$3:$O$47,MATCH(J113,競技会設定!$M$3:$M$47,0),5),"")</f>
        <v>中京大</v>
      </c>
      <c r="L113" s="17" t="str">
        <f>IFERROR(INDEX(競技会設定!$J$3:$N$47,MATCH(K113,競技会設定!$N$3:$N$47,0),2),"")</f>
        <v>492173</v>
      </c>
      <c r="M113" s="97" t="s">
        <v>3845</v>
      </c>
      <c r="N113" s="17" t="str">
        <f t="shared" si="4"/>
        <v>SATAKE, Makoto</v>
      </c>
      <c r="O113" s="17" t="str">
        <f t="shared" si="5"/>
        <v>01</v>
      </c>
    </row>
    <row r="114" spans="1:15">
      <c r="A114" s="17" t="str">
        <f t="shared" si="3"/>
        <v>501000113</v>
      </c>
      <c r="B114" s="97">
        <v>113</v>
      </c>
      <c r="C114" s="97" t="s">
        <v>445</v>
      </c>
      <c r="D114" s="97" t="s">
        <v>446</v>
      </c>
      <c r="E114" s="312" t="s">
        <v>2166</v>
      </c>
      <c r="F114" s="312" t="s">
        <v>2269</v>
      </c>
      <c r="G114" s="97" t="s">
        <v>3171</v>
      </c>
      <c r="H114" s="97" t="s">
        <v>4029</v>
      </c>
      <c r="I114" s="97" t="s">
        <v>4039</v>
      </c>
      <c r="J114" s="97" t="s">
        <v>4040</v>
      </c>
      <c r="K114" s="17" t="str">
        <f>IFERROR(INDEX(競技会設定!$J$3:$O$47,MATCH(J114,競技会設定!$M$3:$M$47,0),5),"")</f>
        <v>中京大</v>
      </c>
      <c r="L114" s="17" t="str">
        <f>IFERROR(INDEX(競技会設定!$J$3:$N$47,MATCH(K114,競技会設定!$N$3:$N$47,0),2),"")</f>
        <v>492173</v>
      </c>
      <c r="M114" s="97" t="s">
        <v>3859</v>
      </c>
      <c r="N114" s="17" t="str">
        <f t="shared" si="4"/>
        <v>SATO, Yoshiki</v>
      </c>
      <c r="O114" s="17" t="str">
        <f t="shared" si="5"/>
        <v>02</v>
      </c>
    </row>
    <row r="115" spans="1:15">
      <c r="A115" s="17" t="str">
        <f t="shared" si="3"/>
        <v>501000114</v>
      </c>
      <c r="B115" s="97">
        <v>114</v>
      </c>
      <c r="C115" s="97" t="s">
        <v>447</v>
      </c>
      <c r="D115" s="97" t="s">
        <v>448</v>
      </c>
      <c r="E115" s="312" t="s">
        <v>2270</v>
      </c>
      <c r="F115" s="312" t="s">
        <v>2209</v>
      </c>
      <c r="G115" s="97" t="s">
        <v>3172</v>
      </c>
      <c r="H115" s="97" t="s">
        <v>4029</v>
      </c>
      <c r="I115" s="97" t="s">
        <v>4039</v>
      </c>
      <c r="J115" s="97" t="s">
        <v>4040</v>
      </c>
      <c r="K115" s="17" t="str">
        <f>IFERROR(INDEX(競技会設定!$J$3:$O$47,MATCH(J115,競技会設定!$M$3:$M$47,0),5),"")</f>
        <v>中京大</v>
      </c>
      <c r="L115" s="17" t="str">
        <f>IFERROR(INDEX(競技会設定!$J$3:$N$47,MATCH(K115,競技会設定!$N$3:$N$47,0),2),"")</f>
        <v>492173</v>
      </c>
      <c r="M115" s="97" t="s">
        <v>3859</v>
      </c>
      <c r="N115" s="17" t="str">
        <f t="shared" si="4"/>
        <v>NAGAI, Shoma</v>
      </c>
      <c r="O115" s="17" t="str">
        <f t="shared" si="5"/>
        <v>01</v>
      </c>
    </row>
    <row r="116" spans="1:15">
      <c r="A116" s="17" t="str">
        <f t="shared" si="3"/>
        <v>501000115</v>
      </c>
      <c r="B116" s="97">
        <v>115</v>
      </c>
      <c r="C116" s="97" t="s">
        <v>449</v>
      </c>
      <c r="D116" s="97" t="s">
        <v>450</v>
      </c>
      <c r="E116" s="312" t="s">
        <v>2271</v>
      </c>
      <c r="F116" s="312" t="s">
        <v>2272</v>
      </c>
      <c r="G116" s="97" t="s">
        <v>3173</v>
      </c>
      <c r="H116" s="97" t="s">
        <v>4029</v>
      </c>
      <c r="I116" s="97" t="s">
        <v>4039</v>
      </c>
      <c r="J116" s="97" t="s">
        <v>4040</v>
      </c>
      <c r="K116" s="17" t="str">
        <f>IFERROR(INDEX(競技会設定!$J$3:$O$47,MATCH(J116,競技会設定!$M$3:$M$47,0),5),"")</f>
        <v>中京大</v>
      </c>
      <c r="L116" s="17" t="str">
        <f>IFERROR(INDEX(競技会設定!$J$3:$N$47,MATCH(K116,競技会設定!$N$3:$N$47,0),2),"")</f>
        <v>492173</v>
      </c>
      <c r="M116" s="97" t="s">
        <v>3857</v>
      </c>
      <c r="N116" s="17" t="str">
        <f t="shared" si="4"/>
        <v>HARA, Takumi</v>
      </c>
      <c r="O116" s="17" t="str">
        <f t="shared" si="5"/>
        <v>01</v>
      </c>
    </row>
    <row r="117" spans="1:15">
      <c r="A117" s="17" t="str">
        <f t="shared" si="3"/>
        <v>501000116</v>
      </c>
      <c r="B117" s="97">
        <v>116</v>
      </c>
      <c r="C117" s="97" t="s">
        <v>451</v>
      </c>
      <c r="D117" s="97" t="s">
        <v>452</v>
      </c>
      <c r="E117" s="312" t="s">
        <v>2273</v>
      </c>
      <c r="F117" s="312" t="s">
        <v>2153</v>
      </c>
      <c r="G117" s="97" t="s">
        <v>3174</v>
      </c>
      <c r="H117" s="97" t="s">
        <v>4029</v>
      </c>
      <c r="I117" s="97" t="s">
        <v>4039</v>
      </c>
      <c r="J117" s="97" t="s">
        <v>4040</v>
      </c>
      <c r="K117" s="17" t="str">
        <f>IFERROR(INDEX(競技会設定!$J$3:$O$47,MATCH(J117,競技会設定!$M$3:$M$47,0),5),"")</f>
        <v>中京大</v>
      </c>
      <c r="L117" s="17" t="str">
        <f>IFERROR(INDEX(競技会設定!$J$3:$N$47,MATCH(K117,競技会設定!$N$3:$N$47,0),2),"")</f>
        <v>492173</v>
      </c>
      <c r="M117" s="97" t="s">
        <v>3870</v>
      </c>
      <c r="N117" s="17" t="str">
        <f t="shared" si="4"/>
        <v>TAKAMATSU, Kota</v>
      </c>
      <c r="O117" s="17" t="str">
        <f t="shared" si="5"/>
        <v>02</v>
      </c>
    </row>
    <row r="118" spans="1:15">
      <c r="A118" s="17" t="str">
        <f t="shared" si="3"/>
        <v>501000117</v>
      </c>
      <c r="B118" s="97">
        <v>117</v>
      </c>
      <c r="C118" s="97" t="s">
        <v>453</v>
      </c>
      <c r="D118" s="97" t="s">
        <v>454</v>
      </c>
      <c r="E118" s="312" t="s">
        <v>2274</v>
      </c>
      <c r="F118" s="312" t="s">
        <v>2275</v>
      </c>
      <c r="G118" s="97" t="s">
        <v>3175</v>
      </c>
      <c r="H118" s="97" t="s">
        <v>4029</v>
      </c>
      <c r="I118" s="97" t="s">
        <v>4039</v>
      </c>
      <c r="J118" s="97" t="s">
        <v>4040</v>
      </c>
      <c r="K118" s="17" t="str">
        <f>IFERROR(INDEX(競技会設定!$J$3:$O$47,MATCH(J118,競技会設定!$M$3:$M$47,0),5),"")</f>
        <v>中京大</v>
      </c>
      <c r="L118" s="17" t="str">
        <f>IFERROR(INDEX(競技会設定!$J$3:$N$47,MATCH(K118,競技会設定!$N$3:$N$47,0),2),"")</f>
        <v>492173</v>
      </c>
      <c r="M118" s="97" t="s">
        <v>3863</v>
      </c>
      <c r="N118" s="17" t="str">
        <f t="shared" si="4"/>
        <v>TERASAKI, Takayoshi</v>
      </c>
      <c r="O118" s="17" t="str">
        <f t="shared" si="5"/>
        <v>02</v>
      </c>
    </row>
    <row r="119" spans="1:15">
      <c r="A119" s="17" t="str">
        <f t="shared" si="3"/>
        <v>501000118</v>
      </c>
      <c r="B119" s="97">
        <v>118</v>
      </c>
      <c r="C119" s="97" t="s">
        <v>455</v>
      </c>
      <c r="D119" s="97" t="s">
        <v>456</v>
      </c>
      <c r="E119" s="312" t="s">
        <v>2276</v>
      </c>
      <c r="F119" s="312" t="s">
        <v>2277</v>
      </c>
      <c r="G119" s="97" t="s">
        <v>3176</v>
      </c>
      <c r="H119" s="97" t="s">
        <v>4029</v>
      </c>
      <c r="I119" s="97" t="s">
        <v>4039</v>
      </c>
      <c r="J119" s="97" t="s">
        <v>4040</v>
      </c>
      <c r="K119" s="17" t="str">
        <f>IFERROR(INDEX(競技会設定!$J$3:$O$47,MATCH(J119,競技会設定!$M$3:$M$47,0),5),"")</f>
        <v>中京大</v>
      </c>
      <c r="L119" s="17" t="str">
        <f>IFERROR(INDEX(競技会設定!$J$3:$N$47,MATCH(K119,競技会設定!$N$3:$N$47,0),2),"")</f>
        <v>492173</v>
      </c>
      <c r="M119" s="97" t="s">
        <v>3861</v>
      </c>
      <c r="N119" s="17" t="str">
        <f t="shared" si="4"/>
        <v>YAMAKAWA, Koshin</v>
      </c>
      <c r="O119" s="17" t="str">
        <f t="shared" si="5"/>
        <v>01</v>
      </c>
    </row>
    <row r="120" spans="1:15">
      <c r="A120" s="17" t="str">
        <f t="shared" si="3"/>
        <v>501000119</v>
      </c>
      <c r="B120" s="97">
        <v>119</v>
      </c>
      <c r="C120" s="97" t="s">
        <v>457</v>
      </c>
      <c r="D120" s="97" t="s">
        <v>458</v>
      </c>
      <c r="E120" s="312" t="s">
        <v>2278</v>
      </c>
      <c r="F120" s="312" t="s">
        <v>2279</v>
      </c>
      <c r="G120" s="97" t="s">
        <v>3177</v>
      </c>
      <c r="H120" s="97" t="s">
        <v>4025</v>
      </c>
      <c r="I120" s="97" t="s">
        <v>4039</v>
      </c>
      <c r="J120" s="97" t="s">
        <v>4041</v>
      </c>
      <c r="K120" s="17" t="str">
        <f>IFERROR(INDEX(競技会設定!$J$3:$O$47,MATCH(J120,競技会設定!$M$3:$M$47,0),5),"")</f>
        <v>愛知医科大</v>
      </c>
      <c r="L120" s="17" t="str">
        <f>IFERROR(INDEX(競技会設定!$J$3:$N$47,MATCH(K120,競技会設定!$N$3:$N$47,0),2),"")</f>
        <v>492166</v>
      </c>
      <c r="M120" s="97" t="s">
        <v>3859</v>
      </c>
      <c r="N120" s="17" t="str">
        <f t="shared" si="4"/>
        <v>FUZISAWA, Kenichi</v>
      </c>
      <c r="O120" s="17" t="str">
        <f t="shared" si="5"/>
        <v>96</v>
      </c>
    </row>
    <row r="121" spans="1:15">
      <c r="A121" s="17" t="str">
        <f t="shared" si="3"/>
        <v>501000120</v>
      </c>
      <c r="B121" s="97">
        <v>120</v>
      </c>
      <c r="C121" s="97" t="s">
        <v>459</v>
      </c>
      <c r="D121" s="97" t="s">
        <v>460</v>
      </c>
      <c r="E121" s="312" t="s">
        <v>2280</v>
      </c>
      <c r="F121" s="312" t="s">
        <v>2081</v>
      </c>
      <c r="G121" s="97" t="s">
        <v>3178</v>
      </c>
      <c r="H121" s="97" t="s">
        <v>4025</v>
      </c>
      <c r="I121" s="97" t="s">
        <v>4039</v>
      </c>
      <c r="J121" s="97" t="s">
        <v>4042</v>
      </c>
      <c r="K121" s="17" t="str">
        <f>IFERROR(INDEX(競技会設定!$J$3:$O$47,MATCH(J121,競技会設定!$M$3:$M$47,0),5),"")</f>
        <v>愛知学院大</v>
      </c>
      <c r="L121" s="17" t="str">
        <f>IFERROR(INDEX(競技会設定!$J$3:$N$47,MATCH(K121,競技会設定!$N$3:$N$47,0),2),"")</f>
        <v>492167</v>
      </c>
      <c r="M121" s="97" t="s">
        <v>3859</v>
      </c>
      <c r="N121" s="17" t="str">
        <f t="shared" si="4"/>
        <v>TANIKAWA, Tomoki</v>
      </c>
      <c r="O121" s="17" t="str">
        <f t="shared" si="5"/>
        <v>98</v>
      </c>
    </row>
    <row r="122" spans="1:15">
      <c r="A122" s="17" t="str">
        <f t="shared" si="3"/>
        <v>501000121</v>
      </c>
      <c r="B122" s="97">
        <v>121</v>
      </c>
      <c r="C122" s="97" t="s">
        <v>461</v>
      </c>
      <c r="D122" s="97" t="s">
        <v>462</v>
      </c>
      <c r="E122" s="312" t="s">
        <v>2281</v>
      </c>
      <c r="F122" s="312" t="s">
        <v>2184</v>
      </c>
      <c r="G122" s="97" t="s">
        <v>3179</v>
      </c>
      <c r="H122" s="97" t="s">
        <v>4025</v>
      </c>
      <c r="I122" s="97" t="s">
        <v>4039</v>
      </c>
      <c r="J122" s="97" t="s">
        <v>4042</v>
      </c>
      <c r="K122" s="17" t="str">
        <f>IFERROR(INDEX(競技会設定!$J$3:$O$47,MATCH(J122,競技会設定!$M$3:$M$47,0),5),"")</f>
        <v>愛知学院大</v>
      </c>
      <c r="L122" s="17" t="str">
        <f>IFERROR(INDEX(競技会設定!$J$3:$N$47,MATCH(K122,競技会設定!$N$3:$N$47,0),2),"")</f>
        <v>492167</v>
      </c>
      <c r="M122" s="97" t="s">
        <v>3859</v>
      </c>
      <c r="N122" s="17" t="str">
        <f t="shared" si="4"/>
        <v>OKAMURA, Taisei</v>
      </c>
      <c r="O122" s="17" t="str">
        <f t="shared" si="5"/>
        <v>98</v>
      </c>
    </row>
    <row r="123" spans="1:15">
      <c r="A123" s="17" t="str">
        <f t="shared" si="3"/>
        <v>501000122</v>
      </c>
      <c r="B123" s="97">
        <v>122</v>
      </c>
      <c r="C123" s="97" t="s">
        <v>463</v>
      </c>
      <c r="D123" s="97" t="s">
        <v>464</v>
      </c>
      <c r="E123" s="312" t="s">
        <v>2259</v>
      </c>
      <c r="F123" s="312" t="s">
        <v>2282</v>
      </c>
      <c r="G123" s="97" t="s">
        <v>3180</v>
      </c>
      <c r="H123" s="97" t="s">
        <v>4025</v>
      </c>
      <c r="I123" s="97" t="s">
        <v>4039</v>
      </c>
      <c r="J123" s="97" t="s">
        <v>4042</v>
      </c>
      <c r="K123" s="17" t="str">
        <f>IFERROR(INDEX(競技会設定!$J$3:$O$47,MATCH(J123,競技会設定!$M$3:$M$47,0),5),"")</f>
        <v>愛知学院大</v>
      </c>
      <c r="L123" s="17" t="str">
        <f>IFERROR(INDEX(競技会設定!$J$3:$N$47,MATCH(K123,競技会設定!$N$3:$N$47,0),2),"")</f>
        <v>492167</v>
      </c>
      <c r="M123" s="97" t="s">
        <v>3859</v>
      </c>
      <c r="N123" s="17" t="str">
        <f t="shared" si="4"/>
        <v>YAMAMOTO, Keisyu</v>
      </c>
      <c r="O123" s="17" t="str">
        <f t="shared" si="5"/>
        <v>98</v>
      </c>
    </row>
    <row r="124" spans="1:15">
      <c r="A124" s="17" t="str">
        <f t="shared" si="3"/>
        <v>501000123</v>
      </c>
      <c r="B124" s="97">
        <v>123</v>
      </c>
      <c r="C124" s="97" t="s">
        <v>465</v>
      </c>
      <c r="D124" s="97" t="s">
        <v>466</v>
      </c>
      <c r="E124" s="312" t="s">
        <v>2103</v>
      </c>
      <c r="F124" s="312" t="s">
        <v>2283</v>
      </c>
      <c r="G124" s="97" t="s">
        <v>3181</v>
      </c>
      <c r="H124" s="97" t="s">
        <v>4025</v>
      </c>
      <c r="I124" s="97" t="s">
        <v>4039</v>
      </c>
      <c r="J124" s="97" t="s">
        <v>4042</v>
      </c>
      <c r="K124" s="17" t="str">
        <f>IFERROR(INDEX(競技会設定!$J$3:$O$47,MATCH(J124,競技会設定!$M$3:$M$47,0),5),"")</f>
        <v>愛知学院大</v>
      </c>
      <c r="L124" s="17" t="str">
        <f>IFERROR(INDEX(競技会設定!$J$3:$N$47,MATCH(K124,競技会設定!$N$3:$N$47,0),2),"")</f>
        <v>492167</v>
      </c>
      <c r="M124" s="97" t="s">
        <v>3859</v>
      </c>
      <c r="N124" s="17" t="str">
        <f t="shared" si="4"/>
        <v>KODAMA, Kazu</v>
      </c>
      <c r="O124" s="17" t="str">
        <f t="shared" si="5"/>
        <v>98</v>
      </c>
    </row>
    <row r="125" spans="1:15">
      <c r="A125" s="17" t="str">
        <f t="shared" si="3"/>
        <v>501000124</v>
      </c>
      <c r="B125" s="97">
        <v>124</v>
      </c>
      <c r="C125" s="97" t="s">
        <v>467</v>
      </c>
      <c r="D125" s="97" t="s">
        <v>468</v>
      </c>
      <c r="E125" s="312" t="s">
        <v>2082</v>
      </c>
      <c r="F125" s="312" t="s">
        <v>2284</v>
      </c>
      <c r="G125" s="97" t="s">
        <v>3182</v>
      </c>
      <c r="H125" s="97" t="s">
        <v>4024</v>
      </c>
      <c r="I125" s="97" t="s">
        <v>4039</v>
      </c>
      <c r="J125" s="97" t="s">
        <v>4042</v>
      </c>
      <c r="K125" s="17" t="str">
        <f>IFERROR(INDEX(競技会設定!$J$3:$O$47,MATCH(J125,競技会設定!$M$3:$M$47,0),5),"")</f>
        <v>愛知学院大</v>
      </c>
      <c r="L125" s="17" t="str">
        <f>IFERROR(INDEX(競技会設定!$J$3:$N$47,MATCH(K125,競技会設定!$N$3:$N$47,0),2),"")</f>
        <v>492167</v>
      </c>
      <c r="M125" s="97" t="s">
        <v>3859</v>
      </c>
      <c r="N125" s="17" t="str">
        <f t="shared" si="4"/>
        <v>ITO, Yuri</v>
      </c>
      <c r="O125" s="17" t="str">
        <f t="shared" si="5"/>
        <v>99</v>
      </c>
    </row>
    <row r="126" spans="1:15">
      <c r="A126" s="17" t="str">
        <f t="shared" si="3"/>
        <v>501000125</v>
      </c>
      <c r="B126" s="97">
        <v>125</v>
      </c>
      <c r="C126" s="97" t="s">
        <v>469</v>
      </c>
      <c r="D126" s="97" t="s">
        <v>470</v>
      </c>
      <c r="E126" s="312" t="s">
        <v>2285</v>
      </c>
      <c r="F126" s="312" t="s">
        <v>2286</v>
      </c>
      <c r="G126" s="97" t="s">
        <v>3183</v>
      </c>
      <c r="H126" s="97" t="s">
        <v>4024</v>
      </c>
      <c r="I126" s="97" t="s">
        <v>4039</v>
      </c>
      <c r="J126" s="97" t="s">
        <v>4042</v>
      </c>
      <c r="K126" s="17" t="str">
        <f>IFERROR(INDEX(競技会設定!$J$3:$O$47,MATCH(J126,競技会設定!$M$3:$M$47,0),5),"")</f>
        <v>愛知学院大</v>
      </c>
      <c r="L126" s="17" t="str">
        <f>IFERROR(INDEX(競技会設定!$J$3:$N$47,MATCH(K126,競技会設定!$N$3:$N$47,0),2),"")</f>
        <v>492167</v>
      </c>
      <c r="M126" s="97" t="s">
        <v>3857</v>
      </c>
      <c r="N126" s="17" t="str">
        <f t="shared" si="4"/>
        <v>SAKURAI, Naoki</v>
      </c>
      <c r="O126" s="17" t="str">
        <f t="shared" si="5"/>
        <v>99</v>
      </c>
    </row>
    <row r="127" spans="1:15">
      <c r="A127" s="17" t="str">
        <f t="shared" si="3"/>
        <v>501000126</v>
      </c>
      <c r="B127" s="97">
        <v>126</v>
      </c>
      <c r="C127" s="97" t="s">
        <v>471</v>
      </c>
      <c r="D127" s="97" t="s">
        <v>472</v>
      </c>
      <c r="E127" s="312" t="s">
        <v>2287</v>
      </c>
      <c r="F127" s="312" t="s">
        <v>2193</v>
      </c>
      <c r="G127" s="97" t="s">
        <v>3184</v>
      </c>
      <c r="H127" s="97" t="s">
        <v>4024</v>
      </c>
      <c r="I127" s="97" t="s">
        <v>4039</v>
      </c>
      <c r="J127" s="97" t="s">
        <v>4042</v>
      </c>
      <c r="K127" s="17" t="str">
        <f>IFERROR(INDEX(競技会設定!$J$3:$O$47,MATCH(J127,競技会設定!$M$3:$M$47,0),5),"")</f>
        <v>愛知学院大</v>
      </c>
      <c r="L127" s="17" t="str">
        <f>IFERROR(INDEX(競技会設定!$J$3:$N$47,MATCH(K127,競技会設定!$N$3:$N$47,0),2),"")</f>
        <v>492167</v>
      </c>
      <c r="M127" s="97" t="s">
        <v>3855</v>
      </c>
      <c r="N127" s="17" t="str">
        <f t="shared" si="4"/>
        <v>KAJIWARA, Yuta</v>
      </c>
      <c r="O127" s="17" t="str">
        <f t="shared" si="5"/>
        <v>99</v>
      </c>
    </row>
    <row r="128" spans="1:15">
      <c r="A128" s="17" t="str">
        <f t="shared" si="3"/>
        <v>501000127</v>
      </c>
      <c r="B128" s="97">
        <v>127</v>
      </c>
      <c r="C128" s="97" t="s">
        <v>473</v>
      </c>
      <c r="D128" s="97" t="s">
        <v>474</v>
      </c>
      <c r="E128" s="312" t="s">
        <v>2288</v>
      </c>
      <c r="F128" s="312" t="s">
        <v>2203</v>
      </c>
      <c r="G128" s="97" t="s">
        <v>3185</v>
      </c>
      <c r="H128" s="97" t="s">
        <v>4024</v>
      </c>
      <c r="I128" s="97" t="s">
        <v>4039</v>
      </c>
      <c r="J128" s="97" t="s">
        <v>4042</v>
      </c>
      <c r="K128" s="17" t="str">
        <f>IFERROR(INDEX(競技会設定!$J$3:$O$47,MATCH(J128,競技会設定!$M$3:$M$47,0),5),"")</f>
        <v>愛知学院大</v>
      </c>
      <c r="L128" s="17" t="str">
        <f>IFERROR(INDEX(競技会設定!$J$3:$N$47,MATCH(K128,競技会設定!$N$3:$N$47,0),2),"")</f>
        <v>492167</v>
      </c>
      <c r="M128" s="97" t="s">
        <v>3859</v>
      </c>
      <c r="N128" s="17" t="str">
        <f t="shared" si="4"/>
        <v>ISHIDA, Daichi</v>
      </c>
      <c r="O128" s="17" t="str">
        <f t="shared" si="5"/>
        <v>99</v>
      </c>
    </row>
    <row r="129" spans="1:15">
      <c r="A129" s="17" t="str">
        <f t="shared" si="3"/>
        <v>501000128</v>
      </c>
      <c r="B129" s="97">
        <v>128</v>
      </c>
      <c r="C129" s="97" t="s">
        <v>475</v>
      </c>
      <c r="D129" s="97" t="s">
        <v>476</v>
      </c>
      <c r="E129" s="312" t="s">
        <v>2233</v>
      </c>
      <c r="F129" s="312" t="s">
        <v>2289</v>
      </c>
      <c r="G129" s="97" t="s">
        <v>3186</v>
      </c>
      <c r="H129" s="97" t="s">
        <v>4024</v>
      </c>
      <c r="I129" s="97" t="s">
        <v>4039</v>
      </c>
      <c r="J129" s="97" t="s">
        <v>4042</v>
      </c>
      <c r="K129" s="17" t="str">
        <f>IFERROR(INDEX(競技会設定!$J$3:$O$47,MATCH(J129,競技会設定!$M$3:$M$47,0),5),"")</f>
        <v>愛知学院大</v>
      </c>
      <c r="L129" s="17" t="str">
        <f>IFERROR(INDEX(競技会設定!$J$3:$N$47,MATCH(K129,競技会設定!$N$3:$N$47,0),2),"")</f>
        <v>492167</v>
      </c>
      <c r="M129" s="97" t="s">
        <v>3859</v>
      </c>
      <c r="N129" s="17" t="str">
        <f t="shared" si="4"/>
        <v>SUZUKI, Asuka</v>
      </c>
      <c r="O129" s="17" t="str">
        <f t="shared" si="5"/>
        <v>99</v>
      </c>
    </row>
    <row r="130" spans="1:15">
      <c r="A130" s="17" t="str">
        <f t="shared" si="3"/>
        <v>501000129</v>
      </c>
      <c r="B130" s="97">
        <v>129</v>
      </c>
      <c r="C130" s="97" t="s">
        <v>477</v>
      </c>
      <c r="D130" s="97" t="s">
        <v>478</v>
      </c>
      <c r="E130" s="312" t="s">
        <v>2113</v>
      </c>
      <c r="F130" s="312" t="s">
        <v>2087</v>
      </c>
      <c r="G130" s="97" t="s">
        <v>3187</v>
      </c>
      <c r="H130" s="97" t="s">
        <v>4024</v>
      </c>
      <c r="I130" s="97" t="s">
        <v>4039</v>
      </c>
      <c r="J130" s="97" t="s">
        <v>4042</v>
      </c>
      <c r="K130" s="17" t="str">
        <f>IFERROR(INDEX(競技会設定!$J$3:$O$47,MATCH(J130,競技会設定!$M$3:$M$47,0),5),"")</f>
        <v>愛知学院大</v>
      </c>
      <c r="L130" s="17" t="str">
        <f>IFERROR(INDEX(競技会設定!$J$3:$N$47,MATCH(K130,競技会設定!$N$3:$N$47,0),2),"")</f>
        <v>492167</v>
      </c>
      <c r="M130" s="97" t="s">
        <v>3859</v>
      </c>
      <c r="N130" s="17" t="str">
        <f t="shared" si="4"/>
        <v>MIZUNO, Shota</v>
      </c>
      <c r="O130" s="17" t="str">
        <f t="shared" si="5"/>
        <v>99</v>
      </c>
    </row>
    <row r="131" spans="1:15">
      <c r="A131" s="17" t="str">
        <f t="shared" ref="A131:A194" si="6">IF(B131="","","501"&amp;TEXT(B131,"000000"))</f>
        <v>501000130</v>
      </c>
      <c r="B131" s="97">
        <v>130</v>
      </c>
      <c r="C131" s="97" t="s">
        <v>479</v>
      </c>
      <c r="D131" s="97" t="s">
        <v>480</v>
      </c>
      <c r="E131" s="312" t="s">
        <v>2107</v>
      </c>
      <c r="F131" s="312" t="s">
        <v>2290</v>
      </c>
      <c r="G131" s="97" t="s">
        <v>3188</v>
      </c>
      <c r="H131" s="97" t="s">
        <v>4024</v>
      </c>
      <c r="I131" s="97" t="s">
        <v>4039</v>
      </c>
      <c r="J131" s="97" t="s">
        <v>4042</v>
      </c>
      <c r="K131" s="17" t="str">
        <f>IFERROR(INDEX(競技会設定!$J$3:$O$47,MATCH(J131,競技会設定!$M$3:$M$47,0),5),"")</f>
        <v>愛知学院大</v>
      </c>
      <c r="L131" s="17" t="str">
        <f>IFERROR(INDEX(競技会設定!$J$3:$N$47,MATCH(K131,競技会設定!$N$3:$N$47,0),2),"")</f>
        <v>492167</v>
      </c>
      <c r="M131" s="97" t="s">
        <v>3859</v>
      </c>
      <c r="N131" s="17" t="str">
        <f t="shared" ref="N131:N194" si="7">IF(E131="","",E131&amp;", "&amp;F131)</f>
        <v>NOMURA, Shinsuke</v>
      </c>
      <c r="O131" s="17" t="str">
        <f t="shared" ref="O131:O194" si="8">IFERROR(TEXT(INT(LEFT(G131,2)),"00"),"")</f>
        <v>99</v>
      </c>
    </row>
    <row r="132" spans="1:15">
      <c r="A132" s="17" t="str">
        <f t="shared" si="6"/>
        <v>501000131</v>
      </c>
      <c r="B132" s="97">
        <v>131</v>
      </c>
      <c r="C132" s="97" t="s">
        <v>481</v>
      </c>
      <c r="D132" s="97" t="s">
        <v>482</v>
      </c>
      <c r="E132" s="312" t="s">
        <v>2288</v>
      </c>
      <c r="F132" s="312" t="s">
        <v>2291</v>
      </c>
      <c r="G132" s="97" t="s">
        <v>3189</v>
      </c>
      <c r="H132" s="97" t="s">
        <v>4024</v>
      </c>
      <c r="I132" s="97" t="s">
        <v>4039</v>
      </c>
      <c r="J132" s="97" t="s">
        <v>4042</v>
      </c>
      <c r="K132" s="17" t="str">
        <f>IFERROR(INDEX(競技会設定!$J$3:$O$47,MATCH(J132,競技会設定!$M$3:$M$47,0),5),"")</f>
        <v>愛知学院大</v>
      </c>
      <c r="L132" s="17" t="str">
        <f>IFERROR(INDEX(競技会設定!$J$3:$N$47,MATCH(K132,競技会設定!$N$3:$N$47,0),2),"")</f>
        <v>492167</v>
      </c>
      <c r="M132" s="97" t="s">
        <v>3855</v>
      </c>
      <c r="N132" s="17" t="str">
        <f t="shared" si="7"/>
        <v>ISHIDA, Kakeru</v>
      </c>
      <c r="O132" s="17" t="str">
        <f t="shared" si="8"/>
        <v>99</v>
      </c>
    </row>
    <row r="133" spans="1:15">
      <c r="A133" s="17" t="str">
        <f t="shared" si="6"/>
        <v>501000132</v>
      </c>
      <c r="B133" s="97">
        <v>132</v>
      </c>
      <c r="C133" s="97" t="s">
        <v>483</v>
      </c>
      <c r="D133" s="97" t="s">
        <v>484</v>
      </c>
      <c r="E133" s="312" t="s">
        <v>2292</v>
      </c>
      <c r="F133" s="312" t="s">
        <v>2293</v>
      </c>
      <c r="G133" s="97" t="s">
        <v>3190</v>
      </c>
      <c r="H133" s="97" t="s">
        <v>4024</v>
      </c>
      <c r="I133" s="97" t="s">
        <v>4039</v>
      </c>
      <c r="J133" s="97" t="s">
        <v>4042</v>
      </c>
      <c r="K133" s="17" t="str">
        <f>IFERROR(INDEX(競技会設定!$J$3:$O$47,MATCH(J133,競技会設定!$M$3:$M$47,0),5),"")</f>
        <v>愛知学院大</v>
      </c>
      <c r="L133" s="17" t="str">
        <f>IFERROR(INDEX(競技会設定!$J$3:$N$47,MATCH(K133,競技会設定!$N$3:$N$47,0),2),"")</f>
        <v>492167</v>
      </c>
      <c r="M133" s="97" t="s">
        <v>3857</v>
      </c>
      <c r="N133" s="17" t="str">
        <f t="shared" si="7"/>
        <v>TSUTSUMI, Koki</v>
      </c>
      <c r="O133" s="17" t="str">
        <f t="shared" si="8"/>
        <v>99</v>
      </c>
    </row>
    <row r="134" spans="1:15">
      <c r="A134" s="17" t="str">
        <f t="shared" si="6"/>
        <v>501000133</v>
      </c>
      <c r="B134" s="97">
        <v>133</v>
      </c>
      <c r="C134" s="97" t="s">
        <v>485</v>
      </c>
      <c r="D134" s="97" t="s">
        <v>486</v>
      </c>
      <c r="E134" s="312" t="s">
        <v>2294</v>
      </c>
      <c r="F134" s="312" t="s">
        <v>2153</v>
      </c>
      <c r="G134" s="97" t="s">
        <v>3191</v>
      </c>
      <c r="H134" s="97" t="s">
        <v>4024</v>
      </c>
      <c r="I134" s="97" t="s">
        <v>4039</v>
      </c>
      <c r="J134" s="97" t="s">
        <v>4042</v>
      </c>
      <c r="K134" s="17" t="str">
        <f>IFERROR(INDEX(競技会設定!$J$3:$O$47,MATCH(J134,競技会設定!$M$3:$M$47,0),5),"")</f>
        <v>愛知学院大</v>
      </c>
      <c r="L134" s="17" t="str">
        <f>IFERROR(INDEX(競技会設定!$J$3:$N$47,MATCH(K134,競技会設定!$N$3:$N$47,0),2),"")</f>
        <v>492167</v>
      </c>
      <c r="M134" s="97" t="s">
        <v>3859</v>
      </c>
      <c r="N134" s="17" t="str">
        <f t="shared" si="7"/>
        <v>AOYAMA, Kota</v>
      </c>
      <c r="O134" s="17" t="str">
        <f t="shared" si="8"/>
        <v>99</v>
      </c>
    </row>
    <row r="135" spans="1:15">
      <c r="A135" s="17" t="str">
        <f t="shared" si="6"/>
        <v>501000134</v>
      </c>
      <c r="B135" s="97">
        <v>134</v>
      </c>
      <c r="C135" s="97" t="s">
        <v>487</v>
      </c>
      <c r="D135" s="97" t="s">
        <v>488</v>
      </c>
      <c r="E135" s="312" t="s">
        <v>2295</v>
      </c>
      <c r="F135" s="312" t="s">
        <v>2296</v>
      </c>
      <c r="G135" s="97" t="s">
        <v>3192</v>
      </c>
      <c r="H135" s="97" t="s">
        <v>4024</v>
      </c>
      <c r="I135" s="97" t="s">
        <v>4039</v>
      </c>
      <c r="J135" s="97" t="s">
        <v>4042</v>
      </c>
      <c r="K135" s="17" t="str">
        <f>IFERROR(INDEX(競技会設定!$J$3:$O$47,MATCH(J135,競技会設定!$M$3:$M$47,0),5),"")</f>
        <v>愛知学院大</v>
      </c>
      <c r="L135" s="17" t="str">
        <f>IFERROR(INDEX(競技会設定!$J$3:$N$47,MATCH(K135,競技会設定!$N$3:$N$47,0),2),"")</f>
        <v>492167</v>
      </c>
      <c r="M135" s="97" t="s">
        <v>3859</v>
      </c>
      <c r="N135" s="17" t="str">
        <f t="shared" si="7"/>
        <v>KOMURA, Tatsuma</v>
      </c>
      <c r="O135" s="17" t="str">
        <f t="shared" si="8"/>
        <v>99</v>
      </c>
    </row>
    <row r="136" spans="1:15">
      <c r="A136" s="17" t="str">
        <f t="shared" si="6"/>
        <v>501000135</v>
      </c>
      <c r="B136" s="97">
        <v>135</v>
      </c>
      <c r="C136" s="97" t="s">
        <v>489</v>
      </c>
      <c r="D136" s="97" t="s">
        <v>490</v>
      </c>
      <c r="E136" s="312" t="s">
        <v>2297</v>
      </c>
      <c r="F136" s="312" t="s">
        <v>2298</v>
      </c>
      <c r="G136" s="97" t="s">
        <v>3193</v>
      </c>
      <c r="H136" s="97" t="s">
        <v>4024</v>
      </c>
      <c r="I136" s="97" t="s">
        <v>4039</v>
      </c>
      <c r="J136" s="97" t="s">
        <v>4042</v>
      </c>
      <c r="K136" s="17" t="str">
        <f>IFERROR(INDEX(競技会設定!$J$3:$O$47,MATCH(J136,競技会設定!$M$3:$M$47,0),5),"")</f>
        <v>愛知学院大</v>
      </c>
      <c r="L136" s="17" t="str">
        <f>IFERROR(INDEX(競技会設定!$J$3:$N$47,MATCH(K136,競技会設定!$N$3:$N$47,0),2),"")</f>
        <v>492167</v>
      </c>
      <c r="M136" s="97" t="s">
        <v>3859</v>
      </c>
      <c r="N136" s="17" t="str">
        <f t="shared" si="7"/>
        <v>NIIGAWA, Syohei</v>
      </c>
      <c r="O136" s="17" t="str">
        <f t="shared" si="8"/>
        <v>99</v>
      </c>
    </row>
    <row r="137" spans="1:15">
      <c r="A137" s="17" t="str">
        <f t="shared" si="6"/>
        <v>501000136</v>
      </c>
      <c r="B137" s="97">
        <v>136</v>
      </c>
      <c r="C137" s="97" t="s">
        <v>491</v>
      </c>
      <c r="D137" s="97" t="s">
        <v>492</v>
      </c>
      <c r="E137" s="312" t="s">
        <v>2299</v>
      </c>
      <c r="F137" s="312" t="s">
        <v>2300</v>
      </c>
      <c r="G137" s="97" t="s">
        <v>3194</v>
      </c>
      <c r="H137" s="97" t="s">
        <v>4026</v>
      </c>
      <c r="I137" s="97" t="s">
        <v>4039</v>
      </c>
      <c r="J137" s="97" t="s">
        <v>4042</v>
      </c>
      <c r="K137" s="17" t="str">
        <f>IFERROR(INDEX(競技会設定!$J$3:$O$47,MATCH(J137,競技会設定!$M$3:$M$47,0),5),"")</f>
        <v>愛知学院大</v>
      </c>
      <c r="L137" s="17" t="str">
        <f>IFERROR(INDEX(競技会設定!$J$3:$N$47,MATCH(K137,競技会設定!$N$3:$N$47,0),2),"")</f>
        <v>492167</v>
      </c>
      <c r="M137" s="97" t="s">
        <v>3845</v>
      </c>
      <c r="N137" s="17" t="str">
        <f t="shared" si="7"/>
        <v>SEGUCHI, Kai</v>
      </c>
      <c r="O137" s="17" t="str">
        <f t="shared" si="8"/>
        <v>00</v>
      </c>
    </row>
    <row r="138" spans="1:15">
      <c r="A138" s="17" t="str">
        <f t="shared" si="6"/>
        <v>501000137</v>
      </c>
      <c r="B138" s="97">
        <v>137</v>
      </c>
      <c r="C138" s="97" t="s">
        <v>493</v>
      </c>
      <c r="D138" s="97" t="s">
        <v>494</v>
      </c>
      <c r="E138" s="312" t="s">
        <v>2301</v>
      </c>
      <c r="F138" s="312" t="s">
        <v>2302</v>
      </c>
      <c r="G138" s="97" t="s">
        <v>3195</v>
      </c>
      <c r="H138" s="97" t="s">
        <v>4026</v>
      </c>
      <c r="I138" s="97" t="s">
        <v>4039</v>
      </c>
      <c r="J138" s="97" t="s">
        <v>4042</v>
      </c>
      <c r="K138" s="17" t="str">
        <f>IFERROR(INDEX(競技会設定!$J$3:$O$47,MATCH(J138,競技会設定!$M$3:$M$47,0),5),"")</f>
        <v>愛知学院大</v>
      </c>
      <c r="L138" s="17" t="str">
        <f>IFERROR(INDEX(競技会設定!$J$3:$N$47,MATCH(K138,競技会設定!$N$3:$N$47,0),2),"")</f>
        <v>492167</v>
      </c>
      <c r="M138" s="97" t="s">
        <v>3861</v>
      </c>
      <c r="N138" s="17" t="str">
        <f t="shared" si="7"/>
        <v>OIZUMI, Syuntaro</v>
      </c>
      <c r="O138" s="17" t="str">
        <f t="shared" si="8"/>
        <v>01</v>
      </c>
    </row>
    <row r="139" spans="1:15">
      <c r="A139" s="17" t="str">
        <f t="shared" si="6"/>
        <v>501000138</v>
      </c>
      <c r="B139" s="97">
        <v>138</v>
      </c>
      <c r="C139" s="97" t="s">
        <v>495</v>
      </c>
      <c r="D139" s="97" t="s">
        <v>496</v>
      </c>
      <c r="E139" s="312" t="s">
        <v>2303</v>
      </c>
      <c r="F139" s="312" t="s">
        <v>2304</v>
      </c>
      <c r="G139" s="97" t="s">
        <v>3155</v>
      </c>
      <c r="H139" s="97" t="s">
        <v>4026</v>
      </c>
      <c r="I139" s="97" t="s">
        <v>4039</v>
      </c>
      <c r="J139" s="97" t="s">
        <v>4042</v>
      </c>
      <c r="K139" s="17" t="str">
        <f>IFERROR(INDEX(競技会設定!$J$3:$O$47,MATCH(J139,競技会設定!$M$3:$M$47,0),5),"")</f>
        <v>愛知学院大</v>
      </c>
      <c r="L139" s="17" t="str">
        <f>IFERROR(INDEX(競技会設定!$J$3:$N$47,MATCH(K139,競技会設定!$N$3:$N$47,0),2),"")</f>
        <v>492167</v>
      </c>
      <c r="M139" s="97" t="s">
        <v>3859</v>
      </c>
      <c r="N139" s="17" t="str">
        <f t="shared" si="7"/>
        <v>OKUMURA, Atsumu</v>
      </c>
      <c r="O139" s="17" t="str">
        <f t="shared" si="8"/>
        <v>01</v>
      </c>
    </row>
    <row r="140" spans="1:15">
      <c r="A140" s="17" t="str">
        <f t="shared" si="6"/>
        <v>501000139</v>
      </c>
      <c r="B140" s="97">
        <v>139</v>
      </c>
      <c r="C140" s="97" t="s">
        <v>497</v>
      </c>
      <c r="D140" s="97" t="s">
        <v>498</v>
      </c>
      <c r="E140" s="312" t="s">
        <v>2305</v>
      </c>
      <c r="F140" s="312" t="s">
        <v>2300</v>
      </c>
      <c r="G140" s="97" t="s">
        <v>3158</v>
      </c>
      <c r="H140" s="97" t="s">
        <v>4026</v>
      </c>
      <c r="I140" s="97" t="s">
        <v>4039</v>
      </c>
      <c r="J140" s="97" t="s">
        <v>4042</v>
      </c>
      <c r="K140" s="17" t="str">
        <f>IFERROR(INDEX(競技会設定!$J$3:$O$47,MATCH(J140,競技会設定!$M$3:$M$47,0),5),"")</f>
        <v>愛知学院大</v>
      </c>
      <c r="L140" s="17" t="str">
        <f>IFERROR(INDEX(競技会設定!$J$3:$N$47,MATCH(K140,競技会設定!$N$3:$N$47,0),2),"")</f>
        <v>492167</v>
      </c>
      <c r="M140" s="97" t="s">
        <v>3857</v>
      </c>
      <c r="N140" s="17" t="str">
        <f t="shared" si="7"/>
        <v>TAKABE, Kai</v>
      </c>
      <c r="O140" s="17" t="str">
        <f t="shared" si="8"/>
        <v>00</v>
      </c>
    </row>
    <row r="141" spans="1:15">
      <c r="A141" s="17" t="str">
        <f t="shared" si="6"/>
        <v>501000140</v>
      </c>
      <c r="B141" s="97">
        <v>140</v>
      </c>
      <c r="C141" s="97" t="s">
        <v>7599</v>
      </c>
      <c r="D141" s="97" t="s">
        <v>499</v>
      </c>
      <c r="E141" s="312" t="s">
        <v>2306</v>
      </c>
      <c r="F141" s="312" t="s">
        <v>2307</v>
      </c>
      <c r="G141" s="97" t="s">
        <v>3196</v>
      </c>
      <c r="H141" s="97" t="s">
        <v>4026</v>
      </c>
      <c r="I141" s="97" t="s">
        <v>4039</v>
      </c>
      <c r="J141" s="97" t="s">
        <v>4042</v>
      </c>
      <c r="K141" s="17" t="str">
        <f>IFERROR(INDEX(競技会設定!$J$3:$O$47,MATCH(J141,競技会設定!$M$3:$M$47,0),5),"")</f>
        <v>愛知学院大</v>
      </c>
      <c r="L141" s="17" t="str">
        <f>IFERROR(INDEX(競技会設定!$J$3:$N$47,MATCH(K141,競技会設定!$N$3:$N$47,0),2),"")</f>
        <v>492167</v>
      </c>
      <c r="M141" s="97" t="s">
        <v>3859</v>
      </c>
      <c r="N141" s="17" t="str">
        <f t="shared" si="7"/>
        <v>UCHIDA, Kotaro</v>
      </c>
      <c r="O141" s="17" t="str">
        <f t="shared" si="8"/>
        <v>00</v>
      </c>
    </row>
    <row r="142" spans="1:15">
      <c r="A142" s="17" t="str">
        <f t="shared" si="6"/>
        <v>501000141</v>
      </c>
      <c r="B142" s="97">
        <v>141</v>
      </c>
      <c r="C142" s="97" t="s">
        <v>500</v>
      </c>
      <c r="D142" s="97" t="s">
        <v>501</v>
      </c>
      <c r="E142" s="312" t="s">
        <v>2308</v>
      </c>
      <c r="F142" s="312" t="s">
        <v>2309</v>
      </c>
      <c r="G142" s="97" t="s">
        <v>3197</v>
      </c>
      <c r="H142" s="97" t="s">
        <v>4026</v>
      </c>
      <c r="I142" s="97" t="s">
        <v>4039</v>
      </c>
      <c r="J142" s="97" t="s">
        <v>4042</v>
      </c>
      <c r="K142" s="17" t="str">
        <f>IFERROR(INDEX(競技会設定!$J$3:$O$47,MATCH(J142,競技会設定!$M$3:$M$47,0),5),"")</f>
        <v>愛知学院大</v>
      </c>
      <c r="L142" s="17" t="str">
        <f>IFERROR(INDEX(競技会設定!$J$3:$N$47,MATCH(K142,競技会設定!$N$3:$N$47,0),2),"")</f>
        <v>492167</v>
      </c>
      <c r="M142" s="97" t="s">
        <v>3859</v>
      </c>
      <c r="N142" s="17" t="str">
        <f t="shared" si="7"/>
        <v>YAMAGUCHI, Yotaro</v>
      </c>
      <c r="O142" s="17" t="str">
        <f t="shared" si="8"/>
        <v>00</v>
      </c>
    </row>
    <row r="143" spans="1:15">
      <c r="A143" s="17" t="str">
        <f t="shared" si="6"/>
        <v>501000142</v>
      </c>
      <c r="B143" s="97">
        <v>142</v>
      </c>
      <c r="C143" s="97" t="s">
        <v>502</v>
      </c>
      <c r="D143" s="97" t="s">
        <v>503</v>
      </c>
      <c r="E143" s="312" t="s">
        <v>2095</v>
      </c>
      <c r="F143" s="312" t="s">
        <v>2310</v>
      </c>
      <c r="G143" s="97" t="s">
        <v>3198</v>
      </c>
      <c r="H143" s="97" t="s">
        <v>4026</v>
      </c>
      <c r="I143" s="97" t="s">
        <v>4039</v>
      </c>
      <c r="J143" s="97" t="s">
        <v>4042</v>
      </c>
      <c r="K143" s="17" t="str">
        <f>IFERROR(INDEX(競技会設定!$J$3:$O$47,MATCH(J143,競技会設定!$M$3:$M$47,0),5),"")</f>
        <v>愛知学院大</v>
      </c>
      <c r="L143" s="17" t="str">
        <f>IFERROR(INDEX(競技会設定!$J$3:$N$47,MATCH(K143,競技会設定!$N$3:$N$47,0),2),"")</f>
        <v>492167</v>
      </c>
      <c r="M143" s="97" t="s">
        <v>3859</v>
      </c>
      <c r="N143" s="17" t="str">
        <f t="shared" si="7"/>
        <v>INOUE, Yuito</v>
      </c>
      <c r="O143" s="17" t="str">
        <f t="shared" si="8"/>
        <v>00</v>
      </c>
    </row>
    <row r="144" spans="1:15">
      <c r="A144" s="17" t="str">
        <f t="shared" si="6"/>
        <v>501000143</v>
      </c>
      <c r="B144" s="97">
        <v>143</v>
      </c>
      <c r="C144" s="97" t="s">
        <v>504</v>
      </c>
      <c r="D144" s="97" t="s">
        <v>505</v>
      </c>
      <c r="E144" s="312" t="s">
        <v>2257</v>
      </c>
      <c r="F144" s="312" t="s">
        <v>2272</v>
      </c>
      <c r="G144" s="97" t="s">
        <v>3199</v>
      </c>
      <c r="H144" s="97" t="s">
        <v>4026</v>
      </c>
      <c r="I144" s="97" t="s">
        <v>4039</v>
      </c>
      <c r="J144" s="97" t="s">
        <v>4042</v>
      </c>
      <c r="K144" s="17" t="str">
        <f>IFERROR(INDEX(競技会設定!$J$3:$O$47,MATCH(J144,競技会設定!$M$3:$M$47,0),5),"")</f>
        <v>愛知学院大</v>
      </c>
      <c r="L144" s="17" t="str">
        <f>IFERROR(INDEX(競技会設定!$J$3:$N$47,MATCH(K144,競技会設定!$N$3:$N$47,0),2),"")</f>
        <v>492167</v>
      </c>
      <c r="M144" s="97" t="s">
        <v>3855</v>
      </c>
      <c r="N144" s="17" t="str">
        <f t="shared" si="7"/>
        <v>UMEDA, Takumi</v>
      </c>
      <c r="O144" s="17" t="str">
        <f t="shared" si="8"/>
        <v>01</v>
      </c>
    </row>
    <row r="145" spans="1:15">
      <c r="A145" s="17" t="str">
        <f t="shared" si="6"/>
        <v>501000144</v>
      </c>
      <c r="B145" s="97">
        <v>144</v>
      </c>
      <c r="C145" s="97" t="s">
        <v>506</v>
      </c>
      <c r="D145" s="97" t="s">
        <v>507</v>
      </c>
      <c r="E145" s="312" t="s">
        <v>2311</v>
      </c>
      <c r="F145" s="312" t="s">
        <v>2312</v>
      </c>
      <c r="G145" s="97" t="s">
        <v>3200</v>
      </c>
      <c r="H145" s="97" t="s">
        <v>4026</v>
      </c>
      <c r="I145" s="97" t="s">
        <v>4039</v>
      </c>
      <c r="J145" s="97" t="s">
        <v>4042</v>
      </c>
      <c r="K145" s="17" t="str">
        <f>IFERROR(INDEX(競技会設定!$J$3:$O$47,MATCH(J145,競技会設定!$M$3:$M$47,0),5),"")</f>
        <v>愛知学院大</v>
      </c>
      <c r="L145" s="17" t="str">
        <f>IFERROR(INDEX(競技会設定!$J$3:$N$47,MATCH(K145,競技会設定!$N$3:$N$47,0),2),"")</f>
        <v>492167</v>
      </c>
      <c r="M145" s="97" t="s">
        <v>3859</v>
      </c>
      <c r="N145" s="17" t="str">
        <f t="shared" si="7"/>
        <v>TATEMATSU, Koya</v>
      </c>
      <c r="O145" s="17" t="str">
        <f t="shared" si="8"/>
        <v>00</v>
      </c>
    </row>
    <row r="146" spans="1:15">
      <c r="A146" s="17" t="str">
        <f t="shared" si="6"/>
        <v>501000145</v>
      </c>
      <c r="B146" s="97">
        <v>145</v>
      </c>
      <c r="C146" s="97" t="s">
        <v>508</v>
      </c>
      <c r="D146" s="97" t="s">
        <v>509</v>
      </c>
      <c r="E146" s="312" t="s">
        <v>2313</v>
      </c>
      <c r="F146" s="312" t="s">
        <v>2182</v>
      </c>
      <c r="G146" s="97" t="s">
        <v>3201</v>
      </c>
      <c r="H146" s="97" t="s">
        <v>4028</v>
      </c>
      <c r="I146" s="97" t="s">
        <v>4039</v>
      </c>
      <c r="J146" s="97" t="s">
        <v>4043</v>
      </c>
      <c r="K146" s="17" t="str">
        <f>IFERROR(INDEX(競技会設定!$J$3:$O$47,MATCH(J146,競技会設定!$M$3:$M$47,0),5),"")</f>
        <v>愛知教育大</v>
      </c>
      <c r="L146" s="17" t="str">
        <f>IFERROR(INDEX(競技会設定!$J$3:$N$47,MATCH(K146,競技会設定!$N$3:$N$47,0),2),"")</f>
        <v>490044</v>
      </c>
      <c r="M146" s="97" t="s">
        <v>3859</v>
      </c>
      <c r="N146" s="17" t="str">
        <f t="shared" si="7"/>
        <v>FUNAHASHI , Yuya</v>
      </c>
      <c r="O146" s="17" t="str">
        <f t="shared" si="8"/>
        <v>95</v>
      </c>
    </row>
    <row r="147" spans="1:15">
      <c r="A147" s="17" t="str">
        <f t="shared" si="6"/>
        <v>501000146</v>
      </c>
      <c r="B147" s="97">
        <v>146</v>
      </c>
      <c r="C147" s="97" t="s">
        <v>510</v>
      </c>
      <c r="D147" s="97" t="s">
        <v>511</v>
      </c>
      <c r="E147" s="312" t="s">
        <v>2314</v>
      </c>
      <c r="F147" s="312" t="s">
        <v>2172</v>
      </c>
      <c r="G147" s="97" t="s">
        <v>3202</v>
      </c>
      <c r="H147" s="97" t="s">
        <v>4028</v>
      </c>
      <c r="I147" s="97" t="s">
        <v>4039</v>
      </c>
      <c r="J147" s="97" t="s">
        <v>4043</v>
      </c>
      <c r="K147" s="17" t="str">
        <f>IFERROR(INDEX(競技会設定!$J$3:$O$47,MATCH(J147,競技会設定!$M$3:$M$47,0),5),"")</f>
        <v>愛知教育大</v>
      </c>
      <c r="L147" s="17" t="str">
        <f>IFERROR(INDEX(競技会設定!$J$3:$N$47,MATCH(K147,競技会設定!$N$3:$N$47,0),2),"")</f>
        <v>490044</v>
      </c>
      <c r="M147" s="97" t="s">
        <v>3859</v>
      </c>
      <c r="N147" s="17" t="str">
        <f t="shared" si="7"/>
        <v>KONDO, Masaya</v>
      </c>
      <c r="O147" s="17" t="str">
        <f t="shared" si="8"/>
        <v>96</v>
      </c>
    </row>
    <row r="148" spans="1:15">
      <c r="A148" s="17" t="str">
        <f t="shared" si="6"/>
        <v>501000147</v>
      </c>
      <c r="B148" s="97">
        <v>147</v>
      </c>
      <c r="C148" s="97" t="s">
        <v>512</v>
      </c>
      <c r="D148" s="97" t="s">
        <v>513</v>
      </c>
      <c r="E148" s="312" t="s">
        <v>2315</v>
      </c>
      <c r="F148" s="312" t="s">
        <v>2252</v>
      </c>
      <c r="G148" s="97" t="s">
        <v>3203</v>
      </c>
      <c r="H148" s="97" t="s">
        <v>4028</v>
      </c>
      <c r="I148" s="97" t="s">
        <v>4039</v>
      </c>
      <c r="J148" s="97" t="s">
        <v>4043</v>
      </c>
      <c r="K148" s="17" t="str">
        <f>IFERROR(INDEX(競技会設定!$J$3:$O$47,MATCH(J148,競技会設定!$M$3:$M$47,0),5),"")</f>
        <v>愛知教育大</v>
      </c>
      <c r="L148" s="17" t="str">
        <f>IFERROR(INDEX(競技会設定!$J$3:$N$47,MATCH(K148,競技会設定!$N$3:$N$47,0),2),"")</f>
        <v>490044</v>
      </c>
      <c r="M148" s="97" t="s">
        <v>3859</v>
      </c>
      <c r="N148" s="17" t="str">
        <f t="shared" si="7"/>
        <v>KIMURA, Hayate</v>
      </c>
      <c r="O148" s="17" t="str">
        <f t="shared" si="8"/>
        <v>96</v>
      </c>
    </row>
    <row r="149" spans="1:15">
      <c r="A149" s="17" t="str">
        <f t="shared" si="6"/>
        <v>501000148</v>
      </c>
      <c r="B149" s="97">
        <v>148</v>
      </c>
      <c r="C149" s="97" t="s">
        <v>514</v>
      </c>
      <c r="D149" s="97" t="s">
        <v>515</v>
      </c>
      <c r="E149" s="312" t="s">
        <v>2316</v>
      </c>
      <c r="F149" s="312" t="s">
        <v>2189</v>
      </c>
      <c r="G149" s="97" t="s">
        <v>3204</v>
      </c>
      <c r="H149" s="97" t="s">
        <v>4025</v>
      </c>
      <c r="I149" s="97" t="s">
        <v>4039</v>
      </c>
      <c r="J149" s="97" t="s">
        <v>4043</v>
      </c>
      <c r="K149" s="17" t="str">
        <f>IFERROR(INDEX(競技会設定!$J$3:$O$47,MATCH(J149,競技会設定!$M$3:$M$47,0),5),"")</f>
        <v>愛知教育大</v>
      </c>
      <c r="L149" s="17" t="str">
        <f>IFERROR(INDEX(競技会設定!$J$3:$N$47,MATCH(K149,競技会設定!$N$3:$N$47,0),2),"")</f>
        <v>490044</v>
      </c>
      <c r="M149" s="97" t="s">
        <v>3859</v>
      </c>
      <c r="N149" s="17" t="str">
        <f t="shared" si="7"/>
        <v>MAKINO, Keisuke</v>
      </c>
      <c r="O149" s="17" t="str">
        <f t="shared" si="8"/>
        <v>97</v>
      </c>
    </row>
    <row r="150" spans="1:15">
      <c r="A150" s="17" t="str">
        <f t="shared" si="6"/>
        <v>501000149</v>
      </c>
      <c r="B150" s="97">
        <v>149</v>
      </c>
      <c r="C150" s="97" t="s">
        <v>516</v>
      </c>
      <c r="D150" s="97" t="s">
        <v>517</v>
      </c>
      <c r="E150" s="312" t="s">
        <v>2317</v>
      </c>
      <c r="F150" s="312" t="s">
        <v>2318</v>
      </c>
      <c r="G150" s="97" t="s">
        <v>3205</v>
      </c>
      <c r="H150" s="97" t="s">
        <v>4030</v>
      </c>
      <c r="I150" s="97" t="s">
        <v>4039</v>
      </c>
      <c r="J150" s="97" t="s">
        <v>4043</v>
      </c>
      <c r="K150" s="17" t="str">
        <f>IFERROR(INDEX(競技会設定!$J$3:$O$47,MATCH(J150,競技会設定!$M$3:$M$47,0),5),"")</f>
        <v>愛知教育大</v>
      </c>
      <c r="L150" s="17" t="str">
        <f>IFERROR(INDEX(競技会設定!$J$3:$N$47,MATCH(K150,競技会設定!$N$3:$N$47,0),2),"")</f>
        <v>490044</v>
      </c>
      <c r="M150" s="97" t="s">
        <v>3859</v>
      </c>
      <c r="N150" s="17" t="str">
        <f t="shared" si="7"/>
        <v>HIGUCHI, Tomokazu</v>
      </c>
      <c r="O150" s="17" t="str">
        <f t="shared" si="8"/>
        <v>97</v>
      </c>
    </row>
    <row r="151" spans="1:15">
      <c r="A151" s="17" t="str">
        <f t="shared" si="6"/>
        <v>501000150</v>
      </c>
      <c r="B151" s="97">
        <v>150</v>
      </c>
      <c r="C151" s="97" t="s">
        <v>518</v>
      </c>
      <c r="D151" s="97" t="s">
        <v>519</v>
      </c>
      <c r="E151" s="312" t="s">
        <v>2107</v>
      </c>
      <c r="F151" s="312" t="s">
        <v>2319</v>
      </c>
      <c r="G151" s="97" t="s">
        <v>3206</v>
      </c>
      <c r="H151" s="97" t="s">
        <v>4025</v>
      </c>
      <c r="I151" s="97" t="s">
        <v>4039</v>
      </c>
      <c r="J151" s="97" t="s">
        <v>4043</v>
      </c>
      <c r="K151" s="17" t="str">
        <f>IFERROR(INDEX(競技会設定!$J$3:$O$47,MATCH(J151,競技会設定!$M$3:$M$47,0),5),"")</f>
        <v>愛知教育大</v>
      </c>
      <c r="L151" s="17" t="str">
        <f>IFERROR(INDEX(競技会設定!$J$3:$N$47,MATCH(K151,競技会設定!$N$3:$N$47,0),2),"")</f>
        <v>490044</v>
      </c>
      <c r="M151" s="97" t="s">
        <v>3859</v>
      </c>
      <c r="N151" s="17" t="str">
        <f t="shared" si="7"/>
        <v>NOMURA, Ryutaro</v>
      </c>
      <c r="O151" s="17" t="str">
        <f t="shared" si="8"/>
        <v>97</v>
      </c>
    </row>
    <row r="152" spans="1:15">
      <c r="A152" s="17" t="str">
        <f t="shared" si="6"/>
        <v>501000151</v>
      </c>
      <c r="B152" s="97">
        <v>151</v>
      </c>
      <c r="C152" s="97" t="s">
        <v>520</v>
      </c>
      <c r="D152" s="97" t="s">
        <v>521</v>
      </c>
      <c r="E152" s="312" t="s">
        <v>2320</v>
      </c>
      <c r="F152" s="312" t="s">
        <v>2193</v>
      </c>
      <c r="G152" s="97" t="s">
        <v>3207</v>
      </c>
      <c r="H152" s="97" t="s">
        <v>4025</v>
      </c>
      <c r="I152" s="97" t="s">
        <v>4039</v>
      </c>
      <c r="J152" s="97" t="s">
        <v>4043</v>
      </c>
      <c r="K152" s="17" t="str">
        <f>IFERROR(INDEX(競技会設定!$J$3:$O$47,MATCH(J152,競技会設定!$M$3:$M$47,0),5),"")</f>
        <v>愛知教育大</v>
      </c>
      <c r="L152" s="17" t="str">
        <f>IFERROR(INDEX(競技会設定!$J$3:$N$47,MATCH(K152,競技会設定!$N$3:$N$47,0),2),"")</f>
        <v>490044</v>
      </c>
      <c r="M152" s="97" t="s">
        <v>3859</v>
      </c>
      <c r="N152" s="17" t="str">
        <f t="shared" si="7"/>
        <v>NAKAMOTO, Yuta</v>
      </c>
      <c r="O152" s="17" t="str">
        <f t="shared" si="8"/>
        <v>97</v>
      </c>
    </row>
    <row r="153" spans="1:15">
      <c r="A153" s="17" t="str">
        <f t="shared" si="6"/>
        <v>501000152</v>
      </c>
      <c r="B153" s="97">
        <v>152</v>
      </c>
      <c r="C153" s="97" t="s">
        <v>522</v>
      </c>
      <c r="D153" s="97" t="s">
        <v>523</v>
      </c>
      <c r="E153" s="312" t="s">
        <v>2321</v>
      </c>
      <c r="F153" s="312" t="s">
        <v>2108</v>
      </c>
      <c r="G153" s="97" t="s">
        <v>3208</v>
      </c>
      <c r="H153" s="97" t="s">
        <v>4025</v>
      </c>
      <c r="I153" s="97" t="s">
        <v>4039</v>
      </c>
      <c r="J153" s="97" t="s">
        <v>4043</v>
      </c>
      <c r="K153" s="17" t="str">
        <f>IFERROR(INDEX(競技会設定!$J$3:$O$47,MATCH(J153,競技会設定!$M$3:$M$47,0),5),"")</f>
        <v>愛知教育大</v>
      </c>
      <c r="L153" s="17" t="str">
        <f>IFERROR(INDEX(競技会設定!$J$3:$N$47,MATCH(K153,競技会設定!$N$3:$N$47,0),2),"")</f>
        <v>490044</v>
      </c>
      <c r="M153" s="97" t="s">
        <v>3870</v>
      </c>
      <c r="N153" s="17" t="str">
        <f t="shared" si="7"/>
        <v>YOSHIOKA, Yuki</v>
      </c>
      <c r="O153" s="17" t="str">
        <f t="shared" si="8"/>
        <v>97</v>
      </c>
    </row>
    <row r="154" spans="1:15">
      <c r="A154" s="17" t="str">
        <f t="shared" si="6"/>
        <v>501000153</v>
      </c>
      <c r="B154" s="97">
        <v>153</v>
      </c>
      <c r="C154" s="97" t="s">
        <v>524</v>
      </c>
      <c r="D154" s="97" t="s">
        <v>525</v>
      </c>
      <c r="E154" s="312" t="s">
        <v>2259</v>
      </c>
      <c r="F154" s="312" t="s">
        <v>2129</v>
      </c>
      <c r="G154" s="97" t="s">
        <v>3209</v>
      </c>
      <c r="H154" s="97" t="s">
        <v>4025</v>
      </c>
      <c r="I154" s="97" t="s">
        <v>4039</v>
      </c>
      <c r="J154" s="97" t="s">
        <v>4043</v>
      </c>
      <c r="K154" s="17" t="str">
        <f>IFERROR(INDEX(競技会設定!$J$3:$O$47,MATCH(J154,競技会設定!$M$3:$M$47,0),5),"")</f>
        <v>愛知教育大</v>
      </c>
      <c r="L154" s="17" t="str">
        <f>IFERROR(INDEX(競技会設定!$J$3:$N$47,MATCH(K154,競技会設定!$N$3:$N$47,0),2),"")</f>
        <v>490044</v>
      </c>
      <c r="M154" s="97" t="s">
        <v>3851</v>
      </c>
      <c r="N154" s="17" t="str">
        <f t="shared" si="7"/>
        <v>YAMAMOTO, Takeshi</v>
      </c>
      <c r="O154" s="17" t="str">
        <f t="shared" si="8"/>
        <v>98</v>
      </c>
    </row>
    <row r="155" spans="1:15">
      <c r="A155" s="17" t="str">
        <f t="shared" si="6"/>
        <v>501000154</v>
      </c>
      <c r="B155" s="97">
        <v>154</v>
      </c>
      <c r="C155" s="97" t="s">
        <v>526</v>
      </c>
      <c r="D155" s="97" t="s">
        <v>527</v>
      </c>
      <c r="E155" s="312" t="s">
        <v>2322</v>
      </c>
      <c r="F155" s="312" t="s">
        <v>2323</v>
      </c>
      <c r="G155" s="97" t="s">
        <v>3072</v>
      </c>
      <c r="H155" s="97" t="s">
        <v>4025</v>
      </c>
      <c r="I155" s="97" t="s">
        <v>4039</v>
      </c>
      <c r="J155" s="97" t="s">
        <v>4043</v>
      </c>
      <c r="K155" s="17" t="str">
        <f>IFERROR(INDEX(競技会設定!$J$3:$O$47,MATCH(J155,競技会設定!$M$3:$M$47,0),5),"")</f>
        <v>愛知教育大</v>
      </c>
      <c r="L155" s="17" t="str">
        <f>IFERROR(INDEX(競技会設定!$J$3:$N$47,MATCH(K155,競技会設定!$N$3:$N$47,0),2),"")</f>
        <v>490044</v>
      </c>
      <c r="M155" s="97" t="s">
        <v>3859</v>
      </c>
      <c r="N155" s="17" t="str">
        <f t="shared" si="7"/>
        <v>SAWAI, Keishi</v>
      </c>
      <c r="O155" s="17" t="str">
        <f t="shared" si="8"/>
        <v>98</v>
      </c>
    </row>
    <row r="156" spans="1:15">
      <c r="A156" s="17" t="str">
        <f t="shared" si="6"/>
        <v>501000155</v>
      </c>
      <c r="B156" s="97">
        <v>155</v>
      </c>
      <c r="C156" s="97" t="s">
        <v>528</v>
      </c>
      <c r="D156" s="97" t="s">
        <v>529</v>
      </c>
      <c r="E156" s="312" t="s">
        <v>2324</v>
      </c>
      <c r="F156" s="312" t="s">
        <v>2325</v>
      </c>
      <c r="G156" s="97" t="s">
        <v>3210</v>
      </c>
      <c r="H156" s="97" t="s">
        <v>4025</v>
      </c>
      <c r="I156" s="97" t="s">
        <v>4039</v>
      </c>
      <c r="J156" s="97" t="s">
        <v>4043</v>
      </c>
      <c r="K156" s="17" t="str">
        <f>IFERROR(INDEX(競技会設定!$J$3:$O$47,MATCH(J156,競技会設定!$M$3:$M$47,0),5),"")</f>
        <v>愛知教育大</v>
      </c>
      <c r="L156" s="17" t="str">
        <f>IFERROR(INDEX(競技会設定!$J$3:$N$47,MATCH(K156,競技会設定!$N$3:$N$47,0),2),"")</f>
        <v>490044</v>
      </c>
      <c r="M156" s="97" t="s">
        <v>3859</v>
      </c>
      <c r="N156" s="17" t="str">
        <f t="shared" si="7"/>
        <v>AZUMA, Daikichi</v>
      </c>
      <c r="O156" s="17" t="str">
        <f t="shared" si="8"/>
        <v>98</v>
      </c>
    </row>
    <row r="157" spans="1:15">
      <c r="A157" s="17" t="str">
        <f t="shared" si="6"/>
        <v>501000156</v>
      </c>
      <c r="B157" s="97">
        <v>156</v>
      </c>
      <c r="C157" s="97" t="s">
        <v>530</v>
      </c>
      <c r="D157" s="97" t="s">
        <v>531</v>
      </c>
      <c r="E157" s="312" t="s">
        <v>2326</v>
      </c>
      <c r="F157" s="312" t="s">
        <v>2108</v>
      </c>
      <c r="G157" s="97" t="s">
        <v>3211</v>
      </c>
      <c r="H157" s="97" t="s">
        <v>4025</v>
      </c>
      <c r="I157" s="97" t="s">
        <v>4039</v>
      </c>
      <c r="J157" s="97" t="s">
        <v>4043</v>
      </c>
      <c r="K157" s="17" t="str">
        <f>IFERROR(INDEX(競技会設定!$J$3:$O$47,MATCH(J157,競技会設定!$M$3:$M$47,0),5),"")</f>
        <v>愛知教育大</v>
      </c>
      <c r="L157" s="17" t="str">
        <f>IFERROR(INDEX(競技会設定!$J$3:$N$47,MATCH(K157,競技会設定!$N$3:$N$47,0),2),"")</f>
        <v>490044</v>
      </c>
      <c r="M157" s="97" t="s">
        <v>3887</v>
      </c>
      <c r="N157" s="17" t="str">
        <f t="shared" si="7"/>
        <v>MISU, Yuki</v>
      </c>
      <c r="O157" s="17" t="str">
        <f t="shared" si="8"/>
        <v>98</v>
      </c>
    </row>
    <row r="158" spans="1:15">
      <c r="A158" s="17" t="str">
        <f t="shared" si="6"/>
        <v>501000157</v>
      </c>
      <c r="B158" s="97">
        <v>157</v>
      </c>
      <c r="C158" s="97" t="s">
        <v>532</v>
      </c>
      <c r="D158" s="97" t="s">
        <v>533</v>
      </c>
      <c r="E158" s="312" t="s">
        <v>2327</v>
      </c>
      <c r="F158" s="312" t="s">
        <v>2165</v>
      </c>
      <c r="G158" s="97" t="s">
        <v>3212</v>
      </c>
      <c r="H158" s="97" t="s">
        <v>4025</v>
      </c>
      <c r="I158" s="97" t="s">
        <v>4039</v>
      </c>
      <c r="J158" s="97" t="s">
        <v>4043</v>
      </c>
      <c r="K158" s="17" t="str">
        <f>IFERROR(INDEX(競技会設定!$J$3:$O$47,MATCH(J158,競技会設定!$M$3:$M$47,0),5),"")</f>
        <v>愛知教育大</v>
      </c>
      <c r="L158" s="17" t="str">
        <f>IFERROR(INDEX(競技会設定!$J$3:$N$47,MATCH(K158,競技会設定!$N$3:$N$47,0),2),"")</f>
        <v>490044</v>
      </c>
      <c r="M158" s="97" t="s">
        <v>3859</v>
      </c>
      <c r="N158" s="17" t="str">
        <f t="shared" si="7"/>
        <v>MATSUSHITA, Riku</v>
      </c>
      <c r="O158" s="17" t="str">
        <f t="shared" si="8"/>
        <v>98</v>
      </c>
    </row>
    <row r="159" spans="1:15">
      <c r="A159" s="17" t="str">
        <f t="shared" si="6"/>
        <v>501000158</v>
      </c>
      <c r="B159" s="97">
        <v>158</v>
      </c>
      <c r="C159" s="97" t="s">
        <v>534</v>
      </c>
      <c r="D159" s="97" t="s">
        <v>535</v>
      </c>
      <c r="E159" s="312" t="s">
        <v>2328</v>
      </c>
      <c r="F159" s="312" t="s">
        <v>2209</v>
      </c>
      <c r="G159" s="97" t="s">
        <v>3212</v>
      </c>
      <c r="H159" s="97" t="s">
        <v>4025</v>
      </c>
      <c r="I159" s="97" t="s">
        <v>4039</v>
      </c>
      <c r="J159" s="97" t="s">
        <v>4043</v>
      </c>
      <c r="K159" s="17" t="str">
        <f>IFERROR(INDEX(競技会設定!$J$3:$O$47,MATCH(J159,競技会設定!$M$3:$M$47,0),5),"")</f>
        <v>愛知教育大</v>
      </c>
      <c r="L159" s="17" t="str">
        <f>IFERROR(INDEX(競技会設定!$J$3:$N$47,MATCH(K159,競技会設定!$N$3:$N$47,0),2),"")</f>
        <v>490044</v>
      </c>
      <c r="M159" s="97" t="s">
        <v>3859</v>
      </c>
      <c r="N159" s="17" t="str">
        <f t="shared" si="7"/>
        <v>YAMADA, Shoma</v>
      </c>
      <c r="O159" s="17" t="str">
        <f t="shared" si="8"/>
        <v>98</v>
      </c>
    </row>
    <row r="160" spans="1:15">
      <c r="A160" s="17" t="str">
        <f t="shared" si="6"/>
        <v>501000159</v>
      </c>
      <c r="B160" s="97">
        <v>159</v>
      </c>
      <c r="C160" s="97" t="s">
        <v>536</v>
      </c>
      <c r="D160" s="97" t="s">
        <v>537</v>
      </c>
      <c r="E160" s="312" t="s">
        <v>2328</v>
      </c>
      <c r="F160" s="312" t="s">
        <v>2106</v>
      </c>
      <c r="G160" s="97" t="s">
        <v>3213</v>
      </c>
      <c r="H160" s="97" t="s">
        <v>4025</v>
      </c>
      <c r="I160" s="97" t="s">
        <v>4039</v>
      </c>
      <c r="J160" s="97" t="s">
        <v>4043</v>
      </c>
      <c r="K160" s="17" t="str">
        <f>IFERROR(INDEX(競技会設定!$J$3:$O$47,MATCH(J160,競技会設定!$M$3:$M$47,0),5),"")</f>
        <v>愛知教育大</v>
      </c>
      <c r="L160" s="17" t="str">
        <f>IFERROR(INDEX(競技会設定!$J$3:$N$47,MATCH(K160,競技会設定!$N$3:$N$47,0),2),"")</f>
        <v>490044</v>
      </c>
      <c r="M160" s="97" t="s">
        <v>3859</v>
      </c>
      <c r="N160" s="17" t="str">
        <f t="shared" si="7"/>
        <v>YAMADA, Yusuke</v>
      </c>
      <c r="O160" s="17" t="str">
        <f t="shared" si="8"/>
        <v>98</v>
      </c>
    </row>
    <row r="161" spans="1:15">
      <c r="A161" s="17" t="str">
        <f t="shared" si="6"/>
        <v>501000160</v>
      </c>
      <c r="B161" s="97">
        <v>160</v>
      </c>
      <c r="C161" s="97" t="s">
        <v>538</v>
      </c>
      <c r="D161" s="97" t="s">
        <v>539</v>
      </c>
      <c r="E161" s="312" t="s">
        <v>2329</v>
      </c>
      <c r="F161" s="312" t="s">
        <v>2293</v>
      </c>
      <c r="G161" s="97" t="s">
        <v>3214</v>
      </c>
      <c r="H161" s="97" t="s">
        <v>4025</v>
      </c>
      <c r="I161" s="97" t="s">
        <v>4039</v>
      </c>
      <c r="J161" s="97" t="s">
        <v>4043</v>
      </c>
      <c r="K161" s="17" t="str">
        <f>IFERROR(INDEX(競技会設定!$J$3:$O$47,MATCH(J161,競技会設定!$M$3:$M$47,0),5),"")</f>
        <v>愛知教育大</v>
      </c>
      <c r="L161" s="17" t="str">
        <f>IFERROR(INDEX(競技会設定!$J$3:$N$47,MATCH(K161,競技会設定!$N$3:$N$47,0),2),"")</f>
        <v>490044</v>
      </c>
      <c r="M161" s="97" t="s">
        <v>3859</v>
      </c>
      <c r="N161" s="17" t="str">
        <f t="shared" si="7"/>
        <v>NISHIYAMA, Koki</v>
      </c>
      <c r="O161" s="17" t="str">
        <f t="shared" si="8"/>
        <v>99</v>
      </c>
    </row>
    <row r="162" spans="1:15">
      <c r="A162" s="17" t="str">
        <f t="shared" si="6"/>
        <v>501000161</v>
      </c>
      <c r="B162" s="97">
        <v>161</v>
      </c>
      <c r="C162" s="97" t="s">
        <v>540</v>
      </c>
      <c r="D162" s="97" t="s">
        <v>541</v>
      </c>
      <c r="E162" s="312" t="s">
        <v>2330</v>
      </c>
      <c r="F162" s="312" t="s">
        <v>2331</v>
      </c>
      <c r="G162" s="97" t="s">
        <v>3215</v>
      </c>
      <c r="H162" s="97" t="s">
        <v>4024</v>
      </c>
      <c r="I162" s="97" t="s">
        <v>4039</v>
      </c>
      <c r="J162" s="97" t="s">
        <v>4043</v>
      </c>
      <c r="K162" s="17" t="str">
        <f>IFERROR(INDEX(競技会設定!$J$3:$O$47,MATCH(J162,競技会設定!$M$3:$M$47,0),5),"")</f>
        <v>愛知教育大</v>
      </c>
      <c r="L162" s="17" t="str">
        <f>IFERROR(INDEX(競技会設定!$J$3:$N$47,MATCH(K162,競技会設定!$N$3:$N$47,0),2),"")</f>
        <v>490044</v>
      </c>
      <c r="M162" s="97" t="s">
        <v>3859</v>
      </c>
      <c r="N162" s="17" t="str">
        <f t="shared" si="7"/>
        <v>OIDA, Shin</v>
      </c>
      <c r="O162" s="17" t="str">
        <f t="shared" si="8"/>
        <v>99</v>
      </c>
    </row>
    <row r="163" spans="1:15">
      <c r="A163" s="17" t="str">
        <f t="shared" si="6"/>
        <v>501000162</v>
      </c>
      <c r="B163" s="97">
        <v>162</v>
      </c>
      <c r="C163" s="97" t="s">
        <v>542</v>
      </c>
      <c r="D163" s="97" t="s">
        <v>543</v>
      </c>
      <c r="E163" s="312" t="s">
        <v>2332</v>
      </c>
      <c r="F163" s="312" t="s">
        <v>2333</v>
      </c>
      <c r="G163" s="97" t="s">
        <v>3216</v>
      </c>
      <c r="H163" s="97" t="s">
        <v>4024</v>
      </c>
      <c r="I163" s="97" t="s">
        <v>4039</v>
      </c>
      <c r="J163" s="97" t="s">
        <v>4043</v>
      </c>
      <c r="K163" s="17" t="str">
        <f>IFERROR(INDEX(競技会設定!$J$3:$O$47,MATCH(J163,競技会設定!$M$3:$M$47,0),5),"")</f>
        <v>愛知教育大</v>
      </c>
      <c r="L163" s="17" t="str">
        <f>IFERROR(INDEX(競技会設定!$J$3:$N$47,MATCH(K163,競技会設定!$N$3:$N$47,0),2),"")</f>
        <v>490044</v>
      </c>
      <c r="M163" s="97" t="s">
        <v>3859</v>
      </c>
      <c r="N163" s="17" t="str">
        <f t="shared" si="7"/>
        <v>OCHIAI, Atsunori</v>
      </c>
      <c r="O163" s="17" t="str">
        <f t="shared" si="8"/>
        <v>99</v>
      </c>
    </row>
    <row r="164" spans="1:15">
      <c r="A164" s="17" t="str">
        <f t="shared" si="6"/>
        <v>501000163</v>
      </c>
      <c r="B164" s="97">
        <v>163</v>
      </c>
      <c r="C164" s="97" t="s">
        <v>544</v>
      </c>
      <c r="D164" s="97" t="s">
        <v>545</v>
      </c>
      <c r="E164" s="312" t="s">
        <v>2334</v>
      </c>
      <c r="F164" s="312" t="s">
        <v>2335</v>
      </c>
      <c r="G164" s="97" t="s">
        <v>3217</v>
      </c>
      <c r="H164" s="97" t="s">
        <v>4024</v>
      </c>
      <c r="I164" s="97" t="s">
        <v>4039</v>
      </c>
      <c r="J164" s="97" t="s">
        <v>4043</v>
      </c>
      <c r="K164" s="17" t="str">
        <f>IFERROR(INDEX(競技会設定!$J$3:$O$47,MATCH(J164,競技会設定!$M$3:$M$47,0),5),"")</f>
        <v>愛知教育大</v>
      </c>
      <c r="L164" s="17" t="str">
        <f>IFERROR(INDEX(競技会設定!$J$3:$N$47,MATCH(K164,競技会設定!$N$3:$N$47,0),2),"")</f>
        <v>490044</v>
      </c>
      <c r="M164" s="97" t="s">
        <v>3857</v>
      </c>
      <c r="N164" s="17" t="str">
        <f t="shared" si="7"/>
        <v>OGUSU, Takaki</v>
      </c>
      <c r="O164" s="17" t="str">
        <f t="shared" si="8"/>
        <v>99</v>
      </c>
    </row>
    <row r="165" spans="1:15">
      <c r="A165" s="17" t="str">
        <f t="shared" si="6"/>
        <v>501000164</v>
      </c>
      <c r="B165" s="97">
        <v>164</v>
      </c>
      <c r="C165" s="97" t="s">
        <v>546</v>
      </c>
      <c r="D165" s="97" t="s">
        <v>547</v>
      </c>
      <c r="E165" s="312" t="s">
        <v>2233</v>
      </c>
      <c r="F165" s="312" t="s">
        <v>2336</v>
      </c>
      <c r="G165" s="97" t="s">
        <v>3218</v>
      </c>
      <c r="H165" s="97" t="s">
        <v>4024</v>
      </c>
      <c r="I165" s="97" t="s">
        <v>4039</v>
      </c>
      <c r="J165" s="97" t="s">
        <v>4043</v>
      </c>
      <c r="K165" s="17" t="str">
        <f>IFERROR(INDEX(競技会設定!$J$3:$O$47,MATCH(J165,競技会設定!$M$3:$M$47,0),5),"")</f>
        <v>愛知教育大</v>
      </c>
      <c r="L165" s="17" t="str">
        <f>IFERROR(INDEX(競技会設定!$J$3:$N$47,MATCH(K165,競技会設定!$N$3:$N$47,0),2),"")</f>
        <v>490044</v>
      </c>
      <c r="M165" s="97" t="s">
        <v>3859</v>
      </c>
      <c r="N165" s="17" t="str">
        <f t="shared" si="7"/>
        <v>SUZUKI, Yasuhito</v>
      </c>
      <c r="O165" s="17" t="str">
        <f t="shared" si="8"/>
        <v>99</v>
      </c>
    </row>
    <row r="166" spans="1:15">
      <c r="A166" s="17" t="str">
        <f t="shared" si="6"/>
        <v>501000165</v>
      </c>
      <c r="B166" s="97">
        <v>165</v>
      </c>
      <c r="C166" s="97" t="s">
        <v>548</v>
      </c>
      <c r="D166" s="97" t="s">
        <v>549</v>
      </c>
      <c r="E166" s="312" t="s">
        <v>2271</v>
      </c>
      <c r="F166" s="312" t="s">
        <v>2337</v>
      </c>
      <c r="G166" s="97" t="s">
        <v>3219</v>
      </c>
      <c r="H166" s="97" t="s">
        <v>4024</v>
      </c>
      <c r="I166" s="97" t="s">
        <v>4039</v>
      </c>
      <c r="J166" s="97" t="s">
        <v>4043</v>
      </c>
      <c r="K166" s="17" t="str">
        <f>IFERROR(INDEX(競技会設定!$J$3:$O$47,MATCH(J166,競技会設定!$M$3:$M$47,0),5),"")</f>
        <v>愛知教育大</v>
      </c>
      <c r="L166" s="17" t="str">
        <f>IFERROR(INDEX(競技会設定!$J$3:$N$47,MATCH(K166,競技会設定!$N$3:$N$47,0),2),"")</f>
        <v>490044</v>
      </c>
      <c r="M166" s="97" t="s">
        <v>3859</v>
      </c>
      <c r="N166" s="17" t="str">
        <f t="shared" si="7"/>
        <v>HARA, Atsuya</v>
      </c>
      <c r="O166" s="17" t="str">
        <f t="shared" si="8"/>
        <v>99</v>
      </c>
    </row>
    <row r="167" spans="1:15">
      <c r="A167" s="17" t="str">
        <f t="shared" si="6"/>
        <v>501000166</v>
      </c>
      <c r="B167" s="97">
        <v>166</v>
      </c>
      <c r="C167" s="97" t="s">
        <v>550</v>
      </c>
      <c r="D167" s="97" t="s">
        <v>551</v>
      </c>
      <c r="E167" s="312" t="s">
        <v>2338</v>
      </c>
      <c r="F167" s="312" t="s">
        <v>2234</v>
      </c>
      <c r="G167" s="97" t="s">
        <v>3220</v>
      </c>
      <c r="H167" s="97" t="s">
        <v>4026</v>
      </c>
      <c r="I167" s="97" t="s">
        <v>4039</v>
      </c>
      <c r="J167" s="97" t="s">
        <v>4043</v>
      </c>
      <c r="K167" s="17" t="str">
        <f>IFERROR(INDEX(競技会設定!$J$3:$O$47,MATCH(J167,競技会設定!$M$3:$M$47,0),5),"")</f>
        <v>愛知教育大</v>
      </c>
      <c r="L167" s="17" t="str">
        <f>IFERROR(INDEX(競技会設定!$J$3:$N$47,MATCH(K167,競技会設定!$N$3:$N$47,0),2),"")</f>
        <v>490044</v>
      </c>
      <c r="M167" s="97" t="s">
        <v>3859</v>
      </c>
      <c r="N167" s="17" t="str">
        <f t="shared" si="7"/>
        <v>KITAMURA, Yuto</v>
      </c>
      <c r="O167" s="17" t="str">
        <f t="shared" si="8"/>
        <v>00</v>
      </c>
    </row>
    <row r="168" spans="1:15">
      <c r="A168" s="17" t="str">
        <f t="shared" si="6"/>
        <v>501000167</v>
      </c>
      <c r="B168" s="97">
        <v>167</v>
      </c>
      <c r="C168" s="97" t="s">
        <v>552</v>
      </c>
      <c r="D168" s="97" t="s">
        <v>553</v>
      </c>
      <c r="E168" s="312" t="s">
        <v>2339</v>
      </c>
      <c r="F168" s="312" t="s">
        <v>2149</v>
      </c>
      <c r="G168" s="97" t="s">
        <v>3160</v>
      </c>
      <c r="H168" s="97" t="s">
        <v>4026</v>
      </c>
      <c r="I168" s="97" t="s">
        <v>4039</v>
      </c>
      <c r="J168" s="97" t="s">
        <v>4043</v>
      </c>
      <c r="K168" s="17" t="str">
        <f>IFERROR(INDEX(競技会設定!$J$3:$O$47,MATCH(J168,競技会設定!$M$3:$M$47,0),5),"")</f>
        <v>愛知教育大</v>
      </c>
      <c r="L168" s="17" t="str">
        <f>IFERROR(INDEX(競技会設定!$J$3:$N$47,MATCH(K168,競技会設定!$N$3:$N$47,0),2),"")</f>
        <v>490044</v>
      </c>
      <c r="M168" s="97" t="s">
        <v>3859</v>
      </c>
      <c r="N168" s="17" t="str">
        <f t="shared" si="7"/>
        <v>NAKAYAMA, Ryo</v>
      </c>
      <c r="O168" s="17" t="str">
        <f t="shared" si="8"/>
        <v>00</v>
      </c>
    </row>
    <row r="169" spans="1:15">
      <c r="A169" s="17" t="str">
        <f t="shared" si="6"/>
        <v>501000168</v>
      </c>
      <c r="B169" s="97">
        <v>168</v>
      </c>
      <c r="C169" s="97" t="s">
        <v>554</v>
      </c>
      <c r="D169" s="97" t="s">
        <v>555</v>
      </c>
      <c r="E169" s="312" t="s">
        <v>2340</v>
      </c>
      <c r="F169" s="312" t="s">
        <v>2193</v>
      </c>
      <c r="G169" s="97" t="s">
        <v>3160</v>
      </c>
      <c r="H169" s="97" t="s">
        <v>4026</v>
      </c>
      <c r="I169" s="97" t="s">
        <v>4039</v>
      </c>
      <c r="J169" s="97" t="s">
        <v>4043</v>
      </c>
      <c r="K169" s="17" t="str">
        <f>IFERROR(INDEX(競技会設定!$J$3:$O$47,MATCH(J169,競技会設定!$M$3:$M$47,0),5),"")</f>
        <v>愛知教育大</v>
      </c>
      <c r="L169" s="17" t="str">
        <f>IFERROR(INDEX(競技会設定!$J$3:$N$47,MATCH(K169,競技会設定!$N$3:$N$47,0),2),"")</f>
        <v>490044</v>
      </c>
      <c r="M169" s="97" t="s">
        <v>3859</v>
      </c>
      <c r="N169" s="17" t="str">
        <f t="shared" si="7"/>
        <v>MIYATA, Yuta</v>
      </c>
      <c r="O169" s="17" t="str">
        <f t="shared" si="8"/>
        <v>00</v>
      </c>
    </row>
    <row r="170" spans="1:15">
      <c r="A170" s="17" t="str">
        <f t="shared" si="6"/>
        <v>501000169</v>
      </c>
      <c r="B170" s="97">
        <v>169</v>
      </c>
      <c r="C170" s="97" t="s">
        <v>556</v>
      </c>
      <c r="D170" s="97" t="s">
        <v>557</v>
      </c>
      <c r="E170" s="312" t="s">
        <v>2341</v>
      </c>
      <c r="F170" s="312" t="s">
        <v>2342</v>
      </c>
      <c r="G170" s="97" t="s">
        <v>3221</v>
      </c>
      <c r="H170" s="97" t="s">
        <v>4026</v>
      </c>
      <c r="I170" s="97" t="s">
        <v>4039</v>
      </c>
      <c r="J170" s="97" t="s">
        <v>4043</v>
      </c>
      <c r="K170" s="17" t="str">
        <f>IFERROR(INDEX(競技会設定!$J$3:$O$47,MATCH(J170,競技会設定!$M$3:$M$47,0),5),"")</f>
        <v>愛知教育大</v>
      </c>
      <c r="L170" s="17" t="str">
        <f>IFERROR(INDEX(競技会設定!$J$3:$N$47,MATCH(K170,競技会設定!$N$3:$N$47,0),2),"")</f>
        <v>490044</v>
      </c>
      <c r="M170" s="97" t="s">
        <v>3859</v>
      </c>
      <c r="N170" s="17" t="str">
        <f t="shared" si="7"/>
        <v>TAKIKAWA, Shuhei</v>
      </c>
      <c r="O170" s="17" t="str">
        <f t="shared" si="8"/>
        <v>00</v>
      </c>
    </row>
    <row r="171" spans="1:15">
      <c r="A171" s="17" t="str">
        <f t="shared" si="6"/>
        <v>501000170</v>
      </c>
      <c r="B171" s="97">
        <v>170</v>
      </c>
      <c r="C171" s="97" t="s">
        <v>558</v>
      </c>
      <c r="D171" s="97" t="s">
        <v>559</v>
      </c>
      <c r="E171" s="312" t="s">
        <v>2343</v>
      </c>
      <c r="F171" s="312" t="s">
        <v>2149</v>
      </c>
      <c r="G171" s="97" t="s">
        <v>3198</v>
      </c>
      <c r="H171" s="97" t="s">
        <v>4026</v>
      </c>
      <c r="I171" s="97" t="s">
        <v>4039</v>
      </c>
      <c r="J171" s="97" t="s">
        <v>4043</v>
      </c>
      <c r="K171" s="17" t="str">
        <f>IFERROR(INDEX(競技会設定!$J$3:$O$47,MATCH(J171,競技会設定!$M$3:$M$47,0),5),"")</f>
        <v>愛知教育大</v>
      </c>
      <c r="L171" s="17" t="str">
        <f>IFERROR(INDEX(競技会設定!$J$3:$N$47,MATCH(K171,競技会設定!$N$3:$N$47,0),2),"")</f>
        <v>490044</v>
      </c>
      <c r="M171" s="97" t="s">
        <v>3859</v>
      </c>
      <c r="N171" s="17" t="str">
        <f t="shared" si="7"/>
        <v>HARABAYASHI, Ryo</v>
      </c>
      <c r="O171" s="17" t="str">
        <f t="shared" si="8"/>
        <v>00</v>
      </c>
    </row>
    <row r="172" spans="1:15">
      <c r="A172" s="17" t="str">
        <f t="shared" si="6"/>
        <v>501000171</v>
      </c>
      <c r="B172" s="97">
        <v>171</v>
      </c>
      <c r="C172" s="97" t="s">
        <v>560</v>
      </c>
      <c r="D172" s="97" t="s">
        <v>561</v>
      </c>
      <c r="E172" s="312" t="s">
        <v>2344</v>
      </c>
      <c r="F172" s="312" t="s">
        <v>2215</v>
      </c>
      <c r="G172" s="97" t="s">
        <v>3222</v>
      </c>
      <c r="H172" s="97" t="s">
        <v>4026</v>
      </c>
      <c r="I172" s="97" t="s">
        <v>4039</v>
      </c>
      <c r="J172" s="97" t="s">
        <v>4043</v>
      </c>
      <c r="K172" s="17" t="str">
        <f>IFERROR(INDEX(競技会設定!$J$3:$O$47,MATCH(J172,競技会設定!$M$3:$M$47,0),5),"")</f>
        <v>愛知教育大</v>
      </c>
      <c r="L172" s="17" t="str">
        <f>IFERROR(INDEX(競技会設定!$J$3:$N$47,MATCH(K172,競技会設定!$N$3:$N$47,0),2),"")</f>
        <v>490044</v>
      </c>
      <c r="M172" s="97" t="s">
        <v>3859</v>
      </c>
      <c r="N172" s="17" t="str">
        <f t="shared" si="7"/>
        <v>KATSURAGI, Hiroto</v>
      </c>
      <c r="O172" s="17" t="str">
        <f t="shared" si="8"/>
        <v>00</v>
      </c>
    </row>
    <row r="173" spans="1:15">
      <c r="A173" s="17" t="str">
        <f t="shared" si="6"/>
        <v>501000172</v>
      </c>
      <c r="B173" s="97">
        <v>172</v>
      </c>
      <c r="C173" s="97" t="s">
        <v>562</v>
      </c>
      <c r="D173" s="97" t="s">
        <v>563</v>
      </c>
      <c r="E173" s="312" t="s">
        <v>2315</v>
      </c>
      <c r="F173" s="312" t="s">
        <v>2345</v>
      </c>
      <c r="G173" s="97" t="s">
        <v>3223</v>
      </c>
      <c r="H173" s="97" t="s">
        <v>4026</v>
      </c>
      <c r="I173" s="97" t="s">
        <v>4039</v>
      </c>
      <c r="J173" s="97" t="s">
        <v>4043</v>
      </c>
      <c r="K173" s="17" t="str">
        <f>IFERROR(INDEX(競技会設定!$J$3:$O$47,MATCH(J173,競技会設定!$M$3:$M$47,0),5),"")</f>
        <v>愛知教育大</v>
      </c>
      <c r="L173" s="17" t="str">
        <f>IFERROR(INDEX(競技会設定!$J$3:$N$47,MATCH(K173,競技会設定!$N$3:$N$47,0),2),"")</f>
        <v>490044</v>
      </c>
      <c r="M173" s="97" t="s">
        <v>3859</v>
      </c>
      <c r="N173" s="17" t="str">
        <f t="shared" si="7"/>
        <v>KIMURA, Masanari</v>
      </c>
      <c r="O173" s="17" t="str">
        <f t="shared" si="8"/>
        <v>00</v>
      </c>
    </row>
    <row r="174" spans="1:15">
      <c r="A174" s="17" t="str">
        <f t="shared" si="6"/>
        <v>501000173</v>
      </c>
      <c r="B174" s="97">
        <v>173</v>
      </c>
      <c r="C174" s="97" t="s">
        <v>564</v>
      </c>
      <c r="D174" s="97" t="s">
        <v>565</v>
      </c>
      <c r="E174" s="312" t="s">
        <v>2346</v>
      </c>
      <c r="F174" s="312" t="s">
        <v>2347</v>
      </c>
      <c r="G174" s="97" t="s">
        <v>3224</v>
      </c>
      <c r="H174" s="97" t="s">
        <v>4026</v>
      </c>
      <c r="I174" s="97" t="s">
        <v>4039</v>
      </c>
      <c r="J174" s="97" t="s">
        <v>4043</v>
      </c>
      <c r="K174" s="17" t="str">
        <f>IFERROR(INDEX(競技会設定!$J$3:$O$47,MATCH(J174,競技会設定!$M$3:$M$47,0),5),"")</f>
        <v>愛知教育大</v>
      </c>
      <c r="L174" s="17" t="str">
        <f>IFERROR(INDEX(競技会設定!$J$3:$N$47,MATCH(K174,競技会設定!$N$3:$N$47,0),2),"")</f>
        <v>490044</v>
      </c>
      <c r="M174" s="97" t="s">
        <v>3859</v>
      </c>
      <c r="N174" s="17" t="str">
        <f t="shared" si="7"/>
        <v>KOJIMA, Yuhei</v>
      </c>
      <c r="O174" s="17" t="str">
        <f t="shared" si="8"/>
        <v>00</v>
      </c>
    </row>
    <row r="175" spans="1:15">
      <c r="A175" s="17" t="str">
        <f t="shared" si="6"/>
        <v>501000174</v>
      </c>
      <c r="B175" s="97">
        <v>174</v>
      </c>
      <c r="C175" s="97" t="s">
        <v>566</v>
      </c>
      <c r="D175" s="97" t="s">
        <v>567</v>
      </c>
      <c r="E175" s="312" t="s">
        <v>2348</v>
      </c>
      <c r="F175" s="312" t="s">
        <v>2118</v>
      </c>
      <c r="G175" s="97" t="s">
        <v>3225</v>
      </c>
      <c r="H175" s="97" t="s">
        <v>4026</v>
      </c>
      <c r="I175" s="97" t="s">
        <v>4039</v>
      </c>
      <c r="J175" s="97" t="s">
        <v>4043</v>
      </c>
      <c r="K175" s="17" t="str">
        <f>IFERROR(INDEX(競技会設定!$J$3:$O$47,MATCH(J175,競技会設定!$M$3:$M$47,0),5),"")</f>
        <v>愛知教育大</v>
      </c>
      <c r="L175" s="17" t="str">
        <f>IFERROR(INDEX(競技会設定!$J$3:$N$47,MATCH(K175,競技会設定!$N$3:$N$47,0),2),"")</f>
        <v>490044</v>
      </c>
      <c r="M175" s="97" t="s">
        <v>3859</v>
      </c>
      <c r="N175" s="17" t="str">
        <f t="shared" si="7"/>
        <v>MAEDA, Kazuki</v>
      </c>
      <c r="O175" s="17" t="str">
        <f t="shared" si="8"/>
        <v>00</v>
      </c>
    </row>
    <row r="176" spans="1:15">
      <c r="A176" s="17" t="str">
        <f t="shared" si="6"/>
        <v>501000175</v>
      </c>
      <c r="B176" s="97">
        <v>175</v>
      </c>
      <c r="C176" s="97" t="s">
        <v>568</v>
      </c>
      <c r="D176" s="97" t="s">
        <v>569</v>
      </c>
      <c r="E176" s="312" t="s">
        <v>2349</v>
      </c>
      <c r="F176" s="312" t="s">
        <v>2350</v>
      </c>
      <c r="G176" s="97" t="s">
        <v>3226</v>
      </c>
      <c r="H176" s="97" t="s">
        <v>4026</v>
      </c>
      <c r="I176" s="97" t="s">
        <v>4039</v>
      </c>
      <c r="J176" s="97" t="s">
        <v>4043</v>
      </c>
      <c r="K176" s="17" t="str">
        <f>IFERROR(INDEX(競技会設定!$J$3:$O$47,MATCH(J176,競技会設定!$M$3:$M$47,0),5),"")</f>
        <v>愛知教育大</v>
      </c>
      <c r="L176" s="17" t="str">
        <f>IFERROR(INDEX(競技会設定!$J$3:$N$47,MATCH(K176,競技会設定!$N$3:$N$47,0),2),"")</f>
        <v>490044</v>
      </c>
      <c r="M176" s="97" t="s">
        <v>3859</v>
      </c>
      <c r="N176" s="17" t="str">
        <f t="shared" si="7"/>
        <v>KOBAYASHI, Kanta</v>
      </c>
      <c r="O176" s="17" t="str">
        <f t="shared" si="8"/>
        <v>01</v>
      </c>
    </row>
    <row r="177" spans="1:15">
      <c r="A177" s="17" t="str">
        <f t="shared" si="6"/>
        <v>501000176</v>
      </c>
      <c r="B177" s="97">
        <v>176</v>
      </c>
      <c r="C177" s="97" t="s">
        <v>570</v>
      </c>
      <c r="D177" s="97" t="s">
        <v>571</v>
      </c>
      <c r="E177" s="312" t="s">
        <v>2351</v>
      </c>
      <c r="F177" s="312" t="s">
        <v>2352</v>
      </c>
      <c r="G177" s="97" t="s">
        <v>3227</v>
      </c>
      <c r="H177" s="97" t="s">
        <v>4029</v>
      </c>
      <c r="I177" s="97" t="s">
        <v>4039</v>
      </c>
      <c r="J177" s="97" t="s">
        <v>4043</v>
      </c>
      <c r="K177" s="17" t="str">
        <f>IFERROR(INDEX(競技会設定!$J$3:$O$47,MATCH(J177,競技会設定!$M$3:$M$47,0),5),"")</f>
        <v>愛知教育大</v>
      </c>
      <c r="L177" s="17" t="str">
        <f>IFERROR(INDEX(競技会設定!$J$3:$N$47,MATCH(K177,競技会設定!$N$3:$N$47,0),2),"")</f>
        <v>490044</v>
      </c>
      <c r="M177" s="97" t="s">
        <v>3875</v>
      </c>
      <c r="N177" s="17" t="str">
        <f t="shared" si="7"/>
        <v>FUKUYAMA, Toi</v>
      </c>
      <c r="O177" s="17" t="str">
        <f t="shared" si="8"/>
        <v>02</v>
      </c>
    </row>
    <row r="178" spans="1:15">
      <c r="A178" s="17" t="str">
        <f t="shared" si="6"/>
        <v>501000177</v>
      </c>
      <c r="B178" s="97">
        <v>177</v>
      </c>
      <c r="C178" s="97" t="s">
        <v>572</v>
      </c>
      <c r="D178" s="97" t="s">
        <v>573</v>
      </c>
      <c r="E178" s="312" t="s">
        <v>2349</v>
      </c>
      <c r="F178" s="312" t="s">
        <v>2236</v>
      </c>
      <c r="G178" s="97" t="s">
        <v>3228</v>
      </c>
      <c r="H178" s="97" t="s">
        <v>4025</v>
      </c>
      <c r="I178" s="97" t="s">
        <v>4039</v>
      </c>
      <c r="J178" s="97" t="s">
        <v>4044</v>
      </c>
      <c r="K178" s="17" t="str">
        <f>IFERROR(INDEX(競技会設定!$J$3:$O$47,MATCH(J178,競技会設定!$M$3:$M$47,0),5),"")</f>
        <v>愛知工業大</v>
      </c>
      <c r="L178" s="17" t="str">
        <f>IFERROR(INDEX(競技会設定!$J$3:$N$47,MATCH(K178,競技会設定!$N$3:$N$47,0),2),"")</f>
        <v>492168</v>
      </c>
      <c r="M178" s="97" t="s">
        <v>3859</v>
      </c>
      <c r="N178" s="17" t="str">
        <f t="shared" si="7"/>
        <v>KOBAYASHI, Kosuke</v>
      </c>
      <c r="O178" s="17" t="str">
        <f t="shared" si="8"/>
        <v>99</v>
      </c>
    </row>
    <row r="179" spans="1:15">
      <c r="A179" s="17" t="str">
        <f t="shared" si="6"/>
        <v>501000178</v>
      </c>
      <c r="B179" s="97">
        <v>178</v>
      </c>
      <c r="C179" s="97" t="s">
        <v>574</v>
      </c>
      <c r="D179" s="97" t="s">
        <v>575</v>
      </c>
      <c r="E179" s="312" t="s">
        <v>2176</v>
      </c>
      <c r="F179" s="312" t="s">
        <v>2353</v>
      </c>
      <c r="G179" s="97" t="s">
        <v>3229</v>
      </c>
      <c r="H179" s="97" t="s">
        <v>4025</v>
      </c>
      <c r="I179" s="97" t="s">
        <v>4039</v>
      </c>
      <c r="J179" s="97" t="s">
        <v>4044</v>
      </c>
      <c r="K179" s="17" t="str">
        <f>IFERROR(INDEX(競技会設定!$J$3:$O$47,MATCH(J179,競技会設定!$M$3:$M$47,0),5),"")</f>
        <v>愛知工業大</v>
      </c>
      <c r="L179" s="17" t="str">
        <f>IFERROR(INDEX(競技会設定!$J$3:$N$47,MATCH(K179,競技会設定!$N$3:$N$47,0),2),"")</f>
        <v>492168</v>
      </c>
      <c r="M179" s="97" t="s">
        <v>3855</v>
      </c>
      <c r="N179" s="17" t="str">
        <f t="shared" si="7"/>
        <v>NAKAMURA, Masaaki</v>
      </c>
      <c r="O179" s="17" t="str">
        <f t="shared" si="8"/>
        <v>98</v>
      </c>
    </row>
    <row r="180" spans="1:15">
      <c r="A180" s="17" t="str">
        <f t="shared" si="6"/>
        <v>501000179</v>
      </c>
      <c r="B180" s="97">
        <v>179</v>
      </c>
      <c r="C180" s="97" t="s">
        <v>576</v>
      </c>
      <c r="D180" s="97" t="s">
        <v>577</v>
      </c>
      <c r="E180" s="312" t="s">
        <v>2233</v>
      </c>
      <c r="F180" s="312" t="s">
        <v>2354</v>
      </c>
      <c r="G180" s="97" t="s">
        <v>3230</v>
      </c>
      <c r="H180" s="97" t="s">
        <v>4025</v>
      </c>
      <c r="I180" s="97" t="s">
        <v>4039</v>
      </c>
      <c r="J180" s="97" t="s">
        <v>4044</v>
      </c>
      <c r="K180" s="17" t="str">
        <f>IFERROR(INDEX(競技会設定!$J$3:$O$47,MATCH(J180,競技会設定!$M$3:$M$47,0),5),"")</f>
        <v>愛知工業大</v>
      </c>
      <c r="L180" s="17" t="str">
        <f>IFERROR(INDEX(競技会設定!$J$3:$N$47,MATCH(K180,競技会設定!$N$3:$N$47,0),2),"")</f>
        <v>492168</v>
      </c>
      <c r="M180" s="97" t="s">
        <v>3859</v>
      </c>
      <c r="N180" s="17" t="str">
        <f t="shared" si="7"/>
        <v>SUZUKI, Takatora</v>
      </c>
      <c r="O180" s="17" t="str">
        <f t="shared" si="8"/>
        <v>98</v>
      </c>
    </row>
    <row r="181" spans="1:15">
      <c r="A181" s="17" t="str">
        <f t="shared" si="6"/>
        <v>501000180</v>
      </c>
      <c r="B181" s="97">
        <v>180</v>
      </c>
      <c r="C181" s="97" t="s">
        <v>578</v>
      </c>
      <c r="D181" s="97" t="s">
        <v>579</v>
      </c>
      <c r="E181" s="312" t="s">
        <v>2355</v>
      </c>
      <c r="F181" s="312" t="s">
        <v>2356</v>
      </c>
      <c r="G181" s="97" t="s">
        <v>3231</v>
      </c>
      <c r="H181" s="97" t="s">
        <v>4025</v>
      </c>
      <c r="I181" s="97" t="s">
        <v>4039</v>
      </c>
      <c r="J181" s="97" t="s">
        <v>4044</v>
      </c>
      <c r="K181" s="17" t="str">
        <f>IFERROR(INDEX(競技会設定!$J$3:$O$47,MATCH(J181,競技会設定!$M$3:$M$47,0),5),"")</f>
        <v>愛知工業大</v>
      </c>
      <c r="L181" s="17" t="str">
        <f>IFERROR(INDEX(競技会設定!$J$3:$N$47,MATCH(K181,競技会設定!$N$3:$N$47,0),2),"")</f>
        <v>492168</v>
      </c>
      <c r="M181" s="97" t="s">
        <v>3859</v>
      </c>
      <c r="N181" s="17" t="str">
        <f t="shared" si="7"/>
        <v>MIURA, Shun</v>
      </c>
      <c r="O181" s="17" t="str">
        <f t="shared" si="8"/>
        <v>98</v>
      </c>
    </row>
    <row r="182" spans="1:15">
      <c r="A182" s="17" t="str">
        <f t="shared" si="6"/>
        <v>501000181</v>
      </c>
      <c r="B182" s="97">
        <v>181</v>
      </c>
      <c r="C182" s="97" t="s">
        <v>580</v>
      </c>
      <c r="D182" s="97" t="s">
        <v>581</v>
      </c>
      <c r="E182" s="312" t="s">
        <v>2357</v>
      </c>
      <c r="F182" s="312" t="s">
        <v>2102</v>
      </c>
      <c r="G182" s="97" t="s">
        <v>3232</v>
      </c>
      <c r="H182" s="97" t="s">
        <v>4025</v>
      </c>
      <c r="I182" s="97" t="s">
        <v>4039</v>
      </c>
      <c r="J182" s="97" t="s">
        <v>4044</v>
      </c>
      <c r="K182" s="17" t="str">
        <f>IFERROR(INDEX(競技会設定!$J$3:$O$47,MATCH(J182,競技会設定!$M$3:$M$47,0),5),"")</f>
        <v>愛知工業大</v>
      </c>
      <c r="L182" s="17" t="str">
        <f>IFERROR(INDEX(競技会設定!$J$3:$N$47,MATCH(K182,競技会設定!$N$3:$N$47,0),2),"")</f>
        <v>492168</v>
      </c>
      <c r="M182" s="97" t="s">
        <v>3855</v>
      </c>
      <c r="N182" s="17" t="str">
        <f t="shared" si="7"/>
        <v>TAGUCHI, Yuga</v>
      </c>
      <c r="O182" s="17" t="str">
        <f t="shared" si="8"/>
        <v>98</v>
      </c>
    </row>
    <row r="183" spans="1:15">
      <c r="A183" s="17" t="str">
        <f t="shared" si="6"/>
        <v>501000182</v>
      </c>
      <c r="B183" s="97">
        <v>182</v>
      </c>
      <c r="C183" s="97" t="s">
        <v>582</v>
      </c>
      <c r="D183" s="97" t="s">
        <v>583</v>
      </c>
      <c r="E183" s="312" t="s">
        <v>2146</v>
      </c>
      <c r="F183" s="312" t="s">
        <v>2170</v>
      </c>
      <c r="G183" s="97" t="s">
        <v>3233</v>
      </c>
      <c r="H183" s="97" t="s">
        <v>4025</v>
      </c>
      <c r="I183" s="97" t="s">
        <v>4039</v>
      </c>
      <c r="J183" s="97" t="s">
        <v>4044</v>
      </c>
      <c r="K183" s="17" t="str">
        <f>IFERROR(INDEX(競技会設定!$J$3:$O$47,MATCH(J183,競技会設定!$M$3:$M$47,0),5),"")</f>
        <v>愛知工業大</v>
      </c>
      <c r="L183" s="17" t="str">
        <f>IFERROR(INDEX(競技会設定!$J$3:$N$47,MATCH(K183,競技会設定!$N$3:$N$47,0),2),"")</f>
        <v>492168</v>
      </c>
      <c r="M183" s="97" t="s">
        <v>3859</v>
      </c>
      <c r="N183" s="17" t="str">
        <f t="shared" si="7"/>
        <v>HATTORI, Daiki</v>
      </c>
      <c r="O183" s="17" t="str">
        <f t="shared" si="8"/>
        <v>99</v>
      </c>
    </row>
    <row r="184" spans="1:15">
      <c r="A184" s="17" t="str">
        <f t="shared" si="6"/>
        <v>501000183</v>
      </c>
      <c r="B184" s="97">
        <v>183</v>
      </c>
      <c r="C184" s="97" t="s">
        <v>584</v>
      </c>
      <c r="D184" s="97" t="s">
        <v>585</v>
      </c>
      <c r="E184" s="312" t="s">
        <v>2358</v>
      </c>
      <c r="F184" s="312" t="s">
        <v>2124</v>
      </c>
      <c r="G184" s="97" t="s">
        <v>3234</v>
      </c>
      <c r="H184" s="97" t="s">
        <v>4026</v>
      </c>
      <c r="I184" s="97" t="s">
        <v>4039</v>
      </c>
      <c r="J184" s="97" t="s">
        <v>4044</v>
      </c>
      <c r="K184" s="17" t="str">
        <f>IFERROR(INDEX(競技会設定!$J$3:$O$47,MATCH(J184,競技会設定!$M$3:$M$47,0),5),"")</f>
        <v>愛知工業大</v>
      </c>
      <c r="L184" s="17" t="str">
        <f>IFERROR(INDEX(競技会設定!$J$3:$N$47,MATCH(K184,競技会設定!$N$3:$N$47,0),2),"")</f>
        <v>492168</v>
      </c>
      <c r="M184" s="97" t="s">
        <v>3859</v>
      </c>
      <c r="N184" s="17" t="str">
        <f t="shared" si="7"/>
        <v>TSUCHIYA, Keita</v>
      </c>
      <c r="O184" s="17" t="str">
        <f t="shared" si="8"/>
        <v>00</v>
      </c>
    </row>
    <row r="185" spans="1:15">
      <c r="A185" s="17" t="str">
        <f t="shared" si="6"/>
        <v>501000184</v>
      </c>
      <c r="B185" s="97">
        <v>184</v>
      </c>
      <c r="C185" s="97" t="s">
        <v>586</v>
      </c>
      <c r="D185" s="97" t="s">
        <v>587</v>
      </c>
      <c r="E185" s="312" t="s">
        <v>2181</v>
      </c>
      <c r="F185" s="312" t="s">
        <v>2359</v>
      </c>
      <c r="G185" s="97" t="s">
        <v>3235</v>
      </c>
      <c r="H185" s="97" t="s">
        <v>4024</v>
      </c>
      <c r="I185" s="97" t="s">
        <v>4039</v>
      </c>
      <c r="J185" s="97" t="s">
        <v>4044</v>
      </c>
      <c r="K185" s="17" t="str">
        <f>IFERROR(INDEX(競技会設定!$J$3:$O$47,MATCH(J185,競技会設定!$M$3:$M$47,0),5),"")</f>
        <v>愛知工業大</v>
      </c>
      <c r="L185" s="17" t="str">
        <f>IFERROR(INDEX(競技会設定!$J$3:$N$47,MATCH(K185,競技会設定!$N$3:$N$47,0),2),"")</f>
        <v>492168</v>
      </c>
      <c r="M185" s="97" t="s">
        <v>3859</v>
      </c>
      <c r="N185" s="17" t="str">
        <f t="shared" si="7"/>
        <v>HOTTA, Shoki</v>
      </c>
      <c r="O185" s="17" t="str">
        <f t="shared" si="8"/>
        <v>00</v>
      </c>
    </row>
    <row r="186" spans="1:15">
      <c r="A186" s="17" t="str">
        <f t="shared" si="6"/>
        <v>501000185</v>
      </c>
      <c r="B186" s="97">
        <v>185</v>
      </c>
      <c r="C186" s="97" t="s">
        <v>588</v>
      </c>
      <c r="D186" s="97" t="s">
        <v>589</v>
      </c>
      <c r="E186" s="312" t="s">
        <v>2360</v>
      </c>
      <c r="F186" s="312" t="s">
        <v>2184</v>
      </c>
      <c r="G186" s="97" t="s">
        <v>3236</v>
      </c>
      <c r="H186" s="97" t="s">
        <v>4026</v>
      </c>
      <c r="I186" s="97" t="s">
        <v>4039</v>
      </c>
      <c r="J186" s="97" t="s">
        <v>4044</v>
      </c>
      <c r="K186" s="17" t="str">
        <f>IFERROR(INDEX(競技会設定!$J$3:$O$47,MATCH(J186,競技会設定!$M$3:$M$47,0),5),"")</f>
        <v>愛知工業大</v>
      </c>
      <c r="L186" s="17" t="str">
        <f>IFERROR(INDEX(競技会設定!$J$3:$N$47,MATCH(K186,競技会設定!$N$3:$N$47,0),2),"")</f>
        <v>492168</v>
      </c>
      <c r="M186" s="97" t="s">
        <v>3859</v>
      </c>
      <c r="N186" s="17" t="str">
        <f t="shared" si="7"/>
        <v>WATANABE, Taisei</v>
      </c>
      <c r="O186" s="17" t="str">
        <f t="shared" si="8"/>
        <v>00</v>
      </c>
    </row>
    <row r="187" spans="1:15">
      <c r="A187" s="17" t="str">
        <f t="shared" si="6"/>
        <v>501000186</v>
      </c>
      <c r="B187" s="97">
        <v>186</v>
      </c>
      <c r="C187" s="97" t="s">
        <v>590</v>
      </c>
      <c r="D187" s="97" t="s">
        <v>591</v>
      </c>
      <c r="E187" s="312" t="s">
        <v>2361</v>
      </c>
      <c r="F187" s="312" t="s">
        <v>2240</v>
      </c>
      <c r="G187" s="97" t="s">
        <v>3163</v>
      </c>
      <c r="H187" s="97" t="s">
        <v>4026</v>
      </c>
      <c r="I187" s="97" t="s">
        <v>4039</v>
      </c>
      <c r="J187" s="97" t="s">
        <v>4044</v>
      </c>
      <c r="K187" s="17" t="str">
        <f>IFERROR(INDEX(競技会設定!$J$3:$O$47,MATCH(J187,競技会設定!$M$3:$M$47,0),5),"")</f>
        <v>愛知工業大</v>
      </c>
      <c r="L187" s="17" t="str">
        <f>IFERROR(INDEX(競技会設定!$J$3:$N$47,MATCH(K187,競技会設定!$N$3:$N$47,0),2),"")</f>
        <v>492168</v>
      </c>
      <c r="M187" s="97" t="s">
        <v>3861</v>
      </c>
      <c r="N187" s="17" t="str">
        <f t="shared" si="7"/>
        <v>TAKENAKA, Taichi</v>
      </c>
      <c r="O187" s="17" t="str">
        <f t="shared" si="8"/>
        <v>00</v>
      </c>
    </row>
    <row r="188" spans="1:15">
      <c r="A188" s="17" t="str">
        <f t="shared" si="6"/>
        <v>501000187</v>
      </c>
      <c r="B188" s="97">
        <v>187</v>
      </c>
      <c r="C188" s="97" t="s">
        <v>592</v>
      </c>
      <c r="D188" s="97" t="s">
        <v>593</v>
      </c>
      <c r="E188" s="312" t="s">
        <v>2355</v>
      </c>
      <c r="F188" s="312" t="s">
        <v>2362</v>
      </c>
      <c r="G188" s="97" t="s">
        <v>3237</v>
      </c>
      <c r="H188" s="97" t="s">
        <v>4026</v>
      </c>
      <c r="I188" s="97" t="s">
        <v>4039</v>
      </c>
      <c r="J188" s="97" t="s">
        <v>4044</v>
      </c>
      <c r="K188" s="17" t="str">
        <f>IFERROR(INDEX(競技会設定!$J$3:$O$47,MATCH(J188,競技会設定!$M$3:$M$47,0),5),"")</f>
        <v>愛知工業大</v>
      </c>
      <c r="L188" s="17" t="str">
        <f>IFERROR(INDEX(競技会設定!$J$3:$N$47,MATCH(K188,競技会設定!$N$3:$N$47,0),2),"")</f>
        <v>492168</v>
      </c>
      <c r="M188" s="97" t="s">
        <v>3859</v>
      </c>
      <c r="N188" s="17" t="str">
        <f t="shared" si="7"/>
        <v>MIURA, Mao</v>
      </c>
      <c r="O188" s="17" t="str">
        <f t="shared" si="8"/>
        <v>00</v>
      </c>
    </row>
    <row r="189" spans="1:15">
      <c r="A189" s="17" t="str">
        <f t="shared" si="6"/>
        <v>501000188</v>
      </c>
      <c r="B189" s="97">
        <v>188</v>
      </c>
      <c r="C189" s="97" t="s">
        <v>594</v>
      </c>
      <c r="D189" s="97" t="s">
        <v>595</v>
      </c>
      <c r="E189" s="312" t="s">
        <v>2363</v>
      </c>
      <c r="F189" s="312" t="s">
        <v>2141</v>
      </c>
      <c r="G189" s="97" t="s">
        <v>3238</v>
      </c>
      <c r="H189" s="97" t="s">
        <v>4026</v>
      </c>
      <c r="I189" s="97" t="s">
        <v>4039</v>
      </c>
      <c r="J189" s="97" t="s">
        <v>4044</v>
      </c>
      <c r="K189" s="17" t="str">
        <f>IFERROR(INDEX(競技会設定!$J$3:$O$47,MATCH(J189,競技会設定!$M$3:$M$47,0),5),"")</f>
        <v>愛知工業大</v>
      </c>
      <c r="L189" s="17" t="str">
        <f>IFERROR(INDEX(競技会設定!$J$3:$N$47,MATCH(K189,競技会設定!$N$3:$N$47,0),2),"")</f>
        <v>492168</v>
      </c>
      <c r="M189" s="97" t="s">
        <v>3859</v>
      </c>
      <c r="N189" s="17" t="str">
        <f t="shared" si="7"/>
        <v>SAKAKIBARA, Tomoya</v>
      </c>
      <c r="O189" s="17" t="str">
        <f t="shared" si="8"/>
        <v>00</v>
      </c>
    </row>
    <row r="190" spans="1:15">
      <c r="A190" s="17" t="str">
        <f t="shared" si="6"/>
        <v>501000189</v>
      </c>
      <c r="B190" s="97">
        <v>189</v>
      </c>
      <c r="C190" s="97" t="s">
        <v>596</v>
      </c>
      <c r="D190" s="97" t="s">
        <v>597</v>
      </c>
      <c r="E190" s="312" t="s">
        <v>2146</v>
      </c>
      <c r="F190" s="312" t="s">
        <v>2149</v>
      </c>
      <c r="G190" s="97" t="s">
        <v>3239</v>
      </c>
      <c r="H190" s="97" t="s">
        <v>4029</v>
      </c>
      <c r="I190" s="97" t="s">
        <v>4039</v>
      </c>
      <c r="J190" s="97" t="s">
        <v>4044</v>
      </c>
      <c r="K190" s="17" t="str">
        <f>IFERROR(INDEX(競技会設定!$J$3:$O$47,MATCH(J190,競技会設定!$M$3:$M$47,0),5),"")</f>
        <v>愛知工業大</v>
      </c>
      <c r="L190" s="17" t="str">
        <f>IFERROR(INDEX(競技会設定!$J$3:$N$47,MATCH(K190,競技会設定!$N$3:$N$47,0),2),"")</f>
        <v>492168</v>
      </c>
      <c r="M190" s="97" t="s">
        <v>3859</v>
      </c>
      <c r="N190" s="17" t="str">
        <f t="shared" si="7"/>
        <v>HATTORI, Ryo</v>
      </c>
      <c r="O190" s="17" t="str">
        <f t="shared" si="8"/>
        <v>01</v>
      </c>
    </row>
    <row r="191" spans="1:15">
      <c r="A191" s="17" t="str">
        <f t="shared" si="6"/>
        <v>501000190</v>
      </c>
      <c r="B191" s="97">
        <v>190</v>
      </c>
      <c r="C191" s="97" t="s">
        <v>598</v>
      </c>
      <c r="D191" s="97" t="s">
        <v>599</v>
      </c>
      <c r="E191" s="312" t="s">
        <v>2364</v>
      </c>
      <c r="F191" s="312" t="s">
        <v>2365</v>
      </c>
      <c r="G191" s="97" t="s">
        <v>3240</v>
      </c>
      <c r="H191" s="97" t="s">
        <v>4029</v>
      </c>
      <c r="I191" s="97" t="s">
        <v>4039</v>
      </c>
      <c r="J191" s="97" t="s">
        <v>4044</v>
      </c>
      <c r="K191" s="17" t="str">
        <f>IFERROR(INDEX(競技会設定!$J$3:$O$47,MATCH(J191,競技会設定!$M$3:$M$47,0),5),"")</f>
        <v>愛知工業大</v>
      </c>
      <c r="L191" s="17" t="str">
        <f>IFERROR(INDEX(競技会設定!$J$3:$N$47,MATCH(K191,競技会設定!$N$3:$N$47,0),2),"")</f>
        <v>492168</v>
      </c>
      <c r="M191" s="97" t="s">
        <v>3861</v>
      </c>
      <c r="N191" s="17" t="str">
        <f t="shared" si="7"/>
        <v>HASHINO, Mitsumasa</v>
      </c>
      <c r="O191" s="17" t="str">
        <f t="shared" si="8"/>
        <v>02</v>
      </c>
    </row>
    <row r="192" spans="1:15">
      <c r="A192" s="17" t="str">
        <f t="shared" si="6"/>
        <v>501000191</v>
      </c>
      <c r="B192" s="97">
        <v>191</v>
      </c>
      <c r="C192" s="97" t="s">
        <v>600</v>
      </c>
      <c r="D192" s="97" t="s">
        <v>601</v>
      </c>
      <c r="E192" s="312" t="s">
        <v>2259</v>
      </c>
      <c r="F192" s="312" t="s">
        <v>2366</v>
      </c>
      <c r="G192" s="97" t="s">
        <v>3241</v>
      </c>
      <c r="H192" s="97" t="s">
        <v>4029</v>
      </c>
      <c r="I192" s="97" t="s">
        <v>4039</v>
      </c>
      <c r="J192" s="97" t="s">
        <v>4044</v>
      </c>
      <c r="K192" s="17" t="str">
        <f>IFERROR(INDEX(競技会設定!$J$3:$O$47,MATCH(J192,競技会設定!$M$3:$M$47,0),5),"")</f>
        <v>愛知工業大</v>
      </c>
      <c r="L192" s="17" t="str">
        <f>IFERROR(INDEX(競技会設定!$J$3:$N$47,MATCH(K192,競技会設定!$N$3:$N$47,0),2),"")</f>
        <v>492168</v>
      </c>
      <c r="M192" s="97" t="s">
        <v>3861</v>
      </c>
      <c r="N192" s="17" t="str">
        <f t="shared" si="7"/>
        <v>YAMAMOTO, Shunta</v>
      </c>
      <c r="O192" s="17" t="str">
        <f t="shared" si="8"/>
        <v>01</v>
      </c>
    </row>
    <row r="193" spans="1:15">
      <c r="A193" s="17" t="str">
        <f t="shared" si="6"/>
        <v>501000192</v>
      </c>
      <c r="B193" s="97">
        <v>192</v>
      </c>
      <c r="C193" s="97" t="s">
        <v>602</v>
      </c>
      <c r="D193" s="97" t="s">
        <v>603</v>
      </c>
      <c r="E193" s="312" t="s">
        <v>2367</v>
      </c>
      <c r="F193" s="312" t="s">
        <v>2368</v>
      </c>
      <c r="G193" s="97" t="s">
        <v>3242</v>
      </c>
      <c r="H193" s="97" t="s">
        <v>4029</v>
      </c>
      <c r="I193" s="97" t="s">
        <v>4039</v>
      </c>
      <c r="J193" s="97" t="s">
        <v>4044</v>
      </c>
      <c r="K193" s="17" t="str">
        <f>IFERROR(INDEX(競技会設定!$J$3:$O$47,MATCH(J193,競技会設定!$M$3:$M$47,0),5),"")</f>
        <v>愛知工業大</v>
      </c>
      <c r="L193" s="17" t="str">
        <f>IFERROR(INDEX(競技会設定!$J$3:$N$47,MATCH(K193,競技会設定!$N$3:$N$47,0),2),"")</f>
        <v>492168</v>
      </c>
      <c r="M193" s="97" t="s">
        <v>3859</v>
      </c>
      <c r="N193" s="17" t="str">
        <f t="shared" si="7"/>
        <v>KARIYA, Shinnosuke</v>
      </c>
      <c r="O193" s="17" t="str">
        <f t="shared" si="8"/>
        <v>01</v>
      </c>
    </row>
    <row r="194" spans="1:15">
      <c r="A194" s="17" t="str">
        <f t="shared" si="6"/>
        <v>501000193</v>
      </c>
      <c r="B194" s="97">
        <v>193</v>
      </c>
      <c r="C194" s="97" t="s">
        <v>604</v>
      </c>
      <c r="D194" s="97" t="s">
        <v>605</v>
      </c>
      <c r="E194" s="312" t="s">
        <v>2369</v>
      </c>
      <c r="F194" s="312" t="s">
        <v>2370</v>
      </c>
      <c r="G194" s="97" t="s">
        <v>3243</v>
      </c>
      <c r="H194" s="97" t="s">
        <v>4029</v>
      </c>
      <c r="I194" s="97" t="s">
        <v>4039</v>
      </c>
      <c r="J194" s="97" t="s">
        <v>4044</v>
      </c>
      <c r="K194" s="17" t="str">
        <f>IFERROR(INDEX(競技会設定!$J$3:$O$47,MATCH(J194,競技会設定!$M$3:$M$47,0),5),"")</f>
        <v>愛知工業大</v>
      </c>
      <c r="L194" s="17" t="str">
        <f>IFERROR(INDEX(競技会設定!$J$3:$N$47,MATCH(K194,競技会設定!$N$3:$N$47,0),2),"")</f>
        <v>492168</v>
      </c>
      <c r="M194" s="97" t="s">
        <v>3855</v>
      </c>
      <c r="N194" s="17" t="str">
        <f t="shared" si="7"/>
        <v>KATO, Hidetoshi</v>
      </c>
      <c r="O194" s="17" t="str">
        <f t="shared" si="8"/>
        <v>01</v>
      </c>
    </row>
    <row r="195" spans="1:15">
      <c r="A195" s="17" t="str">
        <f t="shared" ref="A195:A258" si="9">IF(B195="","","501"&amp;TEXT(B195,"000000"))</f>
        <v>501000194</v>
      </c>
      <c r="B195" s="97">
        <v>194</v>
      </c>
      <c r="C195" s="97" t="s">
        <v>606</v>
      </c>
      <c r="D195" s="97" t="s">
        <v>607</v>
      </c>
      <c r="E195" s="312" t="s">
        <v>2371</v>
      </c>
      <c r="F195" s="312" t="s">
        <v>2137</v>
      </c>
      <c r="G195" s="97" t="s">
        <v>3244</v>
      </c>
      <c r="H195" s="97" t="s">
        <v>4026</v>
      </c>
      <c r="I195" s="97" t="s">
        <v>4039</v>
      </c>
      <c r="J195" s="97" t="s">
        <v>4044</v>
      </c>
      <c r="K195" s="17" t="str">
        <f>IFERROR(INDEX(競技会設定!$J$3:$O$47,MATCH(J195,競技会設定!$M$3:$M$47,0),5),"")</f>
        <v>愛知工業大</v>
      </c>
      <c r="L195" s="17" t="str">
        <f>IFERROR(INDEX(競技会設定!$J$3:$N$47,MATCH(K195,競技会設定!$N$3:$N$47,0),2),"")</f>
        <v>492168</v>
      </c>
      <c r="M195" s="97" t="s">
        <v>3859</v>
      </c>
      <c r="N195" s="17" t="str">
        <f t="shared" ref="N195:N258" si="10">IF(E195="","",E195&amp;", "&amp;F195)</f>
        <v>FUKAYA, Ryota</v>
      </c>
      <c r="O195" s="17" t="str">
        <f t="shared" ref="O195:O258" si="11">IFERROR(TEXT(INT(LEFT(G195,2)),"00"),"")</f>
        <v>00</v>
      </c>
    </row>
    <row r="196" spans="1:15">
      <c r="A196" s="17" t="str">
        <f t="shared" si="9"/>
        <v>501000195</v>
      </c>
      <c r="B196" s="97">
        <v>195</v>
      </c>
      <c r="C196" s="97" t="s">
        <v>608</v>
      </c>
      <c r="D196" s="97" t="s">
        <v>609</v>
      </c>
      <c r="E196" s="312" t="s">
        <v>2372</v>
      </c>
      <c r="F196" s="312" t="s">
        <v>2182</v>
      </c>
      <c r="G196" s="97" t="s">
        <v>3245</v>
      </c>
      <c r="H196" s="97" t="s">
        <v>4026</v>
      </c>
      <c r="I196" s="97" t="s">
        <v>4039</v>
      </c>
      <c r="J196" s="97" t="s">
        <v>4044</v>
      </c>
      <c r="K196" s="17" t="str">
        <f>IFERROR(INDEX(競技会設定!$J$3:$O$47,MATCH(J196,競技会設定!$M$3:$M$47,0),5),"")</f>
        <v>愛知工業大</v>
      </c>
      <c r="L196" s="17" t="str">
        <f>IFERROR(INDEX(競技会設定!$J$3:$N$47,MATCH(K196,競技会設定!$N$3:$N$47,0),2),"")</f>
        <v>492168</v>
      </c>
      <c r="M196" s="97" t="s">
        <v>3859</v>
      </c>
      <c r="N196" s="17" t="str">
        <f t="shared" si="10"/>
        <v>HARATA, Yuya</v>
      </c>
      <c r="O196" s="17" t="str">
        <f t="shared" si="11"/>
        <v>00</v>
      </c>
    </row>
    <row r="197" spans="1:15">
      <c r="A197" s="17" t="str">
        <f t="shared" si="9"/>
        <v>501000196</v>
      </c>
      <c r="B197" s="97">
        <v>196</v>
      </c>
      <c r="C197" s="97" t="s">
        <v>610</v>
      </c>
      <c r="D197" s="97" t="s">
        <v>611</v>
      </c>
      <c r="E197" s="312" t="s">
        <v>2373</v>
      </c>
      <c r="F197" s="312" t="s">
        <v>2170</v>
      </c>
      <c r="G197" s="97" t="s">
        <v>3246</v>
      </c>
      <c r="H197" s="97" t="s">
        <v>4024</v>
      </c>
      <c r="I197" s="97" t="s">
        <v>4039</v>
      </c>
      <c r="J197" s="97" t="s">
        <v>4045</v>
      </c>
      <c r="K197" s="17" t="str">
        <f>IFERROR(INDEX(競技会設定!$J$3:$O$47,MATCH(J197,競技会設定!$M$3:$M$47,0),5),"")</f>
        <v>愛知淑徳大</v>
      </c>
      <c r="L197" s="17" t="str">
        <f>IFERROR(INDEX(競技会設定!$J$3:$N$47,MATCH(K197,競技会設定!$N$3:$N$47,0),2),"")</f>
        <v>492301</v>
      </c>
      <c r="M197" s="97" t="s">
        <v>3859</v>
      </c>
      <c r="N197" s="17" t="str">
        <f t="shared" si="10"/>
        <v>HOSHINO, Daiki</v>
      </c>
      <c r="O197" s="17" t="str">
        <f t="shared" si="11"/>
        <v>99</v>
      </c>
    </row>
    <row r="198" spans="1:15">
      <c r="A198" s="17" t="str">
        <f t="shared" si="9"/>
        <v>501000197</v>
      </c>
      <c r="B198" s="97">
        <v>197</v>
      </c>
      <c r="C198" s="97" t="s">
        <v>612</v>
      </c>
      <c r="D198" s="97" t="s">
        <v>613</v>
      </c>
      <c r="E198" s="312" t="s">
        <v>2233</v>
      </c>
      <c r="F198" s="312" t="s">
        <v>2374</v>
      </c>
      <c r="G198" s="97" t="s">
        <v>3247</v>
      </c>
      <c r="H198" s="97" t="s">
        <v>4024</v>
      </c>
      <c r="I198" s="97" t="s">
        <v>4039</v>
      </c>
      <c r="J198" s="97" t="s">
        <v>4045</v>
      </c>
      <c r="K198" s="17" t="str">
        <f>IFERROR(INDEX(競技会設定!$J$3:$O$47,MATCH(J198,競技会設定!$M$3:$M$47,0),5),"")</f>
        <v>愛知淑徳大</v>
      </c>
      <c r="L198" s="17" t="str">
        <f>IFERROR(INDEX(競技会設定!$J$3:$N$47,MATCH(K198,競技会設定!$N$3:$N$47,0),2),"")</f>
        <v>492301</v>
      </c>
      <c r="M198" s="97" t="s">
        <v>3859</v>
      </c>
      <c r="N198" s="17" t="str">
        <f t="shared" si="10"/>
        <v xml:space="preserve">SUZUKI, Shoya </v>
      </c>
      <c r="O198" s="17" t="str">
        <f t="shared" si="11"/>
        <v>99</v>
      </c>
    </row>
    <row r="199" spans="1:15">
      <c r="A199" s="17" t="str">
        <f t="shared" si="9"/>
        <v>501000198</v>
      </c>
      <c r="B199" s="97">
        <v>198</v>
      </c>
      <c r="C199" s="97" t="s">
        <v>614</v>
      </c>
      <c r="D199" s="97" t="s">
        <v>615</v>
      </c>
      <c r="E199" s="312" t="s">
        <v>2375</v>
      </c>
      <c r="F199" s="312" t="s">
        <v>2376</v>
      </c>
      <c r="G199" s="97" t="s">
        <v>3248</v>
      </c>
      <c r="H199" s="97" t="s">
        <v>4026</v>
      </c>
      <c r="I199" s="97" t="s">
        <v>4039</v>
      </c>
      <c r="J199" s="97" t="s">
        <v>4045</v>
      </c>
      <c r="K199" s="17" t="str">
        <f>IFERROR(INDEX(競技会設定!$J$3:$O$47,MATCH(J199,競技会設定!$M$3:$M$47,0),5),"")</f>
        <v>愛知淑徳大</v>
      </c>
      <c r="L199" s="17" t="str">
        <f>IFERROR(INDEX(競技会設定!$J$3:$N$47,MATCH(K199,競技会設定!$N$3:$N$47,0),2),"")</f>
        <v>492301</v>
      </c>
      <c r="M199" s="97" t="s">
        <v>3859</v>
      </c>
      <c r="N199" s="17" t="str">
        <f t="shared" si="10"/>
        <v>NARUSE, Tomoaki</v>
      </c>
      <c r="O199" s="17" t="str">
        <f t="shared" si="11"/>
        <v>99</v>
      </c>
    </row>
    <row r="200" spans="1:15">
      <c r="A200" s="17" t="str">
        <f t="shared" si="9"/>
        <v>501000199</v>
      </c>
      <c r="B200" s="97">
        <v>199</v>
      </c>
      <c r="C200" s="97" t="s">
        <v>616</v>
      </c>
      <c r="D200" s="97" t="s">
        <v>617</v>
      </c>
      <c r="E200" s="312" t="s">
        <v>2377</v>
      </c>
      <c r="F200" s="312" t="s">
        <v>2378</v>
      </c>
      <c r="G200" s="97" t="s">
        <v>3249</v>
      </c>
      <c r="H200" s="97" t="s">
        <v>4024</v>
      </c>
      <c r="I200" s="97" t="s">
        <v>4039</v>
      </c>
      <c r="J200" s="97" t="s">
        <v>4045</v>
      </c>
      <c r="K200" s="17" t="str">
        <f>IFERROR(INDEX(競技会設定!$J$3:$O$47,MATCH(J200,競技会設定!$M$3:$M$47,0),5),"")</f>
        <v>愛知淑徳大</v>
      </c>
      <c r="L200" s="17" t="str">
        <f>IFERROR(INDEX(競技会設定!$J$3:$N$47,MATCH(K200,競技会設定!$N$3:$N$47,0),2),"")</f>
        <v>492301</v>
      </c>
      <c r="M200" s="97" t="s">
        <v>3859</v>
      </c>
      <c r="N200" s="17" t="str">
        <f t="shared" si="10"/>
        <v xml:space="preserve">SAITOU, Kazuya </v>
      </c>
      <c r="O200" s="17" t="str">
        <f t="shared" si="11"/>
        <v>99</v>
      </c>
    </row>
    <row r="201" spans="1:15">
      <c r="A201" s="17" t="str">
        <f t="shared" si="9"/>
        <v>501000200</v>
      </c>
      <c r="B201" s="97">
        <v>200</v>
      </c>
      <c r="C201" s="97" t="s">
        <v>618</v>
      </c>
      <c r="D201" s="97" t="s">
        <v>619</v>
      </c>
      <c r="E201" s="312" t="s">
        <v>2379</v>
      </c>
      <c r="F201" s="312" t="s">
        <v>2380</v>
      </c>
      <c r="G201" s="97" t="s">
        <v>3250</v>
      </c>
      <c r="H201" s="97" t="s">
        <v>4026</v>
      </c>
      <c r="I201" s="97" t="s">
        <v>4039</v>
      </c>
      <c r="J201" s="97" t="s">
        <v>4045</v>
      </c>
      <c r="K201" s="17" t="str">
        <f>IFERROR(INDEX(競技会設定!$J$3:$O$47,MATCH(J201,競技会設定!$M$3:$M$47,0),5),"")</f>
        <v>愛知淑徳大</v>
      </c>
      <c r="L201" s="17" t="str">
        <f>IFERROR(INDEX(競技会設定!$J$3:$N$47,MATCH(K201,競技会設定!$N$3:$N$47,0),2),"")</f>
        <v>492301</v>
      </c>
      <c r="M201" s="97" t="s">
        <v>3859</v>
      </c>
      <c r="N201" s="17" t="str">
        <f t="shared" si="10"/>
        <v>MATSUI , Yasato</v>
      </c>
      <c r="O201" s="17" t="str">
        <f t="shared" si="11"/>
        <v>00</v>
      </c>
    </row>
    <row r="202" spans="1:15">
      <c r="A202" s="17" t="str">
        <f t="shared" si="9"/>
        <v>501000201</v>
      </c>
      <c r="B202" s="97">
        <v>201</v>
      </c>
      <c r="C202" s="97" t="s">
        <v>620</v>
      </c>
      <c r="D202" s="97" t="s">
        <v>621</v>
      </c>
      <c r="E202" s="312" t="s">
        <v>2381</v>
      </c>
      <c r="F202" s="312" t="s">
        <v>2170</v>
      </c>
      <c r="G202" s="97" t="s">
        <v>3251</v>
      </c>
      <c r="H202" s="97" t="s">
        <v>4026</v>
      </c>
      <c r="I202" s="97" t="s">
        <v>4039</v>
      </c>
      <c r="J202" s="97" t="s">
        <v>4046</v>
      </c>
      <c r="K202" s="17" t="str">
        <f>IFERROR(INDEX(競技会設定!$J$3:$O$47,MATCH(J202,競技会設定!$M$3:$M$47,0),5),"")</f>
        <v>愛知大</v>
      </c>
      <c r="L202" s="17" t="str">
        <f>IFERROR(INDEX(競技会設定!$J$3:$N$47,MATCH(K202,競技会設定!$N$3:$N$47,0),2),"")</f>
        <v>492165</v>
      </c>
      <c r="M202" s="97" t="s">
        <v>3859</v>
      </c>
      <c r="N202" s="17" t="str">
        <f t="shared" si="10"/>
        <v>ASAI, Daiki</v>
      </c>
      <c r="O202" s="17" t="str">
        <f t="shared" si="11"/>
        <v>00</v>
      </c>
    </row>
    <row r="203" spans="1:15">
      <c r="A203" s="17" t="str">
        <f t="shared" si="9"/>
        <v>501000202</v>
      </c>
      <c r="B203" s="97">
        <v>202</v>
      </c>
      <c r="C203" s="97" t="s">
        <v>622</v>
      </c>
      <c r="D203" s="97" t="s">
        <v>623</v>
      </c>
      <c r="E203" s="312" t="s">
        <v>2382</v>
      </c>
      <c r="F203" s="312" t="s">
        <v>2207</v>
      </c>
      <c r="G203" s="97" t="s">
        <v>3252</v>
      </c>
      <c r="H203" s="97" t="s">
        <v>4026</v>
      </c>
      <c r="I203" s="97" t="s">
        <v>4039</v>
      </c>
      <c r="J203" s="97" t="s">
        <v>4046</v>
      </c>
      <c r="K203" s="17" t="str">
        <f>IFERROR(INDEX(競技会設定!$J$3:$O$47,MATCH(J203,競技会設定!$M$3:$M$47,0),5),"")</f>
        <v>愛知大</v>
      </c>
      <c r="L203" s="17" t="str">
        <f>IFERROR(INDEX(競技会設定!$J$3:$N$47,MATCH(K203,競技会設定!$N$3:$N$47,0),2),"")</f>
        <v>492165</v>
      </c>
      <c r="M203" s="97" t="s">
        <v>3859</v>
      </c>
      <c r="N203" s="17" t="str">
        <f t="shared" si="10"/>
        <v>IWAMOTO, Tatsuya</v>
      </c>
      <c r="O203" s="17" t="str">
        <f t="shared" si="11"/>
        <v>01</v>
      </c>
    </row>
    <row r="204" spans="1:15">
      <c r="A204" s="17" t="str">
        <f t="shared" si="9"/>
        <v>501000203</v>
      </c>
      <c r="B204" s="97">
        <v>203</v>
      </c>
      <c r="C204" s="97" t="s">
        <v>624</v>
      </c>
      <c r="D204" s="97" t="s">
        <v>625</v>
      </c>
      <c r="E204" s="312" t="s">
        <v>2140</v>
      </c>
      <c r="F204" s="312" t="s">
        <v>2383</v>
      </c>
      <c r="G204" s="97" t="s">
        <v>3253</v>
      </c>
      <c r="H204" s="97" t="s">
        <v>4026</v>
      </c>
      <c r="I204" s="97" t="s">
        <v>4039</v>
      </c>
      <c r="J204" s="97" t="s">
        <v>4046</v>
      </c>
      <c r="K204" s="17" t="str">
        <f>IFERROR(INDEX(競技会設定!$J$3:$O$47,MATCH(J204,競技会設定!$M$3:$M$47,0),5),"")</f>
        <v>愛知大</v>
      </c>
      <c r="L204" s="17" t="str">
        <f>IFERROR(INDEX(競技会設定!$J$3:$N$47,MATCH(K204,競技会設定!$N$3:$N$47,0),2),"")</f>
        <v>492165</v>
      </c>
      <c r="M204" s="97" t="s">
        <v>3859</v>
      </c>
      <c r="N204" s="17" t="str">
        <f t="shared" si="10"/>
        <v>IWATA, Takanori</v>
      </c>
      <c r="O204" s="17" t="str">
        <f t="shared" si="11"/>
        <v>01</v>
      </c>
    </row>
    <row r="205" spans="1:15">
      <c r="A205" s="17" t="str">
        <f t="shared" si="9"/>
        <v>501000204</v>
      </c>
      <c r="B205" s="97">
        <v>204</v>
      </c>
      <c r="C205" s="97" t="s">
        <v>626</v>
      </c>
      <c r="D205" s="97" t="s">
        <v>627</v>
      </c>
      <c r="E205" s="312" t="s">
        <v>2384</v>
      </c>
      <c r="F205" s="312" t="s">
        <v>2240</v>
      </c>
      <c r="G205" s="97" t="s">
        <v>3254</v>
      </c>
      <c r="H205" s="97" t="s">
        <v>4026</v>
      </c>
      <c r="I205" s="97" t="s">
        <v>4039</v>
      </c>
      <c r="J205" s="97" t="s">
        <v>4046</v>
      </c>
      <c r="K205" s="17" t="str">
        <f>IFERROR(INDEX(競技会設定!$J$3:$O$47,MATCH(J205,競技会設定!$M$3:$M$47,0),5),"")</f>
        <v>愛知大</v>
      </c>
      <c r="L205" s="17" t="str">
        <f>IFERROR(INDEX(競技会設定!$J$3:$N$47,MATCH(K205,競技会設定!$N$3:$N$47,0),2),"")</f>
        <v>492165</v>
      </c>
      <c r="M205" s="97" t="s">
        <v>3859</v>
      </c>
      <c r="N205" s="17" t="str">
        <f t="shared" si="10"/>
        <v>NAKAYA, Taichi</v>
      </c>
      <c r="O205" s="17" t="str">
        <f t="shared" si="11"/>
        <v>01</v>
      </c>
    </row>
    <row r="206" spans="1:15">
      <c r="A206" s="17" t="str">
        <f t="shared" si="9"/>
        <v>501000205</v>
      </c>
      <c r="B206" s="97">
        <v>205</v>
      </c>
      <c r="C206" s="97" t="s">
        <v>628</v>
      </c>
      <c r="D206" s="97" t="s">
        <v>629</v>
      </c>
      <c r="E206" s="312" t="s">
        <v>2385</v>
      </c>
      <c r="F206" s="312" t="s">
        <v>2253</v>
      </c>
      <c r="G206" s="97" t="s">
        <v>3255</v>
      </c>
      <c r="H206" s="97" t="s">
        <v>4026</v>
      </c>
      <c r="I206" s="97" t="s">
        <v>4039</v>
      </c>
      <c r="J206" s="97" t="s">
        <v>4046</v>
      </c>
      <c r="K206" s="17" t="str">
        <f>IFERROR(INDEX(競技会設定!$J$3:$O$47,MATCH(J206,競技会設定!$M$3:$M$47,0),5),"")</f>
        <v>愛知大</v>
      </c>
      <c r="L206" s="17" t="str">
        <f>IFERROR(INDEX(競技会設定!$J$3:$N$47,MATCH(K206,競技会設定!$N$3:$N$47,0),2),"")</f>
        <v>492165</v>
      </c>
      <c r="M206" s="97" t="s">
        <v>3859</v>
      </c>
      <c r="N206" s="17" t="str">
        <f t="shared" si="10"/>
        <v>KATASHIMA, Kentaro</v>
      </c>
      <c r="O206" s="17" t="str">
        <f t="shared" si="11"/>
        <v>00</v>
      </c>
    </row>
    <row r="207" spans="1:15">
      <c r="A207" s="17" t="str">
        <f t="shared" si="9"/>
        <v>501000206</v>
      </c>
      <c r="B207" s="97">
        <v>206</v>
      </c>
      <c r="C207" s="97" t="s">
        <v>7600</v>
      </c>
      <c r="D207" s="97" t="s">
        <v>630</v>
      </c>
      <c r="E207" s="312" t="s">
        <v>2386</v>
      </c>
      <c r="F207" s="312" t="s">
        <v>2189</v>
      </c>
      <c r="G207" s="97" t="s">
        <v>3256</v>
      </c>
      <c r="H207" s="97" t="s">
        <v>4026</v>
      </c>
      <c r="I207" s="97" t="s">
        <v>4039</v>
      </c>
      <c r="J207" s="97" t="s">
        <v>4046</v>
      </c>
      <c r="K207" s="17" t="str">
        <f>IFERROR(INDEX(競技会設定!$J$3:$O$47,MATCH(J207,競技会設定!$M$3:$M$47,0),5),"")</f>
        <v>愛知大</v>
      </c>
      <c r="L207" s="17" t="str">
        <f>IFERROR(INDEX(競技会設定!$J$3:$N$47,MATCH(K207,競技会設定!$N$3:$N$47,0),2),"")</f>
        <v>492165</v>
      </c>
      <c r="M207" s="97" t="s">
        <v>3859</v>
      </c>
      <c r="N207" s="17" t="str">
        <f t="shared" si="10"/>
        <v>HAYAKAWA, Keisuke</v>
      </c>
      <c r="O207" s="17" t="str">
        <f t="shared" si="11"/>
        <v>00</v>
      </c>
    </row>
    <row r="208" spans="1:15">
      <c r="A208" s="17" t="str">
        <f t="shared" si="9"/>
        <v>501000207</v>
      </c>
      <c r="B208" s="97">
        <v>207</v>
      </c>
      <c r="C208" s="97" t="s">
        <v>631</v>
      </c>
      <c r="D208" s="97" t="s">
        <v>632</v>
      </c>
      <c r="E208" s="312" t="s">
        <v>2387</v>
      </c>
      <c r="F208" s="312" t="s">
        <v>2388</v>
      </c>
      <c r="G208" s="97" t="s">
        <v>3257</v>
      </c>
      <c r="H208" s="97" t="s">
        <v>4024</v>
      </c>
      <c r="I208" s="97" t="s">
        <v>4039</v>
      </c>
      <c r="J208" s="97" t="s">
        <v>4046</v>
      </c>
      <c r="K208" s="17" t="str">
        <f>IFERROR(INDEX(競技会設定!$J$3:$O$47,MATCH(J208,競技会設定!$M$3:$M$47,0),5),"")</f>
        <v>愛知大</v>
      </c>
      <c r="L208" s="17" t="str">
        <f>IFERROR(INDEX(競技会設定!$J$3:$N$47,MATCH(K208,競技会設定!$N$3:$N$47,0),2),"")</f>
        <v>492165</v>
      </c>
      <c r="M208" s="97" t="s">
        <v>3859</v>
      </c>
      <c r="N208" s="17" t="str">
        <f t="shared" si="10"/>
        <v>SUGANUMA, Shutaro</v>
      </c>
      <c r="O208" s="17" t="str">
        <f t="shared" si="11"/>
        <v>00</v>
      </c>
    </row>
    <row r="209" spans="1:15">
      <c r="A209" s="17" t="str">
        <f t="shared" si="9"/>
        <v>501000208</v>
      </c>
      <c r="B209" s="97">
        <v>208</v>
      </c>
      <c r="C209" s="97" t="s">
        <v>633</v>
      </c>
      <c r="D209" s="97" t="s">
        <v>634</v>
      </c>
      <c r="E209" s="312" t="s">
        <v>2389</v>
      </c>
      <c r="F209" s="312" t="s">
        <v>2390</v>
      </c>
      <c r="G209" s="97" t="s">
        <v>3258</v>
      </c>
      <c r="H209" s="97" t="s">
        <v>4025</v>
      </c>
      <c r="I209" s="97" t="s">
        <v>4039</v>
      </c>
      <c r="J209" s="97" t="s">
        <v>4046</v>
      </c>
      <c r="K209" s="17" t="str">
        <f>IFERROR(INDEX(競技会設定!$J$3:$O$47,MATCH(J209,競技会設定!$M$3:$M$47,0),5),"")</f>
        <v>愛知大</v>
      </c>
      <c r="L209" s="17" t="str">
        <f>IFERROR(INDEX(競技会設定!$J$3:$N$47,MATCH(K209,競技会設定!$N$3:$N$47,0),2),"")</f>
        <v>492165</v>
      </c>
      <c r="M209" s="97" t="s">
        <v>3859</v>
      </c>
      <c r="N209" s="17" t="str">
        <f t="shared" si="10"/>
        <v>MIWA, Kenji</v>
      </c>
      <c r="O209" s="17" t="str">
        <f t="shared" si="11"/>
        <v>98</v>
      </c>
    </row>
    <row r="210" spans="1:15">
      <c r="A210" s="17" t="str">
        <f t="shared" si="9"/>
        <v>501000209</v>
      </c>
      <c r="B210" s="97">
        <v>209</v>
      </c>
      <c r="C210" s="97" t="s">
        <v>635</v>
      </c>
      <c r="D210" s="97" t="s">
        <v>636</v>
      </c>
      <c r="E210" s="312" t="s">
        <v>2391</v>
      </c>
      <c r="F210" s="312" t="s">
        <v>2152</v>
      </c>
      <c r="G210" s="97" t="s">
        <v>3259</v>
      </c>
      <c r="H210" s="97" t="s">
        <v>4024</v>
      </c>
      <c r="I210" s="97" t="s">
        <v>4039</v>
      </c>
      <c r="J210" s="97" t="s">
        <v>4046</v>
      </c>
      <c r="K210" s="17" t="str">
        <f>IFERROR(INDEX(競技会設定!$J$3:$O$47,MATCH(J210,競技会設定!$M$3:$M$47,0),5),"")</f>
        <v>愛知大</v>
      </c>
      <c r="L210" s="17" t="str">
        <f>IFERROR(INDEX(競技会設定!$J$3:$N$47,MATCH(K210,競技会設定!$N$3:$N$47,0),2),"")</f>
        <v>492165</v>
      </c>
      <c r="M210" s="97" t="s">
        <v>3859</v>
      </c>
      <c r="N210" s="17" t="str">
        <f t="shared" si="10"/>
        <v>UEMURA, Kazuma</v>
      </c>
      <c r="O210" s="17" t="str">
        <f t="shared" si="11"/>
        <v>00</v>
      </c>
    </row>
    <row r="211" spans="1:15">
      <c r="A211" s="17" t="str">
        <f t="shared" si="9"/>
        <v>501000210</v>
      </c>
      <c r="B211" s="97">
        <v>210</v>
      </c>
      <c r="C211" s="97" t="s">
        <v>637</v>
      </c>
      <c r="D211" s="97" t="s">
        <v>638</v>
      </c>
      <c r="E211" s="312" t="s">
        <v>2314</v>
      </c>
      <c r="F211" s="312" t="s">
        <v>2102</v>
      </c>
      <c r="G211" s="97" t="s">
        <v>3124</v>
      </c>
      <c r="H211" s="97" t="s">
        <v>4024</v>
      </c>
      <c r="I211" s="97" t="s">
        <v>4039</v>
      </c>
      <c r="J211" s="97" t="s">
        <v>4046</v>
      </c>
      <c r="K211" s="17" t="str">
        <f>IFERROR(INDEX(競技会設定!$J$3:$O$47,MATCH(J211,競技会設定!$M$3:$M$47,0),5),"")</f>
        <v>愛知大</v>
      </c>
      <c r="L211" s="17" t="str">
        <f>IFERROR(INDEX(競技会設定!$J$3:$N$47,MATCH(K211,競技会設定!$N$3:$N$47,0),2),"")</f>
        <v>492165</v>
      </c>
      <c r="M211" s="97" t="s">
        <v>3861</v>
      </c>
      <c r="N211" s="17" t="str">
        <f t="shared" si="10"/>
        <v>KONDO, Yuga</v>
      </c>
      <c r="O211" s="17" t="str">
        <f t="shared" si="11"/>
        <v>99</v>
      </c>
    </row>
    <row r="212" spans="1:15">
      <c r="A212" s="17" t="str">
        <f t="shared" si="9"/>
        <v>501000211</v>
      </c>
      <c r="B212" s="97">
        <v>211</v>
      </c>
      <c r="C212" s="97" t="s">
        <v>639</v>
      </c>
      <c r="D212" s="97" t="s">
        <v>640</v>
      </c>
      <c r="E212" s="312" t="s">
        <v>2392</v>
      </c>
      <c r="F212" s="312" t="s">
        <v>2393</v>
      </c>
      <c r="G212" s="97" t="s">
        <v>3260</v>
      </c>
      <c r="H212" s="97" t="s">
        <v>4026</v>
      </c>
      <c r="I212" s="97" t="s">
        <v>4039</v>
      </c>
      <c r="J212" s="97" t="s">
        <v>4046</v>
      </c>
      <c r="K212" s="17" t="str">
        <f>IFERROR(INDEX(競技会設定!$J$3:$O$47,MATCH(J212,競技会設定!$M$3:$M$47,0),5),"")</f>
        <v>愛知大</v>
      </c>
      <c r="L212" s="17" t="str">
        <f>IFERROR(INDEX(競技会設定!$J$3:$N$47,MATCH(K212,競技会設定!$N$3:$N$47,0),2),"")</f>
        <v>492165</v>
      </c>
      <c r="M212" s="97" t="s">
        <v>3859</v>
      </c>
      <c r="N212" s="17" t="str">
        <f t="shared" si="10"/>
        <v>KUBOTA, Gunjo</v>
      </c>
      <c r="O212" s="17" t="str">
        <f t="shared" si="11"/>
        <v>00</v>
      </c>
    </row>
    <row r="213" spans="1:15">
      <c r="A213" s="17" t="str">
        <f t="shared" si="9"/>
        <v>501000212</v>
      </c>
      <c r="B213" s="97">
        <v>212</v>
      </c>
      <c r="C213" s="97" t="s">
        <v>641</v>
      </c>
      <c r="D213" s="97" t="s">
        <v>642</v>
      </c>
      <c r="E213" s="312" t="s">
        <v>2259</v>
      </c>
      <c r="F213" s="312" t="s">
        <v>2293</v>
      </c>
      <c r="G213" s="97" t="s">
        <v>3222</v>
      </c>
      <c r="H213" s="97" t="s">
        <v>4026</v>
      </c>
      <c r="I213" s="97" t="s">
        <v>4039</v>
      </c>
      <c r="J213" s="97" t="s">
        <v>4046</v>
      </c>
      <c r="K213" s="17" t="str">
        <f>IFERROR(INDEX(競技会設定!$J$3:$O$47,MATCH(J213,競技会設定!$M$3:$M$47,0),5),"")</f>
        <v>愛知大</v>
      </c>
      <c r="L213" s="17" t="str">
        <f>IFERROR(INDEX(競技会設定!$J$3:$N$47,MATCH(K213,競技会設定!$N$3:$N$47,0),2),"")</f>
        <v>492165</v>
      </c>
      <c r="M213" s="97" t="s">
        <v>3859</v>
      </c>
      <c r="N213" s="17" t="str">
        <f t="shared" si="10"/>
        <v>YAMAMOTO, Koki</v>
      </c>
      <c r="O213" s="17" t="str">
        <f t="shared" si="11"/>
        <v>00</v>
      </c>
    </row>
    <row r="214" spans="1:15">
      <c r="A214" s="17" t="str">
        <f t="shared" si="9"/>
        <v>501000213</v>
      </c>
      <c r="B214" s="97">
        <v>213</v>
      </c>
      <c r="C214" s="97" t="s">
        <v>643</v>
      </c>
      <c r="D214" s="97" t="s">
        <v>644</v>
      </c>
      <c r="E214" s="312" t="s">
        <v>2394</v>
      </c>
      <c r="F214" s="312" t="s">
        <v>2395</v>
      </c>
      <c r="G214" s="97" t="s">
        <v>3261</v>
      </c>
      <c r="H214" s="97" t="s">
        <v>4025</v>
      </c>
      <c r="I214" s="97" t="s">
        <v>4039</v>
      </c>
      <c r="J214" s="97" t="s">
        <v>4046</v>
      </c>
      <c r="K214" s="17" t="str">
        <f>IFERROR(INDEX(競技会設定!$J$3:$O$47,MATCH(J214,競技会設定!$M$3:$M$47,0),5),"")</f>
        <v>愛知大</v>
      </c>
      <c r="L214" s="17" t="str">
        <f>IFERROR(INDEX(競技会設定!$J$3:$N$47,MATCH(K214,競技会設定!$N$3:$N$47,0),2),"")</f>
        <v>492165</v>
      </c>
      <c r="M214" s="97" t="s">
        <v>3855</v>
      </c>
      <c r="N214" s="17" t="str">
        <f t="shared" si="10"/>
        <v>YOSHIMURA, Jinta</v>
      </c>
      <c r="O214" s="17" t="str">
        <f t="shared" si="11"/>
        <v>98</v>
      </c>
    </row>
    <row r="215" spans="1:15">
      <c r="A215" s="17" t="str">
        <f t="shared" si="9"/>
        <v>501000214</v>
      </c>
      <c r="B215" s="97">
        <v>214</v>
      </c>
      <c r="C215" s="97" t="s">
        <v>645</v>
      </c>
      <c r="D215" s="97" t="s">
        <v>646</v>
      </c>
      <c r="E215" s="312" t="s">
        <v>2396</v>
      </c>
      <c r="F215" s="312" t="s">
        <v>2141</v>
      </c>
      <c r="G215" s="97" t="s">
        <v>3262</v>
      </c>
      <c r="H215" s="97" t="s">
        <v>4025</v>
      </c>
      <c r="I215" s="97" t="s">
        <v>4039</v>
      </c>
      <c r="J215" s="97" t="s">
        <v>4046</v>
      </c>
      <c r="K215" s="17" t="str">
        <f>IFERROR(INDEX(競技会設定!$J$3:$O$47,MATCH(J215,競技会設定!$M$3:$M$47,0),5),"")</f>
        <v>愛知大</v>
      </c>
      <c r="L215" s="17" t="str">
        <f>IFERROR(INDEX(競技会設定!$J$3:$N$47,MATCH(K215,競技会設定!$N$3:$N$47,0),2),"")</f>
        <v>492165</v>
      </c>
      <c r="M215" s="97" t="s">
        <v>3859</v>
      </c>
      <c r="N215" s="17" t="str">
        <f t="shared" si="10"/>
        <v>MASE, Tomoya</v>
      </c>
      <c r="O215" s="17" t="str">
        <f t="shared" si="11"/>
        <v>98</v>
      </c>
    </row>
    <row r="216" spans="1:15">
      <c r="A216" s="17" t="str">
        <f t="shared" si="9"/>
        <v>501000215</v>
      </c>
      <c r="B216" s="97">
        <v>215</v>
      </c>
      <c r="C216" s="97" t="s">
        <v>647</v>
      </c>
      <c r="D216" s="97" t="s">
        <v>648</v>
      </c>
      <c r="E216" s="312" t="s">
        <v>2355</v>
      </c>
      <c r="F216" s="312" t="s">
        <v>2397</v>
      </c>
      <c r="G216" s="97" t="s">
        <v>3263</v>
      </c>
      <c r="H216" s="97" t="s">
        <v>4025</v>
      </c>
      <c r="I216" s="97" t="s">
        <v>4039</v>
      </c>
      <c r="J216" s="97" t="s">
        <v>4046</v>
      </c>
      <c r="K216" s="17" t="str">
        <f>IFERROR(INDEX(競技会設定!$J$3:$O$47,MATCH(J216,競技会設定!$M$3:$M$47,0),5),"")</f>
        <v>愛知大</v>
      </c>
      <c r="L216" s="17" t="str">
        <f>IFERROR(INDEX(競技会設定!$J$3:$N$47,MATCH(K216,競技会設定!$N$3:$N$47,0),2),"")</f>
        <v>492165</v>
      </c>
      <c r="M216" s="97" t="s">
        <v>3859</v>
      </c>
      <c r="N216" s="17" t="str">
        <f t="shared" si="10"/>
        <v>MIURA, Soshi</v>
      </c>
      <c r="O216" s="17" t="str">
        <f t="shared" si="11"/>
        <v>98</v>
      </c>
    </row>
    <row r="217" spans="1:15">
      <c r="A217" s="17" t="str">
        <f t="shared" si="9"/>
        <v>501000216</v>
      </c>
      <c r="B217" s="97">
        <v>216</v>
      </c>
      <c r="C217" s="97" t="s">
        <v>649</v>
      </c>
      <c r="D217" s="97" t="s">
        <v>650</v>
      </c>
      <c r="E217" s="312" t="s">
        <v>2398</v>
      </c>
      <c r="F217" s="312" t="s">
        <v>2399</v>
      </c>
      <c r="G217" s="97" t="s">
        <v>3264</v>
      </c>
      <c r="H217" s="97" t="s">
        <v>4025</v>
      </c>
      <c r="I217" s="97" t="s">
        <v>4039</v>
      </c>
      <c r="J217" s="97" t="s">
        <v>4046</v>
      </c>
      <c r="K217" s="17" t="str">
        <f>IFERROR(INDEX(競技会設定!$J$3:$O$47,MATCH(J217,競技会設定!$M$3:$M$47,0),5),"")</f>
        <v>愛知大</v>
      </c>
      <c r="L217" s="17" t="str">
        <f>IFERROR(INDEX(競技会設定!$J$3:$N$47,MATCH(K217,競技会設定!$N$3:$N$47,0),2),"")</f>
        <v>492165</v>
      </c>
      <c r="M217" s="97" t="s">
        <v>3859</v>
      </c>
      <c r="N217" s="17" t="str">
        <f t="shared" si="10"/>
        <v>ISHIKAWA, Yoichi</v>
      </c>
      <c r="O217" s="17" t="str">
        <f t="shared" si="11"/>
        <v>99</v>
      </c>
    </row>
    <row r="218" spans="1:15">
      <c r="A218" s="17" t="str">
        <f t="shared" si="9"/>
        <v>501000217</v>
      </c>
      <c r="B218" s="97">
        <v>217</v>
      </c>
      <c r="C218" s="97" t="s">
        <v>651</v>
      </c>
      <c r="D218" s="97" t="s">
        <v>652</v>
      </c>
      <c r="E218" s="312" t="s">
        <v>2400</v>
      </c>
      <c r="F218" s="312" t="s">
        <v>2234</v>
      </c>
      <c r="G218" s="97" t="s">
        <v>3265</v>
      </c>
      <c r="H218" s="97" t="s">
        <v>4025</v>
      </c>
      <c r="I218" s="97" t="s">
        <v>4039</v>
      </c>
      <c r="J218" s="97" t="s">
        <v>4046</v>
      </c>
      <c r="K218" s="17" t="str">
        <f>IFERROR(INDEX(競技会設定!$J$3:$O$47,MATCH(J218,競技会設定!$M$3:$M$47,0),5),"")</f>
        <v>愛知大</v>
      </c>
      <c r="L218" s="17" t="str">
        <f>IFERROR(INDEX(競技会設定!$J$3:$N$47,MATCH(K218,競技会設定!$N$3:$N$47,0),2),"")</f>
        <v>492165</v>
      </c>
      <c r="M218" s="97" t="s">
        <v>3859</v>
      </c>
      <c r="N218" s="17" t="str">
        <f t="shared" si="10"/>
        <v>MIYAGAWA, Yuto</v>
      </c>
      <c r="O218" s="17" t="str">
        <f t="shared" si="11"/>
        <v>98</v>
      </c>
    </row>
    <row r="219" spans="1:15">
      <c r="A219" s="17" t="str">
        <f t="shared" si="9"/>
        <v>501000218</v>
      </c>
      <c r="B219" s="97">
        <v>218</v>
      </c>
      <c r="C219" s="97" t="s">
        <v>653</v>
      </c>
      <c r="D219" s="97" t="s">
        <v>654</v>
      </c>
      <c r="E219" s="312" t="s">
        <v>2401</v>
      </c>
      <c r="F219" s="312" t="s">
        <v>2402</v>
      </c>
      <c r="G219" s="97" t="s">
        <v>3193</v>
      </c>
      <c r="H219" s="97" t="s">
        <v>4024</v>
      </c>
      <c r="I219" s="97" t="s">
        <v>4039</v>
      </c>
      <c r="J219" s="97" t="s">
        <v>4046</v>
      </c>
      <c r="K219" s="17" t="str">
        <f>IFERROR(INDEX(競技会設定!$J$3:$O$47,MATCH(J219,競技会設定!$M$3:$M$47,0),5),"")</f>
        <v>愛知大</v>
      </c>
      <c r="L219" s="17" t="str">
        <f>IFERROR(INDEX(競技会設定!$J$3:$N$47,MATCH(K219,競技会設定!$N$3:$N$47,0),2),"")</f>
        <v>492165</v>
      </c>
      <c r="M219" s="97" t="s">
        <v>3859</v>
      </c>
      <c r="N219" s="17" t="str">
        <f t="shared" si="10"/>
        <v>SUGIURA, Fumiki</v>
      </c>
      <c r="O219" s="17" t="str">
        <f t="shared" si="11"/>
        <v>99</v>
      </c>
    </row>
    <row r="220" spans="1:15">
      <c r="A220" s="17" t="str">
        <f t="shared" si="9"/>
        <v>501000219</v>
      </c>
      <c r="B220" s="97">
        <v>219</v>
      </c>
      <c r="C220" s="97" t="s">
        <v>655</v>
      </c>
      <c r="D220" s="97" t="s">
        <v>656</v>
      </c>
      <c r="E220" s="312" t="s">
        <v>2398</v>
      </c>
      <c r="F220" s="312" t="s">
        <v>2366</v>
      </c>
      <c r="G220" s="97" t="s">
        <v>3266</v>
      </c>
      <c r="H220" s="97" t="s">
        <v>4025</v>
      </c>
      <c r="I220" s="97" t="s">
        <v>4039</v>
      </c>
      <c r="J220" s="97" t="s">
        <v>4047</v>
      </c>
      <c r="K220" s="17" t="str">
        <f>IFERROR(INDEX(競技会設定!$J$3:$O$47,MATCH(J220,競技会設定!$M$3:$M$47,0),5),"")</f>
        <v>岐阜協立大</v>
      </c>
      <c r="L220" s="17" t="str">
        <f>IFERROR(INDEX(競技会設定!$J$3:$N$47,MATCH(K220,競技会設定!$N$3:$N$47,0),2),"")</f>
        <v>492161</v>
      </c>
      <c r="M220" s="97" t="s">
        <v>3845</v>
      </c>
      <c r="N220" s="17" t="str">
        <f t="shared" si="10"/>
        <v>ISHIKAWA, Shunta</v>
      </c>
      <c r="O220" s="17" t="str">
        <f t="shared" si="11"/>
        <v>99</v>
      </c>
    </row>
    <row r="221" spans="1:15">
      <c r="A221" s="17" t="str">
        <f t="shared" si="9"/>
        <v>501000220</v>
      </c>
      <c r="B221" s="97">
        <v>220</v>
      </c>
      <c r="C221" s="97" t="s">
        <v>657</v>
      </c>
      <c r="D221" s="97" t="s">
        <v>658</v>
      </c>
      <c r="E221" s="312" t="s">
        <v>2398</v>
      </c>
      <c r="F221" s="312" t="s">
        <v>2403</v>
      </c>
      <c r="G221" s="97" t="s">
        <v>3267</v>
      </c>
      <c r="H221" s="97" t="s">
        <v>4025</v>
      </c>
      <c r="I221" s="97" t="s">
        <v>4039</v>
      </c>
      <c r="J221" s="97" t="s">
        <v>4047</v>
      </c>
      <c r="K221" s="17" t="str">
        <f>IFERROR(INDEX(競技会設定!$J$3:$O$47,MATCH(J221,競技会設定!$M$3:$M$47,0),5),"")</f>
        <v>岐阜協立大</v>
      </c>
      <c r="L221" s="17" t="str">
        <f>IFERROR(INDEX(競技会設定!$J$3:$N$47,MATCH(K221,競技会設定!$N$3:$N$47,0),2),"")</f>
        <v>492161</v>
      </c>
      <c r="M221" s="97" t="s">
        <v>3859</v>
      </c>
      <c r="N221" s="17" t="str">
        <f t="shared" si="10"/>
        <v>ISHIKAWA, Daisuke</v>
      </c>
      <c r="O221" s="17" t="str">
        <f t="shared" si="11"/>
        <v>98</v>
      </c>
    </row>
    <row r="222" spans="1:15">
      <c r="A222" s="17" t="str">
        <f t="shared" si="9"/>
        <v>501000221</v>
      </c>
      <c r="B222" s="97">
        <v>221</v>
      </c>
      <c r="C222" s="97" t="s">
        <v>659</v>
      </c>
      <c r="D222" s="97" t="s">
        <v>660</v>
      </c>
      <c r="E222" s="312" t="s">
        <v>2404</v>
      </c>
      <c r="F222" s="312" t="s">
        <v>2220</v>
      </c>
      <c r="G222" s="97" t="s">
        <v>3268</v>
      </c>
      <c r="H222" s="97" t="s">
        <v>4025</v>
      </c>
      <c r="I222" s="97" t="s">
        <v>4039</v>
      </c>
      <c r="J222" s="97" t="s">
        <v>4047</v>
      </c>
      <c r="K222" s="17" t="str">
        <f>IFERROR(INDEX(競技会設定!$J$3:$O$47,MATCH(J222,競技会設定!$M$3:$M$47,0),5),"")</f>
        <v>岐阜協立大</v>
      </c>
      <c r="L222" s="17" t="str">
        <f>IFERROR(INDEX(競技会設定!$J$3:$N$47,MATCH(K222,競技会設定!$N$3:$N$47,0),2),"")</f>
        <v>492161</v>
      </c>
      <c r="M222" s="97" t="s">
        <v>3859</v>
      </c>
      <c r="N222" s="17" t="str">
        <f t="shared" si="10"/>
        <v>OKITA, Ryusei</v>
      </c>
      <c r="O222" s="17" t="str">
        <f t="shared" si="11"/>
        <v>98</v>
      </c>
    </row>
    <row r="223" spans="1:15">
      <c r="A223" s="17" t="str">
        <f t="shared" si="9"/>
        <v>501000222</v>
      </c>
      <c r="B223" s="97">
        <v>222</v>
      </c>
      <c r="C223" s="97" t="s">
        <v>661</v>
      </c>
      <c r="D223" s="97" t="s">
        <v>662</v>
      </c>
      <c r="E223" s="312" t="s">
        <v>2405</v>
      </c>
      <c r="F223" s="312" t="s">
        <v>2167</v>
      </c>
      <c r="G223" s="97" t="s">
        <v>3269</v>
      </c>
      <c r="H223" s="97" t="s">
        <v>4025</v>
      </c>
      <c r="I223" s="97" t="s">
        <v>4039</v>
      </c>
      <c r="J223" s="97" t="s">
        <v>4047</v>
      </c>
      <c r="K223" s="17" t="str">
        <f>IFERROR(INDEX(競技会設定!$J$3:$O$47,MATCH(J223,競技会設定!$M$3:$M$47,0),5),"")</f>
        <v>岐阜協立大</v>
      </c>
      <c r="L223" s="17" t="str">
        <f>IFERROR(INDEX(競技会設定!$J$3:$N$47,MATCH(K223,競技会設定!$N$3:$N$47,0),2),"")</f>
        <v>492161</v>
      </c>
      <c r="M223" s="97" t="s">
        <v>3867</v>
      </c>
      <c r="N223" s="17" t="str">
        <f t="shared" si="10"/>
        <v>KASHIWA, Chihiro</v>
      </c>
      <c r="O223" s="17" t="str">
        <f t="shared" si="11"/>
        <v>98</v>
      </c>
    </row>
    <row r="224" spans="1:15">
      <c r="A224" s="17" t="str">
        <f t="shared" si="9"/>
        <v>501000223</v>
      </c>
      <c r="B224" s="97">
        <v>223</v>
      </c>
      <c r="C224" s="97" t="s">
        <v>663</v>
      </c>
      <c r="D224" s="97" t="s">
        <v>664</v>
      </c>
      <c r="E224" s="312" t="s">
        <v>2406</v>
      </c>
      <c r="F224" s="312" t="s">
        <v>2407</v>
      </c>
      <c r="G224" s="97" t="s">
        <v>3270</v>
      </c>
      <c r="H224" s="97" t="s">
        <v>4025</v>
      </c>
      <c r="I224" s="97" t="s">
        <v>4039</v>
      </c>
      <c r="J224" s="97" t="s">
        <v>4047</v>
      </c>
      <c r="K224" s="17" t="str">
        <f>IFERROR(INDEX(競技会設定!$J$3:$O$47,MATCH(J224,競技会設定!$M$3:$M$47,0),5),"")</f>
        <v>岐阜協立大</v>
      </c>
      <c r="L224" s="17" t="str">
        <f>IFERROR(INDEX(競技会設定!$J$3:$N$47,MATCH(K224,競技会設定!$N$3:$N$47,0),2),"")</f>
        <v>492161</v>
      </c>
      <c r="M224" s="97" t="s">
        <v>3820</v>
      </c>
      <c r="N224" s="17" t="str">
        <f t="shared" si="10"/>
        <v>KATSURADA, Mizuki</v>
      </c>
      <c r="O224" s="17" t="str">
        <f t="shared" si="11"/>
        <v>98</v>
      </c>
    </row>
    <row r="225" spans="1:15">
      <c r="A225" s="17" t="str">
        <f t="shared" si="9"/>
        <v>501000224</v>
      </c>
      <c r="B225" s="97">
        <v>224</v>
      </c>
      <c r="C225" s="97" t="s">
        <v>665</v>
      </c>
      <c r="D225" s="97" t="s">
        <v>666</v>
      </c>
      <c r="E225" s="312" t="s">
        <v>2408</v>
      </c>
      <c r="F225" s="312" t="s">
        <v>2409</v>
      </c>
      <c r="G225" s="97" t="s">
        <v>3271</v>
      </c>
      <c r="H225" s="97" t="s">
        <v>4025</v>
      </c>
      <c r="I225" s="97" t="s">
        <v>4039</v>
      </c>
      <c r="J225" s="97" t="s">
        <v>4047</v>
      </c>
      <c r="K225" s="17" t="str">
        <f>IFERROR(INDEX(競技会設定!$J$3:$O$47,MATCH(J225,競技会設定!$M$3:$M$47,0),5),"")</f>
        <v>岐阜協立大</v>
      </c>
      <c r="L225" s="17" t="str">
        <f>IFERROR(INDEX(競技会設定!$J$3:$N$47,MATCH(K225,競技会設定!$N$3:$N$47,0),2),"")</f>
        <v>492161</v>
      </c>
      <c r="M225" s="97" t="s">
        <v>3841</v>
      </c>
      <c r="N225" s="17" t="str">
        <f t="shared" si="10"/>
        <v>KANEYAMA, Takayuki</v>
      </c>
      <c r="O225" s="17" t="str">
        <f t="shared" si="11"/>
        <v>97</v>
      </c>
    </row>
    <row r="226" spans="1:15">
      <c r="A226" s="17" t="str">
        <f t="shared" si="9"/>
        <v>501000225</v>
      </c>
      <c r="B226" s="97">
        <v>225</v>
      </c>
      <c r="C226" s="97" t="s">
        <v>667</v>
      </c>
      <c r="D226" s="97" t="s">
        <v>668</v>
      </c>
      <c r="E226" s="312" t="s">
        <v>2410</v>
      </c>
      <c r="F226" s="312" t="s">
        <v>2200</v>
      </c>
      <c r="G226" s="97" t="s">
        <v>3272</v>
      </c>
      <c r="H226" s="97" t="s">
        <v>4025</v>
      </c>
      <c r="I226" s="97" t="s">
        <v>4039</v>
      </c>
      <c r="J226" s="97" t="s">
        <v>4047</v>
      </c>
      <c r="K226" s="17" t="str">
        <f>IFERROR(INDEX(競技会設定!$J$3:$O$47,MATCH(J226,競技会設定!$M$3:$M$47,0),5),"")</f>
        <v>岐阜協立大</v>
      </c>
      <c r="L226" s="17" t="str">
        <f>IFERROR(INDEX(競技会設定!$J$3:$N$47,MATCH(K226,競技会設定!$N$3:$N$47,0),2),"")</f>
        <v>492161</v>
      </c>
      <c r="M226" s="97" t="s">
        <v>3859</v>
      </c>
      <c r="N226" s="17" t="str">
        <f t="shared" si="10"/>
        <v>SUGIYAMA, Ryotaro</v>
      </c>
      <c r="O226" s="17" t="str">
        <f t="shared" si="11"/>
        <v>98</v>
      </c>
    </row>
    <row r="227" spans="1:15">
      <c r="A227" s="17" t="str">
        <f t="shared" si="9"/>
        <v>501000226</v>
      </c>
      <c r="B227" s="97">
        <v>226</v>
      </c>
      <c r="C227" s="97" t="s">
        <v>669</v>
      </c>
      <c r="D227" s="97" t="s">
        <v>670</v>
      </c>
      <c r="E227" s="312" t="s">
        <v>2221</v>
      </c>
      <c r="F227" s="312" t="s">
        <v>2411</v>
      </c>
      <c r="G227" s="97" t="s">
        <v>3273</v>
      </c>
      <c r="H227" s="97" t="s">
        <v>4025</v>
      </c>
      <c r="I227" s="97" t="s">
        <v>4039</v>
      </c>
      <c r="J227" s="97" t="s">
        <v>4047</v>
      </c>
      <c r="K227" s="17" t="str">
        <f>IFERROR(INDEX(競技会設定!$J$3:$O$47,MATCH(J227,競技会設定!$M$3:$M$47,0),5),"")</f>
        <v>岐阜協立大</v>
      </c>
      <c r="L227" s="17" t="str">
        <f>IFERROR(INDEX(競技会設定!$J$3:$N$47,MATCH(K227,競技会設定!$N$3:$N$47,0),2),"")</f>
        <v>492161</v>
      </c>
      <c r="M227" s="97" t="s">
        <v>3879</v>
      </c>
      <c r="N227" s="17" t="str">
        <f t="shared" si="10"/>
        <v>TANAKA, Ryogo</v>
      </c>
      <c r="O227" s="17" t="str">
        <f t="shared" si="11"/>
        <v>98</v>
      </c>
    </row>
    <row r="228" spans="1:15">
      <c r="A228" s="17" t="str">
        <f t="shared" si="9"/>
        <v>501000227</v>
      </c>
      <c r="B228" s="97">
        <v>227</v>
      </c>
      <c r="C228" s="97" t="s">
        <v>671</v>
      </c>
      <c r="D228" s="97" t="s">
        <v>672</v>
      </c>
      <c r="E228" s="312" t="s">
        <v>2412</v>
      </c>
      <c r="F228" s="312" t="s">
        <v>2165</v>
      </c>
      <c r="G228" s="97" t="s">
        <v>3274</v>
      </c>
      <c r="H228" s="97" t="s">
        <v>4025</v>
      </c>
      <c r="I228" s="97" t="s">
        <v>4039</v>
      </c>
      <c r="J228" s="97" t="s">
        <v>4047</v>
      </c>
      <c r="K228" s="17" t="str">
        <f>IFERROR(INDEX(競技会設定!$J$3:$O$47,MATCH(J228,競技会設定!$M$3:$M$47,0),5),"")</f>
        <v>岐阜協立大</v>
      </c>
      <c r="L228" s="17" t="str">
        <f>IFERROR(INDEX(競技会設定!$J$3:$N$47,MATCH(K228,競技会設定!$N$3:$N$47,0),2),"")</f>
        <v>492161</v>
      </c>
      <c r="M228" s="97" t="s">
        <v>3855</v>
      </c>
      <c r="N228" s="17" t="str">
        <f t="shared" si="10"/>
        <v>TANAHASHI, Riku</v>
      </c>
      <c r="O228" s="17" t="str">
        <f t="shared" si="11"/>
        <v>98</v>
      </c>
    </row>
    <row r="229" spans="1:15">
      <c r="A229" s="17" t="str">
        <f t="shared" si="9"/>
        <v>501000228</v>
      </c>
      <c r="B229" s="97">
        <v>228</v>
      </c>
      <c r="C229" s="97" t="s">
        <v>673</v>
      </c>
      <c r="D229" s="97" t="s">
        <v>674</v>
      </c>
      <c r="E229" s="312" t="s">
        <v>2413</v>
      </c>
      <c r="F229" s="312" t="s">
        <v>2414</v>
      </c>
      <c r="G229" s="97" t="s">
        <v>3275</v>
      </c>
      <c r="H229" s="97" t="s">
        <v>4025</v>
      </c>
      <c r="I229" s="97" t="s">
        <v>4039</v>
      </c>
      <c r="J229" s="97" t="s">
        <v>4047</v>
      </c>
      <c r="K229" s="17" t="str">
        <f>IFERROR(INDEX(競技会設定!$J$3:$O$47,MATCH(J229,競技会設定!$M$3:$M$47,0),5),"")</f>
        <v>岐阜協立大</v>
      </c>
      <c r="L229" s="17" t="str">
        <f>IFERROR(INDEX(競技会設定!$J$3:$N$47,MATCH(K229,競技会設定!$N$3:$N$47,0),2),"")</f>
        <v>492161</v>
      </c>
      <c r="M229" s="97" t="s">
        <v>3905</v>
      </c>
      <c r="N229" s="17" t="str">
        <f t="shared" si="10"/>
        <v>TSURU, Ryosuke</v>
      </c>
      <c r="O229" s="17" t="str">
        <f t="shared" si="11"/>
        <v>98</v>
      </c>
    </row>
    <row r="230" spans="1:15">
      <c r="A230" s="17" t="str">
        <f t="shared" si="9"/>
        <v>501000229</v>
      </c>
      <c r="B230" s="97">
        <v>229</v>
      </c>
      <c r="C230" s="97" t="s">
        <v>675</v>
      </c>
      <c r="D230" s="97" t="s">
        <v>676</v>
      </c>
      <c r="E230" s="312" t="s">
        <v>2415</v>
      </c>
      <c r="F230" s="312" t="s">
        <v>2350</v>
      </c>
      <c r="G230" s="97" t="s">
        <v>3276</v>
      </c>
      <c r="H230" s="97" t="s">
        <v>4025</v>
      </c>
      <c r="I230" s="97" t="s">
        <v>4039</v>
      </c>
      <c r="J230" s="97" t="s">
        <v>4047</v>
      </c>
      <c r="K230" s="17" t="str">
        <f>IFERROR(INDEX(競技会設定!$J$3:$O$47,MATCH(J230,競技会設定!$M$3:$M$47,0),5),"")</f>
        <v>岐阜協立大</v>
      </c>
      <c r="L230" s="17" t="str">
        <f>IFERROR(INDEX(競技会設定!$J$3:$N$47,MATCH(K230,競技会設定!$N$3:$N$47,0),2),"")</f>
        <v>492161</v>
      </c>
      <c r="M230" s="97" t="s">
        <v>3855</v>
      </c>
      <c r="N230" s="17" t="str">
        <f t="shared" si="10"/>
        <v>NOHARA, Kanta</v>
      </c>
      <c r="O230" s="17" t="str">
        <f t="shared" si="11"/>
        <v>98</v>
      </c>
    </row>
    <row r="231" spans="1:15">
      <c r="A231" s="17" t="str">
        <f t="shared" si="9"/>
        <v>501000230</v>
      </c>
      <c r="B231" s="97">
        <v>230</v>
      </c>
      <c r="C231" s="97" t="s">
        <v>677</v>
      </c>
      <c r="D231" s="97" t="s">
        <v>678</v>
      </c>
      <c r="E231" s="312" t="s">
        <v>2271</v>
      </c>
      <c r="F231" s="312" t="s">
        <v>2416</v>
      </c>
      <c r="G231" s="97" t="s">
        <v>3277</v>
      </c>
      <c r="H231" s="97" t="s">
        <v>4025</v>
      </c>
      <c r="I231" s="97" t="s">
        <v>4039</v>
      </c>
      <c r="J231" s="97" t="s">
        <v>4047</v>
      </c>
      <c r="K231" s="17" t="str">
        <f>IFERROR(INDEX(競技会設定!$J$3:$O$47,MATCH(J231,競技会設定!$M$3:$M$47,0),5),"")</f>
        <v>岐阜協立大</v>
      </c>
      <c r="L231" s="17" t="str">
        <f>IFERROR(INDEX(競技会設定!$J$3:$N$47,MATCH(K231,競技会設定!$N$3:$N$47,0),2),"")</f>
        <v>492161</v>
      </c>
      <c r="M231" s="97" t="s">
        <v>3855</v>
      </c>
      <c r="N231" s="17" t="str">
        <f t="shared" si="10"/>
        <v>HARA, Renon</v>
      </c>
      <c r="O231" s="17" t="str">
        <f t="shared" si="11"/>
        <v>98</v>
      </c>
    </row>
    <row r="232" spans="1:15">
      <c r="A232" s="17" t="str">
        <f t="shared" si="9"/>
        <v>501000231</v>
      </c>
      <c r="B232" s="97">
        <v>231</v>
      </c>
      <c r="C232" s="97" t="s">
        <v>679</v>
      </c>
      <c r="D232" s="97" t="s">
        <v>680</v>
      </c>
      <c r="E232" s="312" t="s">
        <v>2417</v>
      </c>
      <c r="F232" s="312" t="s">
        <v>2418</v>
      </c>
      <c r="G232" s="97" t="s">
        <v>3278</v>
      </c>
      <c r="H232" s="97" t="s">
        <v>4025</v>
      </c>
      <c r="I232" s="97" t="s">
        <v>4039</v>
      </c>
      <c r="J232" s="97" t="s">
        <v>4047</v>
      </c>
      <c r="K232" s="17" t="str">
        <f>IFERROR(INDEX(競技会設定!$J$3:$O$47,MATCH(J232,競技会設定!$M$3:$M$47,0),5),"")</f>
        <v>岐阜協立大</v>
      </c>
      <c r="L232" s="17" t="str">
        <f>IFERROR(INDEX(競技会設定!$J$3:$N$47,MATCH(K232,競技会設定!$N$3:$N$47,0),2),"")</f>
        <v>492161</v>
      </c>
      <c r="M232" s="97" t="s">
        <v>3849</v>
      </c>
      <c r="N232" s="17" t="str">
        <f t="shared" si="10"/>
        <v>FUJISAWA, Yosuke</v>
      </c>
      <c r="O232" s="17" t="str">
        <f t="shared" si="11"/>
        <v>98</v>
      </c>
    </row>
    <row r="233" spans="1:15">
      <c r="A233" s="17" t="str">
        <f t="shared" si="9"/>
        <v>501000232</v>
      </c>
      <c r="B233" s="97">
        <v>232</v>
      </c>
      <c r="C233" s="97" t="s">
        <v>681</v>
      </c>
      <c r="D233" s="97" t="s">
        <v>682</v>
      </c>
      <c r="E233" s="312" t="s">
        <v>2419</v>
      </c>
      <c r="F233" s="312" t="s">
        <v>2420</v>
      </c>
      <c r="G233" s="97" t="s">
        <v>3279</v>
      </c>
      <c r="H233" s="97" t="s">
        <v>4025</v>
      </c>
      <c r="I233" s="97" t="s">
        <v>4039</v>
      </c>
      <c r="J233" s="97" t="s">
        <v>4047</v>
      </c>
      <c r="K233" s="17" t="str">
        <f>IFERROR(INDEX(競技会設定!$J$3:$O$47,MATCH(J233,競技会設定!$M$3:$M$47,0),5),"")</f>
        <v>岐阜協立大</v>
      </c>
      <c r="L233" s="17" t="str">
        <f>IFERROR(INDEX(競技会設定!$J$3:$N$47,MATCH(K233,競技会設定!$N$3:$N$47,0),2),"")</f>
        <v>492161</v>
      </c>
      <c r="M233" s="97" t="s">
        <v>3855</v>
      </c>
      <c r="N233" s="17" t="str">
        <f t="shared" si="10"/>
        <v>FUJIMOTO, Yujin</v>
      </c>
      <c r="O233" s="17" t="str">
        <f t="shared" si="11"/>
        <v>98</v>
      </c>
    </row>
    <row r="234" spans="1:15">
      <c r="A234" s="17" t="str">
        <f t="shared" si="9"/>
        <v>501000233</v>
      </c>
      <c r="B234" s="97">
        <v>233</v>
      </c>
      <c r="C234" s="97" t="s">
        <v>683</v>
      </c>
      <c r="D234" s="97" t="s">
        <v>684</v>
      </c>
      <c r="E234" s="312" t="s">
        <v>2421</v>
      </c>
      <c r="F234" s="312" t="s">
        <v>2422</v>
      </c>
      <c r="G234" s="97" t="s">
        <v>3280</v>
      </c>
      <c r="H234" s="97" t="s">
        <v>4025</v>
      </c>
      <c r="I234" s="97" t="s">
        <v>4039</v>
      </c>
      <c r="J234" s="97" t="s">
        <v>4047</v>
      </c>
      <c r="K234" s="17" t="str">
        <f>IFERROR(INDEX(競技会設定!$J$3:$O$47,MATCH(J234,競技会設定!$M$3:$M$47,0),5),"")</f>
        <v>岐阜協立大</v>
      </c>
      <c r="L234" s="17" t="str">
        <f>IFERROR(INDEX(競技会設定!$J$3:$N$47,MATCH(K234,競技会設定!$N$3:$N$47,0),2),"")</f>
        <v>492161</v>
      </c>
      <c r="M234" s="97" t="s">
        <v>3855</v>
      </c>
      <c r="N234" s="17" t="str">
        <f t="shared" si="10"/>
        <v>HORITA, Ayumu</v>
      </c>
      <c r="O234" s="17" t="str">
        <f t="shared" si="11"/>
        <v>98</v>
      </c>
    </row>
    <row r="235" spans="1:15">
      <c r="A235" s="17" t="str">
        <f t="shared" si="9"/>
        <v>501000234</v>
      </c>
      <c r="B235" s="97">
        <v>234</v>
      </c>
      <c r="C235" s="97" t="s">
        <v>685</v>
      </c>
      <c r="D235" s="97" t="s">
        <v>686</v>
      </c>
      <c r="E235" s="312" t="s">
        <v>2423</v>
      </c>
      <c r="F235" s="312" t="s">
        <v>2153</v>
      </c>
      <c r="G235" s="97" t="s">
        <v>3281</v>
      </c>
      <c r="H235" s="97" t="s">
        <v>4025</v>
      </c>
      <c r="I235" s="97" t="s">
        <v>4039</v>
      </c>
      <c r="J235" s="97" t="s">
        <v>4047</v>
      </c>
      <c r="K235" s="17" t="str">
        <f>IFERROR(INDEX(競技会設定!$J$3:$O$47,MATCH(J235,競技会設定!$M$3:$M$47,0),5),"")</f>
        <v>岐阜協立大</v>
      </c>
      <c r="L235" s="17" t="str">
        <f>IFERROR(INDEX(競技会設定!$J$3:$N$47,MATCH(K235,競技会設定!$N$3:$N$47,0),2),"")</f>
        <v>492161</v>
      </c>
      <c r="M235" s="97" t="s">
        <v>3859</v>
      </c>
      <c r="N235" s="17" t="str">
        <f t="shared" si="10"/>
        <v>MAEAWAKURA, Kota</v>
      </c>
      <c r="O235" s="17" t="str">
        <f t="shared" si="11"/>
        <v>98</v>
      </c>
    </row>
    <row r="236" spans="1:15">
      <c r="A236" s="17" t="str">
        <f t="shared" si="9"/>
        <v>501000235</v>
      </c>
      <c r="B236" s="97">
        <v>235</v>
      </c>
      <c r="C236" s="97" t="s">
        <v>687</v>
      </c>
      <c r="D236" s="97" t="s">
        <v>688</v>
      </c>
      <c r="E236" s="312" t="s">
        <v>2424</v>
      </c>
      <c r="F236" s="312" t="s">
        <v>2425</v>
      </c>
      <c r="G236" s="97" t="s">
        <v>3282</v>
      </c>
      <c r="H236" s="97" t="s">
        <v>4025</v>
      </c>
      <c r="I236" s="97" t="s">
        <v>4039</v>
      </c>
      <c r="J236" s="97" t="s">
        <v>4047</v>
      </c>
      <c r="K236" s="17" t="str">
        <f>IFERROR(INDEX(競技会設定!$J$3:$O$47,MATCH(J236,競技会設定!$M$3:$M$47,0),5),"")</f>
        <v>岐阜協立大</v>
      </c>
      <c r="L236" s="17" t="str">
        <f>IFERROR(INDEX(競技会設定!$J$3:$N$47,MATCH(K236,競技会設定!$N$3:$N$47,0),2),"")</f>
        <v>492161</v>
      </c>
      <c r="M236" s="97" t="s">
        <v>3859</v>
      </c>
      <c r="N236" s="17" t="str">
        <f t="shared" si="10"/>
        <v>MATSUMOTO, Ryoga</v>
      </c>
      <c r="O236" s="17" t="str">
        <f t="shared" si="11"/>
        <v>99</v>
      </c>
    </row>
    <row r="237" spans="1:15">
      <c r="A237" s="17" t="str">
        <f t="shared" si="9"/>
        <v>501000236</v>
      </c>
      <c r="B237" s="97">
        <v>236</v>
      </c>
      <c r="C237" s="97" t="s">
        <v>689</v>
      </c>
      <c r="D237" s="97" t="s">
        <v>690</v>
      </c>
      <c r="E237" s="312" t="s">
        <v>2426</v>
      </c>
      <c r="F237" s="312" t="s">
        <v>2193</v>
      </c>
      <c r="G237" s="97" t="s">
        <v>3283</v>
      </c>
      <c r="H237" s="97" t="s">
        <v>4025</v>
      </c>
      <c r="I237" s="97" t="s">
        <v>4039</v>
      </c>
      <c r="J237" s="97" t="s">
        <v>4047</v>
      </c>
      <c r="K237" s="17" t="str">
        <f>IFERROR(INDEX(競技会設定!$J$3:$O$47,MATCH(J237,競技会設定!$M$3:$M$47,0),5),"")</f>
        <v>岐阜協立大</v>
      </c>
      <c r="L237" s="17" t="str">
        <f>IFERROR(INDEX(競技会設定!$J$3:$N$47,MATCH(K237,競技会設定!$N$3:$N$47,0),2),"")</f>
        <v>492161</v>
      </c>
      <c r="M237" s="97" t="s">
        <v>3909</v>
      </c>
      <c r="N237" s="17" t="str">
        <f t="shared" si="10"/>
        <v>YAMAUCHI, Yuta</v>
      </c>
      <c r="O237" s="17" t="str">
        <f t="shared" si="11"/>
        <v>98</v>
      </c>
    </row>
    <row r="238" spans="1:15">
      <c r="A238" s="17" t="str">
        <f t="shared" si="9"/>
        <v>501000237</v>
      </c>
      <c r="B238" s="97">
        <v>237</v>
      </c>
      <c r="C238" s="97" t="s">
        <v>691</v>
      </c>
      <c r="D238" s="97" t="s">
        <v>692</v>
      </c>
      <c r="E238" s="312" t="s">
        <v>2259</v>
      </c>
      <c r="F238" s="312" t="s">
        <v>2427</v>
      </c>
      <c r="G238" s="97" t="s">
        <v>3274</v>
      </c>
      <c r="H238" s="97" t="s">
        <v>4025</v>
      </c>
      <c r="I238" s="97" t="s">
        <v>4039</v>
      </c>
      <c r="J238" s="97" t="s">
        <v>4047</v>
      </c>
      <c r="K238" s="17" t="str">
        <f>IFERROR(INDEX(競技会設定!$J$3:$O$47,MATCH(J238,競技会設定!$M$3:$M$47,0),5),"")</f>
        <v>岐阜協立大</v>
      </c>
      <c r="L238" s="17" t="str">
        <f>IFERROR(INDEX(競技会設定!$J$3:$N$47,MATCH(K238,競技会設定!$N$3:$N$47,0),2),"")</f>
        <v>492161</v>
      </c>
      <c r="M238" s="97" t="s">
        <v>3861</v>
      </c>
      <c r="N238" s="17" t="str">
        <f t="shared" si="10"/>
        <v>YAMAMOTO, Kenya</v>
      </c>
      <c r="O238" s="17" t="str">
        <f t="shared" si="11"/>
        <v>98</v>
      </c>
    </row>
    <row r="239" spans="1:15">
      <c r="A239" s="17" t="str">
        <f t="shared" si="9"/>
        <v>501000238</v>
      </c>
      <c r="B239" s="97">
        <v>238</v>
      </c>
      <c r="C239" s="97" t="s">
        <v>693</v>
      </c>
      <c r="D239" s="97" t="s">
        <v>694</v>
      </c>
      <c r="E239" s="312" t="s">
        <v>2428</v>
      </c>
      <c r="F239" s="312" t="s">
        <v>2286</v>
      </c>
      <c r="G239" s="97" t="s">
        <v>3284</v>
      </c>
      <c r="H239" s="97" t="s">
        <v>4024</v>
      </c>
      <c r="I239" s="97" t="s">
        <v>4039</v>
      </c>
      <c r="J239" s="97" t="s">
        <v>4047</v>
      </c>
      <c r="K239" s="17" t="str">
        <f>IFERROR(INDEX(競技会設定!$J$3:$O$47,MATCH(J239,競技会設定!$M$3:$M$47,0),5),"")</f>
        <v>岐阜協立大</v>
      </c>
      <c r="L239" s="17" t="str">
        <f>IFERROR(INDEX(競技会設定!$J$3:$N$47,MATCH(K239,競技会設定!$N$3:$N$47,0),2),"")</f>
        <v>492161</v>
      </c>
      <c r="M239" s="97" t="s">
        <v>3849</v>
      </c>
      <c r="N239" s="17" t="str">
        <f t="shared" si="10"/>
        <v>ASAKAWA, Naoki</v>
      </c>
      <c r="O239" s="17" t="str">
        <f t="shared" si="11"/>
        <v>99</v>
      </c>
    </row>
    <row r="240" spans="1:15">
      <c r="A240" s="17" t="str">
        <f t="shared" si="9"/>
        <v>501000239</v>
      </c>
      <c r="B240" s="97">
        <v>239</v>
      </c>
      <c r="C240" s="97" t="s">
        <v>695</v>
      </c>
      <c r="D240" s="97" t="s">
        <v>696</v>
      </c>
      <c r="E240" s="312" t="s">
        <v>2216</v>
      </c>
      <c r="F240" s="312" t="s">
        <v>2234</v>
      </c>
      <c r="G240" s="97" t="s">
        <v>3285</v>
      </c>
      <c r="H240" s="97" t="s">
        <v>4024</v>
      </c>
      <c r="I240" s="97" t="s">
        <v>4039</v>
      </c>
      <c r="J240" s="97" t="s">
        <v>4047</v>
      </c>
      <c r="K240" s="17" t="str">
        <f>IFERROR(INDEX(競技会設定!$J$3:$O$47,MATCH(J240,競技会設定!$M$3:$M$47,0),5),"")</f>
        <v>岐阜協立大</v>
      </c>
      <c r="L240" s="17" t="str">
        <f>IFERROR(INDEX(競技会設定!$J$3:$N$47,MATCH(K240,競技会設定!$N$3:$N$47,0),2),"")</f>
        <v>492161</v>
      </c>
      <c r="M240" s="97" t="s">
        <v>3881</v>
      </c>
      <c r="N240" s="17" t="str">
        <f t="shared" si="10"/>
        <v>IKEDA, Yuto</v>
      </c>
      <c r="O240" s="17" t="str">
        <f t="shared" si="11"/>
        <v>00</v>
      </c>
    </row>
    <row r="241" spans="1:15">
      <c r="A241" s="17" t="str">
        <f t="shared" si="9"/>
        <v>501000240</v>
      </c>
      <c r="B241" s="97">
        <v>240</v>
      </c>
      <c r="C241" s="97" t="s">
        <v>697</v>
      </c>
      <c r="D241" s="97" t="s">
        <v>698</v>
      </c>
      <c r="E241" s="312" t="s">
        <v>2429</v>
      </c>
      <c r="F241" s="312" t="s">
        <v>2430</v>
      </c>
      <c r="G241" s="97" t="s">
        <v>3286</v>
      </c>
      <c r="H241" s="97" t="s">
        <v>4024</v>
      </c>
      <c r="I241" s="97" t="s">
        <v>4039</v>
      </c>
      <c r="J241" s="97" t="s">
        <v>4047</v>
      </c>
      <c r="K241" s="17" t="str">
        <f>IFERROR(INDEX(競技会設定!$J$3:$O$47,MATCH(J241,競技会設定!$M$3:$M$47,0),5),"")</f>
        <v>岐阜協立大</v>
      </c>
      <c r="L241" s="17" t="str">
        <f>IFERROR(INDEX(競技会設定!$J$3:$N$47,MATCH(K241,競技会設定!$N$3:$N$47,0),2),"")</f>
        <v>492161</v>
      </c>
      <c r="M241" s="97" t="s">
        <v>3909</v>
      </c>
      <c r="N241" s="17" t="str">
        <f t="shared" si="10"/>
        <v>IJU, Seiya</v>
      </c>
      <c r="O241" s="17" t="str">
        <f t="shared" si="11"/>
        <v>99</v>
      </c>
    </row>
    <row r="242" spans="1:15">
      <c r="A242" s="17" t="str">
        <f t="shared" si="9"/>
        <v>501000241</v>
      </c>
      <c r="B242" s="97">
        <v>241</v>
      </c>
      <c r="C242" s="97" t="s">
        <v>699</v>
      </c>
      <c r="D242" s="97" t="s">
        <v>700</v>
      </c>
      <c r="E242" s="312" t="s">
        <v>2431</v>
      </c>
      <c r="F242" s="312" t="s">
        <v>2163</v>
      </c>
      <c r="G242" s="97" t="s">
        <v>3287</v>
      </c>
      <c r="H242" s="97" t="s">
        <v>4024</v>
      </c>
      <c r="I242" s="97" t="s">
        <v>4039</v>
      </c>
      <c r="J242" s="97" t="s">
        <v>4047</v>
      </c>
      <c r="K242" s="17" t="str">
        <f>IFERROR(INDEX(競技会設定!$J$3:$O$47,MATCH(J242,競技会設定!$M$3:$M$47,0),5),"")</f>
        <v>岐阜協立大</v>
      </c>
      <c r="L242" s="17" t="str">
        <f>IFERROR(INDEX(競技会設定!$J$3:$N$47,MATCH(K242,競技会設定!$N$3:$N$47,0),2),"")</f>
        <v>492161</v>
      </c>
      <c r="M242" s="97" t="s">
        <v>3855</v>
      </c>
      <c r="N242" s="17" t="str">
        <f t="shared" si="10"/>
        <v>IMACHI, Fumiya</v>
      </c>
      <c r="O242" s="17" t="str">
        <f t="shared" si="11"/>
        <v>99</v>
      </c>
    </row>
    <row r="243" spans="1:15">
      <c r="A243" s="17" t="str">
        <f t="shared" si="9"/>
        <v>501000242</v>
      </c>
      <c r="B243" s="97">
        <v>242</v>
      </c>
      <c r="C243" s="97" t="s">
        <v>701</v>
      </c>
      <c r="D243" s="97" t="s">
        <v>702</v>
      </c>
      <c r="E243" s="312" t="s">
        <v>2432</v>
      </c>
      <c r="F243" s="312" t="s">
        <v>2240</v>
      </c>
      <c r="G243" s="97" t="s">
        <v>3288</v>
      </c>
      <c r="H243" s="97" t="s">
        <v>4024</v>
      </c>
      <c r="I243" s="97" t="s">
        <v>4039</v>
      </c>
      <c r="J243" s="97" t="s">
        <v>4047</v>
      </c>
      <c r="K243" s="17" t="str">
        <f>IFERROR(INDEX(競技会設定!$J$3:$O$47,MATCH(J243,競技会設定!$M$3:$M$47,0),5),"")</f>
        <v>岐阜協立大</v>
      </c>
      <c r="L243" s="17" t="str">
        <f>IFERROR(INDEX(競技会設定!$J$3:$N$47,MATCH(K243,競技会設定!$N$3:$N$47,0),2),"")</f>
        <v>492161</v>
      </c>
      <c r="M243" s="97" t="s">
        <v>3845</v>
      </c>
      <c r="N243" s="17" t="str">
        <f t="shared" si="10"/>
        <v>UEDA, Taichi</v>
      </c>
      <c r="O243" s="17" t="str">
        <f t="shared" si="11"/>
        <v>00</v>
      </c>
    </row>
    <row r="244" spans="1:15">
      <c r="A244" s="17" t="str">
        <f t="shared" si="9"/>
        <v>501000243</v>
      </c>
      <c r="B244" s="97">
        <v>243</v>
      </c>
      <c r="C244" s="97" t="s">
        <v>703</v>
      </c>
      <c r="D244" s="97" t="s">
        <v>704</v>
      </c>
      <c r="E244" s="312" t="s">
        <v>2433</v>
      </c>
      <c r="F244" s="312" t="s">
        <v>2141</v>
      </c>
      <c r="G244" s="97" t="s">
        <v>3289</v>
      </c>
      <c r="H244" s="97" t="s">
        <v>4024</v>
      </c>
      <c r="I244" s="97" t="s">
        <v>4039</v>
      </c>
      <c r="J244" s="97" t="s">
        <v>4047</v>
      </c>
      <c r="K244" s="17" t="str">
        <f>IFERROR(INDEX(競技会設定!$J$3:$O$47,MATCH(J244,競技会設定!$M$3:$M$47,0),5),"")</f>
        <v>岐阜協立大</v>
      </c>
      <c r="L244" s="17" t="str">
        <f>IFERROR(INDEX(競技会設定!$J$3:$N$47,MATCH(K244,競技会設定!$N$3:$N$47,0),2),"")</f>
        <v>492161</v>
      </c>
      <c r="M244" s="97" t="s">
        <v>3861</v>
      </c>
      <c r="N244" s="17" t="str">
        <f t="shared" si="10"/>
        <v>USUI, Tomoya</v>
      </c>
      <c r="O244" s="17" t="str">
        <f t="shared" si="11"/>
        <v>00</v>
      </c>
    </row>
    <row r="245" spans="1:15">
      <c r="A245" s="17" t="str">
        <f t="shared" si="9"/>
        <v>501000244</v>
      </c>
      <c r="B245" s="97">
        <v>244</v>
      </c>
      <c r="C245" s="97" t="s">
        <v>705</v>
      </c>
      <c r="D245" s="97" t="s">
        <v>706</v>
      </c>
      <c r="E245" s="312" t="s">
        <v>2433</v>
      </c>
      <c r="F245" s="312" t="s">
        <v>2234</v>
      </c>
      <c r="G245" s="97" t="s">
        <v>3290</v>
      </c>
      <c r="H245" s="97" t="s">
        <v>4024</v>
      </c>
      <c r="I245" s="97" t="s">
        <v>4039</v>
      </c>
      <c r="J245" s="97" t="s">
        <v>4047</v>
      </c>
      <c r="K245" s="17" t="str">
        <f>IFERROR(INDEX(競技会設定!$J$3:$O$47,MATCH(J245,競技会設定!$M$3:$M$47,0),5),"")</f>
        <v>岐阜協立大</v>
      </c>
      <c r="L245" s="17" t="str">
        <f>IFERROR(INDEX(競技会設定!$J$3:$N$47,MATCH(K245,競技会設定!$N$3:$N$47,0),2),"")</f>
        <v>492161</v>
      </c>
      <c r="M245" s="97" t="s">
        <v>3855</v>
      </c>
      <c r="N245" s="17" t="str">
        <f t="shared" si="10"/>
        <v>USUI, Yuto</v>
      </c>
      <c r="O245" s="17" t="str">
        <f t="shared" si="11"/>
        <v>99</v>
      </c>
    </row>
    <row r="246" spans="1:15">
      <c r="A246" s="17" t="str">
        <f t="shared" si="9"/>
        <v>501000245</v>
      </c>
      <c r="B246" s="97">
        <v>245</v>
      </c>
      <c r="C246" s="97" t="s">
        <v>707</v>
      </c>
      <c r="D246" s="97" t="s">
        <v>708</v>
      </c>
      <c r="E246" s="312" t="s">
        <v>2434</v>
      </c>
      <c r="F246" s="312" t="s">
        <v>2435</v>
      </c>
      <c r="G246" s="97" t="s">
        <v>3107</v>
      </c>
      <c r="H246" s="97" t="s">
        <v>4024</v>
      </c>
      <c r="I246" s="97" t="s">
        <v>4039</v>
      </c>
      <c r="J246" s="97" t="s">
        <v>4047</v>
      </c>
      <c r="K246" s="17" t="str">
        <f>IFERROR(INDEX(競技会設定!$J$3:$O$47,MATCH(J246,競技会設定!$M$3:$M$47,0),5),"")</f>
        <v>岐阜協立大</v>
      </c>
      <c r="L246" s="17" t="str">
        <f>IFERROR(INDEX(競技会設定!$J$3:$N$47,MATCH(K246,競技会設定!$N$3:$N$47,0),2),"")</f>
        <v>492161</v>
      </c>
      <c r="M246" s="97" t="s">
        <v>3863</v>
      </c>
      <c r="N246" s="17" t="str">
        <f t="shared" si="10"/>
        <v>OSHIMA, Minoru</v>
      </c>
      <c r="O246" s="17" t="str">
        <f t="shared" si="11"/>
        <v>99</v>
      </c>
    </row>
    <row r="247" spans="1:15">
      <c r="A247" s="17" t="str">
        <f t="shared" si="9"/>
        <v>501000246</v>
      </c>
      <c r="B247" s="97">
        <v>246</v>
      </c>
      <c r="C247" s="97" t="s">
        <v>709</v>
      </c>
      <c r="D247" s="97" t="s">
        <v>710</v>
      </c>
      <c r="E247" s="312" t="s">
        <v>2436</v>
      </c>
      <c r="F247" s="312" t="s">
        <v>2437</v>
      </c>
      <c r="G247" s="97" t="s">
        <v>3291</v>
      </c>
      <c r="H247" s="97" t="s">
        <v>4024</v>
      </c>
      <c r="I247" s="97" t="s">
        <v>4039</v>
      </c>
      <c r="J247" s="97" t="s">
        <v>4047</v>
      </c>
      <c r="K247" s="17" t="str">
        <f>IFERROR(INDEX(競技会設定!$J$3:$O$47,MATCH(J247,競技会設定!$M$3:$M$47,0),5),"")</f>
        <v>岐阜協立大</v>
      </c>
      <c r="L247" s="17" t="str">
        <f>IFERROR(INDEX(競技会設定!$J$3:$N$47,MATCH(K247,競技会設定!$N$3:$N$47,0),2),"")</f>
        <v>492161</v>
      </c>
      <c r="M247" s="97" t="s">
        <v>3875</v>
      </c>
      <c r="N247" s="17" t="str">
        <f t="shared" si="10"/>
        <v>OKAZAKI, Taiga</v>
      </c>
      <c r="O247" s="17" t="str">
        <f t="shared" si="11"/>
        <v>99</v>
      </c>
    </row>
    <row r="248" spans="1:15">
      <c r="A248" s="17" t="str">
        <f t="shared" si="9"/>
        <v>501000247</v>
      </c>
      <c r="B248" s="97">
        <v>247</v>
      </c>
      <c r="C248" s="97" t="s">
        <v>711</v>
      </c>
      <c r="D248" s="97" t="s">
        <v>712</v>
      </c>
      <c r="E248" s="312" t="s">
        <v>2438</v>
      </c>
      <c r="F248" s="312" t="s">
        <v>2439</v>
      </c>
      <c r="G248" s="97" t="s">
        <v>3122</v>
      </c>
      <c r="H248" s="97" t="s">
        <v>4024</v>
      </c>
      <c r="I248" s="97" t="s">
        <v>4039</v>
      </c>
      <c r="J248" s="97" t="s">
        <v>4047</v>
      </c>
      <c r="K248" s="17" t="str">
        <f>IFERROR(INDEX(競技会設定!$J$3:$O$47,MATCH(J248,競技会設定!$M$3:$M$47,0),5),"")</f>
        <v>岐阜協立大</v>
      </c>
      <c r="L248" s="17" t="str">
        <f>IFERROR(INDEX(競技会設定!$J$3:$N$47,MATCH(K248,競技会設定!$N$3:$N$47,0),2),"")</f>
        <v>492161</v>
      </c>
      <c r="M248" s="97" t="s">
        <v>3857</v>
      </c>
      <c r="N248" s="17" t="str">
        <f t="shared" si="10"/>
        <v>KAWAMURA, Kosei</v>
      </c>
      <c r="O248" s="17" t="str">
        <f t="shared" si="11"/>
        <v>99</v>
      </c>
    </row>
    <row r="249" spans="1:15">
      <c r="A249" s="17" t="str">
        <f t="shared" si="9"/>
        <v>501000248</v>
      </c>
      <c r="B249" s="97">
        <v>248</v>
      </c>
      <c r="C249" s="97" t="s">
        <v>713</v>
      </c>
      <c r="D249" s="97" t="s">
        <v>714</v>
      </c>
      <c r="E249" s="312" t="s">
        <v>2440</v>
      </c>
      <c r="F249" s="312" t="s">
        <v>2441</v>
      </c>
      <c r="G249" s="97" t="s">
        <v>3292</v>
      </c>
      <c r="H249" s="97" t="s">
        <v>4024</v>
      </c>
      <c r="I249" s="97" t="s">
        <v>4039</v>
      </c>
      <c r="J249" s="97" t="s">
        <v>4047</v>
      </c>
      <c r="K249" s="17" t="str">
        <f>IFERROR(INDEX(競技会設定!$J$3:$O$47,MATCH(J249,競技会設定!$M$3:$M$47,0),5),"")</f>
        <v>岐阜協立大</v>
      </c>
      <c r="L249" s="17" t="str">
        <f>IFERROR(INDEX(競技会設定!$J$3:$N$47,MATCH(K249,競技会設定!$N$3:$N$47,0),2),"")</f>
        <v>492161</v>
      </c>
      <c r="M249" s="97" t="s">
        <v>3859</v>
      </c>
      <c r="N249" s="17" t="str">
        <f t="shared" si="10"/>
        <v>KIMOTO, Ryoji</v>
      </c>
      <c r="O249" s="17" t="str">
        <f t="shared" si="11"/>
        <v>99</v>
      </c>
    </row>
    <row r="250" spans="1:15">
      <c r="A250" s="17" t="str">
        <f t="shared" si="9"/>
        <v>501000249</v>
      </c>
      <c r="B250" s="97">
        <v>249</v>
      </c>
      <c r="C250" s="97" t="s">
        <v>715</v>
      </c>
      <c r="D250" s="97" t="s">
        <v>716</v>
      </c>
      <c r="E250" s="312" t="s">
        <v>2442</v>
      </c>
      <c r="F250" s="312" t="s">
        <v>2234</v>
      </c>
      <c r="G250" s="97" t="s">
        <v>3293</v>
      </c>
      <c r="H250" s="97" t="s">
        <v>4024</v>
      </c>
      <c r="I250" s="97" t="s">
        <v>4039</v>
      </c>
      <c r="J250" s="97" t="s">
        <v>4047</v>
      </c>
      <c r="K250" s="17" t="str">
        <f>IFERROR(INDEX(競技会設定!$J$3:$O$47,MATCH(J250,競技会設定!$M$3:$M$47,0),5),"")</f>
        <v>岐阜協立大</v>
      </c>
      <c r="L250" s="17" t="str">
        <f>IFERROR(INDEX(競技会設定!$J$3:$N$47,MATCH(K250,競技会設定!$N$3:$N$47,0),2),"")</f>
        <v>492161</v>
      </c>
      <c r="M250" s="97" t="s">
        <v>3855</v>
      </c>
      <c r="N250" s="17" t="str">
        <f t="shared" si="10"/>
        <v>SHIOMI, Yuto</v>
      </c>
      <c r="O250" s="17" t="str">
        <f t="shared" si="11"/>
        <v>99</v>
      </c>
    </row>
    <row r="251" spans="1:15">
      <c r="A251" s="17" t="str">
        <f t="shared" si="9"/>
        <v>501000250</v>
      </c>
      <c r="B251" s="97">
        <v>250</v>
      </c>
      <c r="C251" s="97" t="s">
        <v>717</v>
      </c>
      <c r="D251" s="97" t="s">
        <v>718</v>
      </c>
      <c r="E251" s="312" t="s">
        <v>2233</v>
      </c>
      <c r="F251" s="312" t="s">
        <v>2443</v>
      </c>
      <c r="G251" s="97" t="s">
        <v>3294</v>
      </c>
      <c r="H251" s="97" t="s">
        <v>4024</v>
      </c>
      <c r="I251" s="97" t="s">
        <v>4039</v>
      </c>
      <c r="J251" s="97" t="s">
        <v>4047</v>
      </c>
      <c r="K251" s="17" t="str">
        <f>IFERROR(INDEX(競技会設定!$J$3:$O$47,MATCH(J251,競技会設定!$M$3:$M$47,0),5),"")</f>
        <v>岐阜協立大</v>
      </c>
      <c r="L251" s="17" t="str">
        <f>IFERROR(INDEX(競技会設定!$J$3:$N$47,MATCH(K251,競技会設定!$N$3:$N$47,0),2),"")</f>
        <v>492161</v>
      </c>
      <c r="M251" s="97" t="s">
        <v>3855</v>
      </c>
      <c r="N251" s="17" t="str">
        <f t="shared" si="10"/>
        <v>SUZUKI, Ryuta</v>
      </c>
      <c r="O251" s="17" t="str">
        <f t="shared" si="11"/>
        <v>99</v>
      </c>
    </row>
    <row r="252" spans="1:15">
      <c r="A252" s="17" t="str">
        <f t="shared" si="9"/>
        <v>501000251</v>
      </c>
      <c r="B252" s="97">
        <v>251</v>
      </c>
      <c r="C252" s="97" t="s">
        <v>719</v>
      </c>
      <c r="D252" s="97" t="s">
        <v>720</v>
      </c>
      <c r="E252" s="312" t="s">
        <v>2444</v>
      </c>
      <c r="F252" s="312" t="s">
        <v>2445</v>
      </c>
      <c r="G252" s="97" t="s">
        <v>3288</v>
      </c>
      <c r="H252" s="97" t="s">
        <v>4024</v>
      </c>
      <c r="I252" s="97" t="s">
        <v>4039</v>
      </c>
      <c r="J252" s="97" t="s">
        <v>4047</v>
      </c>
      <c r="K252" s="17" t="str">
        <f>IFERROR(INDEX(競技会設定!$J$3:$O$47,MATCH(J252,競技会設定!$M$3:$M$47,0),5),"")</f>
        <v>岐阜協立大</v>
      </c>
      <c r="L252" s="17" t="str">
        <f>IFERROR(INDEX(競技会設定!$J$3:$N$47,MATCH(K252,競技会設定!$N$3:$N$47,0),2),"")</f>
        <v>492161</v>
      </c>
      <c r="M252" s="97" t="s">
        <v>3855</v>
      </c>
      <c r="N252" s="17" t="str">
        <f t="shared" si="10"/>
        <v>SUMI, Yasuhiro</v>
      </c>
      <c r="O252" s="17" t="str">
        <f t="shared" si="11"/>
        <v>00</v>
      </c>
    </row>
    <row r="253" spans="1:15">
      <c r="A253" s="17" t="str">
        <f t="shared" si="9"/>
        <v>501000252</v>
      </c>
      <c r="B253" s="97">
        <v>252</v>
      </c>
      <c r="C253" s="97" t="s">
        <v>721</v>
      </c>
      <c r="D253" s="97" t="s">
        <v>722</v>
      </c>
      <c r="E253" s="312" t="s">
        <v>2446</v>
      </c>
      <c r="F253" s="312" t="s">
        <v>2207</v>
      </c>
      <c r="G253" s="97" t="s">
        <v>3295</v>
      </c>
      <c r="H253" s="97" t="s">
        <v>4024</v>
      </c>
      <c r="I253" s="97" t="s">
        <v>4039</v>
      </c>
      <c r="J253" s="97" t="s">
        <v>4047</v>
      </c>
      <c r="K253" s="17" t="str">
        <f>IFERROR(INDEX(競技会設定!$J$3:$O$47,MATCH(J253,競技会設定!$M$3:$M$47,0),5),"")</f>
        <v>岐阜協立大</v>
      </c>
      <c r="L253" s="17" t="str">
        <f>IFERROR(INDEX(競技会設定!$J$3:$N$47,MATCH(K253,競技会設定!$N$3:$N$47,0),2),"")</f>
        <v>492161</v>
      </c>
      <c r="M253" s="97" t="s">
        <v>3875</v>
      </c>
      <c r="N253" s="17" t="str">
        <f t="shared" si="10"/>
        <v>TAKEMOTO, Tatsuya</v>
      </c>
      <c r="O253" s="17" t="str">
        <f t="shared" si="11"/>
        <v>99</v>
      </c>
    </row>
    <row r="254" spans="1:15">
      <c r="A254" s="17" t="str">
        <f t="shared" si="9"/>
        <v>501000253</v>
      </c>
      <c r="B254" s="97">
        <v>253</v>
      </c>
      <c r="C254" s="97" t="s">
        <v>723</v>
      </c>
      <c r="D254" s="97" t="s">
        <v>724</v>
      </c>
      <c r="E254" s="312" t="s">
        <v>2447</v>
      </c>
      <c r="F254" s="312" t="s">
        <v>2300</v>
      </c>
      <c r="G254" s="97" t="s">
        <v>3296</v>
      </c>
      <c r="H254" s="97" t="s">
        <v>4024</v>
      </c>
      <c r="I254" s="97" t="s">
        <v>4039</v>
      </c>
      <c r="J254" s="97" t="s">
        <v>4047</v>
      </c>
      <c r="K254" s="17" t="str">
        <f>IFERROR(INDEX(競技会設定!$J$3:$O$47,MATCH(J254,競技会設定!$M$3:$M$47,0),5),"")</f>
        <v>岐阜協立大</v>
      </c>
      <c r="L254" s="17" t="str">
        <f>IFERROR(INDEX(競技会設定!$J$3:$N$47,MATCH(K254,競技会設定!$N$3:$N$47,0),2),"")</f>
        <v>492161</v>
      </c>
      <c r="M254" s="97" t="s">
        <v>3863</v>
      </c>
      <c r="N254" s="17" t="str">
        <f t="shared" si="10"/>
        <v>TACHIBANA, Kai</v>
      </c>
      <c r="O254" s="17" t="str">
        <f t="shared" si="11"/>
        <v>99</v>
      </c>
    </row>
    <row r="255" spans="1:15">
      <c r="A255" s="17" t="str">
        <f t="shared" si="9"/>
        <v>501000254</v>
      </c>
      <c r="B255" s="97">
        <v>254</v>
      </c>
      <c r="C255" s="97" t="s">
        <v>725</v>
      </c>
      <c r="D255" s="97" t="s">
        <v>726</v>
      </c>
      <c r="E255" s="312" t="s">
        <v>2144</v>
      </c>
      <c r="F255" s="312" t="s">
        <v>2359</v>
      </c>
      <c r="G255" s="97" t="s">
        <v>3297</v>
      </c>
      <c r="H255" s="97" t="s">
        <v>4024</v>
      </c>
      <c r="I255" s="97" t="s">
        <v>4039</v>
      </c>
      <c r="J255" s="97" t="s">
        <v>4047</v>
      </c>
      <c r="K255" s="17" t="str">
        <f>IFERROR(INDEX(競技会設定!$J$3:$O$47,MATCH(J255,競技会設定!$M$3:$M$47,0),5),"")</f>
        <v>岐阜協立大</v>
      </c>
      <c r="L255" s="17" t="str">
        <f>IFERROR(INDEX(競技会設定!$J$3:$N$47,MATCH(K255,競技会設定!$N$3:$N$47,0),2),"")</f>
        <v>492161</v>
      </c>
      <c r="M255" s="97" t="s">
        <v>3855</v>
      </c>
      <c r="N255" s="17" t="str">
        <f t="shared" si="10"/>
        <v>NAKAI, Shoki</v>
      </c>
      <c r="O255" s="17" t="str">
        <f t="shared" si="11"/>
        <v>99</v>
      </c>
    </row>
    <row r="256" spans="1:15">
      <c r="A256" s="17" t="str">
        <f t="shared" si="9"/>
        <v>501000255</v>
      </c>
      <c r="B256" s="97">
        <v>255</v>
      </c>
      <c r="C256" s="97" t="s">
        <v>727</v>
      </c>
      <c r="D256" s="97" t="s">
        <v>728</v>
      </c>
      <c r="E256" s="312" t="s">
        <v>2448</v>
      </c>
      <c r="F256" s="312" t="s">
        <v>2220</v>
      </c>
      <c r="G256" s="97" t="s">
        <v>3298</v>
      </c>
      <c r="H256" s="97" t="s">
        <v>4024</v>
      </c>
      <c r="I256" s="97" t="s">
        <v>4039</v>
      </c>
      <c r="J256" s="97" t="s">
        <v>4047</v>
      </c>
      <c r="K256" s="17" t="str">
        <f>IFERROR(INDEX(競技会設定!$J$3:$O$47,MATCH(J256,競技会設定!$M$3:$M$47,0),5),"")</f>
        <v>岐阜協立大</v>
      </c>
      <c r="L256" s="17" t="str">
        <f>IFERROR(INDEX(競技会設定!$J$3:$N$47,MATCH(K256,競技会設定!$N$3:$N$47,0),2),"")</f>
        <v>492161</v>
      </c>
      <c r="M256" s="97" t="s">
        <v>3845</v>
      </c>
      <c r="N256" s="17" t="str">
        <f t="shared" si="10"/>
        <v>NAGAO, Ryusei</v>
      </c>
      <c r="O256" s="17" t="str">
        <f t="shared" si="11"/>
        <v>99</v>
      </c>
    </row>
    <row r="257" spans="1:15">
      <c r="A257" s="17" t="str">
        <f t="shared" si="9"/>
        <v>501000256</v>
      </c>
      <c r="B257" s="97">
        <v>256</v>
      </c>
      <c r="C257" s="97" t="s">
        <v>7601</v>
      </c>
      <c r="D257" s="97" t="s">
        <v>729</v>
      </c>
      <c r="E257" s="312" t="s">
        <v>2449</v>
      </c>
      <c r="F257" s="312" t="s">
        <v>2450</v>
      </c>
      <c r="G257" s="97" t="s">
        <v>3299</v>
      </c>
      <c r="H257" s="97" t="s">
        <v>4024</v>
      </c>
      <c r="I257" s="97" t="s">
        <v>4039</v>
      </c>
      <c r="J257" s="97" t="s">
        <v>4047</v>
      </c>
      <c r="K257" s="17" t="str">
        <f>IFERROR(INDEX(競技会設定!$J$3:$O$47,MATCH(J257,競技会設定!$M$3:$M$47,0),5),"")</f>
        <v>岐阜協立大</v>
      </c>
      <c r="L257" s="17" t="str">
        <f>IFERROR(INDEX(競技会設定!$J$3:$N$47,MATCH(K257,競技会設定!$N$3:$N$47,0),2),"")</f>
        <v>492161</v>
      </c>
      <c r="M257" s="97" t="s">
        <v>3859</v>
      </c>
      <c r="N257" s="17" t="str">
        <f t="shared" si="10"/>
        <v>NAKASHIMA, Shinya</v>
      </c>
      <c r="O257" s="17" t="str">
        <f t="shared" si="11"/>
        <v>99</v>
      </c>
    </row>
    <row r="258" spans="1:15">
      <c r="A258" s="17" t="str">
        <f t="shared" si="9"/>
        <v>501000257</v>
      </c>
      <c r="B258" s="97">
        <v>257</v>
      </c>
      <c r="C258" s="97" t="s">
        <v>730</v>
      </c>
      <c r="D258" s="97" t="s">
        <v>731</v>
      </c>
      <c r="E258" s="312" t="s">
        <v>2451</v>
      </c>
      <c r="F258" s="312" t="s">
        <v>2452</v>
      </c>
      <c r="G258" s="97" t="s">
        <v>3300</v>
      </c>
      <c r="H258" s="97" t="s">
        <v>4024</v>
      </c>
      <c r="I258" s="97" t="s">
        <v>4039</v>
      </c>
      <c r="J258" s="97" t="s">
        <v>4047</v>
      </c>
      <c r="K258" s="17" t="str">
        <f>IFERROR(INDEX(競技会設定!$J$3:$O$47,MATCH(J258,競技会設定!$M$3:$M$47,0),5),"")</f>
        <v>岐阜協立大</v>
      </c>
      <c r="L258" s="17" t="str">
        <f>IFERROR(INDEX(競技会設定!$J$3:$N$47,MATCH(K258,競技会設定!$N$3:$N$47,0),2),"")</f>
        <v>492161</v>
      </c>
      <c r="M258" s="97" t="s">
        <v>3855</v>
      </c>
      <c r="N258" s="17" t="str">
        <f t="shared" si="10"/>
        <v>NAGINO, Kyosuke</v>
      </c>
      <c r="O258" s="17" t="str">
        <f t="shared" si="11"/>
        <v>99</v>
      </c>
    </row>
    <row r="259" spans="1:15">
      <c r="A259" s="17" t="str">
        <f t="shared" ref="A259:A322" si="12">IF(B259="","","501"&amp;TEXT(B259,"000000"))</f>
        <v>501000258</v>
      </c>
      <c r="B259" s="97">
        <v>258</v>
      </c>
      <c r="C259" s="97" t="s">
        <v>732</v>
      </c>
      <c r="D259" s="97" t="s">
        <v>733</v>
      </c>
      <c r="E259" s="312" t="s">
        <v>2453</v>
      </c>
      <c r="F259" s="312" t="s">
        <v>2220</v>
      </c>
      <c r="G259" s="97" t="s">
        <v>3301</v>
      </c>
      <c r="H259" s="97" t="s">
        <v>4024</v>
      </c>
      <c r="I259" s="97" t="s">
        <v>4039</v>
      </c>
      <c r="J259" s="97" t="s">
        <v>4047</v>
      </c>
      <c r="K259" s="17" t="str">
        <f>IFERROR(INDEX(競技会設定!$J$3:$O$47,MATCH(J259,競技会設定!$M$3:$M$47,0),5),"")</f>
        <v>岐阜協立大</v>
      </c>
      <c r="L259" s="17" t="str">
        <f>IFERROR(INDEX(競技会設定!$J$3:$N$47,MATCH(K259,競技会設定!$N$3:$N$47,0),2),"")</f>
        <v>492161</v>
      </c>
      <c r="M259" s="97" t="s">
        <v>3855</v>
      </c>
      <c r="N259" s="17" t="str">
        <f t="shared" ref="N259:N322" si="13">IF(E259="","",E259&amp;", "&amp;F259)</f>
        <v>NAHA, Ryusei</v>
      </c>
      <c r="O259" s="17" t="str">
        <f t="shared" ref="O259:O322" si="14">IFERROR(TEXT(INT(LEFT(G259,2)),"00"),"")</f>
        <v>00</v>
      </c>
    </row>
    <row r="260" spans="1:15">
      <c r="A260" s="17" t="str">
        <f t="shared" si="12"/>
        <v>501000259</v>
      </c>
      <c r="B260" s="97">
        <v>259</v>
      </c>
      <c r="C260" s="97" t="s">
        <v>734</v>
      </c>
      <c r="D260" s="97" t="s">
        <v>735</v>
      </c>
      <c r="E260" s="312" t="s">
        <v>2454</v>
      </c>
      <c r="F260" s="312" t="s">
        <v>2359</v>
      </c>
      <c r="G260" s="97" t="s">
        <v>3302</v>
      </c>
      <c r="H260" s="97" t="s">
        <v>4024</v>
      </c>
      <c r="I260" s="97" t="s">
        <v>4039</v>
      </c>
      <c r="J260" s="97" t="s">
        <v>4047</v>
      </c>
      <c r="K260" s="17" t="str">
        <f>IFERROR(INDEX(競技会設定!$J$3:$O$47,MATCH(J260,競技会設定!$M$3:$M$47,0),5),"")</f>
        <v>岐阜協立大</v>
      </c>
      <c r="L260" s="17" t="str">
        <f>IFERROR(INDEX(競技会設定!$J$3:$N$47,MATCH(K260,競技会設定!$N$3:$N$47,0),2),"")</f>
        <v>492161</v>
      </c>
      <c r="M260" s="97" t="s">
        <v>3855</v>
      </c>
      <c r="N260" s="17" t="str">
        <f t="shared" si="13"/>
        <v>NODO, Shoki</v>
      </c>
      <c r="O260" s="17" t="str">
        <f t="shared" si="14"/>
        <v>00</v>
      </c>
    </row>
    <row r="261" spans="1:15">
      <c r="A261" s="17" t="str">
        <f t="shared" si="12"/>
        <v>501000260</v>
      </c>
      <c r="B261" s="97">
        <v>260</v>
      </c>
      <c r="C261" s="97" t="s">
        <v>736</v>
      </c>
      <c r="D261" s="97" t="s">
        <v>737</v>
      </c>
      <c r="E261" s="312" t="s">
        <v>2455</v>
      </c>
      <c r="F261" s="312" t="s">
        <v>2456</v>
      </c>
      <c r="G261" s="97" t="s">
        <v>3303</v>
      </c>
      <c r="H261" s="97" t="s">
        <v>4024</v>
      </c>
      <c r="I261" s="97" t="s">
        <v>4039</v>
      </c>
      <c r="J261" s="97" t="s">
        <v>4047</v>
      </c>
      <c r="K261" s="17" t="str">
        <f>IFERROR(INDEX(競技会設定!$J$3:$O$47,MATCH(J261,競技会設定!$M$3:$M$47,0),5),"")</f>
        <v>岐阜協立大</v>
      </c>
      <c r="L261" s="17" t="str">
        <f>IFERROR(INDEX(競技会設定!$J$3:$N$47,MATCH(K261,競技会設定!$N$3:$N$47,0),2),"")</f>
        <v>492161</v>
      </c>
      <c r="M261" s="97" t="s">
        <v>3855</v>
      </c>
      <c r="N261" s="17" t="str">
        <f t="shared" si="13"/>
        <v>MIHO, Takamasa</v>
      </c>
      <c r="O261" s="17" t="str">
        <f t="shared" si="14"/>
        <v>99</v>
      </c>
    </row>
    <row r="262" spans="1:15">
      <c r="A262" s="17" t="str">
        <f t="shared" si="12"/>
        <v>501000261</v>
      </c>
      <c r="B262" s="97">
        <v>261</v>
      </c>
      <c r="C262" s="97" t="s">
        <v>738</v>
      </c>
      <c r="D262" s="97" t="s">
        <v>739</v>
      </c>
      <c r="E262" s="312" t="s">
        <v>2457</v>
      </c>
      <c r="F262" s="312" t="s">
        <v>2458</v>
      </c>
      <c r="G262" s="97" t="s">
        <v>3304</v>
      </c>
      <c r="H262" s="97" t="s">
        <v>4024</v>
      </c>
      <c r="I262" s="97" t="s">
        <v>4039</v>
      </c>
      <c r="J262" s="97" t="s">
        <v>4047</v>
      </c>
      <c r="K262" s="17" t="str">
        <f>IFERROR(INDEX(競技会設定!$J$3:$O$47,MATCH(J262,競技会設定!$M$3:$M$47,0),5),"")</f>
        <v>岐阜協立大</v>
      </c>
      <c r="L262" s="17" t="str">
        <f>IFERROR(INDEX(競技会設定!$J$3:$N$47,MATCH(K262,競技会設定!$N$3:$N$47,0),2),"")</f>
        <v>492161</v>
      </c>
      <c r="M262" s="97" t="s">
        <v>3901</v>
      </c>
      <c r="N262" s="17" t="str">
        <f t="shared" si="13"/>
        <v>MIYAJIMA, Shuri</v>
      </c>
      <c r="O262" s="17" t="str">
        <f t="shared" si="14"/>
        <v>00</v>
      </c>
    </row>
    <row r="263" spans="1:15">
      <c r="A263" s="17" t="str">
        <f t="shared" si="12"/>
        <v>501000262</v>
      </c>
      <c r="B263" s="97">
        <v>262</v>
      </c>
      <c r="C263" s="97" t="s">
        <v>740</v>
      </c>
      <c r="D263" s="97" t="s">
        <v>741</v>
      </c>
      <c r="E263" s="312" t="s">
        <v>2389</v>
      </c>
      <c r="F263" s="312" t="s">
        <v>2459</v>
      </c>
      <c r="G263" s="97" t="s">
        <v>3305</v>
      </c>
      <c r="H263" s="97" t="s">
        <v>4024</v>
      </c>
      <c r="I263" s="97" t="s">
        <v>4039</v>
      </c>
      <c r="J263" s="97" t="s">
        <v>4047</v>
      </c>
      <c r="K263" s="17" t="str">
        <f>IFERROR(INDEX(競技会設定!$J$3:$O$47,MATCH(J263,競技会設定!$M$3:$M$47,0),5),"")</f>
        <v>岐阜協立大</v>
      </c>
      <c r="L263" s="17" t="str">
        <f>IFERROR(INDEX(競技会設定!$J$3:$N$47,MATCH(K263,競技会設定!$N$3:$N$47,0),2),"")</f>
        <v>492161</v>
      </c>
      <c r="M263" s="97" t="s">
        <v>3861</v>
      </c>
      <c r="N263" s="17" t="str">
        <f t="shared" si="13"/>
        <v>MIWA, Hiroyuki</v>
      </c>
      <c r="O263" s="17" t="str">
        <f t="shared" si="14"/>
        <v>99</v>
      </c>
    </row>
    <row r="264" spans="1:15">
      <c r="A264" s="17" t="str">
        <f t="shared" si="12"/>
        <v>501000263</v>
      </c>
      <c r="B264" s="97">
        <v>263</v>
      </c>
      <c r="C264" s="97" t="s">
        <v>742</v>
      </c>
      <c r="D264" s="97" t="s">
        <v>743</v>
      </c>
      <c r="E264" s="312" t="s">
        <v>2229</v>
      </c>
      <c r="F264" s="312" t="s">
        <v>2152</v>
      </c>
      <c r="G264" s="97" t="s">
        <v>3306</v>
      </c>
      <c r="H264" s="97" t="s">
        <v>4024</v>
      </c>
      <c r="I264" s="97" t="s">
        <v>4039</v>
      </c>
      <c r="J264" s="97" t="s">
        <v>4047</v>
      </c>
      <c r="K264" s="17" t="str">
        <f>IFERROR(INDEX(競技会設定!$J$3:$O$47,MATCH(J264,競技会設定!$M$3:$M$47,0),5),"")</f>
        <v>岐阜協立大</v>
      </c>
      <c r="L264" s="17" t="str">
        <f>IFERROR(INDEX(競技会設定!$J$3:$N$47,MATCH(K264,競技会設定!$N$3:$N$47,0),2),"")</f>
        <v>492161</v>
      </c>
      <c r="M264" s="97" t="s">
        <v>3812</v>
      </c>
      <c r="N264" s="17" t="str">
        <f t="shared" si="13"/>
        <v>MURAKAMI, Kazuma</v>
      </c>
      <c r="O264" s="17" t="str">
        <f t="shared" si="14"/>
        <v>99</v>
      </c>
    </row>
    <row r="265" spans="1:15">
      <c r="A265" s="17" t="str">
        <f t="shared" si="12"/>
        <v>501000264</v>
      </c>
      <c r="B265" s="97">
        <v>264</v>
      </c>
      <c r="C265" s="97" t="s">
        <v>744</v>
      </c>
      <c r="D265" s="97" t="s">
        <v>745</v>
      </c>
      <c r="E265" s="312" t="s">
        <v>2394</v>
      </c>
      <c r="F265" s="312" t="s">
        <v>2460</v>
      </c>
      <c r="G265" s="97" t="s">
        <v>3307</v>
      </c>
      <c r="H265" s="97" t="s">
        <v>4024</v>
      </c>
      <c r="I265" s="97" t="s">
        <v>4039</v>
      </c>
      <c r="J265" s="97" t="s">
        <v>4047</v>
      </c>
      <c r="K265" s="17" t="str">
        <f>IFERROR(INDEX(競技会設定!$J$3:$O$47,MATCH(J265,競技会設定!$M$3:$M$47,0),5),"")</f>
        <v>岐阜協立大</v>
      </c>
      <c r="L265" s="17" t="str">
        <f>IFERROR(INDEX(競技会設定!$J$3:$N$47,MATCH(K265,競技会設定!$N$3:$N$47,0),2),"")</f>
        <v>492161</v>
      </c>
      <c r="M265" s="97" t="s">
        <v>3855</v>
      </c>
      <c r="N265" s="17" t="str">
        <f t="shared" si="13"/>
        <v>YOSHIMURA, Takuya</v>
      </c>
      <c r="O265" s="17" t="str">
        <f t="shared" si="14"/>
        <v>99</v>
      </c>
    </row>
    <row r="266" spans="1:15">
      <c r="A266" s="17" t="str">
        <f t="shared" si="12"/>
        <v>501000265</v>
      </c>
      <c r="B266" s="97">
        <v>265</v>
      </c>
      <c r="C266" s="97" t="s">
        <v>746</v>
      </c>
      <c r="D266" s="97" t="s">
        <v>747</v>
      </c>
      <c r="E266" s="312" t="s">
        <v>2461</v>
      </c>
      <c r="F266" s="312" t="s">
        <v>2462</v>
      </c>
      <c r="G266" s="97" t="s">
        <v>3308</v>
      </c>
      <c r="H266" s="97" t="s">
        <v>4026</v>
      </c>
      <c r="I266" s="97" t="s">
        <v>4039</v>
      </c>
      <c r="J266" s="97" t="s">
        <v>4047</v>
      </c>
      <c r="K266" s="17" t="str">
        <f>IFERROR(INDEX(競技会設定!$J$3:$O$47,MATCH(J266,競技会設定!$M$3:$M$47,0),5),"")</f>
        <v>岐阜協立大</v>
      </c>
      <c r="L266" s="17" t="str">
        <f>IFERROR(INDEX(競技会設定!$J$3:$N$47,MATCH(K266,競技会設定!$N$3:$N$47,0),2),"")</f>
        <v>492161</v>
      </c>
      <c r="M266" s="97" t="s">
        <v>3855</v>
      </c>
      <c r="N266" s="17" t="str">
        <f t="shared" si="13"/>
        <v>ESAKI, Sho</v>
      </c>
      <c r="O266" s="17" t="str">
        <f t="shared" si="14"/>
        <v>00</v>
      </c>
    </row>
    <row r="267" spans="1:15">
      <c r="A267" s="17" t="str">
        <f t="shared" si="12"/>
        <v>501000266</v>
      </c>
      <c r="B267" s="97">
        <v>266</v>
      </c>
      <c r="C267" s="97" t="s">
        <v>748</v>
      </c>
      <c r="D267" s="97" t="s">
        <v>749</v>
      </c>
      <c r="E267" s="312" t="s">
        <v>2463</v>
      </c>
      <c r="F267" s="312" t="s">
        <v>2464</v>
      </c>
      <c r="G267" s="97" t="s">
        <v>3146</v>
      </c>
      <c r="H267" s="97" t="s">
        <v>4026</v>
      </c>
      <c r="I267" s="97" t="s">
        <v>4039</v>
      </c>
      <c r="J267" s="97" t="s">
        <v>4047</v>
      </c>
      <c r="K267" s="17" t="str">
        <f>IFERROR(INDEX(競技会設定!$J$3:$O$47,MATCH(J267,競技会設定!$M$3:$M$47,0),5),"")</f>
        <v>岐阜協立大</v>
      </c>
      <c r="L267" s="17" t="str">
        <f>IFERROR(INDEX(競技会設定!$J$3:$N$47,MATCH(K267,競技会設定!$N$3:$N$47,0),2),"")</f>
        <v>492161</v>
      </c>
      <c r="M267" s="97" t="s">
        <v>3861</v>
      </c>
      <c r="N267" s="17" t="str">
        <f t="shared" si="13"/>
        <v>OKADA, Taiyo</v>
      </c>
      <c r="O267" s="17" t="str">
        <f t="shared" si="14"/>
        <v>00</v>
      </c>
    </row>
    <row r="268" spans="1:15">
      <c r="A268" s="17" t="str">
        <f t="shared" si="12"/>
        <v>501000267</v>
      </c>
      <c r="B268" s="97">
        <v>267</v>
      </c>
      <c r="C268" s="97" t="s">
        <v>750</v>
      </c>
      <c r="D268" s="97" t="s">
        <v>751</v>
      </c>
      <c r="E268" s="312" t="s">
        <v>2465</v>
      </c>
      <c r="F268" s="312" t="s">
        <v>2293</v>
      </c>
      <c r="G268" s="97" t="s">
        <v>3150</v>
      </c>
      <c r="H268" s="97" t="s">
        <v>4026</v>
      </c>
      <c r="I268" s="97" t="s">
        <v>4039</v>
      </c>
      <c r="J268" s="97" t="s">
        <v>4047</v>
      </c>
      <c r="K268" s="17" t="str">
        <f>IFERROR(INDEX(競技会設定!$J$3:$O$47,MATCH(J268,競技会設定!$M$3:$M$47,0),5),"")</f>
        <v>岐阜協立大</v>
      </c>
      <c r="L268" s="17" t="str">
        <f>IFERROR(INDEX(競技会設定!$J$3:$N$47,MATCH(K268,競技会設定!$N$3:$N$47,0),2),"")</f>
        <v>492161</v>
      </c>
      <c r="M268" s="97" t="s">
        <v>3855</v>
      </c>
      <c r="N268" s="17" t="str">
        <f t="shared" si="13"/>
        <v>OKUDA, Koki</v>
      </c>
      <c r="O268" s="17" t="str">
        <f t="shared" si="14"/>
        <v>00</v>
      </c>
    </row>
    <row r="269" spans="1:15">
      <c r="A269" s="17" t="str">
        <f t="shared" si="12"/>
        <v>501000268</v>
      </c>
      <c r="B269" s="97">
        <v>268</v>
      </c>
      <c r="C269" s="97" t="s">
        <v>752</v>
      </c>
      <c r="D269" s="97" t="s">
        <v>753</v>
      </c>
      <c r="E269" s="312" t="s">
        <v>2466</v>
      </c>
      <c r="F269" s="312" t="s">
        <v>2236</v>
      </c>
      <c r="G269" s="97" t="s">
        <v>3309</v>
      </c>
      <c r="H269" s="97" t="s">
        <v>4026</v>
      </c>
      <c r="I269" s="97" t="s">
        <v>4039</v>
      </c>
      <c r="J269" s="97" t="s">
        <v>4047</v>
      </c>
      <c r="K269" s="17" t="str">
        <f>IFERROR(INDEX(競技会設定!$J$3:$O$47,MATCH(J269,競技会設定!$M$3:$M$47,0),5),"")</f>
        <v>岐阜協立大</v>
      </c>
      <c r="L269" s="17" t="str">
        <f>IFERROR(INDEX(競技会設定!$J$3:$N$47,MATCH(K269,競技会設定!$N$3:$N$47,0),2),"")</f>
        <v>492161</v>
      </c>
      <c r="M269" s="97" t="s">
        <v>3855</v>
      </c>
      <c r="N269" s="17" t="str">
        <f t="shared" si="13"/>
        <v>OZAKI, Kosuke</v>
      </c>
      <c r="O269" s="17" t="str">
        <f t="shared" si="14"/>
        <v>00</v>
      </c>
    </row>
    <row r="270" spans="1:15">
      <c r="A270" s="17" t="str">
        <f t="shared" si="12"/>
        <v>501000269</v>
      </c>
      <c r="B270" s="97">
        <v>269</v>
      </c>
      <c r="C270" s="97" t="s">
        <v>754</v>
      </c>
      <c r="D270" s="97" t="s">
        <v>755</v>
      </c>
      <c r="E270" s="312" t="s">
        <v>2466</v>
      </c>
      <c r="F270" s="312" t="s">
        <v>2467</v>
      </c>
      <c r="G270" s="97" t="s">
        <v>3136</v>
      </c>
      <c r="H270" s="97" t="s">
        <v>4026</v>
      </c>
      <c r="I270" s="97" t="s">
        <v>4039</v>
      </c>
      <c r="J270" s="97" t="s">
        <v>4047</v>
      </c>
      <c r="K270" s="17" t="str">
        <f>IFERROR(INDEX(競技会設定!$J$3:$O$47,MATCH(J270,競技会設定!$M$3:$M$47,0),5),"")</f>
        <v>岐阜協立大</v>
      </c>
      <c r="L270" s="17" t="str">
        <f>IFERROR(INDEX(競技会設定!$J$3:$N$47,MATCH(K270,競技会設定!$N$3:$N$47,0),2),"")</f>
        <v>492161</v>
      </c>
      <c r="M270" s="97" t="s">
        <v>3843</v>
      </c>
      <c r="N270" s="17" t="str">
        <f t="shared" si="13"/>
        <v>OZAKI, Takane</v>
      </c>
      <c r="O270" s="17" t="str">
        <f t="shared" si="14"/>
        <v>00</v>
      </c>
    </row>
    <row r="271" spans="1:15">
      <c r="A271" s="17" t="str">
        <f t="shared" si="12"/>
        <v>501000270</v>
      </c>
      <c r="B271" s="97">
        <v>270</v>
      </c>
      <c r="C271" s="97" t="s">
        <v>756</v>
      </c>
      <c r="D271" s="97" t="s">
        <v>757</v>
      </c>
      <c r="E271" s="312" t="s">
        <v>2369</v>
      </c>
      <c r="F271" s="312" t="s">
        <v>2468</v>
      </c>
      <c r="G271" s="97" t="s">
        <v>3310</v>
      </c>
      <c r="H271" s="97" t="s">
        <v>4026</v>
      </c>
      <c r="I271" s="97" t="s">
        <v>4039</v>
      </c>
      <c r="J271" s="97" t="s">
        <v>4047</v>
      </c>
      <c r="K271" s="17" t="str">
        <f>IFERROR(INDEX(競技会設定!$J$3:$O$47,MATCH(J271,競技会設定!$M$3:$M$47,0),5),"")</f>
        <v>岐阜協立大</v>
      </c>
      <c r="L271" s="17" t="str">
        <f>IFERROR(INDEX(競技会設定!$J$3:$N$47,MATCH(K271,競技会設定!$N$3:$N$47,0),2),"")</f>
        <v>492161</v>
      </c>
      <c r="M271" s="97" t="s">
        <v>3861</v>
      </c>
      <c r="N271" s="17" t="str">
        <f t="shared" si="13"/>
        <v>KATO, Retsu</v>
      </c>
      <c r="O271" s="17" t="str">
        <f t="shared" si="14"/>
        <v>00</v>
      </c>
    </row>
    <row r="272" spans="1:15">
      <c r="A272" s="17" t="str">
        <f t="shared" si="12"/>
        <v>501000271</v>
      </c>
      <c r="B272" s="97">
        <v>271</v>
      </c>
      <c r="C272" s="97" t="s">
        <v>758</v>
      </c>
      <c r="D272" s="97" t="s">
        <v>759</v>
      </c>
      <c r="E272" s="312" t="s">
        <v>2469</v>
      </c>
      <c r="F272" s="312" t="s">
        <v>2193</v>
      </c>
      <c r="G272" s="97" t="s">
        <v>3134</v>
      </c>
      <c r="H272" s="97" t="s">
        <v>4026</v>
      </c>
      <c r="I272" s="97" t="s">
        <v>4039</v>
      </c>
      <c r="J272" s="97" t="s">
        <v>4047</v>
      </c>
      <c r="K272" s="17" t="str">
        <f>IFERROR(INDEX(競技会設定!$J$3:$O$47,MATCH(J272,競技会設定!$M$3:$M$47,0),5),"")</f>
        <v>岐阜協立大</v>
      </c>
      <c r="L272" s="17" t="str">
        <f>IFERROR(INDEX(競技会設定!$J$3:$N$47,MATCH(K272,競技会設定!$N$3:$N$47,0),2),"")</f>
        <v>492161</v>
      </c>
      <c r="M272" s="97" t="s">
        <v>3855</v>
      </c>
      <c r="N272" s="17" t="str">
        <f t="shared" si="13"/>
        <v>KODERA, Yuta</v>
      </c>
      <c r="O272" s="17" t="str">
        <f t="shared" si="14"/>
        <v>00</v>
      </c>
    </row>
    <row r="273" spans="1:15">
      <c r="A273" s="17" t="str">
        <f t="shared" si="12"/>
        <v>501000272</v>
      </c>
      <c r="B273" s="97">
        <v>272</v>
      </c>
      <c r="C273" s="97" t="s">
        <v>760</v>
      </c>
      <c r="D273" s="97" t="s">
        <v>761</v>
      </c>
      <c r="E273" s="312" t="s">
        <v>2164</v>
      </c>
      <c r="F273" s="312" t="s">
        <v>2470</v>
      </c>
      <c r="G273" s="97" t="s">
        <v>3311</v>
      </c>
      <c r="H273" s="97" t="s">
        <v>4026</v>
      </c>
      <c r="I273" s="97" t="s">
        <v>4039</v>
      </c>
      <c r="J273" s="97" t="s">
        <v>4047</v>
      </c>
      <c r="K273" s="17" t="str">
        <f>IFERROR(INDEX(競技会設定!$J$3:$O$47,MATCH(J273,競技会設定!$M$3:$M$47,0),5),"")</f>
        <v>岐阜協立大</v>
      </c>
      <c r="L273" s="17" t="str">
        <f>IFERROR(INDEX(競技会設定!$J$3:$N$47,MATCH(K273,競技会設定!$N$3:$N$47,0),2),"")</f>
        <v>492161</v>
      </c>
      <c r="M273" s="97" t="s">
        <v>3855</v>
      </c>
      <c r="N273" s="17" t="str">
        <f t="shared" si="13"/>
        <v>SASAKI, Shuto</v>
      </c>
      <c r="O273" s="17" t="str">
        <f t="shared" si="14"/>
        <v>01</v>
      </c>
    </row>
    <row r="274" spans="1:15">
      <c r="A274" s="17" t="str">
        <f t="shared" si="12"/>
        <v>501000273</v>
      </c>
      <c r="B274" s="97">
        <v>273</v>
      </c>
      <c r="C274" s="97" t="s">
        <v>762</v>
      </c>
      <c r="D274" s="97" t="s">
        <v>763</v>
      </c>
      <c r="E274" s="312" t="s">
        <v>2166</v>
      </c>
      <c r="F274" s="312" t="s">
        <v>2193</v>
      </c>
      <c r="G274" s="97" t="s">
        <v>3312</v>
      </c>
      <c r="H274" s="97" t="s">
        <v>4026</v>
      </c>
      <c r="I274" s="97" t="s">
        <v>4039</v>
      </c>
      <c r="J274" s="97" t="s">
        <v>4047</v>
      </c>
      <c r="K274" s="17" t="str">
        <f>IFERROR(INDEX(競技会設定!$J$3:$O$47,MATCH(J274,競技会設定!$M$3:$M$47,0),5),"")</f>
        <v>岐阜協立大</v>
      </c>
      <c r="L274" s="17" t="str">
        <f>IFERROR(INDEX(競技会設定!$J$3:$N$47,MATCH(K274,競技会設定!$N$3:$N$47,0),2),"")</f>
        <v>492161</v>
      </c>
      <c r="M274" s="97" t="s">
        <v>3861</v>
      </c>
      <c r="N274" s="17" t="str">
        <f t="shared" si="13"/>
        <v>SATO, Yuta</v>
      </c>
      <c r="O274" s="17" t="str">
        <f t="shared" si="14"/>
        <v>00</v>
      </c>
    </row>
    <row r="275" spans="1:15">
      <c r="A275" s="17" t="str">
        <f t="shared" si="12"/>
        <v>501000274</v>
      </c>
      <c r="B275" s="97">
        <v>274</v>
      </c>
      <c r="C275" s="97" t="s">
        <v>764</v>
      </c>
      <c r="D275" s="97" t="s">
        <v>765</v>
      </c>
      <c r="E275" s="312" t="s">
        <v>2471</v>
      </c>
      <c r="F275" s="312" t="s">
        <v>2081</v>
      </c>
      <c r="G275" s="97" t="s">
        <v>3313</v>
      </c>
      <c r="H275" s="97" t="s">
        <v>4026</v>
      </c>
      <c r="I275" s="97" t="s">
        <v>4039</v>
      </c>
      <c r="J275" s="97" t="s">
        <v>4047</v>
      </c>
      <c r="K275" s="17" t="str">
        <f>IFERROR(INDEX(競技会設定!$J$3:$O$47,MATCH(J275,競技会設定!$M$3:$M$47,0),5),"")</f>
        <v>岐阜協立大</v>
      </c>
      <c r="L275" s="17" t="str">
        <f>IFERROR(INDEX(競技会設定!$J$3:$N$47,MATCH(K275,競技会設定!$N$3:$N$47,0),2),"")</f>
        <v>492161</v>
      </c>
      <c r="M275" s="97" t="s">
        <v>3865</v>
      </c>
      <c r="N275" s="17" t="str">
        <f t="shared" si="13"/>
        <v>SHIBAGAKI, Tomoki</v>
      </c>
      <c r="O275" s="17" t="str">
        <f t="shared" si="14"/>
        <v>00</v>
      </c>
    </row>
    <row r="276" spans="1:15">
      <c r="A276" s="17" t="str">
        <f t="shared" si="12"/>
        <v>501000275</v>
      </c>
      <c r="B276" s="97">
        <v>275</v>
      </c>
      <c r="C276" s="97" t="s">
        <v>766</v>
      </c>
      <c r="D276" s="97" t="s">
        <v>767</v>
      </c>
      <c r="E276" s="312" t="s">
        <v>2233</v>
      </c>
      <c r="F276" s="312" t="s">
        <v>2207</v>
      </c>
      <c r="G276" s="97" t="s">
        <v>3314</v>
      </c>
      <c r="H276" s="97" t="s">
        <v>4026</v>
      </c>
      <c r="I276" s="97" t="s">
        <v>4039</v>
      </c>
      <c r="J276" s="97" t="s">
        <v>4047</v>
      </c>
      <c r="K276" s="17" t="str">
        <f>IFERROR(INDEX(競技会設定!$J$3:$O$47,MATCH(J276,競技会設定!$M$3:$M$47,0),5),"")</f>
        <v>岐阜協立大</v>
      </c>
      <c r="L276" s="17" t="str">
        <f>IFERROR(INDEX(競技会設定!$J$3:$N$47,MATCH(K276,競技会設定!$N$3:$N$47,0),2),"")</f>
        <v>492161</v>
      </c>
      <c r="M276" s="97" t="s">
        <v>3859</v>
      </c>
      <c r="N276" s="17" t="str">
        <f t="shared" si="13"/>
        <v>SUZUKI, Tatsuya</v>
      </c>
      <c r="O276" s="17" t="str">
        <f t="shared" si="14"/>
        <v>01</v>
      </c>
    </row>
    <row r="277" spans="1:15">
      <c r="A277" s="17" t="str">
        <f t="shared" si="12"/>
        <v>501000276</v>
      </c>
      <c r="B277" s="97">
        <v>276</v>
      </c>
      <c r="C277" s="97" t="s">
        <v>768</v>
      </c>
      <c r="D277" s="97" t="s">
        <v>769</v>
      </c>
      <c r="E277" s="312" t="s">
        <v>2472</v>
      </c>
      <c r="F277" s="312" t="s">
        <v>2247</v>
      </c>
      <c r="G277" s="97" t="s">
        <v>3315</v>
      </c>
      <c r="H277" s="97" t="s">
        <v>4026</v>
      </c>
      <c r="I277" s="97" t="s">
        <v>4039</v>
      </c>
      <c r="J277" s="97" t="s">
        <v>4047</v>
      </c>
      <c r="K277" s="17" t="str">
        <f>IFERROR(INDEX(競技会設定!$J$3:$O$47,MATCH(J277,競技会設定!$M$3:$M$47,0),5),"")</f>
        <v>岐阜協立大</v>
      </c>
      <c r="L277" s="17" t="str">
        <f>IFERROR(INDEX(競技会設定!$J$3:$N$47,MATCH(K277,競技会設定!$N$3:$N$47,0),2),"")</f>
        <v>492161</v>
      </c>
      <c r="M277" s="97" t="s">
        <v>3861</v>
      </c>
      <c r="N277" s="17" t="str">
        <f t="shared" si="13"/>
        <v>DOTO, Keigo</v>
      </c>
      <c r="O277" s="17" t="str">
        <f t="shared" si="14"/>
        <v>00</v>
      </c>
    </row>
    <row r="278" spans="1:15">
      <c r="A278" s="17" t="str">
        <f t="shared" si="12"/>
        <v>501000277</v>
      </c>
      <c r="B278" s="97">
        <v>277</v>
      </c>
      <c r="C278" s="97" t="s">
        <v>770</v>
      </c>
      <c r="D278" s="97" t="s">
        <v>771</v>
      </c>
      <c r="E278" s="312" t="s">
        <v>2473</v>
      </c>
      <c r="F278" s="312" t="s">
        <v>2474</v>
      </c>
      <c r="G278" s="97" t="s">
        <v>3142</v>
      </c>
      <c r="H278" s="97" t="s">
        <v>4026</v>
      </c>
      <c r="I278" s="97" t="s">
        <v>4039</v>
      </c>
      <c r="J278" s="97" t="s">
        <v>4047</v>
      </c>
      <c r="K278" s="17" t="str">
        <f>IFERROR(INDEX(競技会設定!$J$3:$O$47,MATCH(J278,競技会設定!$M$3:$M$47,0),5),"")</f>
        <v>岐阜協立大</v>
      </c>
      <c r="L278" s="17" t="str">
        <f>IFERROR(INDEX(競技会設定!$J$3:$N$47,MATCH(K278,競技会設定!$N$3:$N$47,0),2),"")</f>
        <v>492161</v>
      </c>
      <c r="M278" s="97" t="s">
        <v>3859</v>
      </c>
      <c r="N278" s="17" t="str">
        <f t="shared" si="13"/>
        <v>NAKANO, Shunsaku</v>
      </c>
      <c r="O278" s="17" t="str">
        <f t="shared" si="14"/>
        <v>01</v>
      </c>
    </row>
    <row r="279" spans="1:15">
      <c r="A279" s="17" t="str">
        <f t="shared" si="12"/>
        <v>501000278</v>
      </c>
      <c r="B279" s="97">
        <v>278</v>
      </c>
      <c r="C279" s="97" t="s">
        <v>772</v>
      </c>
      <c r="D279" s="97" t="s">
        <v>773</v>
      </c>
      <c r="E279" s="312" t="s">
        <v>2475</v>
      </c>
      <c r="F279" s="312" t="s">
        <v>2476</v>
      </c>
      <c r="G279" s="97" t="s">
        <v>3316</v>
      </c>
      <c r="H279" s="97" t="s">
        <v>4026</v>
      </c>
      <c r="I279" s="97" t="s">
        <v>4039</v>
      </c>
      <c r="J279" s="97" t="s">
        <v>4047</v>
      </c>
      <c r="K279" s="17" t="str">
        <f>IFERROR(INDEX(競技会設定!$J$3:$O$47,MATCH(J279,競技会設定!$M$3:$M$47,0),5),"")</f>
        <v>岐阜協立大</v>
      </c>
      <c r="L279" s="17" t="str">
        <f>IFERROR(INDEX(競技会設定!$J$3:$N$47,MATCH(K279,競技会設定!$N$3:$N$47,0),2),"")</f>
        <v>492161</v>
      </c>
      <c r="M279" s="97" t="s">
        <v>3861</v>
      </c>
      <c r="N279" s="17" t="str">
        <f t="shared" si="13"/>
        <v>NOBUTO, Raiya</v>
      </c>
      <c r="O279" s="17" t="str">
        <f t="shared" si="14"/>
        <v>00</v>
      </c>
    </row>
    <row r="280" spans="1:15">
      <c r="A280" s="17" t="str">
        <f t="shared" si="12"/>
        <v>501000279</v>
      </c>
      <c r="B280" s="97">
        <v>279</v>
      </c>
      <c r="C280" s="97" t="s">
        <v>774</v>
      </c>
      <c r="D280" s="97" t="s">
        <v>775</v>
      </c>
      <c r="E280" s="312" t="s">
        <v>2386</v>
      </c>
      <c r="F280" s="312" t="s">
        <v>2477</v>
      </c>
      <c r="G280" s="97" t="s">
        <v>3317</v>
      </c>
      <c r="H280" s="97" t="s">
        <v>4026</v>
      </c>
      <c r="I280" s="97" t="s">
        <v>4039</v>
      </c>
      <c r="J280" s="97" t="s">
        <v>4047</v>
      </c>
      <c r="K280" s="17" t="str">
        <f>IFERROR(INDEX(競技会設定!$J$3:$O$47,MATCH(J280,競技会設定!$M$3:$M$47,0),5),"")</f>
        <v>岐阜協立大</v>
      </c>
      <c r="L280" s="17" t="str">
        <f>IFERROR(INDEX(競技会設定!$J$3:$N$47,MATCH(K280,競技会設定!$N$3:$N$47,0),2),"")</f>
        <v>492161</v>
      </c>
      <c r="M280" s="97" t="s">
        <v>3855</v>
      </c>
      <c r="N280" s="17" t="str">
        <f t="shared" si="13"/>
        <v>HAYAKAWA, Ryuto</v>
      </c>
      <c r="O280" s="17" t="str">
        <f t="shared" si="14"/>
        <v>00</v>
      </c>
    </row>
    <row r="281" spans="1:15">
      <c r="A281" s="17" t="str">
        <f t="shared" si="12"/>
        <v>501000280</v>
      </c>
      <c r="B281" s="97">
        <v>280</v>
      </c>
      <c r="C281" s="97" t="s">
        <v>776</v>
      </c>
      <c r="D281" s="97" t="s">
        <v>777</v>
      </c>
      <c r="E281" s="312" t="s">
        <v>2478</v>
      </c>
      <c r="F281" s="312" t="s">
        <v>2479</v>
      </c>
      <c r="G281" s="97" t="s">
        <v>3318</v>
      </c>
      <c r="H281" s="97" t="s">
        <v>4026</v>
      </c>
      <c r="I281" s="97" t="s">
        <v>4039</v>
      </c>
      <c r="J281" s="97" t="s">
        <v>4047</v>
      </c>
      <c r="K281" s="17" t="str">
        <f>IFERROR(INDEX(競技会設定!$J$3:$O$47,MATCH(J281,競技会設定!$M$3:$M$47,0),5),"")</f>
        <v>岐阜協立大</v>
      </c>
      <c r="L281" s="17" t="str">
        <f>IFERROR(INDEX(競技会設定!$J$3:$N$47,MATCH(K281,競技会設定!$N$3:$N$47,0),2),"")</f>
        <v>492161</v>
      </c>
      <c r="M281" s="97" t="s">
        <v>3847</v>
      </c>
      <c r="N281" s="17" t="str">
        <f t="shared" si="13"/>
        <v>FUJII, Yuji</v>
      </c>
      <c r="O281" s="17" t="str">
        <f t="shared" si="14"/>
        <v>00</v>
      </c>
    </row>
    <row r="282" spans="1:15">
      <c r="A282" s="17" t="str">
        <f t="shared" si="12"/>
        <v>501000281</v>
      </c>
      <c r="B282" s="97">
        <v>281</v>
      </c>
      <c r="C282" s="97" t="s">
        <v>778</v>
      </c>
      <c r="D282" s="97" t="s">
        <v>779</v>
      </c>
      <c r="E282" s="312" t="s">
        <v>2417</v>
      </c>
      <c r="F282" s="312" t="s">
        <v>2269</v>
      </c>
      <c r="G282" s="97" t="s">
        <v>3225</v>
      </c>
      <c r="H282" s="97" t="s">
        <v>4026</v>
      </c>
      <c r="I282" s="97" t="s">
        <v>4039</v>
      </c>
      <c r="J282" s="97" t="s">
        <v>4047</v>
      </c>
      <c r="K282" s="17" t="str">
        <f>IFERROR(INDEX(競技会設定!$J$3:$O$47,MATCH(J282,競技会設定!$M$3:$M$47,0),5),"")</f>
        <v>岐阜協立大</v>
      </c>
      <c r="L282" s="17" t="str">
        <f>IFERROR(INDEX(競技会設定!$J$3:$N$47,MATCH(K282,競技会設定!$N$3:$N$47,0),2),"")</f>
        <v>492161</v>
      </c>
      <c r="M282" s="97" t="s">
        <v>3897</v>
      </c>
      <c r="N282" s="17" t="str">
        <f t="shared" si="13"/>
        <v>FUJISAWA, Yoshiki</v>
      </c>
      <c r="O282" s="17" t="str">
        <f t="shared" si="14"/>
        <v>00</v>
      </c>
    </row>
    <row r="283" spans="1:15">
      <c r="A283" s="17" t="str">
        <f t="shared" si="12"/>
        <v>501000282</v>
      </c>
      <c r="B283" s="97">
        <v>282</v>
      </c>
      <c r="C283" s="97" t="s">
        <v>780</v>
      </c>
      <c r="D283" s="97" t="s">
        <v>781</v>
      </c>
      <c r="E283" s="312" t="s">
        <v>2480</v>
      </c>
      <c r="F283" s="312" t="s">
        <v>2481</v>
      </c>
      <c r="G283" s="97" t="s">
        <v>3319</v>
      </c>
      <c r="H283" s="97" t="s">
        <v>4026</v>
      </c>
      <c r="I283" s="97" t="s">
        <v>4039</v>
      </c>
      <c r="J283" s="97" t="s">
        <v>4047</v>
      </c>
      <c r="K283" s="17" t="str">
        <f>IFERROR(INDEX(競技会設定!$J$3:$O$47,MATCH(J283,競技会設定!$M$3:$M$47,0),5),"")</f>
        <v>岐阜協立大</v>
      </c>
      <c r="L283" s="17" t="str">
        <f>IFERROR(INDEX(競技会設定!$J$3:$N$47,MATCH(K283,競技会設定!$N$3:$N$47,0),2),"")</f>
        <v>492161</v>
      </c>
      <c r="M283" s="97" t="s">
        <v>3855</v>
      </c>
      <c r="N283" s="17" t="str">
        <f t="shared" si="13"/>
        <v>MATSUKAWA , Tetsuhiro</v>
      </c>
      <c r="O283" s="17" t="str">
        <f t="shared" si="14"/>
        <v>00</v>
      </c>
    </row>
    <row r="284" spans="1:15">
      <c r="A284" s="17" t="str">
        <f t="shared" si="12"/>
        <v>501000283</v>
      </c>
      <c r="B284" s="97">
        <v>283</v>
      </c>
      <c r="C284" s="97" t="s">
        <v>782</v>
      </c>
      <c r="D284" s="97" t="s">
        <v>783</v>
      </c>
      <c r="E284" s="312" t="s">
        <v>2482</v>
      </c>
      <c r="F284" s="312" t="s">
        <v>2122</v>
      </c>
      <c r="G284" s="97" t="s">
        <v>3139</v>
      </c>
      <c r="H284" s="97" t="s">
        <v>4026</v>
      </c>
      <c r="I284" s="97" t="s">
        <v>4039</v>
      </c>
      <c r="J284" s="97" t="s">
        <v>4047</v>
      </c>
      <c r="K284" s="17" t="str">
        <f>IFERROR(INDEX(競技会設定!$J$3:$O$47,MATCH(J284,競技会設定!$M$3:$M$47,0),5),"")</f>
        <v>岐阜協立大</v>
      </c>
      <c r="L284" s="17" t="str">
        <f>IFERROR(INDEX(競技会設定!$J$3:$N$47,MATCH(K284,競技会設定!$N$3:$N$47,0),2),"")</f>
        <v>492161</v>
      </c>
      <c r="M284" s="97" t="s">
        <v>3849</v>
      </c>
      <c r="N284" s="17" t="str">
        <f t="shared" si="13"/>
        <v>MUKOYAMA, Tomohiro</v>
      </c>
      <c r="O284" s="17" t="str">
        <f t="shared" si="14"/>
        <v>00</v>
      </c>
    </row>
    <row r="285" spans="1:15">
      <c r="A285" s="17" t="str">
        <f t="shared" si="12"/>
        <v>501000284</v>
      </c>
      <c r="B285" s="97">
        <v>284</v>
      </c>
      <c r="C285" s="97" t="s">
        <v>784</v>
      </c>
      <c r="D285" s="97" t="s">
        <v>785</v>
      </c>
      <c r="E285" s="312" t="s">
        <v>2483</v>
      </c>
      <c r="F285" s="312" t="s">
        <v>2484</v>
      </c>
      <c r="G285" s="97" t="s">
        <v>3320</v>
      </c>
      <c r="H285" s="97" t="s">
        <v>4026</v>
      </c>
      <c r="I285" s="97" t="s">
        <v>4039</v>
      </c>
      <c r="J285" s="97" t="s">
        <v>4047</v>
      </c>
      <c r="K285" s="17" t="str">
        <f>IFERROR(INDEX(競技会設定!$J$3:$O$47,MATCH(J285,競技会設定!$M$3:$M$47,0),5),"")</f>
        <v>岐阜協立大</v>
      </c>
      <c r="L285" s="17" t="str">
        <f>IFERROR(INDEX(競技会設定!$J$3:$N$47,MATCH(K285,競技会設定!$N$3:$N$47,0),2),"")</f>
        <v>492161</v>
      </c>
      <c r="M285" s="97" t="s">
        <v>3843</v>
      </c>
      <c r="N285" s="17" t="str">
        <f t="shared" si="13"/>
        <v>YAMAZAKI, Shingo</v>
      </c>
      <c r="O285" s="17" t="str">
        <f t="shared" si="14"/>
        <v>00</v>
      </c>
    </row>
    <row r="286" spans="1:15">
      <c r="A286" s="17" t="str">
        <f t="shared" si="12"/>
        <v>501000285</v>
      </c>
      <c r="B286" s="97">
        <v>285</v>
      </c>
      <c r="C286" s="97" t="s">
        <v>786</v>
      </c>
      <c r="D286" s="97" t="s">
        <v>787</v>
      </c>
      <c r="E286" s="312" t="s">
        <v>2485</v>
      </c>
      <c r="F286" s="312" t="s">
        <v>2486</v>
      </c>
      <c r="G286" s="97" t="s">
        <v>3321</v>
      </c>
      <c r="H286" s="97" t="s">
        <v>4025</v>
      </c>
      <c r="I286" s="97" t="s">
        <v>4039</v>
      </c>
      <c r="J286" s="97" t="s">
        <v>4047</v>
      </c>
      <c r="K286" s="17" t="str">
        <f>IFERROR(INDEX(競技会設定!$J$3:$O$47,MATCH(J286,競技会設定!$M$3:$M$47,0),5),"")</f>
        <v>岐阜協立大</v>
      </c>
      <c r="L286" s="17" t="str">
        <f>IFERROR(INDEX(競技会設定!$J$3:$N$47,MATCH(K286,競技会設定!$N$3:$N$47,0),2),"")</f>
        <v>492161</v>
      </c>
      <c r="M286" s="97" t="s">
        <v>3855</v>
      </c>
      <c r="N286" s="17" t="str">
        <f t="shared" si="13"/>
        <v>ASANO, Shunsuke</v>
      </c>
      <c r="O286" s="17" t="str">
        <f t="shared" si="14"/>
        <v>99</v>
      </c>
    </row>
    <row r="287" spans="1:15">
      <c r="A287" s="17" t="str">
        <f t="shared" si="12"/>
        <v>501000286</v>
      </c>
      <c r="B287" s="97">
        <v>286</v>
      </c>
      <c r="C287" s="97" t="s">
        <v>788</v>
      </c>
      <c r="D287" s="97" t="s">
        <v>789</v>
      </c>
      <c r="E287" s="312" t="s">
        <v>2082</v>
      </c>
      <c r="F287" s="312" t="s">
        <v>2430</v>
      </c>
      <c r="G287" s="97" t="s">
        <v>3322</v>
      </c>
      <c r="H287" s="97" t="s">
        <v>4025</v>
      </c>
      <c r="I287" s="97" t="s">
        <v>4039</v>
      </c>
      <c r="J287" s="97" t="s">
        <v>4047</v>
      </c>
      <c r="K287" s="17" t="str">
        <f>IFERROR(INDEX(競技会設定!$J$3:$O$47,MATCH(J287,競技会設定!$M$3:$M$47,0),5),"")</f>
        <v>岐阜協立大</v>
      </c>
      <c r="L287" s="17" t="str">
        <f>IFERROR(INDEX(競技会設定!$J$3:$N$47,MATCH(K287,競技会設定!$N$3:$N$47,0),2),"")</f>
        <v>492161</v>
      </c>
      <c r="M287" s="97" t="s">
        <v>3855</v>
      </c>
      <c r="N287" s="17" t="str">
        <f t="shared" si="13"/>
        <v>ITO, Seiya</v>
      </c>
      <c r="O287" s="17" t="str">
        <f t="shared" si="14"/>
        <v>99</v>
      </c>
    </row>
    <row r="288" spans="1:15">
      <c r="A288" s="17" t="str">
        <f t="shared" si="12"/>
        <v>501000287</v>
      </c>
      <c r="B288" s="97">
        <v>287</v>
      </c>
      <c r="C288" s="97" t="s">
        <v>790</v>
      </c>
      <c r="D288" s="97" t="s">
        <v>791</v>
      </c>
      <c r="E288" s="312" t="s">
        <v>2176</v>
      </c>
      <c r="F288" s="312" t="s">
        <v>2487</v>
      </c>
      <c r="G288" s="97" t="s">
        <v>3323</v>
      </c>
      <c r="H288" s="97" t="s">
        <v>4025</v>
      </c>
      <c r="I288" s="97" t="s">
        <v>4039</v>
      </c>
      <c r="J288" s="97" t="s">
        <v>4047</v>
      </c>
      <c r="K288" s="17" t="str">
        <f>IFERROR(INDEX(競技会設定!$J$3:$O$47,MATCH(J288,競技会設定!$M$3:$M$47,0),5),"")</f>
        <v>岐阜協立大</v>
      </c>
      <c r="L288" s="17" t="str">
        <f>IFERROR(INDEX(競技会設定!$J$3:$N$47,MATCH(K288,競技会設定!$N$3:$N$47,0),2),"")</f>
        <v>492161</v>
      </c>
      <c r="M288" s="97" t="s">
        <v>3855</v>
      </c>
      <c r="N288" s="17" t="str">
        <f t="shared" si="13"/>
        <v>NAKAMURA, Satoshi</v>
      </c>
      <c r="O288" s="17" t="str">
        <f t="shared" si="14"/>
        <v>98</v>
      </c>
    </row>
    <row r="289" spans="1:15">
      <c r="A289" s="17" t="str">
        <f t="shared" si="12"/>
        <v>501000288</v>
      </c>
      <c r="B289" s="97">
        <v>288</v>
      </c>
      <c r="C289" s="97" t="s">
        <v>792</v>
      </c>
      <c r="D289" s="97" t="s">
        <v>793</v>
      </c>
      <c r="E289" s="312" t="s">
        <v>2488</v>
      </c>
      <c r="F289" s="312" t="s">
        <v>2108</v>
      </c>
      <c r="G289" s="97" t="s">
        <v>3099</v>
      </c>
      <c r="H289" s="97" t="s">
        <v>4025</v>
      </c>
      <c r="I289" s="97" t="s">
        <v>4039</v>
      </c>
      <c r="J289" s="97" t="s">
        <v>4047</v>
      </c>
      <c r="K289" s="17" t="str">
        <f>IFERROR(INDEX(競技会設定!$J$3:$O$47,MATCH(J289,競技会設定!$M$3:$M$47,0),5),"")</f>
        <v>岐阜協立大</v>
      </c>
      <c r="L289" s="17" t="str">
        <f>IFERROR(INDEX(競技会設定!$J$3:$N$47,MATCH(K289,競技会設定!$N$3:$N$47,0),2),"")</f>
        <v>492161</v>
      </c>
      <c r="M289" s="97" t="s">
        <v>3855</v>
      </c>
      <c r="N289" s="17" t="str">
        <f t="shared" si="13"/>
        <v>HITANI, Yuki</v>
      </c>
      <c r="O289" s="17" t="str">
        <f t="shared" si="14"/>
        <v>98</v>
      </c>
    </row>
    <row r="290" spans="1:15">
      <c r="A290" s="17" t="str">
        <f t="shared" si="12"/>
        <v>501000289</v>
      </c>
      <c r="B290" s="97">
        <v>289</v>
      </c>
      <c r="C290" s="97" t="s">
        <v>794</v>
      </c>
      <c r="D290" s="97" t="s">
        <v>795</v>
      </c>
      <c r="E290" s="312" t="s">
        <v>2249</v>
      </c>
      <c r="F290" s="312" t="s">
        <v>2124</v>
      </c>
      <c r="G290" s="97" t="s">
        <v>3324</v>
      </c>
      <c r="H290" s="97" t="s">
        <v>4025</v>
      </c>
      <c r="I290" s="97" t="s">
        <v>4039</v>
      </c>
      <c r="J290" s="97" t="s">
        <v>4047</v>
      </c>
      <c r="K290" s="17" t="str">
        <f>IFERROR(INDEX(競技会設定!$J$3:$O$47,MATCH(J290,競技会設定!$M$3:$M$47,0),5),"")</f>
        <v>岐阜協立大</v>
      </c>
      <c r="L290" s="17" t="str">
        <f>IFERROR(INDEX(競技会設定!$J$3:$N$47,MATCH(K290,競技会設定!$N$3:$N$47,0),2),"")</f>
        <v>492161</v>
      </c>
      <c r="M290" s="97" t="s">
        <v>3855</v>
      </c>
      <c r="N290" s="17" t="str">
        <f t="shared" si="13"/>
        <v>MASUDA, Keita</v>
      </c>
      <c r="O290" s="17" t="str">
        <f t="shared" si="14"/>
        <v>98</v>
      </c>
    </row>
    <row r="291" spans="1:15">
      <c r="A291" s="17" t="str">
        <f t="shared" si="12"/>
        <v>501000290</v>
      </c>
      <c r="B291" s="97">
        <v>290</v>
      </c>
      <c r="C291" s="97" t="s">
        <v>796</v>
      </c>
      <c r="D291" s="97" t="s">
        <v>797</v>
      </c>
      <c r="E291" s="312" t="s">
        <v>2229</v>
      </c>
      <c r="F291" s="312" t="s">
        <v>2489</v>
      </c>
      <c r="G291" s="97" t="s">
        <v>3325</v>
      </c>
      <c r="H291" s="97" t="s">
        <v>4025</v>
      </c>
      <c r="I291" s="97" t="s">
        <v>4039</v>
      </c>
      <c r="J291" s="97" t="s">
        <v>4047</v>
      </c>
      <c r="K291" s="17" t="str">
        <f>IFERROR(INDEX(競技会設定!$J$3:$O$47,MATCH(J291,競技会設定!$M$3:$M$47,0),5),"")</f>
        <v>岐阜協立大</v>
      </c>
      <c r="L291" s="17" t="str">
        <f>IFERROR(INDEX(競技会設定!$J$3:$N$47,MATCH(K291,競技会設定!$N$3:$N$47,0),2),"")</f>
        <v>492161</v>
      </c>
      <c r="M291" s="97" t="s">
        <v>3855</v>
      </c>
      <c r="N291" s="17" t="str">
        <f t="shared" si="13"/>
        <v>MURAKAMI, Shu</v>
      </c>
      <c r="O291" s="17" t="str">
        <f t="shared" si="14"/>
        <v>99</v>
      </c>
    </row>
    <row r="292" spans="1:15">
      <c r="A292" s="17" t="str">
        <f t="shared" si="12"/>
        <v>501000291</v>
      </c>
      <c r="B292" s="97">
        <v>291</v>
      </c>
      <c r="C292" s="97" t="s">
        <v>798</v>
      </c>
      <c r="D292" s="97" t="s">
        <v>799</v>
      </c>
      <c r="E292" s="312" t="s">
        <v>2490</v>
      </c>
      <c r="F292" s="312" t="s">
        <v>2211</v>
      </c>
      <c r="G292" s="97" t="s">
        <v>3326</v>
      </c>
      <c r="H292" s="97" t="s">
        <v>4025</v>
      </c>
      <c r="I292" s="97" t="s">
        <v>4039</v>
      </c>
      <c r="J292" s="97" t="s">
        <v>4047</v>
      </c>
      <c r="K292" s="17" t="str">
        <f>IFERROR(INDEX(競技会設定!$J$3:$O$47,MATCH(J292,競技会設定!$M$3:$M$47,0),5),"")</f>
        <v>岐阜協立大</v>
      </c>
      <c r="L292" s="17" t="str">
        <f>IFERROR(INDEX(競技会設定!$J$3:$N$47,MATCH(K292,競技会設定!$N$3:$N$47,0),2),"")</f>
        <v>492161</v>
      </c>
      <c r="M292" s="97" t="s">
        <v>3855</v>
      </c>
      <c r="N292" s="17" t="str">
        <f t="shared" si="13"/>
        <v>YAMASHIRO, Koudai</v>
      </c>
      <c r="O292" s="17" t="str">
        <f t="shared" si="14"/>
        <v>98</v>
      </c>
    </row>
    <row r="293" spans="1:15">
      <c r="A293" s="17" t="str">
        <f t="shared" si="12"/>
        <v>501000292</v>
      </c>
      <c r="B293" s="97">
        <v>292</v>
      </c>
      <c r="C293" s="97" t="s">
        <v>800</v>
      </c>
      <c r="D293" s="97" t="s">
        <v>801</v>
      </c>
      <c r="E293" s="312" t="s">
        <v>2491</v>
      </c>
      <c r="F293" s="312" t="s">
        <v>2131</v>
      </c>
      <c r="G293" s="97" t="s">
        <v>3327</v>
      </c>
      <c r="H293" s="97" t="s">
        <v>4024</v>
      </c>
      <c r="I293" s="97" t="s">
        <v>4039</v>
      </c>
      <c r="J293" s="97" t="s">
        <v>4047</v>
      </c>
      <c r="K293" s="17" t="str">
        <f>IFERROR(INDEX(競技会設定!$J$3:$O$47,MATCH(J293,競技会設定!$M$3:$M$47,0),5),"")</f>
        <v>岐阜協立大</v>
      </c>
      <c r="L293" s="17" t="str">
        <f>IFERROR(INDEX(競技会設定!$J$3:$N$47,MATCH(K293,競技会設定!$N$3:$N$47,0),2),"")</f>
        <v>492161</v>
      </c>
      <c r="M293" s="97" t="s">
        <v>3855</v>
      </c>
      <c r="N293" s="17" t="str">
        <f t="shared" si="13"/>
        <v>ENOKAWA, Haruki</v>
      </c>
      <c r="O293" s="17" t="str">
        <f t="shared" si="14"/>
        <v>00</v>
      </c>
    </row>
    <row r="294" spans="1:15">
      <c r="A294" s="17" t="str">
        <f t="shared" si="12"/>
        <v>501000293</v>
      </c>
      <c r="B294" s="97">
        <v>293</v>
      </c>
      <c r="C294" s="97" t="s">
        <v>802</v>
      </c>
      <c r="D294" s="97" t="s">
        <v>803</v>
      </c>
      <c r="E294" s="312" t="s">
        <v>2492</v>
      </c>
      <c r="F294" s="312" t="s">
        <v>2307</v>
      </c>
      <c r="G294" s="97" t="s">
        <v>3328</v>
      </c>
      <c r="H294" s="97" t="s">
        <v>4024</v>
      </c>
      <c r="I294" s="97" t="s">
        <v>4039</v>
      </c>
      <c r="J294" s="97" t="s">
        <v>4047</v>
      </c>
      <c r="K294" s="17" t="str">
        <f>IFERROR(INDEX(競技会設定!$J$3:$O$47,MATCH(J294,競技会設定!$M$3:$M$47,0),5),"")</f>
        <v>岐阜協立大</v>
      </c>
      <c r="L294" s="17" t="str">
        <f>IFERROR(INDEX(競技会設定!$J$3:$N$47,MATCH(K294,競技会設定!$N$3:$N$47,0),2),"")</f>
        <v>492161</v>
      </c>
      <c r="M294" s="97" t="s">
        <v>3855</v>
      </c>
      <c r="N294" s="17" t="str">
        <f t="shared" si="13"/>
        <v>OHASHI, Kotaro</v>
      </c>
      <c r="O294" s="17" t="str">
        <f t="shared" si="14"/>
        <v>99</v>
      </c>
    </row>
    <row r="295" spans="1:15">
      <c r="A295" s="17" t="str">
        <f t="shared" si="12"/>
        <v>501000294</v>
      </c>
      <c r="B295" s="97">
        <v>294</v>
      </c>
      <c r="C295" s="97" t="s">
        <v>804</v>
      </c>
      <c r="D295" s="97" t="s">
        <v>805</v>
      </c>
      <c r="E295" s="312" t="s">
        <v>2493</v>
      </c>
      <c r="F295" s="312" t="s">
        <v>2494</v>
      </c>
      <c r="G295" s="97" t="s">
        <v>3329</v>
      </c>
      <c r="H295" s="97" t="s">
        <v>4024</v>
      </c>
      <c r="I295" s="97" t="s">
        <v>4039</v>
      </c>
      <c r="J295" s="97" t="s">
        <v>4047</v>
      </c>
      <c r="K295" s="17" t="str">
        <f>IFERROR(INDEX(競技会設定!$J$3:$O$47,MATCH(J295,競技会設定!$M$3:$M$47,0),5),"")</f>
        <v>岐阜協立大</v>
      </c>
      <c r="L295" s="17" t="str">
        <f>IFERROR(INDEX(競技会設定!$J$3:$N$47,MATCH(K295,競技会設定!$N$3:$N$47,0),2),"")</f>
        <v>492161</v>
      </c>
      <c r="M295" s="97" t="s">
        <v>3855</v>
      </c>
      <c r="N295" s="17" t="str">
        <f t="shared" si="13"/>
        <v>KAMIKOGAWA, Riuki</v>
      </c>
      <c r="O295" s="17" t="str">
        <f t="shared" si="14"/>
        <v>99</v>
      </c>
    </row>
    <row r="296" spans="1:15">
      <c r="A296" s="17" t="str">
        <f t="shared" si="12"/>
        <v>501000295</v>
      </c>
      <c r="B296" s="97">
        <v>295</v>
      </c>
      <c r="C296" s="97" t="s">
        <v>806</v>
      </c>
      <c r="D296" s="97" t="s">
        <v>807</v>
      </c>
      <c r="E296" s="312" t="s">
        <v>2363</v>
      </c>
      <c r="F296" s="312" t="s">
        <v>2165</v>
      </c>
      <c r="G296" s="97" t="s">
        <v>3330</v>
      </c>
      <c r="H296" s="97" t="s">
        <v>4024</v>
      </c>
      <c r="I296" s="97" t="s">
        <v>4039</v>
      </c>
      <c r="J296" s="97" t="s">
        <v>4047</v>
      </c>
      <c r="K296" s="17" t="str">
        <f>IFERROR(INDEX(競技会設定!$J$3:$O$47,MATCH(J296,競技会設定!$M$3:$M$47,0),5),"")</f>
        <v>岐阜協立大</v>
      </c>
      <c r="L296" s="17" t="str">
        <f>IFERROR(INDEX(競技会設定!$J$3:$N$47,MATCH(K296,競技会設定!$N$3:$N$47,0),2),"")</f>
        <v>492161</v>
      </c>
      <c r="M296" s="97" t="s">
        <v>3855</v>
      </c>
      <c r="N296" s="17" t="str">
        <f t="shared" si="13"/>
        <v>SAKAKIBARA, Riku</v>
      </c>
      <c r="O296" s="17" t="str">
        <f t="shared" si="14"/>
        <v>99</v>
      </c>
    </row>
    <row r="297" spans="1:15">
      <c r="A297" s="17" t="str">
        <f t="shared" si="12"/>
        <v>501000296</v>
      </c>
      <c r="B297" s="97">
        <v>296</v>
      </c>
      <c r="C297" s="97" t="s">
        <v>808</v>
      </c>
      <c r="D297" s="97" t="s">
        <v>809</v>
      </c>
      <c r="E297" s="312" t="s">
        <v>2495</v>
      </c>
      <c r="F297" s="312" t="s">
        <v>2178</v>
      </c>
      <c r="G297" s="97" t="s">
        <v>3331</v>
      </c>
      <c r="H297" s="97" t="s">
        <v>4024</v>
      </c>
      <c r="I297" s="97" t="s">
        <v>4039</v>
      </c>
      <c r="J297" s="97" t="s">
        <v>4047</v>
      </c>
      <c r="K297" s="17" t="str">
        <f>IFERROR(INDEX(競技会設定!$J$3:$O$47,MATCH(J297,競技会設定!$M$3:$M$47,0),5),"")</f>
        <v>岐阜協立大</v>
      </c>
      <c r="L297" s="17" t="str">
        <f>IFERROR(INDEX(競技会設定!$J$3:$N$47,MATCH(K297,競技会設定!$N$3:$N$47,0),2),"")</f>
        <v>492161</v>
      </c>
      <c r="M297" s="97" t="s">
        <v>3855</v>
      </c>
      <c r="N297" s="17" t="str">
        <f t="shared" si="13"/>
        <v>NISHIBU, Takashi</v>
      </c>
      <c r="O297" s="17" t="str">
        <f t="shared" si="14"/>
        <v>99</v>
      </c>
    </row>
    <row r="298" spans="1:15">
      <c r="A298" s="17" t="str">
        <f t="shared" si="12"/>
        <v>501000297</v>
      </c>
      <c r="B298" s="97">
        <v>297</v>
      </c>
      <c r="C298" s="97" t="s">
        <v>810</v>
      </c>
      <c r="D298" s="97" t="s">
        <v>811</v>
      </c>
      <c r="E298" s="312" t="s">
        <v>2496</v>
      </c>
      <c r="F298" s="312" t="s">
        <v>2149</v>
      </c>
      <c r="G298" s="97" t="s">
        <v>3332</v>
      </c>
      <c r="H298" s="97" t="s">
        <v>4024</v>
      </c>
      <c r="I298" s="97" t="s">
        <v>4039</v>
      </c>
      <c r="J298" s="97" t="s">
        <v>4047</v>
      </c>
      <c r="K298" s="17" t="str">
        <f>IFERROR(INDEX(競技会設定!$J$3:$O$47,MATCH(J298,競技会設定!$M$3:$M$47,0),5),"")</f>
        <v>岐阜協立大</v>
      </c>
      <c r="L298" s="17" t="str">
        <f>IFERROR(INDEX(競技会設定!$J$3:$N$47,MATCH(K298,競技会設定!$N$3:$N$47,0),2),"")</f>
        <v>492161</v>
      </c>
      <c r="M298" s="97" t="s">
        <v>3855</v>
      </c>
      <c r="N298" s="17" t="str">
        <f t="shared" si="13"/>
        <v>NISHIMURA, Ryo</v>
      </c>
      <c r="O298" s="17" t="str">
        <f t="shared" si="14"/>
        <v>99</v>
      </c>
    </row>
    <row r="299" spans="1:15">
      <c r="A299" s="17" t="str">
        <f t="shared" si="12"/>
        <v>501000298</v>
      </c>
      <c r="B299" s="97">
        <v>298</v>
      </c>
      <c r="C299" s="97" t="s">
        <v>812</v>
      </c>
      <c r="D299" s="97" t="s">
        <v>813</v>
      </c>
      <c r="E299" s="312" t="s">
        <v>2360</v>
      </c>
      <c r="F299" s="312" t="s">
        <v>2497</v>
      </c>
      <c r="G299" s="97" t="s">
        <v>3333</v>
      </c>
      <c r="H299" s="97" t="s">
        <v>4024</v>
      </c>
      <c r="I299" s="97" t="s">
        <v>4039</v>
      </c>
      <c r="J299" s="97" t="s">
        <v>4047</v>
      </c>
      <c r="K299" s="17" t="str">
        <f>IFERROR(INDEX(競技会設定!$J$3:$O$47,MATCH(J299,競技会設定!$M$3:$M$47,0),5),"")</f>
        <v>岐阜協立大</v>
      </c>
      <c r="L299" s="17" t="str">
        <f>IFERROR(INDEX(競技会設定!$J$3:$N$47,MATCH(K299,競技会設定!$N$3:$N$47,0),2),"")</f>
        <v>492161</v>
      </c>
      <c r="M299" s="97" t="s">
        <v>3855</v>
      </c>
      <c r="N299" s="17" t="str">
        <f t="shared" si="13"/>
        <v>WATANABE, Shoya</v>
      </c>
      <c r="O299" s="17" t="str">
        <f t="shared" si="14"/>
        <v>99</v>
      </c>
    </row>
    <row r="300" spans="1:15">
      <c r="A300" s="17" t="str">
        <f t="shared" si="12"/>
        <v>501000299</v>
      </c>
      <c r="B300" s="97">
        <v>299</v>
      </c>
      <c r="C300" s="97" t="s">
        <v>814</v>
      </c>
      <c r="D300" s="97" t="s">
        <v>815</v>
      </c>
      <c r="E300" s="312" t="s">
        <v>2082</v>
      </c>
      <c r="F300" s="312" t="s">
        <v>2198</v>
      </c>
      <c r="G300" s="97" t="s">
        <v>3334</v>
      </c>
      <c r="H300" s="97" t="s">
        <v>4026</v>
      </c>
      <c r="I300" s="97" t="s">
        <v>4039</v>
      </c>
      <c r="J300" s="97" t="s">
        <v>4047</v>
      </c>
      <c r="K300" s="17" t="str">
        <f>IFERROR(INDEX(競技会設定!$J$3:$O$47,MATCH(J300,競技会設定!$M$3:$M$47,0),5),"")</f>
        <v>岐阜協立大</v>
      </c>
      <c r="L300" s="17" t="str">
        <f>IFERROR(INDEX(競技会設定!$J$3:$N$47,MATCH(K300,競技会設定!$N$3:$N$47,0),2),"")</f>
        <v>492161</v>
      </c>
      <c r="M300" s="97" t="s">
        <v>3855</v>
      </c>
      <c r="N300" s="17" t="str">
        <f t="shared" si="13"/>
        <v>ITO, Hikaru</v>
      </c>
      <c r="O300" s="17" t="str">
        <f t="shared" si="14"/>
        <v>00</v>
      </c>
    </row>
    <row r="301" spans="1:15">
      <c r="A301" s="17" t="str">
        <f t="shared" si="12"/>
        <v>501000300</v>
      </c>
      <c r="B301" s="97">
        <v>300</v>
      </c>
      <c r="C301" s="97" t="s">
        <v>816</v>
      </c>
      <c r="D301" s="97" t="s">
        <v>817</v>
      </c>
      <c r="E301" s="312" t="s">
        <v>2369</v>
      </c>
      <c r="F301" s="312" t="s">
        <v>2135</v>
      </c>
      <c r="G301" s="97" t="s">
        <v>3316</v>
      </c>
      <c r="H301" s="97" t="s">
        <v>4026</v>
      </c>
      <c r="I301" s="97" t="s">
        <v>4039</v>
      </c>
      <c r="J301" s="97" t="s">
        <v>4047</v>
      </c>
      <c r="K301" s="17" t="str">
        <f>IFERROR(INDEX(競技会設定!$J$3:$O$47,MATCH(J301,競技会設定!$M$3:$M$47,0),5),"")</f>
        <v>岐阜協立大</v>
      </c>
      <c r="L301" s="17" t="str">
        <f>IFERROR(INDEX(競技会設定!$J$3:$N$47,MATCH(K301,競技会設定!$N$3:$N$47,0),2),"")</f>
        <v>492161</v>
      </c>
      <c r="M301" s="97" t="s">
        <v>3855</v>
      </c>
      <c r="N301" s="17" t="str">
        <f t="shared" si="13"/>
        <v>KATO, Ryohei</v>
      </c>
      <c r="O301" s="17" t="str">
        <f t="shared" si="14"/>
        <v>00</v>
      </c>
    </row>
    <row r="302" spans="1:15">
      <c r="A302" s="17" t="str">
        <f t="shared" si="12"/>
        <v>501000301</v>
      </c>
      <c r="B302" s="97">
        <v>301</v>
      </c>
      <c r="C302" s="97" t="s">
        <v>818</v>
      </c>
      <c r="D302" s="97" t="s">
        <v>819</v>
      </c>
      <c r="E302" s="312" t="s">
        <v>2315</v>
      </c>
      <c r="F302" s="312" t="s">
        <v>2100</v>
      </c>
      <c r="G302" s="97" t="s">
        <v>3335</v>
      </c>
      <c r="H302" s="97" t="s">
        <v>4026</v>
      </c>
      <c r="I302" s="97" t="s">
        <v>4039</v>
      </c>
      <c r="J302" s="97" t="s">
        <v>4047</v>
      </c>
      <c r="K302" s="17" t="str">
        <f>IFERROR(INDEX(競技会設定!$J$3:$O$47,MATCH(J302,競技会設定!$M$3:$M$47,0),5),"")</f>
        <v>岐阜協立大</v>
      </c>
      <c r="L302" s="17" t="str">
        <f>IFERROR(INDEX(競技会設定!$J$3:$N$47,MATCH(K302,競技会設定!$N$3:$N$47,0),2),"")</f>
        <v>492161</v>
      </c>
      <c r="M302" s="97" t="s">
        <v>3855</v>
      </c>
      <c r="N302" s="17" t="str">
        <f t="shared" si="13"/>
        <v>KIMURA, Kaito</v>
      </c>
      <c r="O302" s="17" t="str">
        <f t="shared" si="14"/>
        <v>00</v>
      </c>
    </row>
    <row r="303" spans="1:15">
      <c r="A303" s="17" t="str">
        <f t="shared" si="12"/>
        <v>501000302</v>
      </c>
      <c r="B303" s="97">
        <v>302</v>
      </c>
      <c r="C303" s="97" t="s">
        <v>820</v>
      </c>
      <c r="D303" s="97" t="s">
        <v>821</v>
      </c>
      <c r="E303" s="312" t="s">
        <v>2498</v>
      </c>
      <c r="F303" s="312" t="s">
        <v>2087</v>
      </c>
      <c r="G303" s="97" t="s">
        <v>3336</v>
      </c>
      <c r="H303" s="97" t="s">
        <v>4026</v>
      </c>
      <c r="I303" s="97" t="s">
        <v>4039</v>
      </c>
      <c r="J303" s="97" t="s">
        <v>4047</v>
      </c>
      <c r="K303" s="17" t="str">
        <f>IFERROR(INDEX(競技会設定!$J$3:$O$47,MATCH(J303,競技会設定!$M$3:$M$47,0),5),"")</f>
        <v>岐阜協立大</v>
      </c>
      <c r="L303" s="17" t="str">
        <f>IFERROR(INDEX(競技会設定!$J$3:$N$47,MATCH(K303,競技会設定!$N$3:$N$47,0),2),"")</f>
        <v>492161</v>
      </c>
      <c r="M303" s="97" t="s">
        <v>3855</v>
      </c>
      <c r="N303" s="17" t="str">
        <f t="shared" si="13"/>
        <v>TAKASHIMA, Shota</v>
      </c>
      <c r="O303" s="17" t="str">
        <f t="shared" si="14"/>
        <v>01</v>
      </c>
    </row>
    <row r="304" spans="1:15">
      <c r="A304" s="17" t="str">
        <f t="shared" si="12"/>
        <v>501000303</v>
      </c>
      <c r="B304" s="97">
        <v>303</v>
      </c>
      <c r="C304" s="97" t="s">
        <v>822</v>
      </c>
      <c r="D304" s="97" t="s">
        <v>823</v>
      </c>
      <c r="E304" s="312" t="s">
        <v>2499</v>
      </c>
      <c r="F304" s="312" t="s">
        <v>2131</v>
      </c>
      <c r="G304" s="97" t="s">
        <v>3337</v>
      </c>
      <c r="H304" s="97" t="s">
        <v>4026</v>
      </c>
      <c r="I304" s="97" t="s">
        <v>4039</v>
      </c>
      <c r="J304" s="97" t="s">
        <v>4047</v>
      </c>
      <c r="K304" s="17" t="str">
        <f>IFERROR(INDEX(競技会設定!$J$3:$O$47,MATCH(J304,競技会設定!$M$3:$M$47,0),5),"")</f>
        <v>岐阜協立大</v>
      </c>
      <c r="L304" s="17" t="str">
        <f>IFERROR(INDEX(競技会設定!$J$3:$N$47,MATCH(K304,競技会設定!$N$3:$N$47,0),2),"")</f>
        <v>492161</v>
      </c>
      <c r="M304" s="97" t="s">
        <v>3855</v>
      </c>
      <c r="N304" s="17" t="str">
        <f t="shared" si="13"/>
        <v>TAKAYA, Haruki</v>
      </c>
      <c r="O304" s="17" t="str">
        <f t="shared" si="14"/>
        <v>01</v>
      </c>
    </row>
    <row r="305" spans="1:15">
      <c r="A305" s="17" t="str">
        <f t="shared" si="12"/>
        <v>501000304</v>
      </c>
      <c r="B305" s="97">
        <v>304</v>
      </c>
      <c r="C305" s="97" t="s">
        <v>824</v>
      </c>
      <c r="D305" s="97" t="s">
        <v>825</v>
      </c>
      <c r="E305" s="312" t="s">
        <v>2500</v>
      </c>
      <c r="F305" s="312" t="s">
        <v>2501</v>
      </c>
      <c r="G305" s="97" t="s">
        <v>3338</v>
      </c>
      <c r="H305" s="97" t="s">
        <v>4026</v>
      </c>
      <c r="I305" s="97" t="s">
        <v>4039</v>
      </c>
      <c r="J305" s="97" t="s">
        <v>4047</v>
      </c>
      <c r="K305" s="17" t="str">
        <f>IFERROR(INDEX(競技会設定!$J$3:$O$47,MATCH(J305,競技会設定!$M$3:$M$47,0),5),"")</f>
        <v>岐阜協立大</v>
      </c>
      <c r="L305" s="17" t="str">
        <f>IFERROR(INDEX(競技会設定!$J$3:$N$47,MATCH(K305,競技会設定!$N$3:$N$47,0),2),"")</f>
        <v>492161</v>
      </c>
      <c r="M305" s="97" t="s">
        <v>3855</v>
      </c>
      <c r="N305" s="17" t="str">
        <f t="shared" si="13"/>
        <v>TSUKAGOSHI, Yudai</v>
      </c>
      <c r="O305" s="17" t="str">
        <f t="shared" si="14"/>
        <v>00</v>
      </c>
    </row>
    <row r="306" spans="1:15">
      <c r="A306" s="17" t="str">
        <f t="shared" si="12"/>
        <v>501000305</v>
      </c>
      <c r="B306" s="97">
        <v>305</v>
      </c>
      <c r="C306" s="97" t="s">
        <v>826</v>
      </c>
      <c r="D306" s="97" t="s">
        <v>827</v>
      </c>
      <c r="E306" s="312" t="s">
        <v>2502</v>
      </c>
      <c r="F306" s="312" t="s">
        <v>2503</v>
      </c>
      <c r="G306" s="97" t="s">
        <v>3339</v>
      </c>
      <c r="H306" s="97" t="s">
        <v>4026</v>
      </c>
      <c r="I306" s="97" t="s">
        <v>4039</v>
      </c>
      <c r="J306" s="97" t="s">
        <v>4047</v>
      </c>
      <c r="K306" s="17" t="str">
        <f>IFERROR(INDEX(競技会設定!$J$3:$O$47,MATCH(J306,競技会設定!$M$3:$M$47,0),5),"")</f>
        <v>岐阜協立大</v>
      </c>
      <c r="L306" s="17" t="str">
        <f>IFERROR(INDEX(競技会設定!$J$3:$N$47,MATCH(K306,競技会設定!$N$3:$N$47,0),2),"")</f>
        <v>492161</v>
      </c>
      <c r="M306" s="97" t="s">
        <v>3855</v>
      </c>
      <c r="N306" s="17" t="str">
        <f t="shared" si="13"/>
        <v>NAKAO, Keiya</v>
      </c>
      <c r="O306" s="17" t="str">
        <f t="shared" si="14"/>
        <v>01</v>
      </c>
    </row>
    <row r="307" spans="1:15">
      <c r="A307" s="17" t="str">
        <f t="shared" si="12"/>
        <v>501000306</v>
      </c>
      <c r="B307" s="97">
        <v>306</v>
      </c>
      <c r="C307" s="97" t="s">
        <v>828</v>
      </c>
      <c r="D307" s="97" t="s">
        <v>829</v>
      </c>
      <c r="E307" s="312" t="s">
        <v>2504</v>
      </c>
      <c r="F307" s="312" t="s">
        <v>2505</v>
      </c>
      <c r="G307" s="97" t="s">
        <v>3340</v>
      </c>
      <c r="H307" s="97" t="s">
        <v>4026</v>
      </c>
      <c r="I307" s="97" t="s">
        <v>4039</v>
      </c>
      <c r="J307" s="97" t="s">
        <v>4047</v>
      </c>
      <c r="K307" s="17" t="str">
        <f>IFERROR(INDEX(競技会設定!$J$3:$O$47,MATCH(J307,競技会設定!$M$3:$M$47,0),5),"")</f>
        <v>岐阜協立大</v>
      </c>
      <c r="L307" s="17" t="str">
        <f>IFERROR(INDEX(競技会設定!$J$3:$N$47,MATCH(K307,競技会設定!$N$3:$N$47,0),2),"")</f>
        <v>492161</v>
      </c>
      <c r="M307" s="97" t="s">
        <v>3855</v>
      </c>
      <c r="N307" s="17" t="str">
        <f t="shared" si="13"/>
        <v>MURAMATU, Shunya</v>
      </c>
      <c r="O307" s="17" t="str">
        <f t="shared" si="14"/>
        <v>00</v>
      </c>
    </row>
    <row r="308" spans="1:15">
      <c r="A308" s="17" t="str">
        <f t="shared" si="12"/>
        <v>501000307</v>
      </c>
      <c r="B308" s="97">
        <v>307</v>
      </c>
      <c r="C308" s="97" t="s">
        <v>830</v>
      </c>
      <c r="D308" s="97" t="s">
        <v>831</v>
      </c>
      <c r="E308" s="312" t="s">
        <v>2506</v>
      </c>
      <c r="F308" s="312" t="s">
        <v>2507</v>
      </c>
      <c r="G308" s="97" t="s">
        <v>3175</v>
      </c>
      <c r="H308" s="97" t="s">
        <v>4029</v>
      </c>
      <c r="I308" s="97" t="s">
        <v>4039</v>
      </c>
      <c r="J308" s="97" t="s">
        <v>4047</v>
      </c>
      <c r="K308" s="17" t="str">
        <f>IFERROR(INDEX(競技会設定!$J$3:$O$47,MATCH(J308,競技会設定!$M$3:$M$47,0),5),"")</f>
        <v>岐阜協立大</v>
      </c>
      <c r="L308" s="17" t="str">
        <f>IFERROR(INDEX(競技会設定!$J$3:$N$47,MATCH(K308,競技会設定!$N$3:$N$47,0),2),"")</f>
        <v>492161</v>
      </c>
      <c r="M308" s="97" t="s">
        <v>3855</v>
      </c>
      <c r="N308" s="17" t="str">
        <f t="shared" si="13"/>
        <v>IZAWA, Aoi</v>
      </c>
      <c r="O308" s="17" t="str">
        <f t="shared" si="14"/>
        <v>02</v>
      </c>
    </row>
    <row r="309" spans="1:15">
      <c r="A309" s="17" t="str">
        <f t="shared" si="12"/>
        <v>501000308</v>
      </c>
      <c r="B309" s="97">
        <v>308</v>
      </c>
      <c r="C309" s="97" t="s">
        <v>832</v>
      </c>
      <c r="D309" s="97" t="s">
        <v>833</v>
      </c>
      <c r="E309" s="312" t="s">
        <v>2508</v>
      </c>
      <c r="F309" s="312" t="s">
        <v>2509</v>
      </c>
      <c r="G309" s="97" t="s">
        <v>3341</v>
      </c>
      <c r="H309" s="97" t="s">
        <v>4029</v>
      </c>
      <c r="I309" s="97" t="s">
        <v>4039</v>
      </c>
      <c r="J309" s="97" t="s">
        <v>4047</v>
      </c>
      <c r="K309" s="17" t="str">
        <f>IFERROR(INDEX(競技会設定!$J$3:$O$47,MATCH(J309,競技会設定!$M$3:$M$47,0),5),"")</f>
        <v>岐阜協立大</v>
      </c>
      <c r="L309" s="17" t="str">
        <f>IFERROR(INDEX(競技会設定!$J$3:$N$47,MATCH(K309,競技会設定!$N$3:$N$47,0),2),"")</f>
        <v>492161</v>
      </c>
      <c r="M309" s="97" t="s">
        <v>3855</v>
      </c>
      <c r="N309" s="17" t="str">
        <f t="shared" si="13"/>
        <v>UKAI, Ren</v>
      </c>
      <c r="O309" s="17" t="str">
        <f t="shared" si="14"/>
        <v>01</v>
      </c>
    </row>
    <row r="310" spans="1:15">
      <c r="A310" s="17" t="str">
        <f t="shared" si="12"/>
        <v>501000309</v>
      </c>
      <c r="B310" s="97">
        <v>309</v>
      </c>
      <c r="C310" s="97" t="s">
        <v>834</v>
      </c>
      <c r="D310" s="97" t="s">
        <v>835</v>
      </c>
      <c r="E310" s="312" t="s">
        <v>2510</v>
      </c>
      <c r="F310" s="312" t="s">
        <v>2511</v>
      </c>
      <c r="G310" s="97" t="s">
        <v>3342</v>
      </c>
      <c r="H310" s="97" t="s">
        <v>4029</v>
      </c>
      <c r="I310" s="97" t="s">
        <v>4039</v>
      </c>
      <c r="J310" s="97" t="s">
        <v>4047</v>
      </c>
      <c r="K310" s="17" t="str">
        <f>IFERROR(INDEX(競技会設定!$J$3:$O$47,MATCH(J310,競技会設定!$M$3:$M$47,0),5),"")</f>
        <v>岐阜協立大</v>
      </c>
      <c r="L310" s="17" t="str">
        <f>IFERROR(INDEX(競技会設定!$J$3:$N$47,MATCH(K310,競技会設定!$N$3:$N$47,0),2),"")</f>
        <v>492161</v>
      </c>
      <c r="M310" s="97" t="s">
        <v>3855</v>
      </c>
      <c r="N310" s="17" t="str">
        <f t="shared" si="13"/>
        <v>OSAKI, Sohei</v>
      </c>
      <c r="O310" s="17" t="str">
        <f t="shared" si="14"/>
        <v>01</v>
      </c>
    </row>
    <row r="311" spans="1:15">
      <c r="A311" s="17" t="str">
        <f t="shared" si="12"/>
        <v>501000310</v>
      </c>
      <c r="B311" s="97">
        <v>310</v>
      </c>
      <c r="C311" s="97" t="s">
        <v>836</v>
      </c>
      <c r="D311" s="97" t="s">
        <v>837</v>
      </c>
      <c r="E311" s="312" t="s">
        <v>2173</v>
      </c>
      <c r="F311" s="312" t="s">
        <v>2307</v>
      </c>
      <c r="G311" s="97" t="s">
        <v>3343</v>
      </c>
      <c r="H311" s="97" t="s">
        <v>4029</v>
      </c>
      <c r="I311" s="97" t="s">
        <v>4039</v>
      </c>
      <c r="J311" s="97" t="s">
        <v>4047</v>
      </c>
      <c r="K311" s="17" t="str">
        <f>IFERROR(INDEX(競技会設定!$J$3:$O$47,MATCH(J311,競技会設定!$M$3:$M$47,0),5),"")</f>
        <v>岐阜協立大</v>
      </c>
      <c r="L311" s="17" t="str">
        <f>IFERROR(INDEX(競技会設定!$J$3:$N$47,MATCH(K311,競技会設定!$N$3:$N$47,0),2),"")</f>
        <v>492161</v>
      </c>
      <c r="M311" s="97" t="s">
        <v>3855</v>
      </c>
      <c r="N311" s="17" t="str">
        <f t="shared" si="13"/>
        <v>TAKAHASHI, Kotaro</v>
      </c>
      <c r="O311" s="17" t="str">
        <f t="shared" si="14"/>
        <v>01</v>
      </c>
    </row>
    <row r="312" spans="1:15">
      <c r="A312" s="17" t="str">
        <f t="shared" si="12"/>
        <v>501000311</v>
      </c>
      <c r="B312" s="97">
        <v>311</v>
      </c>
      <c r="C312" s="97" t="s">
        <v>838</v>
      </c>
      <c r="D312" s="97" t="s">
        <v>839</v>
      </c>
      <c r="E312" s="312" t="s">
        <v>2512</v>
      </c>
      <c r="F312" s="312" t="s">
        <v>2293</v>
      </c>
      <c r="G312" s="97" t="s">
        <v>3344</v>
      </c>
      <c r="H312" s="97" t="s">
        <v>4029</v>
      </c>
      <c r="I312" s="97" t="s">
        <v>4039</v>
      </c>
      <c r="J312" s="97" t="s">
        <v>4047</v>
      </c>
      <c r="K312" s="17" t="str">
        <f>IFERROR(INDEX(競技会設定!$J$3:$O$47,MATCH(J312,競技会設定!$M$3:$M$47,0),5),"")</f>
        <v>岐阜協立大</v>
      </c>
      <c r="L312" s="17" t="str">
        <f>IFERROR(INDEX(競技会設定!$J$3:$N$47,MATCH(K312,競技会設定!$N$3:$N$47,0),2),"")</f>
        <v>492161</v>
      </c>
      <c r="M312" s="97" t="s">
        <v>3855</v>
      </c>
      <c r="N312" s="17" t="str">
        <f t="shared" si="13"/>
        <v>HYODO, Koki</v>
      </c>
      <c r="O312" s="17" t="str">
        <f t="shared" si="14"/>
        <v>02</v>
      </c>
    </row>
    <row r="313" spans="1:15">
      <c r="A313" s="17" t="str">
        <f t="shared" si="12"/>
        <v>501000312</v>
      </c>
      <c r="B313" s="97">
        <v>312</v>
      </c>
      <c r="C313" s="97" t="s">
        <v>840</v>
      </c>
      <c r="D313" s="97" t="s">
        <v>841</v>
      </c>
      <c r="E313" s="312" t="s">
        <v>2513</v>
      </c>
      <c r="F313" s="312" t="s">
        <v>2165</v>
      </c>
      <c r="G313" s="97" t="s">
        <v>3345</v>
      </c>
      <c r="H313" s="97" t="s">
        <v>4029</v>
      </c>
      <c r="I313" s="97" t="s">
        <v>4039</v>
      </c>
      <c r="J313" s="97" t="s">
        <v>4047</v>
      </c>
      <c r="K313" s="17" t="str">
        <f>IFERROR(INDEX(競技会設定!$J$3:$O$47,MATCH(J313,競技会設定!$M$3:$M$47,0),5),"")</f>
        <v>岐阜協立大</v>
      </c>
      <c r="L313" s="17" t="str">
        <f>IFERROR(INDEX(競技会設定!$J$3:$N$47,MATCH(K313,競技会設定!$N$3:$N$47,0),2),"")</f>
        <v>492161</v>
      </c>
      <c r="M313" s="97" t="s">
        <v>3855</v>
      </c>
      <c r="N313" s="17" t="str">
        <f t="shared" si="13"/>
        <v>FURUICHI, Riku</v>
      </c>
      <c r="O313" s="17" t="str">
        <f t="shared" si="14"/>
        <v>02</v>
      </c>
    </row>
    <row r="314" spans="1:15">
      <c r="A314" s="17" t="str">
        <f t="shared" si="12"/>
        <v>501000313</v>
      </c>
      <c r="B314" s="97">
        <v>313</v>
      </c>
      <c r="C314" s="97" t="s">
        <v>842</v>
      </c>
      <c r="D314" s="97" t="s">
        <v>843</v>
      </c>
      <c r="E314" s="312" t="s">
        <v>2514</v>
      </c>
      <c r="F314" s="312" t="s">
        <v>2293</v>
      </c>
      <c r="G314" s="97" t="s">
        <v>3346</v>
      </c>
      <c r="H314" s="97" t="s">
        <v>4031</v>
      </c>
      <c r="I314" s="97" t="s">
        <v>4039</v>
      </c>
      <c r="J314" s="97" t="s">
        <v>4048</v>
      </c>
      <c r="K314" s="17" t="str">
        <f>IFERROR(INDEX(競技会設定!$J$3:$O$47,MATCH(J314,競技会設定!$M$3:$M$47,0),5),"")</f>
        <v>岐阜工業高専</v>
      </c>
      <c r="L314" s="17" t="str">
        <f>IFERROR(INDEX(競技会設定!$J$3:$N$47,MATCH(K314,競技会設定!$N$3:$N$47,0),2),"")</f>
        <v>496023</v>
      </c>
      <c r="M314" s="97" t="s">
        <v>3855</v>
      </c>
      <c r="N314" s="17" t="str">
        <f t="shared" si="13"/>
        <v>HASIMOTO, Koki</v>
      </c>
      <c r="O314" s="17" t="str">
        <f t="shared" si="14"/>
        <v>00</v>
      </c>
    </row>
    <row r="315" spans="1:15">
      <c r="A315" s="17" t="str">
        <f t="shared" si="12"/>
        <v>501000314</v>
      </c>
      <c r="B315" s="97">
        <v>314</v>
      </c>
      <c r="C315" s="97" t="s">
        <v>844</v>
      </c>
      <c r="D315" s="97" t="s">
        <v>845</v>
      </c>
      <c r="E315" s="312" t="s">
        <v>2515</v>
      </c>
      <c r="F315" s="312" t="s">
        <v>2236</v>
      </c>
      <c r="G315" s="97" t="s">
        <v>3347</v>
      </c>
      <c r="H315" s="97" t="s">
        <v>4025</v>
      </c>
      <c r="I315" s="97" t="s">
        <v>4039</v>
      </c>
      <c r="J315" s="97" t="s">
        <v>4048</v>
      </c>
      <c r="K315" s="17" t="str">
        <f>IFERROR(INDEX(競技会設定!$J$3:$O$47,MATCH(J315,競技会設定!$M$3:$M$47,0),5),"")</f>
        <v>岐阜工業高専</v>
      </c>
      <c r="L315" s="17" t="str">
        <f>IFERROR(INDEX(競技会設定!$J$3:$N$47,MATCH(K315,競技会設定!$N$3:$N$47,0),2),"")</f>
        <v>496023</v>
      </c>
      <c r="M315" s="97" t="s">
        <v>3855</v>
      </c>
      <c r="N315" s="17" t="str">
        <f t="shared" si="13"/>
        <v>KITAGAWA, Kosuke</v>
      </c>
      <c r="O315" s="17" t="str">
        <f t="shared" si="14"/>
        <v>01</v>
      </c>
    </row>
    <row r="316" spans="1:15">
      <c r="A316" s="17" t="str">
        <f t="shared" si="12"/>
        <v>501000315</v>
      </c>
      <c r="B316" s="97">
        <v>315</v>
      </c>
      <c r="C316" s="97" t="s">
        <v>846</v>
      </c>
      <c r="D316" s="97" t="s">
        <v>847</v>
      </c>
      <c r="E316" s="312" t="s">
        <v>2173</v>
      </c>
      <c r="F316" s="312" t="s">
        <v>2516</v>
      </c>
      <c r="G316" s="97" t="s">
        <v>3348</v>
      </c>
      <c r="H316" s="97" t="s">
        <v>4025</v>
      </c>
      <c r="I316" s="97" t="s">
        <v>4039</v>
      </c>
      <c r="J316" s="97" t="s">
        <v>4048</v>
      </c>
      <c r="K316" s="17" t="str">
        <f>IFERROR(INDEX(競技会設定!$J$3:$O$47,MATCH(J316,競技会設定!$M$3:$M$47,0),5),"")</f>
        <v>岐阜工業高専</v>
      </c>
      <c r="L316" s="17" t="str">
        <f>IFERROR(INDEX(競技会設定!$J$3:$N$47,MATCH(K316,競技会設定!$N$3:$N$47,0),2),"")</f>
        <v>496023</v>
      </c>
      <c r="M316" s="97" t="s">
        <v>3855</v>
      </c>
      <c r="N316" s="17" t="str">
        <f t="shared" si="13"/>
        <v>TAKAHASHI, Naoto</v>
      </c>
      <c r="O316" s="17" t="str">
        <f t="shared" si="14"/>
        <v>01</v>
      </c>
    </row>
    <row r="317" spans="1:15">
      <c r="A317" s="17" t="str">
        <f t="shared" si="12"/>
        <v>501000316</v>
      </c>
      <c r="B317" s="97">
        <v>316</v>
      </c>
      <c r="C317" s="97" t="s">
        <v>848</v>
      </c>
      <c r="D317" s="97" t="s">
        <v>849</v>
      </c>
      <c r="E317" s="312" t="s">
        <v>2517</v>
      </c>
      <c r="F317" s="312" t="s">
        <v>2108</v>
      </c>
      <c r="G317" s="97" t="s">
        <v>3349</v>
      </c>
      <c r="H317" s="97" t="s">
        <v>4025</v>
      </c>
      <c r="I317" s="97" t="s">
        <v>4039</v>
      </c>
      <c r="J317" s="97" t="s">
        <v>4048</v>
      </c>
      <c r="K317" s="17" t="str">
        <f>IFERROR(INDEX(競技会設定!$J$3:$O$47,MATCH(J317,競技会設定!$M$3:$M$47,0),5),"")</f>
        <v>岐阜工業高専</v>
      </c>
      <c r="L317" s="17" t="str">
        <f>IFERROR(INDEX(競技会設定!$J$3:$N$47,MATCH(K317,競技会設定!$N$3:$N$47,0),2),"")</f>
        <v>496023</v>
      </c>
      <c r="M317" s="97" t="s">
        <v>3855</v>
      </c>
      <c r="N317" s="17" t="str">
        <f t="shared" si="13"/>
        <v>NAGASAKI, Yuki</v>
      </c>
      <c r="O317" s="17" t="str">
        <f t="shared" si="14"/>
        <v>01</v>
      </c>
    </row>
    <row r="318" spans="1:15">
      <c r="A318" s="17" t="str">
        <f t="shared" si="12"/>
        <v>501000317</v>
      </c>
      <c r="B318" s="97">
        <v>317</v>
      </c>
      <c r="C318" s="97" t="s">
        <v>850</v>
      </c>
      <c r="D318" s="97" t="s">
        <v>851</v>
      </c>
      <c r="E318" s="312" t="s">
        <v>2518</v>
      </c>
      <c r="F318" s="312" t="s">
        <v>2519</v>
      </c>
      <c r="G318" s="97" t="s">
        <v>3350</v>
      </c>
      <c r="H318" s="97" t="s">
        <v>4025</v>
      </c>
      <c r="I318" s="97" t="s">
        <v>4039</v>
      </c>
      <c r="J318" s="97" t="s">
        <v>4048</v>
      </c>
      <c r="K318" s="17" t="str">
        <f>IFERROR(INDEX(競技会設定!$J$3:$O$47,MATCH(J318,競技会設定!$M$3:$M$47,0),5),"")</f>
        <v>岐阜工業高専</v>
      </c>
      <c r="L318" s="17" t="str">
        <f>IFERROR(INDEX(競技会設定!$J$3:$N$47,MATCH(K318,競技会設定!$N$3:$N$47,0),2),"")</f>
        <v>496023</v>
      </c>
      <c r="M318" s="97" t="s">
        <v>3855</v>
      </c>
      <c r="N318" s="17" t="str">
        <f t="shared" si="13"/>
        <v>NONOGAKI, Keishin</v>
      </c>
      <c r="O318" s="17" t="str">
        <f t="shared" si="14"/>
        <v>01</v>
      </c>
    </row>
    <row r="319" spans="1:15">
      <c r="A319" s="17" t="str">
        <f t="shared" si="12"/>
        <v>501000318</v>
      </c>
      <c r="B319" s="97">
        <v>318</v>
      </c>
      <c r="C319" s="97" t="s">
        <v>852</v>
      </c>
      <c r="D319" s="97" t="s">
        <v>853</v>
      </c>
      <c r="E319" s="312" t="s">
        <v>2520</v>
      </c>
      <c r="F319" s="312" t="s">
        <v>2521</v>
      </c>
      <c r="G319" s="97" t="s">
        <v>3351</v>
      </c>
      <c r="H319" s="97" t="s">
        <v>4025</v>
      </c>
      <c r="I319" s="97" t="s">
        <v>4039</v>
      </c>
      <c r="J319" s="97" t="s">
        <v>4048</v>
      </c>
      <c r="K319" s="17" t="str">
        <f>IFERROR(INDEX(競技会設定!$J$3:$O$47,MATCH(J319,競技会設定!$M$3:$M$47,0),5),"")</f>
        <v>岐阜工業高専</v>
      </c>
      <c r="L319" s="17" t="str">
        <f>IFERROR(INDEX(競技会設定!$J$3:$N$47,MATCH(K319,競技会設定!$N$3:$N$47,0),2),"")</f>
        <v>496023</v>
      </c>
      <c r="M319" s="97" t="s">
        <v>3855</v>
      </c>
      <c r="N319" s="17" t="str">
        <f t="shared" si="13"/>
        <v>YOSHIDA, Yasushi</v>
      </c>
      <c r="O319" s="17" t="str">
        <f t="shared" si="14"/>
        <v>01</v>
      </c>
    </row>
    <row r="320" spans="1:15">
      <c r="A320" s="17" t="str">
        <f t="shared" si="12"/>
        <v>501000319</v>
      </c>
      <c r="B320" s="97">
        <v>319</v>
      </c>
      <c r="C320" s="97" t="s">
        <v>854</v>
      </c>
      <c r="D320" s="97" t="s">
        <v>855</v>
      </c>
      <c r="E320" s="312" t="s">
        <v>2463</v>
      </c>
      <c r="F320" s="312" t="s">
        <v>2522</v>
      </c>
      <c r="G320" s="97" t="s">
        <v>3170</v>
      </c>
      <c r="H320" s="97" t="s">
        <v>4025</v>
      </c>
      <c r="I320" s="97" t="s">
        <v>4039</v>
      </c>
      <c r="J320" s="97" t="s">
        <v>4048</v>
      </c>
      <c r="K320" s="17" t="str">
        <f>IFERROR(INDEX(競技会設定!$J$3:$O$47,MATCH(J320,競技会設定!$M$3:$M$47,0),5),"")</f>
        <v>岐阜工業高専</v>
      </c>
      <c r="L320" s="17" t="str">
        <f>IFERROR(INDEX(競技会設定!$J$3:$N$47,MATCH(K320,競技会設定!$N$3:$N$47,0),2),"")</f>
        <v>496023</v>
      </c>
      <c r="M320" s="97" t="s">
        <v>3855</v>
      </c>
      <c r="N320" s="17" t="str">
        <f t="shared" si="13"/>
        <v>OKADA, Gota</v>
      </c>
      <c r="O320" s="17" t="str">
        <f t="shared" si="14"/>
        <v>01</v>
      </c>
    </row>
    <row r="321" spans="1:15">
      <c r="A321" s="17" t="str">
        <f t="shared" si="12"/>
        <v>501000320</v>
      </c>
      <c r="B321" s="97">
        <v>320</v>
      </c>
      <c r="C321" s="97" t="s">
        <v>856</v>
      </c>
      <c r="D321" s="97" t="s">
        <v>857</v>
      </c>
      <c r="E321" s="312" t="s">
        <v>2270</v>
      </c>
      <c r="F321" s="312" t="s">
        <v>2122</v>
      </c>
      <c r="G321" s="97" t="s">
        <v>3352</v>
      </c>
      <c r="H321" s="97" t="s">
        <v>4025</v>
      </c>
      <c r="I321" s="97" t="s">
        <v>4039</v>
      </c>
      <c r="J321" s="97" t="s">
        <v>4048</v>
      </c>
      <c r="K321" s="17" t="str">
        <f>IFERROR(INDEX(競技会設定!$J$3:$O$47,MATCH(J321,競技会設定!$M$3:$M$47,0),5),"")</f>
        <v>岐阜工業高専</v>
      </c>
      <c r="L321" s="17" t="str">
        <f>IFERROR(INDEX(競技会設定!$J$3:$N$47,MATCH(K321,競技会設定!$N$3:$N$47,0),2),"")</f>
        <v>496023</v>
      </c>
      <c r="M321" s="97" t="s">
        <v>3855</v>
      </c>
      <c r="N321" s="17" t="str">
        <f t="shared" si="13"/>
        <v>NAGAI, Tomohiro</v>
      </c>
      <c r="O321" s="17" t="str">
        <f t="shared" si="14"/>
        <v>01</v>
      </c>
    </row>
    <row r="322" spans="1:15">
      <c r="A322" s="17" t="str">
        <f t="shared" si="12"/>
        <v>501000321</v>
      </c>
      <c r="B322" s="97">
        <v>321</v>
      </c>
      <c r="C322" s="97" t="s">
        <v>858</v>
      </c>
      <c r="D322" s="97" t="s">
        <v>859</v>
      </c>
      <c r="E322" s="312" t="s">
        <v>2523</v>
      </c>
      <c r="F322" s="312" t="s">
        <v>2215</v>
      </c>
      <c r="G322" s="97" t="s">
        <v>3353</v>
      </c>
      <c r="H322" s="97" t="s">
        <v>4025</v>
      </c>
      <c r="I322" s="97" t="s">
        <v>4039</v>
      </c>
      <c r="J322" s="97" t="s">
        <v>4048</v>
      </c>
      <c r="K322" s="17" t="str">
        <f>IFERROR(INDEX(競技会設定!$J$3:$O$47,MATCH(J322,競技会設定!$M$3:$M$47,0),5),"")</f>
        <v>岐阜工業高専</v>
      </c>
      <c r="L322" s="17" t="str">
        <f>IFERROR(INDEX(競技会設定!$J$3:$N$47,MATCH(K322,競技会設定!$N$3:$N$47,0),2),"")</f>
        <v>496023</v>
      </c>
      <c r="M322" s="97" t="s">
        <v>3855</v>
      </c>
      <c r="N322" s="17" t="str">
        <f t="shared" si="13"/>
        <v>YASUE, Hiroto</v>
      </c>
      <c r="O322" s="17" t="str">
        <f t="shared" si="14"/>
        <v>01</v>
      </c>
    </row>
    <row r="323" spans="1:15">
      <c r="A323" s="17" t="str">
        <f t="shared" ref="A323:A386" si="15">IF(B323="","","501"&amp;TEXT(B323,"000000"))</f>
        <v>501000322</v>
      </c>
      <c r="B323" s="97">
        <v>322</v>
      </c>
      <c r="C323" s="97" t="s">
        <v>860</v>
      </c>
      <c r="D323" s="97" t="s">
        <v>861</v>
      </c>
      <c r="E323" s="312" t="s">
        <v>2328</v>
      </c>
      <c r="F323" s="312" t="s">
        <v>2255</v>
      </c>
      <c r="G323" s="97" t="s">
        <v>3354</v>
      </c>
      <c r="H323" s="97" t="s">
        <v>4025</v>
      </c>
      <c r="I323" s="97" t="s">
        <v>4039</v>
      </c>
      <c r="J323" s="97" t="s">
        <v>4048</v>
      </c>
      <c r="K323" s="17" t="str">
        <f>IFERROR(INDEX(競技会設定!$J$3:$O$47,MATCH(J323,競技会設定!$M$3:$M$47,0),5),"")</f>
        <v>岐阜工業高専</v>
      </c>
      <c r="L323" s="17" t="str">
        <f>IFERROR(INDEX(競技会設定!$J$3:$N$47,MATCH(K323,競技会設定!$N$3:$N$47,0),2),"")</f>
        <v>496023</v>
      </c>
      <c r="M323" s="97" t="s">
        <v>3855</v>
      </c>
      <c r="N323" s="17" t="str">
        <f t="shared" ref="N323:N386" si="16">IF(E323="","",E323&amp;", "&amp;F323)</f>
        <v>YAMADA, Shohei</v>
      </c>
      <c r="O323" s="17" t="str">
        <f t="shared" ref="O323:O386" si="17">IFERROR(TEXT(INT(LEFT(G323,2)),"00"),"")</f>
        <v>01</v>
      </c>
    </row>
    <row r="324" spans="1:15">
      <c r="A324" s="17" t="str">
        <f t="shared" si="15"/>
        <v>501000323</v>
      </c>
      <c r="B324" s="97">
        <v>323</v>
      </c>
      <c r="C324" s="97" t="s">
        <v>862</v>
      </c>
      <c r="D324" s="97" t="s">
        <v>863</v>
      </c>
      <c r="E324" s="312" t="s">
        <v>2524</v>
      </c>
      <c r="F324" s="312" t="s">
        <v>2487</v>
      </c>
      <c r="G324" s="97" t="s">
        <v>3165</v>
      </c>
      <c r="H324" s="97" t="s">
        <v>4025</v>
      </c>
      <c r="I324" s="97" t="s">
        <v>4039</v>
      </c>
      <c r="J324" s="97" t="s">
        <v>4048</v>
      </c>
      <c r="K324" s="17" t="str">
        <f>IFERROR(INDEX(競技会設定!$J$3:$O$47,MATCH(J324,競技会設定!$M$3:$M$47,0),5),"")</f>
        <v>岐阜工業高専</v>
      </c>
      <c r="L324" s="17" t="str">
        <f>IFERROR(INDEX(競技会設定!$J$3:$N$47,MATCH(K324,競技会設定!$N$3:$N$47,0),2),"")</f>
        <v>496023</v>
      </c>
      <c r="M324" s="97" t="s">
        <v>3855</v>
      </c>
      <c r="N324" s="17" t="str">
        <f t="shared" si="16"/>
        <v>KITAZONO, Satoshi</v>
      </c>
      <c r="O324" s="17" t="str">
        <f t="shared" si="17"/>
        <v>01</v>
      </c>
    </row>
    <row r="325" spans="1:15">
      <c r="A325" s="17" t="str">
        <f t="shared" si="15"/>
        <v>501000324</v>
      </c>
      <c r="B325" s="97">
        <v>324</v>
      </c>
      <c r="C325" s="97" t="s">
        <v>864</v>
      </c>
      <c r="D325" s="97" t="s">
        <v>865</v>
      </c>
      <c r="E325" s="312" t="s">
        <v>2525</v>
      </c>
      <c r="F325" s="312" t="s">
        <v>2526</v>
      </c>
      <c r="G325" s="97" t="s">
        <v>3355</v>
      </c>
      <c r="H325" s="97" t="s">
        <v>4025</v>
      </c>
      <c r="I325" s="97" t="s">
        <v>4039</v>
      </c>
      <c r="J325" s="97" t="s">
        <v>4049</v>
      </c>
      <c r="K325" s="17" t="str">
        <f>IFERROR(INDEX(競技会設定!$J$3:$O$47,MATCH(J325,競技会設定!$M$3:$M$47,0),5),"")</f>
        <v>岐阜聖徳学園大</v>
      </c>
      <c r="L325" s="17" t="str">
        <f>IFERROR(INDEX(競技会設定!$J$3:$N$47,MATCH(K325,競技会設定!$N$3:$N$47,0),2),"")</f>
        <v>492164</v>
      </c>
      <c r="M325" s="97" t="s">
        <v>3855</v>
      </c>
      <c r="N325" s="17" t="str">
        <f t="shared" si="16"/>
        <v>KAWASHIMA, Taiki</v>
      </c>
      <c r="O325" s="17" t="str">
        <f t="shared" si="17"/>
        <v>98</v>
      </c>
    </row>
    <row r="326" spans="1:15">
      <c r="A326" s="17" t="str">
        <f t="shared" si="15"/>
        <v>501000325</v>
      </c>
      <c r="B326" s="97">
        <v>325</v>
      </c>
      <c r="C326" s="97" t="s">
        <v>866</v>
      </c>
      <c r="D326" s="97" t="s">
        <v>867</v>
      </c>
      <c r="E326" s="312" t="s">
        <v>2173</v>
      </c>
      <c r="F326" s="312" t="s">
        <v>2165</v>
      </c>
      <c r="G326" s="97" t="s">
        <v>3356</v>
      </c>
      <c r="H326" s="97" t="s">
        <v>4026</v>
      </c>
      <c r="I326" s="97" t="s">
        <v>4039</v>
      </c>
      <c r="J326" s="97" t="s">
        <v>4049</v>
      </c>
      <c r="K326" s="17" t="str">
        <f>IFERROR(INDEX(競技会設定!$J$3:$O$47,MATCH(J326,競技会設定!$M$3:$M$47,0),5),"")</f>
        <v>岐阜聖徳学園大</v>
      </c>
      <c r="L326" s="17" t="str">
        <f>IFERROR(INDEX(競技会設定!$J$3:$N$47,MATCH(K326,競技会設定!$N$3:$N$47,0),2),"")</f>
        <v>492164</v>
      </c>
      <c r="M326" s="97" t="s">
        <v>3859</v>
      </c>
      <c r="N326" s="17" t="str">
        <f t="shared" si="16"/>
        <v>TAKAHASHI, Riku</v>
      </c>
      <c r="O326" s="17" t="str">
        <f t="shared" si="17"/>
        <v>00</v>
      </c>
    </row>
    <row r="327" spans="1:15">
      <c r="A327" s="17" t="str">
        <f t="shared" si="15"/>
        <v>501000326</v>
      </c>
      <c r="B327" s="97">
        <v>326</v>
      </c>
      <c r="C327" s="97" t="s">
        <v>868</v>
      </c>
      <c r="D327" s="97" t="s">
        <v>869</v>
      </c>
      <c r="E327" s="312" t="s">
        <v>2527</v>
      </c>
      <c r="F327" s="312" t="s">
        <v>2131</v>
      </c>
      <c r="G327" s="97" t="s">
        <v>3357</v>
      </c>
      <c r="H327" s="97" t="s">
        <v>4026</v>
      </c>
      <c r="I327" s="97" t="s">
        <v>4039</v>
      </c>
      <c r="J327" s="97" t="s">
        <v>4049</v>
      </c>
      <c r="K327" s="17" t="str">
        <f>IFERROR(INDEX(競技会設定!$J$3:$O$47,MATCH(J327,競技会設定!$M$3:$M$47,0),5),"")</f>
        <v>岐阜聖徳学園大</v>
      </c>
      <c r="L327" s="17" t="str">
        <f>IFERROR(INDEX(競技会設定!$J$3:$N$47,MATCH(K327,競技会設定!$N$3:$N$47,0),2),"")</f>
        <v>492164</v>
      </c>
      <c r="M327" s="97" t="s">
        <v>3855</v>
      </c>
      <c r="N327" s="17" t="str">
        <f t="shared" si="16"/>
        <v>TAGAWA, Haruki</v>
      </c>
      <c r="O327" s="17" t="str">
        <f t="shared" si="17"/>
        <v>00</v>
      </c>
    </row>
    <row r="328" spans="1:15">
      <c r="A328" s="17" t="str">
        <f t="shared" si="15"/>
        <v>501000327</v>
      </c>
      <c r="B328" s="97">
        <v>327</v>
      </c>
      <c r="C328" s="97" t="s">
        <v>870</v>
      </c>
      <c r="D328" s="97" t="s">
        <v>871</v>
      </c>
      <c r="E328" s="312" t="s">
        <v>2528</v>
      </c>
      <c r="F328" s="312" t="s">
        <v>2529</v>
      </c>
      <c r="G328" s="97" t="s">
        <v>3296</v>
      </c>
      <c r="H328" s="97" t="s">
        <v>4024</v>
      </c>
      <c r="I328" s="97" t="s">
        <v>4039</v>
      </c>
      <c r="J328" s="97" t="s">
        <v>4049</v>
      </c>
      <c r="K328" s="17" t="str">
        <f>IFERROR(INDEX(競技会設定!$J$3:$O$47,MATCH(J328,競技会設定!$M$3:$M$47,0),5),"")</f>
        <v>岐阜聖徳学園大</v>
      </c>
      <c r="L328" s="17" t="str">
        <f>IFERROR(INDEX(競技会設定!$J$3:$N$47,MATCH(K328,競技会設定!$N$3:$N$47,0),2),"")</f>
        <v>492164</v>
      </c>
      <c r="M328" s="97" t="s">
        <v>3855</v>
      </c>
      <c r="N328" s="17" t="str">
        <f t="shared" si="16"/>
        <v>MATSUBARA, Syogo</v>
      </c>
      <c r="O328" s="17" t="str">
        <f t="shared" si="17"/>
        <v>99</v>
      </c>
    </row>
    <row r="329" spans="1:15">
      <c r="A329" s="17" t="str">
        <f t="shared" si="15"/>
        <v>501000328</v>
      </c>
      <c r="B329" s="97">
        <v>328</v>
      </c>
      <c r="C329" s="97" t="s">
        <v>872</v>
      </c>
      <c r="D329" s="97" t="s">
        <v>873</v>
      </c>
      <c r="E329" s="312" t="s">
        <v>2369</v>
      </c>
      <c r="F329" s="312" t="s">
        <v>2530</v>
      </c>
      <c r="G329" s="97" t="s">
        <v>3358</v>
      </c>
      <c r="H329" s="97" t="s">
        <v>4029</v>
      </c>
      <c r="I329" s="97" t="s">
        <v>4039</v>
      </c>
      <c r="J329" s="97" t="s">
        <v>4049</v>
      </c>
      <c r="K329" s="17" t="str">
        <f>IFERROR(INDEX(競技会設定!$J$3:$O$47,MATCH(J329,競技会設定!$M$3:$M$47,0),5),"")</f>
        <v>岐阜聖徳学園大</v>
      </c>
      <c r="L329" s="17" t="str">
        <f>IFERROR(INDEX(競技会設定!$J$3:$N$47,MATCH(K329,競技会設定!$N$3:$N$47,0),2),"")</f>
        <v>492164</v>
      </c>
      <c r="M329" s="97" t="s">
        <v>3855</v>
      </c>
      <c r="N329" s="17" t="str">
        <f t="shared" si="16"/>
        <v>KATO, Kensuke</v>
      </c>
      <c r="O329" s="17" t="str">
        <f t="shared" si="17"/>
        <v>01</v>
      </c>
    </row>
    <row r="330" spans="1:15">
      <c r="A330" s="17" t="str">
        <f t="shared" si="15"/>
        <v>501000329</v>
      </c>
      <c r="B330" s="97">
        <v>329</v>
      </c>
      <c r="C330" s="97" t="s">
        <v>874</v>
      </c>
      <c r="D330" s="97" t="s">
        <v>875</v>
      </c>
      <c r="E330" s="312" t="s">
        <v>2531</v>
      </c>
      <c r="F330" s="312" t="s">
        <v>2532</v>
      </c>
      <c r="G330" s="97" t="s">
        <v>3359</v>
      </c>
      <c r="H330" s="97" t="s">
        <v>4029</v>
      </c>
      <c r="I330" s="97" t="s">
        <v>4039</v>
      </c>
      <c r="J330" s="97" t="s">
        <v>4049</v>
      </c>
      <c r="K330" s="17" t="str">
        <f>IFERROR(INDEX(競技会設定!$J$3:$O$47,MATCH(J330,競技会設定!$M$3:$M$47,0),5),"")</f>
        <v>岐阜聖徳学園大</v>
      </c>
      <c r="L330" s="17" t="str">
        <f>IFERROR(INDEX(競技会設定!$J$3:$N$47,MATCH(K330,競技会設定!$N$3:$N$47,0),2),"")</f>
        <v>492164</v>
      </c>
      <c r="M330" s="97" t="s">
        <v>3855</v>
      </c>
      <c r="N330" s="17" t="str">
        <f t="shared" si="16"/>
        <v>ADACHI, Takaya</v>
      </c>
      <c r="O330" s="17" t="str">
        <f t="shared" si="17"/>
        <v>01</v>
      </c>
    </row>
    <row r="331" spans="1:15">
      <c r="A331" s="17" t="str">
        <f t="shared" si="15"/>
        <v>501000330</v>
      </c>
      <c r="B331" s="97">
        <v>330</v>
      </c>
      <c r="C331" s="97" t="s">
        <v>876</v>
      </c>
      <c r="D331" s="97" t="s">
        <v>877</v>
      </c>
      <c r="E331" s="312" t="s">
        <v>2533</v>
      </c>
      <c r="F331" s="312" t="s">
        <v>2479</v>
      </c>
      <c r="G331" s="97" t="s">
        <v>3360</v>
      </c>
      <c r="H331" s="97" t="s">
        <v>4028</v>
      </c>
      <c r="I331" s="97" t="s">
        <v>4039</v>
      </c>
      <c r="J331" s="97" t="s">
        <v>4050</v>
      </c>
      <c r="K331" s="17" t="str">
        <f>IFERROR(INDEX(競技会設定!$J$3:$O$47,MATCH(J331,競技会設定!$M$3:$M$47,0),5),"")</f>
        <v>岐阜大</v>
      </c>
      <c r="L331" s="17" t="str">
        <f>IFERROR(INDEX(競技会設定!$J$3:$N$47,MATCH(K331,競技会設定!$N$3:$N$47,0),2),"")</f>
        <v>490041</v>
      </c>
      <c r="M331" s="97" t="s">
        <v>3855</v>
      </c>
      <c r="N331" s="17" t="str">
        <f t="shared" si="16"/>
        <v>KASAI, Yuji</v>
      </c>
      <c r="O331" s="17" t="str">
        <f t="shared" si="17"/>
        <v>97</v>
      </c>
    </row>
    <row r="332" spans="1:15">
      <c r="A332" s="17" t="str">
        <f t="shared" si="15"/>
        <v>501000331</v>
      </c>
      <c r="B332" s="97">
        <v>331</v>
      </c>
      <c r="C332" s="97" t="s">
        <v>878</v>
      </c>
      <c r="D332" s="97" t="s">
        <v>879</v>
      </c>
      <c r="E332" s="312" t="s">
        <v>2534</v>
      </c>
      <c r="F332" s="312" t="s">
        <v>2106</v>
      </c>
      <c r="G332" s="97" t="s">
        <v>3361</v>
      </c>
      <c r="H332" s="97" t="s">
        <v>4028</v>
      </c>
      <c r="I332" s="97" t="s">
        <v>4039</v>
      </c>
      <c r="J332" s="97" t="s">
        <v>4050</v>
      </c>
      <c r="K332" s="17" t="str">
        <f>IFERROR(INDEX(競技会設定!$J$3:$O$47,MATCH(J332,競技会設定!$M$3:$M$47,0),5),"")</f>
        <v>岐阜大</v>
      </c>
      <c r="L332" s="17" t="str">
        <f>IFERROR(INDEX(競技会設定!$J$3:$N$47,MATCH(K332,競技会設定!$N$3:$N$47,0),2),"")</f>
        <v>490041</v>
      </c>
      <c r="M332" s="97" t="s">
        <v>3855</v>
      </c>
      <c r="N332" s="17" t="str">
        <f t="shared" si="16"/>
        <v>HIOKI, Yusuke</v>
      </c>
      <c r="O332" s="17" t="str">
        <f t="shared" si="17"/>
        <v>96</v>
      </c>
    </row>
    <row r="333" spans="1:15">
      <c r="A333" s="17" t="str">
        <f t="shared" si="15"/>
        <v>501000332</v>
      </c>
      <c r="B333" s="97">
        <v>332</v>
      </c>
      <c r="C333" s="97" t="s">
        <v>880</v>
      </c>
      <c r="D333" s="97" t="s">
        <v>881</v>
      </c>
      <c r="E333" s="312" t="s">
        <v>2259</v>
      </c>
      <c r="F333" s="312" t="s">
        <v>2535</v>
      </c>
      <c r="G333" s="97" t="s">
        <v>3362</v>
      </c>
      <c r="H333" s="97" t="s">
        <v>4030</v>
      </c>
      <c r="I333" s="97" t="s">
        <v>4039</v>
      </c>
      <c r="J333" s="97" t="s">
        <v>4050</v>
      </c>
      <c r="K333" s="17" t="str">
        <f>IFERROR(INDEX(競技会設定!$J$3:$O$47,MATCH(J333,競技会設定!$M$3:$M$47,0),5),"")</f>
        <v>岐阜大</v>
      </c>
      <c r="L333" s="17" t="str">
        <f>IFERROR(INDEX(競技会設定!$J$3:$N$47,MATCH(K333,競技会設定!$N$3:$N$47,0),2),"")</f>
        <v>490041</v>
      </c>
      <c r="M333" s="97" t="s">
        <v>3855</v>
      </c>
      <c r="N333" s="17" t="str">
        <f t="shared" si="16"/>
        <v>YAMAMOTO, Mikiya</v>
      </c>
      <c r="O333" s="17" t="str">
        <f t="shared" si="17"/>
        <v>97</v>
      </c>
    </row>
    <row r="334" spans="1:15">
      <c r="A334" s="17" t="str">
        <f t="shared" si="15"/>
        <v>501000333</v>
      </c>
      <c r="B334" s="97">
        <v>333</v>
      </c>
      <c r="C334" s="97" t="s">
        <v>882</v>
      </c>
      <c r="D334" s="97" t="s">
        <v>883</v>
      </c>
      <c r="E334" s="312" t="s">
        <v>2536</v>
      </c>
      <c r="F334" s="312" t="s">
        <v>2182</v>
      </c>
      <c r="G334" s="97" t="s">
        <v>3363</v>
      </c>
      <c r="H334" s="97" t="s">
        <v>4030</v>
      </c>
      <c r="I334" s="97" t="s">
        <v>4039</v>
      </c>
      <c r="J334" s="97" t="s">
        <v>4050</v>
      </c>
      <c r="K334" s="17" t="str">
        <f>IFERROR(INDEX(競技会設定!$J$3:$O$47,MATCH(J334,競技会設定!$M$3:$M$47,0),5),"")</f>
        <v>岐阜大</v>
      </c>
      <c r="L334" s="17" t="str">
        <f>IFERROR(INDEX(競技会設定!$J$3:$N$47,MATCH(K334,競技会設定!$N$3:$N$47,0),2),"")</f>
        <v>490041</v>
      </c>
      <c r="M334" s="97" t="s">
        <v>3855</v>
      </c>
      <c r="N334" s="17" t="str">
        <f t="shared" si="16"/>
        <v>AKAHANE, Yuya</v>
      </c>
      <c r="O334" s="17" t="str">
        <f t="shared" si="17"/>
        <v>97</v>
      </c>
    </row>
    <row r="335" spans="1:15">
      <c r="A335" s="17" t="str">
        <f t="shared" si="15"/>
        <v>501000334</v>
      </c>
      <c r="B335" s="97">
        <v>334</v>
      </c>
      <c r="C335" s="97" t="s">
        <v>884</v>
      </c>
      <c r="D335" s="97" t="s">
        <v>885</v>
      </c>
      <c r="E335" s="312" t="s">
        <v>2432</v>
      </c>
      <c r="F335" s="312" t="s">
        <v>2269</v>
      </c>
      <c r="G335" s="97" t="s">
        <v>3266</v>
      </c>
      <c r="H335" s="97" t="s">
        <v>4025</v>
      </c>
      <c r="I335" s="97" t="s">
        <v>4039</v>
      </c>
      <c r="J335" s="97" t="s">
        <v>4050</v>
      </c>
      <c r="K335" s="17" t="str">
        <f>IFERROR(INDEX(競技会設定!$J$3:$O$47,MATCH(J335,競技会設定!$M$3:$M$47,0),5),"")</f>
        <v>岐阜大</v>
      </c>
      <c r="L335" s="17" t="str">
        <f>IFERROR(INDEX(競技会設定!$J$3:$N$47,MATCH(K335,競技会設定!$N$3:$N$47,0),2),"")</f>
        <v>490041</v>
      </c>
      <c r="M335" s="97" t="s">
        <v>3855</v>
      </c>
      <c r="N335" s="17" t="str">
        <f t="shared" si="16"/>
        <v>UEDA, Yoshiki</v>
      </c>
      <c r="O335" s="17" t="str">
        <f t="shared" si="17"/>
        <v>99</v>
      </c>
    </row>
    <row r="336" spans="1:15">
      <c r="A336" s="17" t="str">
        <f t="shared" si="15"/>
        <v>501000335</v>
      </c>
      <c r="B336" s="97">
        <v>335</v>
      </c>
      <c r="C336" s="97" t="s">
        <v>886</v>
      </c>
      <c r="D336" s="97" t="s">
        <v>887</v>
      </c>
      <c r="E336" s="312" t="s">
        <v>2537</v>
      </c>
      <c r="F336" s="312" t="s">
        <v>2538</v>
      </c>
      <c r="G336" s="97" t="s">
        <v>3364</v>
      </c>
      <c r="H336" s="97" t="s">
        <v>4025</v>
      </c>
      <c r="I336" s="97" t="s">
        <v>4039</v>
      </c>
      <c r="J336" s="97" t="s">
        <v>4050</v>
      </c>
      <c r="K336" s="17" t="str">
        <f>IFERROR(INDEX(競技会設定!$J$3:$O$47,MATCH(J336,競技会設定!$M$3:$M$47,0),5),"")</f>
        <v>岐阜大</v>
      </c>
      <c r="L336" s="17" t="str">
        <f>IFERROR(INDEX(競技会設定!$J$3:$N$47,MATCH(K336,競技会設定!$N$3:$N$47,0),2),"")</f>
        <v>490041</v>
      </c>
      <c r="M336" s="97" t="s">
        <v>3855</v>
      </c>
      <c r="N336" s="17" t="str">
        <f t="shared" si="16"/>
        <v>TANIGAWARA, Ryunosuke</v>
      </c>
      <c r="O336" s="17" t="str">
        <f t="shared" si="17"/>
        <v>98</v>
      </c>
    </row>
    <row r="337" spans="1:15">
      <c r="A337" s="17" t="str">
        <f t="shared" si="15"/>
        <v>501000336</v>
      </c>
      <c r="B337" s="97">
        <v>336</v>
      </c>
      <c r="C337" s="97" t="s">
        <v>888</v>
      </c>
      <c r="D337" s="97" t="s">
        <v>889</v>
      </c>
      <c r="E337" s="312" t="s">
        <v>2539</v>
      </c>
      <c r="F337" s="312" t="s">
        <v>2540</v>
      </c>
      <c r="G337" s="97" t="s">
        <v>3365</v>
      </c>
      <c r="H337" s="97" t="s">
        <v>4025</v>
      </c>
      <c r="I337" s="97" t="s">
        <v>4039</v>
      </c>
      <c r="J337" s="97" t="s">
        <v>4050</v>
      </c>
      <c r="K337" s="17" t="str">
        <f>IFERROR(INDEX(競技会設定!$J$3:$O$47,MATCH(J337,競技会設定!$M$3:$M$47,0),5),"")</f>
        <v>岐阜大</v>
      </c>
      <c r="L337" s="17" t="str">
        <f>IFERROR(INDEX(競技会設定!$J$3:$N$47,MATCH(K337,競技会設定!$N$3:$N$47,0),2),"")</f>
        <v>490041</v>
      </c>
      <c r="M337" s="97" t="s">
        <v>3855</v>
      </c>
      <c r="N337" s="17" t="str">
        <f t="shared" si="16"/>
        <v>MATSUI, Toshiaki</v>
      </c>
      <c r="O337" s="17" t="str">
        <f t="shared" si="17"/>
        <v>99</v>
      </c>
    </row>
    <row r="338" spans="1:15">
      <c r="A338" s="17" t="str">
        <f t="shared" si="15"/>
        <v>501000337</v>
      </c>
      <c r="B338" s="97">
        <v>337</v>
      </c>
      <c r="C338" s="97" t="s">
        <v>890</v>
      </c>
      <c r="D338" s="97" t="s">
        <v>891</v>
      </c>
      <c r="E338" s="312" t="s">
        <v>2541</v>
      </c>
      <c r="F338" s="312" t="s">
        <v>2542</v>
      </c>
      <c r="G338" s="97" t="s">
        <v>3211</v>
      </c>
      <c r="H338" s="97" t="s">
        <v>4025</v>
      </c>
      <c r="I338" s="97" t="s">
        <v>4039</v>
      </c>
      <c r="J338" s="97" t="s">
        <v>4050</v>
      </c>
      <c r="K338" s="17" t="str">
        <f>IFERROR(INDEX(競技会設定!$J$3:$O$47,MATCH(J338,競技会設定!$M$3:$M$47,0),5),"")</f>
        <v>岐阜大</v>
      </c>
      <c r="L338" s="17" t="str">
        <f>IFERROR(INDEX(競技会設定!$J$3:$N$47,MATCH(K338,競技会設定!$N$3:$N$47,0),2),"")</f>
        <v>490041</v>
      </c>
      <c r="M338" s="97" t="s">
        <v>3855</v>
      </c>
      <c r="N338" s="17" t="str">
        <f t="shared" si="16"/>
        <v>OGAWA, Yoshinari</v>
      </c>
      <c r="O338" s="17" t="str">
        <f t="shared" si="17"/>
        <v>98</v>
      </c>
    </row>
    <row r="339" spans="1:15">
      <c r="A339" s="17" t="str">
        <f t="shared" si="15"/>
        <v>501000338</v>
      </c>
      <c r="B339" s="97">
        <v>338</v>
      </c>
      <c r="C339" s="97" t="s">
        <v>892</v>
      </c>
      <c r="D339" s="97" t="s">
        <v>893</v>
      </c>
      <c r="E339" s="312" t="s">
        <v>2543</v>
      </c>
      <c r="F339" s="312" t="s">
        <v>2544</v>
      </c>
      <c r="G339" s="97" t="s">
        <v>3366</v>
      </c>
      <c r="H339" s="97" t="s">
        <v>4025</v>
      </c>
      <c r="I339" s="97" t="s">
        <v>4039</v>
      </c>
      <c r="J339" s="97" t="s">
        <v>4050</v>
      </c>
      <c r="K339" s="17" t="str">
        <f>IFERROR(INDEX(競技会設定!$J$3:$O$47,MATCH(J339,競技会設定!$M$3:$M$47,0),5),"")</f>
        <v>岐阜大</v>
      </c>
      <c r="L339" s="17" t="str">
        <f>IFERROR(INDEX(競技会設定!$J$3:$N$47,MATCH(K339,競技会設定!$N$3:$N$47,0),2),"")</f>
        <v>490041</v>
      </c>
      <c r="M339" s="97" t="s">
        <v>3899</v>
      </c>
      <c r="N339" s="17" t="str">
        <f t="shared" si="16"/>
        <v>FUKAMATSU, Yoshinori</v>
      </c>
      <c r="O339" s="17" t="str">
        <f t="shared" si="17"/>
        <v>98</v>
      </c>
    </row>
    <row r="340" spans="1:15">
      <c r="A340" s="17" t="str">
        <f t="shared" si="15"/>
        <v>501000339</v>
      </c>
      <c r="B340" s="97">
        <v>339</v>
      </c>
      <c r="C340" s="97" t="s">
        <v>894</v>
      </c>
      <c r="D340" s="97" t="s">
        <v>895</v>
      </c>
      <c r="E340" s="312" t="s">
        <v>2545</v>
      </c>
      <c r="F340" s="312" t="s">
        <v>2182</v>
      </c>
      <c r="G340" s="97" t="s">
        <v>3367</v>
      </c>
      <c r="H340" s="97" t="s">
        <v>4025</v>
      </c>
      <c r="I340" s="97" t="s">
        <v>4039</v>
      </c>
      <c r="J340" s="97" t="s">
        <v>4050</v>
      </c>
      <c r="K340" s="17" t="str">
        <f>IFERROR(INDEX(競技会設定!$J$3:$O$47,MATCH(J340,競技会設定!$M$3:$M$47,0),5),"")</f>
        <v>岐阜大</v>
      </c>
      <c r="L340" s="17" t="str">
        <f>IFERROR(INDEX(競技会設定!$J$3:$N$47,MATCH(K340,競技会設定!$N$3:$N$47,0),2),"")</f>
        <v>490041</v>
      </c>
      <c r="M340" s="97" t="s">
        <v>3855</v>
      </c>
      <c r="N340" s="17" t="str">
        <f t="shared" si="16"/>
        <v>WADA, Yuya</v>
      </c>
      <c r="O340" s="17" t="str">
        <f t="shared" si="17"/>
        <v>98</v>
      </c>
    </row>
    <row r="341" spans="1:15">
      <c r="A341" s="17" t="str">
        <f t="shared" si="15"/>
        <v>501000340</v>
      </c>
      <c r="B341" s="97">
        <v>340</v>
      </c>
      <c r="C341" s="97" t="s">
        <v>896</v>
      </c>
      <c r="D341" s="97" t="s">
        <v>897</v>
      </c>
      <c r="E341" s="312" t="s">
        <v>2546</v>
      </c>
      <c r="F341" s="312" t="s">
        <v>2547</v>
      </c>
      <c r="G341" s="97" t="s">
        <v>3104</v>
      </c>
      <c r="H341" s="97" t="s">
        <v>4024</v>
      </c>
      <c r="I341" s="97" t="s">
        <v>4039</v>
      </c>
      <c r="J341" s="97" t="s">
        <v>4050</v>
      </c>
      <c r="K341" s="17" t="str">
        <f>IFERROR(INDEX(競技会設定!$J$3:$O$47,MATCH(J341,競技会設定!$M$3:$M$47,0),5),"")</f>
        <v>岐阜大</v>
      </c>
      <c r="L341" s="17" t="str">
        <f>IFERROR(INDEX(競技会設定!$J$3:$N$47,MATCH(K341,競技会設定!$N$3:$N$47,0),2),"")</f>
        <v>490041</v>
      </c>
      <c r="M341" s="97" t="s">
        <v>3855</v>
      </c>
      <c r="N341" s="17" t="str">
        <f t="shared" si="16"/>
        <v>ISHIHAMA, Toru</v>
      </c>
      <c r="O341" s="17" t="str">
        <f t="shared" si="17"/>
        <v>99</v>
      </c>
    </row>
    <row r="342" spans="1:15">
      <c r="A342" s="17" t="str">
        <f t="shared" si="15"/>
        <v>501000341</v>
      </c>
      <c r="B342" s="97">
        <v>341</v>
      </c>
      <c r="C342" s="97" t="s">
        <v>898</v>
      </c>
      <c r="D342" s="97" t="s">
        <v>899</v>
      </c>
      <c r="E342" s="312" t="s">
        <v>2412</v>
      </c>
      <c r="F342" s="312" t="s">
        <v>2403</v>
      </c>
      <c r="G342" s="97" t="s">
        <v>3368</v>
      </c>
      <c r="H342" s="97" t="s">
        <v>4024</v>
      </c>
      <c r="I342" s="97" t="s">
        <v>4039</v>
      </c>
      <c r="J342" s="97" t="s">
        <v>4050</v>
      </c>
      <c r="K342" s="17" t="str">
        <f>IFERROR(INDEX(競技会設定!$J$3:$O$47,MATCH(J342,競技会設定!$M$3:$M$47,0),5),"")</f>
        <v>岐阜大</v>
      </c>
      <c r="L342" s="17" t="str">
        <f>IFERROR(INDEX(競技会設定!$J$3:$N$47,MATCH(K342,競技会設定!$N$3:$N$47,0),2),"")</f>
        <v>490041</v>
      </c>
      <c r="M342" s="97" t="s">
        <v>3855</v>
      </c>
      <c r="N342" s="17" t="str">
        <f t="shared" si="16"/>
        <v>TANAHASHI, Daisuke</v>
      </c>
      <c r="O342" s="17" t="str">
        <f t="shared" si="17"/>
        <v>99</v>
      </c>
    </row>
    <row r="343" spans="1:15">
      <c r="A343" s="17" t="str">
        <f t="shared" si="15"/>
        <v>501000342</v>
      </c>
      <c r="B343" s="97">
        <v>342</v>
      </c>
      <c r="C343" s="97" t="s">
        <v>900</v>
      </c>
      <c r="D343" s="97" t="s">
        <v>901</v>
      </c>
      <c r="E343" s="312" t="s">
        <v>2548</v>
      </c>
      <c r="F343" s="312" t="s">
        <v>2247</v>
      </c>
      <c r="G343" s="97" t="s">
        <v>3369</v>
      </c>
      <c r="H343" s="97" t="s">
        <v>4024</v>
      </c>
      <c r="I343" s="97" t="s">
        <v>4039</v>
      </c>
      <c r="J343" s="97" t="s">
        <v>4050</v>
      </c>
      <c r="K343" s="17" t="str">
        <f>IFERROR(INDEX(競技会設定!$J$3:$O$47,MATCH(J343,競技会設定!$M$3:$M$47,0),5),"")</f>
        <v>岐阜大</v>
      </c>
      <c r="L343" s="17" t="str">
        <f>IFERROR(INDEX(競技会設定!$J$3:$N$47,MATCH(K343,競技会設定!$N$3:$N$47,0),2),"")</f>
        <v>490041</v>
      </c>
      <c r="M343" s="97" t="s">
        <v>3855</v>
      </c>
      <c r="N343" s="17" t="str">
        <f t="shared" si="16"/>
        <v>OSAMURA, Keigo</v>
      </c>
      <c r="O343" s="17" t="str">
        <f t="shared" si="17"/>
        <v>99</v>
      </c>
    </row>
    <row r="344" spans="1:15">
      <c r="A344" s="17" t="str">
        <f t="shared" si="15"/>
        <v>501000343</v>
      </c>
      <c r="B344" s="97">
        <v>343</v>
      </c>
      <c r="C344" s="97" t="s">
        <v>902</v>
      </c>
      <c r="D344" s="97" t="s">
        <v>903</v>
      </c>
      <c r="E344" s="312" t="s">
        <v>2549</v>
      </c>
      <c r="F344" s="312" t="s">
        <v>2331</v>
      </c>
      <c r="G344" s="97" t="s">
        <v>3370</v>
      </c>
      <c r="H344" s="97" t="s">
        <v>4024</v>
      </c>
      <c r="I344" s="97" t="s">
        <v>4039</v>
      </c>
      <c r="J344" s="97" t="s">
        <v>4050</v>
      </c>
      <c r="K344" s="17" t="str">
        <f>IFERROR(INDEX(競技会設定!$J$3:$O$47,MATCH(J344,競技会設定!$M$3:$M$47,0),5),"")</f>
        <v>岐阜大</v>
      </c>
      <c r="L344" s="17" t="str">
        <f>IFERROR(INDEX(競技会設定!$J$3:$N$47,MATCH(K344,競技会設定!$N$3:$N$47,0),2),"")</f>
        <v>490041</v>
      </c>
      <c r="M344" s="97" t="s">
        <v>3855</v>
      </c>
      <c r="N344" s="17" t="str">
        <f t="shared" si="16"/>
        <v>OMURA, Shin</v>
      </c>
      <c r="O344" s="17" t="str">
        <f t="shared" si="17"/>
        <v>99</v>
      </c>
    </row>
    <row r="345" spans="1:15">
      <c r="A345" s="17" t="str">
        <f t="shared" si="15"/>
        <v>501000344</v>
      </c>
      <c r="B345" s="97">
        <v>344</v>
      </c>
      <c r="C345" s="97" t="s">
        <v>904</v>
      </c>
      <c r="D345" s="97" t="s">
        <v>905</v>
      </c>
      <c r="E345" s="312" t="s">
        <v>2550</v>
      </c>
      <c r="F345" s="312" t="s">
        <v>2551</v>
      </c>
      <c r="G345" s="97" t="s">
        <v>3371</v>
      </c>
      <c r="H345" s="97" t="s">
        <v>4024</v>
      </c>
      <c r="I345" s="97" t="s">
        <v>4039</v>
      </c>
      <c r="J345" s="97" t="s">
        <v>4050</v>
      </c>
      <c r="K345" s="17" t="str">
        <f>IFERROR(INDEX(競技会設定!$J$3:$O$47,MATCH(J345,競技会設定!$M$3:$M$47,0),5),"")</f>
        <v>岐阜大</v>
      </c>
      <c r="L345" s="17" t="str">
        <f>IFERROR(INDEX(競技会設定!$J$3:$N$47,MATCH(K345,競技会設定!$N$3:$N$47,0),2),"")</f>
        <v>490041</v>
      </c>
      <c r="M345" s="97" t="s">
        <v>3855</v>
      </c>
      <c r="N345" s="17" t="str">
        <f t="shared" si="16"/>
        <v>KAGEYAMA, Yu</v>
      </c>
      <c r="O345" s="17" t="str">
        <f t="shared" si="17"/>
        <v>99</v>
      </c>
    </row>
    <row r="346" spans="1:15">
      <c r="A346" s="17" t="str">
        <f t="shared" si="15"/>
        <v>501000345</v>
      </c>
      <c r="B346" s="97">
        <v>345</v>
      </c>
      <c r="C346" s="97" t="s">
        <v>906</v>
      </c>
      <c r="D346" s="97" t="s">
        <v>907</v>
      </c>
      <c r="E346" s="312" t="s">
        <v>2176</v>
      </c>
      <c r="F346" s="312" t="s">
        <v>2486</v>
      </c>
      <c r="G346" s="97" t="s">
        <v>3114</v>
      </c>
      <c r="H346" s="97" t="s">
        <v>4024</v>
      </c>
      <c r="I346" s="97" t="s">
        <v>4039</v>
      </c>
      <c r="J346" s="97" t="s">
        <v>4050</v>
      </c>
      <c r="K346" s="17" t="str">
        <f>IFERROR(INDEX(競技会設定!$J$3:$O$47,MATCH(J346,競技会設定!$M$3:$M$47,0),5),"")</f>
        <v>岐阜大</v>
      </c>
      <c r="L346" s="17" t="str">
        <f>IFERROR(INDEX(競技会設定!$J$3:$N$47,MATCH(K346,競技会設定!$N$3:$N$47,0),2),"")</f>
        <v>490041</v>
      </c>
      <c r="M346" s="97" t="s">
        <v>3859</v>
      </c>
      <c r="N346" s="17" t="str">
        <f t="shared" si="16"/>
        <v>NAKAMURA, Shunsuke</v>
      </c>
      <c r="O346" s="17" t="str">
        <f t="shared" si="17"/>
        <v>00</v>
      </c>
    </row>
    <row r="347" spans="1:15">
      <c r="A347" s="17" t="str">
        <f t="shared" si="15"/>
        <v>501000346</v>
      </c>
      <c r="B347" s="97">
        <v>346</v>
      </c>
      <c r="C347" s="97" t="s">
        <v>908</v>
      </c>
      <c r="D347" s="97" t="s">
        <v>909</v>
      </c>
      <c r="E347" s="312" t="s">
        <v>2552</v>
      </c>
      <c r="F347" s="312" t="s">
        <v>2081</v>
      </c>
      <c r="G347" s="97" t="s">
        <v>3372</v>
      </c>
      <c r="H347" s="97" t="s">
        <v>4026</v>
      </c>
      <c r="I347" s="97" t="s">
        <v>4039</v>
      </c>
      <c r="J347" s="97" t="s">
        <v>4050</v>
      </c>
      <c r="K347" s="17" t="str">
        <f>IFERROR(INDEX(競技会設定!$J$3:$O$47,MATCH(J347,競技会設定!$M$3:$M$47,0),5),"")</f>
        <v>岐阜大</v>
      </c>
      <c r="L347" s="17" t="str">
        <f>IFERROR(INDEX(競技会設定!$J$3:$N$47,MATCH(K347,競技会設定!$N$3:$N$47,0),2),"")</f>
        <v>490041</v>
      </c>
      <c r="M347" s="97" t="s">
        <v>3845</v>
      </c>
      <c r="N347" s="17" t="str">
        <f t="shared" si="16"/>
        <v>UENO, Tomoki</v>
      </c>
      <c r="O347" s="17" t="str">
        <f t="shared" si="17"/>
        <v>00</v>
      </c>
    </row>
    <row r="348" spans="1:15">
      <c r="A348" s="17" t="str">
        <f t="shared" si="15"/>
        <v>501000347</v>
      </c>
      <c r="B348" s="97">
        <v>347</v>
      </c>
      <c r="C348" s="97" t="s">
        <v>910</v>
      </c>
      <c r="D348" s="97" t="s">
        <v>911</v>
      </c>
      <c r="E348" s="312" t="s">
        <v>2233</v>
      </c>
      <c r="F348" s="312" t="s">
        <v>2553</v>
      </c>
      <c r="G348" s="97" t="s">
        <v>3373</v>
      </c>
      <c r="H348" s="97" t="s">
        <v>4026</v>
      </c>
      <c r="I348" s="97" t="s">
        <v>4039</v>
      </c>
      <c r="J348" s="97" t="s">
        <v>4050</v>
      </c>
      <c r="K348" s="17" t="str">
        <f>IFERROR(INDEX(競技会設定!$J$3:$O$47,MATCH(J348,競技会設定!$M$3:$M$47,0),5),"")</f>
        <v>岐阜大</v>
      </c>
      <c r="L348" s="17" t="str">
        <f>IFERROR(INDEX(競技会設定!$J$3:$N$47,MATCH(K348,競技会設定!$N$3:$N$47,0),2),"")</f>
        <v>490041</v>
      </c>
      <c r="M348" s="97" t="s">
        <v>3855</v>
      </c>
      <c r="N348" s="17" t="str">
        <f t="shared" si="16"/>
        <v>SUZUKI, Kensho</v>
      </c>
      <c r="O348" s="17" t="str">
        <f t="shared" si="17"/>
        <v>00</v>
      </c>
    </row>
    <row r="349" spans="1:15">
      <c r="A349" s="17" t="str">
        <f t="shared" si="15"/>
        <v>501000348</v>
      </c>
      <c r="B349" s="97">
        <v>348</v>
      </c>
      <c r="C349" s="97" t="s">
        <v>912</v>
      </c>
      <c r="D349" s="97" t="s">
        <v>913</v>
      </c>
      <c r="E349" s="312" t="s">
        <v>2360</v>
      </c>
      <c r="F349" s="312" t="s">
        <v>2141</v>
      </c>
      <c r="G349" s="97" t="s">
        <v>3374</v>
      </c>
      <c r="H349" s="97" t="s">
        <v>4026</v>
      </c>
      <c r="I349" s="97" t="s">
        <v>4039</v>
      </c>
      <c r="J349" s="97" t="s">
        <v>4050</v>
      </c>
      <c r="K349" s="17" t="str">
        <f>IFERROR(INDEX(競技会設定!$J$3:$O$47,MATCH(J349,競技会設定!$M$3:$M$47,0),5),"")</f>
        <v>岐阜大</v>
      </c>
      <c r="L349" s="17" t="str">
        <f>IFERROR(INDEX(競技会設定!$J$3:$N$47,MATCH(K349,競技会設定!$N$3:$N$47,0),2),"")</f>
        <v>490041</v>
      </c>
      <c r="M349" s="97" t="s">
        <v>3855</v>
      </c>
      <c r="N349" s="17" t="str">
        <f t="shared" si="16"/>
        <v>WATANABE, Tomoya</v>
      </c>
      <c r="O349" s="17" t="str">
        <f t="shared" si="17"/>
        <v>00</v>
      </c>
    </row>
    <row r="350" spans="1:15">
      <c r="A350" s="17" t="str">
        <f t="shared" si="15"/>
        <v>501000349</v>
      </c>
      <c r="B350" s="97">
        <v>349</v>
      </c>
      <c r="C350" s="97" t="s">
        <v>914</v>
      </c>
      <c r="D350" s="97" t="s">
        <v>915</v>
      </c>
      <c r="E350" s="312" t="s">
        <v>2360</v>
      </c>
      <c r="F350" s="312" t="s">
        <v>2422</v>
      </c>
      <c r="G350" s="97" t="s">
        <v>3375</v>
      </c>
      <c r="H350" s="97" t="s">
        <v>4031</v>
      </c>
      <c r="I350" s="97" t="s">
        <v>4039</v>
      </c>
      <c r="J350" s="97" t="s">
        <v>4050</v>
      </c>
      <c r="K350" s="17" t="str">
        <f>IFERROR(INDEX(競技会設定!$J$3:$O$47,MATCH(J350,競技会設定!$M$3:$M$47,0),5),"")</f>
        <v>岐阜大</v>
      </c>
      <c r="L350" s="17" t="str">
        <f>IFERROR(INDEX(競技会設定!$J$3:$N$47,MATCH(K350,競技会設定!$N$3:$N$47,0),2),"")</f>
        <v>490041</v>
      </c>
      <c r="M350" s="97" t="s">
        <v>3855</v>
      </c>
      <c r="N350" s="17" t="str">
        <f t="shared" si="16"/>
        <v>WATANABE, Ayumu</v>
      </c>
      <c r="O350" s="17" t="str">
        <f t="shared" si="17"/>
        <v>97</v>
      </c>
    </row>
    <row r="351" spans="1:15">
      <c r="A351" s="17" t="str">
        <f t="shared" si="15"/>
        <v>501000350</v>
      </c>
      <c r="B351" s="97">
        <v>350</v>
      </c>
      <c r="C351" s="97" t="s">
        <v>916</v>
      </c>
      <c r="D351" s="97" t="s">
        <v>917</v>
      </c>
      <c r="E351" s="312" t="s">
        <v>2554</v>
      </c>
      <c r="F351" s="312" t="s">
        <v>2555</v>
      </c>
      <c r="G351" s="97" t="s">
        <v>3098</v>
      </c>
      <c r="H351" s="97" t="s">
        <v>4025</v>
      </c>
      <c r="I351" s="97" t="s">
        <v>4039</v>
      </c>
      <c r="J351" s="97" t="s">
        <v>4050</v>
      </c>
      <c r="K351" s="17" t="str">
        <f>IFERROR(INDEX(競技会設定!$J$3:$O$47,MATCH(J351,競技会設定!$M$3:$M$47,0),5),"")</f>
        <v>岐阜大</v>
      </c>
      <c r="L351" s="17" t="str">
        <f>IFERROR(INDEX(競技会設定!$J$3:$N$47,MATCH(K351,競技会設定!$N$3:$N$47,0),2),"")</f>
        <v>490041</v>
      </c>
      <c r="M351" s="97" t="s">
        <v>3859</v>
      </c>
      <c r="N351" s="17" t="str">
        <f t="shared" si="16"/>
        <v>IZUHARA, Kebin</v>
      </c>
      <c r="O351" s="17" t="str">
        <f t="shared" si="17"/>
        <v>98</v>
      </c>
    </row>
    <row r="352" spans="1:15">
      <c r="A352" s="17" t="str">
        <f t="shared" si="15"/>
        <v>501000351</v>
      </c>
      <c r="B352" s="97">
        <v>351</v>
      </c>
      <c r="C352" s="97" t="s">
        <v>918</v>
      </c>
      <c r="D352" s="97" t="s">
        <v>919</v>
      </c>
      <c r="E352" s="312" t="s">
        <v>2436</v>
      </c>
      <c r="F352" s="312" t="s">
        <v>2116</v>
      </c>
      <c r="G352" s="97" t="s">
        <v>3376</v>
      </c>
      <c r="H352" s="97" t="s">
        <v>4025</v>
      </c>
      <c r="I352" s="97" t="s">
        <v>4039</v>
      </c>
      <c r="J352" s="97" t="s">
        <v>4050</v>
      </c>
      <c r="K352" s="17" t="str">
        <f>IFERROR(INDEX(競技会設定!$J$3:$O$47,MATCH(J352,競技会設定!$M$3:$M$47,0),5),"")</f>
        <v>岐阜大</v>
      </c>
      <c r="L352" s="17" t="str">
        <f>IFERROR(INDEX(競技会設定!$J$3:$N$47,MATCH(K352,競技会設定!$N$3:$N$47,0),2),"")</f>
        <v>490041</v>
      </c>
      <c r="M352" s="97" t="s">
        <v>3855</v>
      </c>
      <c r="N352" s="17" t="str">
        <f t="shared" si="16"/>
        <v>OKAZAKI, Hiroki</v>
      </c>
      <c r="O352" s="17" t="str">
        <f t="shared" si="17"/>
        <v>98</v>
      </c>
    </row>
    <row r="353" spans="1:15">
      <c r="A353" s="17" t="str">
        <f t="shared" si="15"/>
        <v>501000352</v>
      </c>
      <c r="B353" s="97">
        <v>352</v>
      </c>
      <c r="C353" s="97" t="s">
        <v>920</v>
      </c>
      <c r="D353" s="97" t="s">
        <v>921</v>
      </c>
      <c r="E353" s="312" t="s">
        <v>2556</v>
      </c>
      <c r="F353" s="312" t="s">
        <v>2456</v>
      </c>
      <c r="G353" s="97" t="s">
        <v>3377</v>
      </c>
      <c r="H353" s="97" t="s">
        <v>4025</v>
      </c>
      <c r="I353" s="97" t="s">
        <v>4039</v>
      </c>
      <c r="J353" s="97" t="s">
        <v>4050</v>
      </c>
      <c r="K353" s="17" t="str">
        <f>IFERROR(INDEX(競技会設定!$J$3:$O$47,MATCH(J353,競技会設定!$M$3:$M$47,0),5),"")</f>
        <v>岐阜大</v>
      </c>
      <c r="L353" s="17" t="str">
        <f>IFERROR(INDEX(競技会設定!$J$3:$N$47,MATCH(K353,競技会設定!$N$3:$N$47,0),2),"")</f>
        <v>490041</v>
      </c>
      <c r="M353" s="97" t="s">
        <v>3855</v>
      </c>
      <c r="N353" s="17" t="str">
        <f t="shared" si="16"/>
        <v>OKANO, Takamasa</v>
      </c>
      <c r="O353" s="17" t="str">
        <f t="shared" si="17"/>
        <v>98</v>
      </c>
    </row>
    <row r="354" spans="1:15">
      <c r="A354" s="17" t="str">
        <f t="shared" si="15"/>
        <v>501000353</v>
      </c>
      <c r="B354" s="97">
        <v>353</v>
      </c>
      <c r="C354" s="97" t="s">
        <v>922</v>
      </c>
      <c r="D354" s="97" t="s">
        <v>923</v>
      </c>
      <c r="E354" s="312" t="s">
        <v>2557</v>
      </c>
      <c r="F354" s="312" t="s">
        <v>2170</v>
      </c>
      <c r="G354" s="97" t="s">
        <v>3378</v>
      </c>
      <c r="H354" s="97" t="s">
        <v>4025</v>
      </c>
      <c r="I354" s="97" t="s">
        <v>4039</v>
      </c>
      <c r="J354" s="97" t="s">
        <v>4050</v>
      </c>
      <c r="K354" s="17" t="str">
        <f>IFERROR(INDEX(競技会設定!$J$3:$O$47,MATCH(J354,競技会設定!$M$3:$M$47,0),5),"")</f>
        <v>岐阜大</v>
      </c>
      <c r="L354" s="17" t="str">
        <f>IFERROR(INDEX(競技会設定!$J$3:$N$47,MATCH(K354,競技会設定!$N$3:$N$47,0),2),"")</f>
        <v>490041</v>
      </c>
      <c r="M354" s="97" t="s">
        <v>3855</v>
      </c>
      <c r="N354" s="17" t="str">
        <f t="shared" si="16"/>
        <v>KASAHARA, Daiki</v>
      </c>
      <c r="O354" s="17" t="str">
        <f t="shared" si="17"/>
        <v>97</v>
      </c>
    </row>
    <row r="355" spans="1:15">
      <c r="A355" s="17" t="str">
        <f t="shared" si="15"/>
        <v>501000354</v>
      </c>
      <c r="B355" s="97">
        <v>354</v>
      </c>
      <c r="C355" s="97" t="s">
        <v>924</v>
      </c>
      <c r="D355" s="97" t="s">
        <v>925</v>
      </c>
      <c r="E355" s="312" t="s">
        <v>2558</v>
      </c>
      <c r="F355" s="312" t="s">
        <v>2559</v>
      </c>
      <c r="G355" s="97" t="s">
        <v>3379</v>
      </c>
      <c r="H355" s="97" t="s">
        <v>4025</v>
      </c>
      <c r="I355" s="97" t="s">
        <v>4039</v>
      </c>
      <c r="J355" s="97" t="s">
        <v>4050</v>
      </c>
      <c r="K355" s="17" t="str">
        <f>IFERROR(INDEX(競技会設定!$J$3:$O$47,MATCH(J355,競技会設定!$M$3:$M$47,0),5),"")</f>
        <v>岐阜大</v>
      </c>
      <c r="L355" s="17" t="str">
        <f>IFERROR(INDEX(競技会設定!$J$3:$N$47,MATCH(K355,競技会設定!$N$3:$N$47,0),2),"")</f>
        <v>490041</v>
      </c>
      <c r="M355" s="97" t="s">
        <v>3855</v>
      </c>
      <c r="N355" s="17" t="str">
        <f t="shared" si="16"/>
        <v>KUDOMI, Masahiro</v>
      </c>
      <c r="O355" s="17" t="str">
        <f t="shared" si="17"/>
        <v>98</v>
      </c>
    </row>
    <row r="356" spans="1:15">
      <c r="A356" s="17" t="str">
        <f t="shared" si="15"/>
        <v>501000355</v>
      </c>
      <c r="B356" s="97">
        <v>355</v>
      </c>
      <c r="C356" s="97" t="s">
        <v>926</v>
      </c>
      <c r="D356" s="97" t="s">
        <v>927</v>
      </c>
      <c r="E356" s="312" t="s">
        <v>2560</v>
      </c>
      <c r="F356" s="312" t="s">
        <v>2526</v>
      </c>
      <c r="G356" s="97" t="s">
        <v>3380</v>
      </c>
      <c r="H356" s="97" t="s">
        <v>4025</v>
      </c>
      <c r="I356" s="97" t="s">
        <v>4039</v>
      </c>
      <c r="J356" s="97" t="s">
        <v>4050</v>
      </c>
      <c r="K356" s="17" t="str">
        <f>IFERROR(INDEX(競技会設定!$J$3:$O$47,MATCH(J356,競技会設定!$M$3:$M$47,0),5),"")</f>
        <v>岐阜大</v>
      </c>
      <c r="L356" s="17" t="str">
        <f>IFERROR(INDEX(競技会設定!$J$3:$N$47,MATCH(K356,競技会設定!$N$3:$N$47,0),2),"")</f>
        <v>490041</v>
      </c>
      <c r="M356" s="97" t="s">
        <v>3855</v>
      </c>
      <c r="N356" s="17" t="str">
        <f t="shared" si="16"/>
        <v>SOMIYA, Taiki</v>
      </c>
      <c r="O356" s="17" t="str">
        <f t="shared" si="17"/>
        <v>98</v>
      </c>
    </row>
    <row r="357" spans="1:15">
      <c r="A357" s="17" t="str">
        <f t="shared" si="15"/>
        <v>501000356</v>
      </c>
      <c r="B357" s="97">
        <v>356</v>
      </c>
      <c r="C357" s="97" t="s">
        <v>928</v>
      </c>
      <c r="D357" s="97" t="s">
        <v>929</v>
      </c>
      <c r="E357" s="312" t="s">
        <v>2561</v>
      </c>
      <c r="F357" s="312" t="s">
        <v>2562</v>
      </c>
      <c r="G357" s="97" t="s">
        <v>3381</v>
      </c>
      <c r="H357" s="97" t="s">
        <v>4024</v>
      </c>
      <c r="I357" s="97" t="s">
        <v>4039</v>
      </c>
      <c r="J357" s="97" t="s">
        <v>4050</v>
      </c>
      <c r="K357" s="17" t="str">
        <f>IFERROR(INDEX(競技会設定!$J$3:$O$47,MATCH(J357,競技会設定!$M$3:$M$47,0),5),"")</f>
        <v>岐阜大</v>
      </c>
      <c r="L357" s="17" t="str">
        <f>IFERROR(INDEX(競技会設定!$J$3:$N$47,MATCH(K357,競技会設定!$N$3:$N$47,0),2),"")</f>
        <v>490041</v>
      </c>
      <c r="M357" s="97" t="s">
        <v>3855</v>
      </c>
      <c r="N357" s="17" t="str">
        <f t="shared" si="16"/>
        <v>ISHIBASHI, Arata</v>
      </c>
      <c r="O357" s="17" t="str">
        <f t="shared" si="17"/>
        <v>98</v>
      </c>
    </row>
    <row r="358" spans="1:15">
      <c r="A358" s="17" t="str">
        <f t="shared" si="15"/>
        <v>501000357</v>
      </c>
      <c r="B358" s="97">
        <v>357</v>
      </c>
      <c r="C358" s="97" t="s">
        <v>930</v>
      </c>
      <c r="D358" s="97" t="s">
        <v>931</v>
      </c>
      <c r="E358" s="312" t="s">
        <v>2080</v>
      </c>
      <c r="F358" s="312" t="s">
        <v>2563</v>
      </c>
      <c r="G358" s="97" t="s">
        <v>3382</v>
      </c>
      <c r="H358" s="97" t="s">
        <v>4024</v>
      </c>
      <c r="I358" s="97" t="s">
        <v>4039</v>
      </c>
      <c r="J358" s="97" t="s">
        <v>4050</v>
      </c>
      <c r="K358" s="17" t="str">
        <f>IFERROR(INDEX(競技会設定!$J$3:$O$47,MATCH(J358,競技会設定!$M$3:$M$47,0),5),"")</f>
        <v>岐阜大</v>
      </c>
      <c r="L358" s="17" t="str">
        <f>IFERROR(INDEX(競技会設定!$J$3:$N$47,MATCH(K358,競技会設定!$N$3:$N$47,0),2),"")</f>
        <v>490041</v>
      </c>
      <c r="M358" s="97" t="s">
        <v>3855</v>
      </c>
      <c r="N358" s="17" t="str">
        <f t="shared" si="16"/>
        <v>UNO, Masato</v>
      </c>
      <c r="O358" s="17" t="str">
        <f t="shared" si="17"/>
        <v>98</v>
      </c>
    </row>
    <row r="359" spans="1:15">
      <c r="A359" s="17" t="str">
        <f t="shared" si="15"/>
        <v>501000358</v>
      </c>
      <c r="B359" s="97">
        <v>358</v>
      </c>
      <c r="C359" s="97" t="s">
        <v>932</v>
      </c>
      <c r="D359" s="97" t="s">
        <v>933</v>
      </c>
      <c r="E359" s="312" t="s">
        <v>2564</v>
      </c>
      <c r="F359" s="312" t="s">
        <v>2565</v>
      </c>
      <c r="G359" s="97" t="s">
        <v>3383</v>
      </c>
      <c r="H359" s="97" t="s">
        <v>4024</v>
      </c>
      <c r="I359" s="97" t="s">
        <v>4039</v>
      </c>
      <c r="J359" s="97" t="s">
        <v>4050</v>
      </c>
      <c r="K359" s="17" t="str">
        <f>IFERROR(INDEX(競技会設定!$J$3:$O$47,MATCH(J359,競技会設定!$M$3:$M$47,0),5),"")</f>
        <v>岐阜大</v>
      </c>
      <c r="L359" s="17" t="str">
        <f>IFERROR(INDEX(競技会設定!$J$3:$N$47,MATCH(K359,競技会設定!$N$3:$N$47,0),2),"")</f>
        <v>490041</v>
      </c>
      <c r="M359" s="97" t="s">
        <v>3855</v>
      </c>
      <c r="N359" s="17" t="str">
        <f t="shared" si="16"/>
        <v>TACHIKAWA, Nao</v>
      </c>
      <c r="O359" s="17" t="str">
        <f t="shared" si="17"/>
        <v>98</v>
      </c>
    </row>
    <row r="360" spans="1:15">
      <c r="A360" s="17" t="str">
        <f t="shared" si="15"/>
        <v>501000359</v>
      </c>
      <c r="B360" s="97">
        <v>359</v>
      </c>
      <c r="C360" s="97" t="s">
        <v>934</v>
      </c>
      <c r="D360" s="97" t="s">
        <v>935</v>
      </c>
      <c r="E360" s="312" t="s">
        <v>2566</v>
      </c>
      <c r="F360" s="312" t="s">
        <v>2279</v>
      </c>
      <c r="G360" s="97" t="s">
        <v>3384</v>
      </c>
      <c r="H360" s="97" t="s">
        <v>4030</v>
      </c>
      <c r="I360" s="97" t="s">
        <v>4039</v>
      </c>
      <c r="J360" s="97" t="s">
        <v>4050</v>
      </c>
      <c r="K360" s="17" t="str">
        <f>IFERROR(INDEX(競技会設定!$J$3:$O$47,MATCH(J360,競技会設定!$M$3:$M$47,0),5),"")</f>
        <v>岐阜大</v>
      </c>
      <c r="L360" s="17" t="str">
        <f>IFERROR(INDEX(競技会設定!$J$3:$N$47,MATCH(K360,競技会設定!$N$3:$N$47,0),2),"")</f>
        <v>490041</v>
      </c>
      <c r="M360" s="97" t="s">
        <v>3855</v>
      </c>
      <c r="N360" s="17" t="str">
        <f t="shared" si="16"/>
        <v>SAITO, Kenichi</v>
      </c>
      <c r="O360" s="17" t="str">
        <f t="shared" si="17"/>
        <v>97</v>
      </c>
    </row>
    <row r="361" spans="1:15">
      <c r="A361" s="17" t="str">
        <f t="shared" si="15"/>
        <v>501000360</v>
      </c>
      <c r="B361" s="97">
        <v>360</v>
      </c>
      <c r="C361" s="97" t="s">
        <v>936</v>
      </c>
      <c r="D361" s="97" t="s">
        <v>937</v>
      </c>
      <c r="E361" s="312" t="s">
        <v>2567</v>
      </c>
      <c r="F361" s="312" t="s">
        <v>2286</v>
      </c>
      <c r="G361" s="97" t="s">
        <v>3385</v>
      </c>
      <c r="H361" s="97" t="s">
        <v>4024</v>
      </c>
      <c r="I361" s="97" t="s">
        <v>4039</v>
      </c>
      <c r="J361" s="97" t="s">
        <v>4050</v>
      </c>
      <c r="K361" s="17" t="str">
        <f>IFERROR(INDEX(競技会設定!$J$3:$O$47,MATCH(J361,競技会設定!$M$3:$M$47,0),5),"")</f>
        <v>岐阜大</v>
      </c>
      <c r="L361" s="17" t="str">
        <f>IFERROR(INDEX(競技会設定!$J$3:$N$47,MATCH(K361,競技会設定!$N$3:$N$47,0),2),"")</f>
        <v>490041</v>
      </c>
      <c r="M361" s="97" t="s">
        <v>3855</v>
      </c>
      <c r="N361" s="17" t="str">
        <f t="shared" si="16"/>
        <v>TAJIMI, Naoki</v>
      </c>
      <c r="O361" s="17" t="str">
        <f t="shared" si="17"/>
        <v>00</v>
      </c>
    </row>
    <row r="362" spans="1:15">
      <c r="A362" s="17" t="str">
        <f t="shared" si="15"/>
        <v>501000361</v>
      </c>
      <c r="B362" s="97">
        <v>361</v>
      </c>
      <c r="C362" s="97" t="s">
        <v>938</v>
      </c>
      <c r="D362" s="97" t="s">
        <v>939</v>
      </c>
      <c r="E362" s="312" t="s">
        <v>2568</v>
      </c>
      <c r="F362" s="312" t="s">
        <v>2094</v>
      </c>
      <c r="G362" s="97" t="s">
        <v>3386</v>
      </c>
      <c r="H362" s="97" t="s">
        <v>4025</v>
      </c>
      <c r="I362" s="97" t="s">
        <v>4039</v>
      </c>
      <c r="J362" s="97" t="s">
        <v>4051</v>
      </c>
      <c r="K362" s="17" t="str">
        <f>IFERROR(INDEX(競技会設定!$J$3:$O$47,MATCH(J362,競技会設定!$M$3:$M$47,0),5),"")</f>
        <v>近畿大工業高専</v>
      </c>
      <c r="L362" s="17" t="str">
        <f>IFERROR(INDEX(競技会設定!$J$3:$N$47,MATCH(K362,競技会設定!$N$3:$N$47,0),2),"")</f>
        <v>498006</v>
      </c>
      <c r="M362" s="97" t="s">
        <v>3861</v>
      </c>
      <c r="N362" s="17" t="str">
        <f t="shared" si="16"/>
        <v>MORIYAMA, Sota</v>
      </c>
      <c r="O362" s="17" t="str">
        <f t="shared" si="17"/>
        <v>01</v>
      </c>
    </row>
    <row r="363" spans="1:15">
      <c r="A363" s="17" t="str">
        <f t="shared" si="15"/>
        <v>501000362</v>
      </c>
      <c r="B363" s="97">
        <v>362</v>
      </c>
      <c r="C363" s="97" t="s">
        <v>940</v>
      </c>
      <c r="D363" s="97" t="s">
        <v>941</v>
      </c>
      <c r="E363" s="312" t="s">
        <v>2569</v>
      </c>
      <c r="F363" s="312" t="s">
        <v>2106</v>
      </c>
      <c r="G363" s="97" t="s">
        <v>3387</v>
      </c>
      <c r="H363" s="97" t="s">
        <v>4025</v>
      </c>
      <c r="I363" s="97" t="s">
        <v>4039</v>
      </c>
      <c r="J363" s="97" t="s">
        <v>4051</v>
      </c>
      <c r="K363" s="17" t="str">
        <f>IFERROR(INDEX(競技会設定!$J$3:$O$47,MATCH(J363,競技会設定!$M$3:$M$47,0),5),"")</f>
        <v>近畿大工業高専</v>
      </c>
      <c r="L363" s="17" t="str">
        <f>IFERROR(INDEX(競技会設定!$J$3:$N$47,MATCH(K363,競技会設定!$N$3:$N$47,0),2),"")</f>
        <v>498006</v>
      </c>
      <c r="M363" s="97" t="s">
        <v>3861</v>
      </c>
      <c r="N363" s="17" t="str">
        <f t="shared" si="16"/>
        <v>YAMANISHI, Yusuke</v>
      </c>
      <c r="O363" s="17" t="str">
        <f t="shared" si="17"/>
        <v>01</v>
      </c>
    </row>
    <row r="364" spans="1:15">
      <c r="A364" s="17" t="str">
        <f t="shared" si="15"/>
        <v>501000363</v>
      </c>
      <c r="B364" s="97">
        <v>363</v>
      </c>
      <c r="C364" s="97" t="s">
        <v>942</v>
      </c>
      <c r="D364" s="97" t="s">
        <v>943</v>
      </c>
      <c r="E364" s="312" t="s">
        <v>2570</v>
      </c>
      <c r="F364" s="312" t="s">
        <v>2571</v>
      </c>
      <c r="G364" s="97" t="s">
        <v>3388</v>
      </c>
      <c r="H364" s="97" t="s">
        <v>4025</v>
      </c>
      <c r="I364" s="97" t="s">
        <v>4039</v>
      </c>
      <c r="J364" s="97" t="s">
        <v>4051</v>
      </c>
      <c r="K364" s="17" t="str">
        <f>IFERROR(INDEX(競技会設定!$J$3:$O$47,MATCH(J364,競技会設定!$M$3:$M$47,0),5),"")</f>
        <v>近畿大工業高専</v>
      </c>
      <c r="L364" s="17" t="str">
        <f>IFERROR(INDEX(競技会設定!$J$3:$N$47,MATCH(K364,競技会設定!$N$3:$N$47,0),2),"")</f>
        <v>498006</v>
      </c>
      <c r="M364" s="97" t="s">
        <v>3861</v>
      </c>
      <c r="N364" s="17" t="str">
        <f t="shared" si="16"/>
        <v>HIGASHIMORI, Natsuki</v>
      </c>
      <c r="O364" s="17" t="str">
        <f t="shared" si="17"/>
        <v>01</v>
      </c>
    </row>
    <row r="365" spans="1:15">
      <c r="A365" s="17" t="str">
        <f t="shared" si="15"/>
        <v>501000364</v>
      </c>
      <c r="B365" s="97">
        <v>364</v>
      </c>
      <c r="C365" s="97" t="s">
        <v>944</v>
      </c>
      <c r="D365" s="97" t="s">
        <v>945</v>
      </c>
      <c r="E365" s="312" t="s">
        <v>2572</v>
      </c>
      <c r="F365" s="312" t="s">
        <v>2234</v>
      </c>
      <c r="G365" s="97" t="s">
        <v>3173</v>
      </c>
      <c r="H365" s="97" t="s">
        <v>4025</v>
      </c>
      <c r="I365" s="97" t="s">
        <v>4039</v>
      </c>
      <c r="J365" s="97" t="s">
        <v>4051</v>
      </c>
      <c r="K365" s="17" t="str">
        <f>IFERROR(INDEX(競技会設定!$J$3:$O$47,MATCH(J365,競技会設定!$M$3:$M$47,0),5),"")</f>
        <v>近畿大工業高専</v>
      </c>
      <c r="L365" s="17" t="str">
        <f>IFERROR(INDEX(競技会設定!$J$3:$N$47,MATCH(K365,競技会設定!$N$3:$N$47,0),2),"")</f>
        <v>498006</v>
      </c>
      <c r="M365" s="97" t="s">
        <v>3861</v>
      </c>
      <c r="N365" s="17" t="str">
        <f t="shared" si="16"/>
        <v>ANNOMAE, Yuto</v>
      </c>
      <c r="O365" s="17" t="str">
        <f t="shared" si="17"/>
        <v>01</v>
      </c>
    </row>
    <row r="366" spans="1:15">
      <c r="A366" s="17" t="str">
        <f t="shared" si="15"/>
        <v>501000365</v>
      </c>
      <c r="B366" s="97">
        <v>365</v>
      </c>
      <c r="C366" s="97" t="s">
        <v>946</v>
      </c>
      <c r="D366" s="97" t="s">
        <v>947</v>
      </c>
      <c r="E366" s="312" t="s">
        <v>2573</v>
      </c>
      <c r="F366" s="312" t="s">
        <v>2193</v>
      </c>
      <c r="G366" s="97" t="s">
        <v>3242</v>
      </c>
      <c r="H366" s="97" t="s">
        <v>4025</v>
      </c>
      <c r="I366" s="97" t="s">
        <v>4039</v>
      </c>
      <c r="J366" s="97" t="s">
        <v>4051</v>
      </c>
      <c r="K366" s="17" t="str">
        <f>IFERROR(INDEX(競技会設定!$J$3:$O$47,MATCH(J366,競技会設定!$M$3:$M$47,0),5),"")</f>
        <v>近畿大工業高専</v>
      </c>
      <c r="L366" s="17" t="str">
        <f>IFERROR(INDEX(競技会設定!$J$3:$N$47,MATCH(K366,競技会設定!$N$3:$N$47,0),2),"")</f>
        <v>498006</v>
      </c>
      <c r="M366" s="97" t="s">
        <v>3861</v>
      </c>
      <c r="N366" s="17" t="str">
        <f t="shared" si="16"/>
        <v>YOSHIYA, Yuta</v>
      </c>
      <c r="O366" s="17" t="str">
        <f t="shared" si="17"/>
        <v>01</v>
      </c>
    </row>
    <row r="367" spans="1:15">
      <c r="A367" s="17" t="str">
        <f t="shared" si="15"/>
        <v>501000366</v>
      </c>
      <c r="B367" s="97">
        <v>366</v>
      </c>
      <c r="C367" s="97" t="s">
        <v>948</v>
      </c>
      <c r="D367" s="97" t="s">
        <v>949</v>
      </c>
      <c r="E367" s="312" t="s">
        <v>2574</v>
      </c>
      <c r="F367" s="312" t="s">
        <v>2575</v>
      </c>
      <c r="G367" s="97" t="s">
        <v>3341</v>
      </c>
      <c r="H367" s="97" t="s">
        <v>4025</v>
      </c>
      <c r="I367" s="97" t="s">
        <v>4039</v>
      </c>
      <c r="J367" s="97" t="s">
        <v>4051</v>
      </c>
      <c r="K367" s="17" t="str">
        <f>IFERROR(INDEX(競技会設定!$J$3:$O$47,MATCH(J367,競技会設定!$M$3:$M$47,0),5),"")</f>
        <v>近畿大工業高専</v>
      </c>
      <c r="L367" s="17" t="str">
        <f>IFERROR(INDEX(競技会設定!$J$3:$N$47,MATCH(K367,競技会設定!$N$3:$N$47,0),2),"")</f>
        <v>498006</v>
      </c>
      <c r="M367" s="97" t="s">
        <v>3861</v>
      </c>
      <c r="N367" s="17" t="str">
        <f t="shared" si="16"/>
        <v>OYAMA, Yutaka</v>
      </c>
      <c r="O367" s="17" t="str">
        <f t="shared" si="17"/>
        <v>01</v>
      </c>
    </row>
    <row r="368" spans="1:15">
      <c r="A368" s="17" t="str">
        <f t="shared" si="15"/>
        <v>501000367</v>
      </c>
      <c r="B368" s="97">
        <v>367</v>
      </c>
      <c r="C368" s="97" t="s">
        <v>950</v>
      </c>
      <c r="D368" s="97" t="s">
        <v>951</v>
      </c>
      <c r="E368" s="312" t="s">
        <v>2576</v>
      </c>
      <c r="F368" s="312" t="s">
        <v>2337</v>
      </c>
      <c r="G368" s="97" t="s">
        <v>3389</v>
      </c>
      <c r="H368" s="97" t="s">
        <v>4025</v>
      </c>
      <c r="I368" s="97" t="s">
        <v>4039</v>
      </c>
      <c r="J368" s="97" t="s">
        <v>4051</v>
      </c>
      <c r="K368" s="17" t="str">
        <f>IFERROR(INDEX(競技会設定!$J$3:$O$47,MATCH(J368,競技会設定!$M$3:$M$47,0),5),"")</f>
        <v>近畿大工業高専</v>
      </c>
      <c r="L368" s="17" t="str">
        <f>IFERROR(INDEX(競技会設定!$J$3:$N$47,MATCH(K368,競技会設定!$N$3:$N$47,0),2),"")</f>
        <v>498006</v>
      </c>
      <c r="M368" s="97" t="s">
        <v>3861</v>
      </c>
      <c r="N368" s="17" t="str">
        <f t="shared" si="16"/>
        <v>TOYOZUMI, Atsuya</v>
      </c>
      <c r="O368" s="17" t="str">
        <f t="shared" si="17"/>
        <v>01</v>
      </c>
    </row>
    <row r="369" spans="1:15">
      <c r="A369" s="17" t="str">
        <f t="shared" si="15"/>
        <v>501000368</v>
      </c>
      <c r="B369" s="97">
        <v>368</v>
      </c>
      <c r="C369" s="97" t="s">
        <v>952</v>
      </c>
      <c r="D369" s="97" t="s">
        <v>953</v>
      </c>
      <c r="E369" s="312" t="s">
        <v>2577</v>
      </c>
      <c r="F369" s="312" t="s">
        <v>2578</v>
      </c>
      <c r="G369" s="97" t="s">
        <v>3171</v>
      </c>
      <c r="H369" s="97" t="s">
        <v>4025</v>
      </c>
      <c r="I369" s="97" t="s">
        <v>4039</v>
      </c>
      <c r="J369" s="97" t="s">
        <v>4051</v>
      </c>
      <c r="K369" s="17" t="str">
        <f>IFERROR(INDEX(競技会設定!$J$3:$O$47,MATCH(J369,競技会設定!$M$3:$M$47,0),5),"")</f>
        <v>近畿大工業高専</v>
      </c>
      <c r="L369" s="17" t="str">
        <f>IFERROR(INDEX(競技会設定!$J$3:$N$47,MATCH(K369,競技会設定!$N$3:$N$47,0),2),"")</f>
        <v>498006</v>
      </c>
      <c r="M369" s="97" t="s">
        <v>3861</v>
      </c>
      <c r="N369" s="17" t="str">
        <f t="shared" si="16"/>
        <v>HONDA, Motoi</v>
      </c>
      <c r="O369" s="17" t="str">
        <f t="shared" si="17"/>
        <v>02</v>
      </c>
    </row>
    <row r="370" spans="1:15">
      <c r="A370" s="17" t="str">
        <f t="shared" si="15"/>
        <v>501000369</v>
      </c>
      <c r="B370" s="97">
        <v>369</v>
      </c>
      <c r="C370" s="97" t="s">
        <v>954</v>
      </c>
      <c r="D370" s="97" t="s">
        <v>955</v>
      </c>
      <c r="E370" s="312" t="s">
        <v>2233</v>
      </c>
      <c r="F370" s="312" t="s">
        <v>2191</v>
      </c>
      <c r="G370" s="97" t="s">
        <v>3157</v>
      </c>
      <c r="H370" s="97" t="s">
        <v>4031</v>
      </c>
      <c r="I370" s="97" t="s">
        <v>4039</v>
      </c>
      <c r="J370" s="97" t="s">
        <v>4051</v>
      </c>
      <c r="K370" s="17" t="str">
        <f>IFERROR(INDEX(競技会設定!$J$3:$O$47,MATCH(J370,競技会設定!$M$3:$M$47,0),5),"")</f>
        <v>近畿大工業高専</v>
      </c>
      <c r="L370" s="17" t="str">
        <f>IFERROR(INDEX(競技会設定!$J$3:$N$47,MATCH(K370,競技会設定!$N$3:$N$47,0),2),"")</f>
        <v>498006</v>
      </c>
      <c r="M370" s="97" t="s">
        <v>3861</v>
      </c>
      <c r="N370" s="17" t="str">
        <f t="shared" si="16"/>
        <v>SUZUKI, Kenta</v>
      </c>
      <c r="O370" s="17" t="str">
        <f t="shared" si="17"/>
        <v>00</v>
      </c>
    </row>
    <row r="371" spans="1:15">
      <c r="A371" s="17" t="str">
        <f t="shared" si="15"/>
        <v>501000370</v>
      </c>
      <c r="B371" s="97">
        <v>370</v>
      </c>
      <c r="C371" s="97" t="s">
        <v>956</v>
      </c>
      <c r="D371" s="97" t="s">
        <v>957</v>
      </c>
      <c r="E371" s="312" t="s">
        <v>2082</v>
      </c>
      <c r="F371" s="312" t="s">
        <v>2165</v>
      </c>
      <c r="G371" s="97" t="s">
        <v>3390</v>
      </c>
      <c r="H371" s="97" t="s">
        <v>4031</v>
      </c>
      <c r="I371" s="97" t="s">
        <v>4039</v>
      </c>
      <c r="J371" s="97" t="s">
        <v>4051</v>
      </c>
      <c r="K371" s="17" t="str">
        <f>IFERROR(INDEX(競技会設定!$J$3:$O$47,MATCH(J371,競技会設定!$M$3:$M$47,0),5),"")</f>
        <v>近畿大工業高専</v>
      </c>
      <c r="L371" s="17" t="str">
        <f>IFERROR(INDEX(競技会設定!$J$3:$N$47,MATCH(K371,競技会設定!$N$3:$N$47,0),2),"")</f>
        <v>498006</v>
      </c>
      <c r="M371" s="97" t="s">
        <v>3861</v>
      </c>
      <c r="N371" s="17" t="str">
        <f t="shared" si="16"/>
        <v>ITO, Riku</v>
      </c>
      <c r="O371" s="17" t="str">
        <f t="shared" si="17"/>
        <v>01</v>
      </c>
    </row>
    <row r="372" spans="1:15">
      <c r="A372" s="17" t="str">
        <f t="shared" si="15"/>
        <v>501000371</v>
      </c>
      <c r="B372" s="97">
        <v>371</v>
      </c>
      <c r="C372" s="97" t="s">
        <v>958</v>
      </c>
      <c r="D372" s="97" t="s">
        <v>959</v>
      </c>
      <c r="E372" s="312" t="s">
        <v>2216</v>
      </c>
      <c r="F372" s="312" t="s">
        <v>2579</v>
      </c>
      <c r="G372" s="97" t="s">
        <v>3391</v>
      </c>
      <c r="H372" s="97" t="s">
        <v>4025</v>
      </c>
      <c r="I372" s="97" t="s">
        <v>4039</v>
      </c>
      <c r="J372" s="97" t="s">
        <v>4052</v>
      </c>
      <c r="K372" s="17" t="str">
        <f>IFERROR(INDEX(競技会設定!$J$3:$O$47,MATCH(J372,競技会設定!$M$3:$M$47,0),5),"")</f>
        <v>皇學館大</v>
      </c>
      <c r="L372" s="17" t="str">
        <f>IFERROR(INDEX(競技会設定!$J$3:$N$47,MATCH(K372,競技会設定!$N$3:$N$47,0),2),"")</f>
        <v>492185</v>
      </c>
      <c r="M372" s="97" t="s">
        <v>3861</v>
      </c>
      <c r="N372" s="17" t="str">
        <f t="shared" si="16"/>
        <v>IKEDA, Shuki</v>
      </c>
      <c r="O372" s="17" t="str">
        <f t="shared" si="17"/>
        <v>99</v>
      </c>
    </row>
    <row r="373" spans="1:15">
      <c r="A373" s="17" t="str">
        <f t="shared" si="15"/>
        <v>501000372</v>
      </c>
      <c r="B373" s="97">
        <v>372</v>
      </c>
      <c r="C373" s="97" t="s">
        <v>960</v>
      </c>
      <c r="D373" s="97" t="s">
        <v>961</v>
      </c>
      <c r="E373" s="312" t="s">
        <v>2369</v>
      </c>
      <c r="F373" s="312" t="s">
        <v>2191</v>
      </c>
      <c r="G373" s="97" t="s">
        <v>3392</v>
      </c>
      <c r="H373" s="97" t="s">
        <v>4025</v>
      </c>
      <c r="I373" s="97" t="s">
        <v>4039</v>
      </c>
      <c r="J373" s="97" t="s">
        <v>4052</v>
      </c>
      <c r="K373" s="17" t="str">
        <f>IFERROR(INDEX(競技会設定!$J$3:$O$47,MATCH(J373,競技会設定!$M$3:$M$47,0),5),"")</f>
        <v>皇學館大</v>
      </c>
      <c r="L373" s="17" t="str">
        <f>IFERROR(INDEX(競技会設定!$J$3:$N$47,MATCH(K373,競技会設定!$N$3:$N$47,0),2),"")</f>
        <v>492185</v>
      </c>
      <c r="M373" s="97" t="s">
        <v>3861</v>
      </c>
      <c r="N373" s="17" t="str">
        <f t="shared" si="16"/>
        <v>KATO, Kenta</v>
      </c>
      <c r="O373" s="17" t="str">
        <f t="shared" si="17"/>
        <v>99</v>
      </c>
    </row>
    <row r="374" spans="1:15">
      <c r="A374" s="17" t="str">
        <f t="shared" si="15"/>
        <v>501000373</v>
      </c>
      <c r="B374" s="97">
        <v>373</v>
      </c>
      <c r="C374" s="97" t="s">
        <v>962</v>
      </c>
      <c r="D374" s="97" t="s">
        <v>963</v>
      </c>
      <c r="E374" s="312" t="s">
        <v>2580</v>
      </c>
      <c r="F374" s="312" t="s">
        <v>2563</v>
      </c>
      <c r="G374" s="97" t="s">
        <v>3393</v>
      </c>
      <c r="H374" s="97" t="s">
        <v>4025</v>
      </c>
      <c r="I374" s="97" t="s">
        <v>4039</v>
      </c>
      <c r="J374" s="97" t="s">
        <v>4052</v>
      </c>
      <c r="K374" s="17" t="str">
        <f>IFERROR(INDEX(競技会設定!$J$3:$O$47,MATCH(J374,競技会設定!$M$3:$M$47,0),5),"")</f>
        <v>皇學館大</v>
      </c>
      <c r="L374" s="17" t="str">
        <f>IFERROR(INDEX(競技会設定!$J$3:$N$47,MATCH(K374,競技会設定!$N$3:$N$47,0),2),"")</f>
        <v>492185</v>
      </c>
      <c r="M374" s="97" t="s">
        <v>3861</v>
      </c>
      <c r="N374" s="17" t="str">
        <f t="shared" si="16"/>
        <v>NAKANISHI, Masato</v>
      </c>
      <c r="O374" s="17" t="str">
        <f t="shared" si="17"/>
        <v>98</v>
      </c>
    </row>
    <row r="375" spans="1:15">
      <c r="A375" s="17" t="str">
        <f t="shared" si="15"/>
        <v>501000374</v>
      </c>
      <c r="B375" s="97">
        <v>374</v>
      </c>
      <c r="C375" s="97" t="s">
        <v>964</v>
      </c>
      <c r="D375" s="97" t="s">
        <v>965</v>
      </c>
      <c r="E375" s="312" t="s">
        <v>2375</v>
      </c>
      <c r="F375" s="312" t="s">
        <v>2172</v>
      </c>
      <c r="G375" s="97" t="s">
        <v>3394</v>
      </c>
      <c r="H375" s="97" t="s">
        <v>4025</v>
      </c>
      <c r="I375" s="97" t="s">
        <v>4039</v>
      </c>
      <c r="J375" s="97" t="s">
        <v>4052</v>
      </c>
      <c r="K375" s="17" t="str">
        <f>IFERROR(INDEX(競技会設定!$J$3:$O$47,MATCH(J375,競技会設定!$M$3:$M$47,0),5),"")</f>
        <v>皇學館大</v>
      </c>
      <c r="L375" s="17" t="str">
        <f>IFERROR(INDEX(競技会設定!$J$3:$N$47,MATCH(K375,競技会設定!$N$3:$N$47,0),2),"")</f>
        <v>492185</v>
      </c>
      <c r="M375" s="97" t="s">
        <v>3855</v>
      </c>
      <c r="N375" s="17" t="str">
        <f t="shared" si="16"/>
        <v>NARUSE, Masaya</v>
      </c>
      <c r="O375" s="17" t="str">
        <f t="shared" si="17"/>
        <v>98</v>
      </c>
    </row>
    <row r="376" spans="1:15">
      <c r="A376" s="17" t="str">
        <f t="shared" si="15"/>
        <v>501000375</v>
      </c>
      <c r="B376" s="97">
        <v>375</v>
      </c>
      <c r="C376" s="97" t="s">
        <v>966</v>
      </c>
      <c r="D376" s="97" t="s">
        <v>967</v>
      </c>
      <c r="E376" s="312" t="s">
        <v>2113</v>
      </c>
      <c r="F376" s="312" t="s">
        <v>2112</v>
      </c>
      <c r="G376" s="97" t="s">
        <v>3395</v>
      </c>
      <c r="H376" s="97" t="s">
        <v>4025</v>
      </c>
      <c r="I376" s="97" t="s">
        <v>4039</v>
      </c>
      <c r="J376" s="97" t="s">
        <v>4052</v>
      </c>
      <c r="K376" s="17" t="str">
        <f>IFERROR(INDEX(競技会設定!$J$3:$O$47,MATCH(J376,競技会設定!$M$3:$M$47,0),5),"")</f>
        <v>皇學館大</v>
      </c>
      <c r="L376" s="17" t="str">
        <f>IFERROR(INDEX(競技会設定!$J$3:$N$47,MATCH(K376,競技会設定!$N$3:$N$47,0),2),"")</f>
        <v>492185</v>
      </c>
      <c r="M376" s="97" t="s">
        <v>3861</v>
      </c>
      <c r="N376" s="17" t="str">
        <f t="shared" si="16"/>
        <v>MIZUNO, Masashi</v>
      </c>
      <c r="O376" s="17" t="str">
        <f t="shared" si="17"/>
        <v>98</v>
      </c>
    </row>
    <row r="377" spans="1:15">
      <c r="A377" s="17" t="str">
        <f t="shared" si="15"/>
        <v>501000376</v>
      </c>
      <c r="B377" s="97">
        <v>376</v>
      </c>
      <c r="C377" s="97" t="s">
        <v>968</v>
      </c>
      <c r="D377" s="97" t="s">
        <v>969</v>
      </c>
      <c r="E377" s="312" t="s">
        <v>2581</v>
      </c>
      <c r="F377" s="312" t="s">
        <v>2437</v>
      </c>
      <c r="G377" s="97" t="s">
        <v>3396</v>
      </c>
      <c r="H377" s="97" t="s">
        <v>4025</v>
      </c>
      <c r="I377" s="97" t="s">
        <v>4039</v>
      </c>
      <c r="J377" s="97" t="s">
        <v>4052</v>
      </c>
      <c r="K377" s="17" t="str">
        <f>IFERROR(INDEX(競技会設定!$J$3:$O$47,MATCH(J377,競技会設定!$M$3:$M$47,0),5),"")</f>
        <v>皇學館大</v>
      </c>
      <c r="L377" s="17" t="str">
        <f>IFERROR(INDEX(競技会設定!$J$3:$N$47,MATCH(K377,競技会設定!$N$3:$N$47,0),2),"")</f>
        <v>492185</v>
      </c>
      <c r="M377" s="97" t="s">
        <v>3861</v>
      </c>
      <c r="N377" s="17" t="str">
        <f t="shared" si="16"/>
        <v>MITANI, Taiga</v>
      </c>
      <c r="O377" s="17" t="str">
        <f t="shared" si="17"/>
        <v>98</v>
      </c>
    </row>
    <row r="378" spans="1:15">
      <c r="A378" s="17" t="str">
        <f t="shared" si="15"/>
        <v>501000377</v>
      </c>
      <c r="B378" s="97">
        <v>377</v>
      </c>
      <c r="C378" s="97" t="s">
        <v>970</v>
      </c>
      <c r="D378" s="97" t="s">
        <v>971</v>
      </c>
      <c r="E378" s="312" t="s">
        <v>2582</v>
      </c>
      <c r="F378" s="312" t="s">
        <v>2583</v>
      </c>
      <c r="G378" s="97" t="s">
        <v>3397</v>
      </c>
      <c r="H378" s="97" t="s">
        <v>4025</v>
      </c>
      <c r="I378" s="97" t="s">
        <v>4039</v>
      </c>
      <c r="J378" s="97" t="s">
        <v>4052</v>
      </c>
      <c r="K378" s="17" t="str">
        <f>IFERROR(INDEX(競技会設定!$J$3:$O$47,MATCH(J378,競技会設定!$M$3:$M$47,0),5),"")</f>
        <v>皇學館大</v>
      </c>
      <c r="L378" s="17" t="str">
        <f>IFERROR(INDEX(競技会設定!$J$3:$N$47,MATCH(K378,競技会設定!$N$3:$N$47,0),2),"")</f>
        <v>492185</v>
      </c>
      <c r="M378" s="97" t="s">
        <v>3861</v>
      </c>
      <c r="N378" s="17" t="str">
        <f t="shared" si="16"/>
        <v>MIMURA, Kenshi</v>
      </c>
      <c r="O378" s="17" t="str">
        <f t="shared" si="17"/>
        <v>98</v>
      </c>
    </row>
    <row r="379" spans="1:15">
      <c r="A379" s="17" t="str">
        <f t="shared" si="15"/>
        <v>501000378</v>
      </c>
      <c r="B379" s="97">
        <v>378</v>
      </c>
      <c r="C379" s="97" t="s">
        <v>972</v>
      </c>
      <c r="D379" s="97" t="s">
        <v>973</v>
      </c>
      <c r="E379" s="312" t="s">
        <v>2206</v>
      </c>
      <c r="F379" s="312" t="s">
        <v>2291</v>
      </c>
      <c r="G379" s="97" t="s">
        <v>3398</v>
      </c>
      <c r="H379" s="97" t="s">
        <v>4025</v>
      </c>
      <c r="I379" s="97" t="s">
        <v>4039</v>
      </c>
      <c r="J379" s="97" t="s">
        <v>4052</v>
      </c>
      <c r="K379" s="17" t="str">
        <f>IFERROR(INDEX(競技会設定!$J$3:$O$47,MATCH(J379,競技会設定!$M$3:$M$47,0),5),"")</f>
        <v>皇學館大</v>
      </c>
      <c r="L379" s="17" t="str">
        <f>IFERROR(INDEX(競技会設定!$J$3:$N$47,MATCH(K379,競技会設定!$N$3:$N$47,0),2),"")</f>
        <v>492185</v>
      </c>
      <c r="M379" s="97" t="s">
        <v>3861</v>
      </c>
      <c r="N379" s="17" t="str">
        <f t="shared" si="16"/>
        <v>MIYAZAKI, Kakeru</v>
      </c>
      <c r="O379" s="17" t="str">
        <f t="shared" si="17"/>
        <v>98</v>
      </c>
    </row>
    <row r="380" spans="1:15">
      <c r="A380" s="17" t="str">
        <f t="shared" si="15"/>
        <v>501000379</v>
      </c>
      <c r="B380" s="97">
        <v>379</v>
      </c>
      <c r="C380" s="97" t="s">
        <v>974</v>
      </c>
      <c r="D380" s="97" t="s">
        <v>975</v>
      </c>
      <c r="E380" s="312" t="s">
        <v>2584</v>
      </c>
      <c r="F380" s="312" t="s">
        <v>2585</v>
      </c>
      <c r="G380" s="97" t="s">
        <v>3399</v>
      </c>
      <c r="H380" s="97" t="s">
        <v>4025</v>
      </c>
      <c r="I380" s="97" t="s">
        <v>4039</v>
      </c>
      <c r="J380" s="97" t="s">
        <v>4052</v>
      </c>
      <c r="K380" s="17" t="str">
        <f>IFERROR(INDEX(競技会設定!$J$3:$O$47,MATCH(J380,競技会設定!$M$3:$M$47,0),5),"")</f>
        <v>皇學館大</v>
      </c>
      <c r="L380" s="17" t="str">
        <f>IFERROR(INDEX(競技会設定!$J$3:$N$47,MATCH(K380,競技会設定!$N$3:$N$47,0),2),"")</f>
        <v>492185</v>
      </c>
      <c r="M380" s="97" t="s">
        <v>3861</v>
      </c>
      <c r="N380" s="17" t="str">
        <f t="shared" si="16"/>
        <v>YAMASHITA, Ryoma</v>
      </c>
      <c r="O380" s="17" t="str">
        <f t="shared" si="17"/>
        <v>98</v>
      </c>
    </row>
    <row r="381" spans="1:15">
      <c r="A381" s="17" t="str">
        <f t="shared" si="15"/>
        <v>501000380</v>
      </c>
      <c r="B381" s="97">
        <v>380</v>
      </c>
      <c r="C381" s="97" t="s">
        <v>976</v>
      </c>
      <c r="D381" s="97" t="s">
        <v>977</v>
      </c>
      <c r="E381" s="312" t="s">
        <v>2586</v>
      </c>
      <c r="F381" s="312" t="s">
        <v>2272</v>
      </c>
      <c r="G381" s="97" t="s">
        <v>3101</v>
      </c>
      <c r="H381" s="97" t="s">
        <v>4024</v>
      </c>
      <c r="I381" s="97" t="s">
        <v>4039</v>
      </c>
      <c r="J381" s="97" t="s">
        <v>4052</v>
      </c>
      <c r="K381" s="17" t="str">
        <f>IFERROR(INDEX(競技会設定!$J$3:$O$47,MATCH(J381,競技会設定!$M$3:$M$47,0),5),"")</f>
        <v>皇學館大</v>
      </c>
      <c r="L381" s="17" t="str">
        <f>IFERROR(INDEX(競技会設定!$J$3:$N$47,MATCH(K381,競技会設定!$N$3:$N$47,0),2),"")</f>
        <v>492185</v>
      </c>
      <c r="M381" s="97" t="s">
        <v>3861</v>
      </c>
      <c r="N381" s="17" t="str">
        <f t="shared" si="16"/>
        <v>ISODA, Takumi</v>
      </c>
      <c r="O381" s="17" t="str">
        <f t="shared" si="17"/>
        <v>99</v>
      </c>
    </row>
    <row r="382" spans="1:15">
      <c r="A382" s="17" t="str">
        <f t="shared" si="15"/>
        <v>501000381</v>
      </c>
      <c r="B382" s="97">
        <v>381</v>
      </c>
      <c r="C382" s="97" t="s">
        <v>978</v>
      </c>
      <c r="D382" s="97" t="s">
        <v>979</v>
      </c>
      <c r="E382" s="312" t="s">
        <v>2587</v>
      </c>
      <c r="F382" s="312" t="s">
        <v>2293</v>
      </c>
      <c r="G382" s="97" t="s">
        <v>3216</v>
      </c>
      <c r="H382" s="97" t="s">
        <v>4024</v>
      </c>
      <c r="I382" s="97" t="s">
        <v>4039</v>
      </c>
      <c r="J382" s="97" t="s">
        <v>4052</v>
      </c>
      <c r="K382" s="17" t="str">
        <f>IFERROR(INDEX(競技会設定!$J$3:$O$47,MATCH(J382,競技会設定!$M$3:$M$47,0),5),"")</f>
        <v>皇學館大</v>
      </c>
      <c r="L382" s="17" t="str">
        <f>IFERROR(INDEX(競技会設定!$J$3:$N$47,MATCH(K382,競技会設定!$N$3:$N$47,0),2),"")</f>
        <v>492185</v>
      </c>
      <c r="M382" s="97" t="s">
        <v>3861</v>
      </c>
      <c r="N382" s="17" t="str">
        <f t="shared" si="16"/>
        <v>ONO, Koki</v>
      </c>
      <c r="O382" s="17" t="str">
        <f t="shared" si="17"/>
        <v>99</v>
      </c>
    </row>
    <row r="383" spans="1:15">
      <c r="A383" s="17" t="str">
        <f t="shared" si="15"/>
        <v>501000382</v>
      </c>
      <c r="B383" s="97">
        <v>382</v>
      </c>
      <c r="C383" s="97" t="s">
        <v>980</v>
      </c>
      <c r="D383" s="97" t="s">
        <v>981</v>
      </c>
      <c r="E383" s="312" t="s">
        <v>2557</v>
      </c>
      <c r="F383" s="312" t="s">
        <v>2588</v>
      </c>
      <c r="G383" s="97" t="s">
        <v>3400</v>
      </c>
      <c r="H383" s="97" t="s">
        <v>4024</v>
      </c>
      <c r="I383" s="97" t="s">
        <v>4039</v>
      </c>
      <c r="J383" s="97" t="s">
        <v>4052</v>
      </c>
      <c r="K383" s="17" t="str">
        <f>IFERROR(INDEX(競技会設定!$J$3:$O$47,MATCH(J383,競技会設定!$M$3:$M$47,0),5),"")</f>
        <v>皇學館大</v>
      </c>
      <c r="L383" s="17" t="str">
        <f>IFERROR(INDEX(競技会設定!$J$3:$N$47,MATCH(K383,競技会設定!$N$3:$N$47,0),2),"")</f>
        <v>492185</v>
      </c>
      <c r="M383" s="97" t="s">
        <v>3861</v>
      </c>
      <c r="N383" s="17" t="str">
        <f t="shared" si="16"/>
        <v>KASAHARA, Maya</v>
      </c>
      <c r="O383" s="17" t="str">
        <f t="shared" si="17"/>
        <v>99</v>
      </c>
    </row>
    <row r="384" spans="1:15">
      <c r="A384" s="17" t="str">
        <f t="shared" si="15"/>
        <v>501000383</v>
      </c>
      <c r="B384" s="97">
        <v>383</v>
      </c>
      <c r="C384" s="97" t="s">
        <v>982</v>
      </c>
      <c r="D384" s="97" t="s">
        <v>983</v>
      </c>
      <c r="E384" s="312" t="s">
        <v>2589</v>
      </c>
      <c r="F384" s="312" t="s">
        <v>2590</v>
      </c>
      <c r="G384" s="97" t="s">
        <v>3385</v>
      </c>
      <c r="H384" s="97" t="s">
        <v>4024</v>
      </c>
      <c r="I384" s="97" t="s">
        <v>4039</v>
      </c>
      <c r="J384" s="97" t="s">
        <v>4052</v>
      </c>
      <c r="K384" s="17" t="str">
        <f>IFERROR(INDEX(競技会設定!$J$3:$O$47,MATCH(J384,競技会設定!$M$3:$M$47,0),5),"")</f>
        <v>皇學館大</v>
      </c>
      <c r="L384" s="17" t="str">
        <f>IFERROR(INDEX(競技会設定!$J$3:$N$47,MATCH(K384,競技会設定!$N$3:$N$47,0),2),"")</f>
        <v>492185</v>
      </c>
      <c r="M384" s="97" t="s">
        <v>3861</v>
      </c>
      <c r="N384" s="17" t="str">
        <f t="shared" si="16"/>
        <v>SAKAI, Hayata</v>
      </c>
      <c r="O384" s="17" t="str">
        <f t="shared" si="17"/>
        <v>00</v>
      </c>
    </row>
    <row r="385" spans="1:15">
      <c r="A385" s="17" t="str">
        <f t="shared" si="15"/>
        <v>501000384</v>
      </c>
      <c r="B385" s="97">
        <v>384</v>
      </c>
      <c r="C385" s="97" t="s">
        <v>984</v>
      </c>
      <c r="D385" s="97" t="s">
        <v>985</v>
      </c>
      <c r="E385" s="312" t="s">
        <v>2591</v>
      </c>
      <c r="F385" s="312" t="s">
        <v>2439</v>
      </c>
      <c r="G385" s="97" t="s">
        <v>3371</v>
      </c>
      <c r="H385" s="97" t="s">
        <v>4024</v>
      </c>
      <c r="I385" s="97" t="s">
        <v>4039</v>
      </c>
      <c r="J385" s="97" t="s">
        <v>4052</v>
      </c>
      <c r="K385" s="17" t="str">
        <f>IFERROR(INDEX(競技会設定!$J$3:$O$47,MATCH(J385,競技会設定!$M$3:$M$47,0),5),"")</f>
        <v>皇學館大</v>
      </c>
      <c r="L385" s="17" t="str">
        <f>IFERROR(INDEX(競技会設定!$J$3:$N$47,MATCH(K385,競技会設定!$N$3:$N$47,0),2),"")</f>
        <v>492185</v>
      </c>
      <c r="M385" s="97" t="s">
        <v>3861</v>
      </c>
      <c r="N385" s="17" t="str">
        <f t="shared" si="16"/>
        <v>MOTOI, Kosei</v>
      </c>
      <c r="O385" s="17" t="str">
        <f t="shared" si="17"/>
        <v>99</v>
      </c>
    </row>
    <row r="386" spans="1:15">
      <c r="A386" s="17" t="str">
        <f t="shared" si="15"/>
        <v>501000385</v>
      </c>
      <c r="B386" s="97">
        <v>385</v>
      </c>
      <c r="C386" s="97" t="s">
        <v>986</v>
      </c>
      <c r="D386" s="97" t="s">
        <v>987</v>
      </c>
      <c r="E386" s="312" t="s">
        <v>2592</v>
      </c>
      <c r="F386" s="312" t="s">
        <v>2093</v>
      </c>
      <c r="G386" s="97" t="s">
        <v>3401</v>
      </c>
      <c r="H386" s="97" t="s">
        <v>4026</v>
      </c>
      <c r="I386" s="97" t="s">
        <v>4039</v>
      </c>
      <c r="J386" s="97" t="s">
        <v>4052</v>
      </c>
      <c r="K386" s="17" t="str">
        <f>IFERROR(INDEX(競技会設定!$J$3:$O$47,MATCH(J386,競技会設定!$M$3:$M$47,0),5),"")</f>
        <v>皇學館大</v>
      </c>
      <c r="L386" s="17" t="str">
        <f>IFERROR(INDEX(競技会設定!$J$3:$N$47,MATCH(K386,競技会設定!$N$3:$N$47,0),2),"")</f>
        <v>492185</v>
      </c>
      <c r="M386" s="97" t="s">
        <v>3861</v>
      </c>
      <c r="N386" s="17" t="str">
        <f t="shared" si="16"/>
        <v>KIYOTA, Naoya</v>
      </c>
      <c r="O386" s="17" t="str">
        <f t="shared" si="17"/>
        <v>00</v>
      </c>
    </row>
    <row r="387" spans="1:15">
      <c r="A387" s="17" t="str">
        <f t="shared" ref="A387:A450" si="18">IF(B387="","","501"&amp;TEXT(B387,"000000"))</f>
        <v>501000386</v>
      </c>
      <c r="B387" s="97">
        <v>386</v>
      </c>
      <c r="C387" s="97" t="s">
        <v>988</v>
      </c>
      <c r="D387" s="97" t="s">
        <v>989</v>
      </c>
      <c r="E387" s="312" t="s">
        <v>2593</v>
      </c>
      <c r="F387" s="312" t="s">
        <v>2594</v>
      </c>
      <c r="G387" s="97" t="s">
        <v>3402</v>
      </c>
      <c r="H387" s="97" t="s">
        <v>4026</v>
      </c>
      <c r="I387" s="97" t="s">
        <v>4039</v>
      </c>
      <c r="J387" s="97" t="s">
        <v>4052</v>
      </c>
      <c r="K387" s="17" t="str">
        <f>IFERROR(INDEX(競技会設定!$J$3:$O$47,MATCH(J387,競技会設定!$M$3:$M$47,0),5),"")</f>
        <v>皇學館大</v>
      </c>
      <c r="L387" s="17" t="str">
        <f>IFERROR(INDEX(競技会設定!$J$3:$N$47,MATCH(K387,競技会設定!$N$3:$N$47,0),2),"")</f>
        <v>492185</v>
      </c>
      <c r="M387" s="97" t="s">
        <v>3861</v>
      </c>
      <c r="N387" s="17" t="str">
        <f t="shared" ref="N387:N450" si="19">IF(E387="","",E387&amp;", "&amp;F387)</f>
        <v>GOSHIMA, Kaisei</v>
      </c>
      <c r="O387" s="17" t="str">
        <f t="shared" ref="O387:O450" si="20">IFERROR(TEXT(INT(LEFT(G387,2)),"00"),"")</f>
        <v>00</v>
      </c>
    </row>
    <row r="388" spans="1:15">
      <c r="A388" s="17" t="str">
        <f t="shared" si="18"/>
        <v>501000387</v>
      </c>
      <c r="B388" s="97">
        <v>387</v>
      </c>
      <c r="C388" s="97" t="s">
        <v>990</v>
      </c>
      <c r="D388" s="97" t="s">
        <v>991</v>
      </c>
      <c r="E388" s="312" t="s">
        <v>2595</v>
      </c>
      <c r="F388" s="312" t="s">
        <v>2596</v>
      </c>
      <c r="G388" s="97" t="s">
        <v>3403</v>
      </c>
      <c r="H388" s="97" t="s">
        <v>4026</v>
      </c>
      <c r="I388" s="97" t="s">
        <v>4039</v>
      </c>
      <c r="J388" s="97" t="s">
        <v>4052</v>
      </c>
      <c r="K388" s="17" t="str">
        <f>IFERROR(INDEX(競技会設定!$J$3:$O$47,MATCH(J388,競技会設定!$M$3:$M$47,0),5),"")</f>
        <v>皇學館大</v>
      </c>
      <c r="L388" s="17" t="str">
        <f>IFERROR(INDEX(競技会設定!$J$3:$N$47,MATCH(K388,競技会設定!$N$3:$N$47,0),2),"")</f>
        <v>492185</v>
      </c>
      <c r="M388" s="97" t="s">
        <v>3861</v>
      </c>
      <c r="N388" s="17" t="str">
        <f t="shared" si="19"/>
        <v>KOMIYAMA, Taishu</v>
      </c>
      <c r="O388" s="17" t="str">
        <f t="shared" si="20"/>
        <v>00</v>
      </c>
    </row>
    <row r="389" spans="1:15">
      <c r="A389" s="17" t="str">
        <f t="shared" si="18"/>
        <v>501000388</v>
      </c>
      <c r="B389" s="97">
        <v>388</v>
      </c>
      <c r="C389" s="97" t="s">
        <v>992</v>
      </c>
      <c r="D389" s="97" t="s">
        <v>380</v>
      </c>
      <c r="E389" s="312" t="s">
        <v>2221</v>
      </c>
      <c r="F389" s="312" t="s">
        <v>2108</v>
      </c>
      <c r="G389" s="97" t="s">
        <v>3404</v>
      </c>
      <c r="H389" s="97" t="s">
        <v>4026</v>
      </c>
      <c r="I389" s="97" t="s">
        <v>4039</v>
      </c>
      <c r="J389" s="97" t="s">
        <v>4052</v>
      </c>
      <c r="K389" s="17" t="str">
        <f>IFERROR(INDEX(競技会設定!$J$3:$O$47,MATCH(J389,競技会設定!$M$3:$M$47,0),5),"")</f>
        <v>皇學館大</v>
      </c>
      <c r="L389" s="17" t="str">
        <f>IFERROR(INDEX(競技会設定!$J$3:$N$47,MATCH(K389,競技会設定!$N$3:$N$47,0),2),"")</f>
        <v>492185</v>
      </c>
      <c r="M389" s="97" t="s">
        <v>3861</v>
      </c>
      <c r="N389" s="17" t="str">
        <f t="shared" si="19"/>
        <v>TANAKA, Yuki</v>
      </c>
      <c r="O389" s="17" t="str">
        <f t="shared" si="20"/>
        <v>00</v>
      </c>
    </row>
    <row r="390" spans="1:15">
      <c r="A390" s="17" t="str">
        <f t="shared" si="18"/>
        <v>501000389</v>
      </c>
      <c r="B390" s="97">
        <v>389</v>
      </c>
      <c r="C390" s="97" t="s">
        <v>993</v>
      </c>
      <c r="D390" s="97" t="s">
        <v>994</v>
      </c>
      <c r="E390" s="312" t="s">
        <v>2597</v>
      </c>
      <c r="F390" s="312" t="s">
        <v>2437</v>
      </c>
      <c r="G390" s="97" t="s">
        <v>3161</v>
      </c>
      <c r="H390" s="97" t="s">
        <v>4026</v>
      </c>
      <c r="I390" s="97" t="s">
        <v>4039</v>
      </c>
      <c r="J390" s="97" t="s">
        <v>4052</v>
      </c>
      <c r="K390" s="17" t="str">
        <f>IFERROR(INDEX(競技会設定!$J$3:$O$47,MATCH(J390,競技会設定!$M$3:$M$47,0),5),"")</f>
        <v>皇學館大</v>
      </c>
      <c r="L390" s="17" t="str">
        <f>IFERROR(INDEX(競技会設定!$J$3:$N$47,MATCH(K390,競技会設定!$N$3:$N$47,0),2),"")</f>
        <v>492185</v>
      </c>
      <c r="M390" s="97" t="s">
        <v>3861</v>
      </c>
      <c r="N390" s="17" t="str">
        <f t="shared" si="19"/>
        <v>TANIGUCHI, Taiga</v>
      </c>
      <c r="O390" s="17" t="str">
        <f t="shared" si="20"/>
        <v>00</v>
      </c>
    </row>
    <row r="391" spans="1:15">
      <c r="A391" s="17" t="str">
        <f t="shared" si="18"/>
        <v>501000390</v>
      </c>
      <c r="B391" s="97">
        <v>390</v>
      </c>
      <c r="C391" s="97" t="s">
        <v>995</v>
      </c>
      <c r="D391" s="97" t="s">
        <v>996</v>
      </c>
      <c r="E391" s="312" t="s">
        <v>2146</v>
      </c>
      <c r="F391" s="312" t="s">
        <v>2182</v>
      </c>
      <c r="G391" s="97" t="s">
        <v>3340</v>
      </c>
      <c r="H391" s="97" t="s">
        <v>4026</v>
      </c>
      <c r="I391" s="97" t="s">
        <v>4039</v>
      </c>
      <c r="J391" s="97" t="s">
        <v>4052</v>
      </c>
      <c r="K391" s="17" t="str">
        <f>IFERROR(INDEX(競技会設定!$J$3:$O$47,MATCH(J391,競技会設定!$M$3:$M$47,0),5),"")</f>
        <v>皇學館大</v>
      </c>
      <c r="L391" s="17" t="str">
        <f>IFERROR(INDEX(競技会設定!$J$3:$N$47,MATCH(K391,競技会設定!$N$3:$N$47,0),2),"")</f>
        <v>492185</v>
      </c>
      <c r="M391" s="97" t="s">
        <v>3861</v>
      </c>
      <c r="N391" s="17" t="str">
        <f t="shared" si="19"/>
        <v>HATTORI, Yuya</v>
      </c>
      <c r="O391" s="17" t="str">
        <f t="shared" si="20"/>
        <v>00</v>
      </c>
    </row>
    <row r="392" spans="1:15">
      <c r="A392" s="17" t="str">
        <f t="shared" si="18"/>
        <v>501000391</v>
      </c>
      <c r="B392" s="97">
        <v>391</v>
      </c>
      <c r="C392" s="97" t="s">
        <v>997</v>
      </c>
      <c r="D392" s="97" t="s">
        <v>998</v>
      </c>
      <c r="E392" s="312" t="s">
        <v>2598</v>
      </c>
      <c r="F392" s="312" t="s">
        <v>2599</v>
      </c>
      <c r="G392" s="97" t="s">
        <v>3405</v>
      </c>
      <c r="H392" s="97" t="s">
        <v>4026</v>
      </c>
      <c r="I392" s="97" t="s">
        <v>4039</v>
      </c>
      <c r="J392" s="97" t="s">
        <v>4052</v>
      </c>
      <c r="K392" s="17" t="str">
        <f>IFERROR(INDEX(競技会設定!$J$3:$O$47,MATCH(J392,競技会設定!$M$3:$M$47,0),5),"")</f>
        <v>皇學館大</v>
      </c>
      <c r="L392" s="17" t="str">
        <f>IFERROR(INDEX(競技会設定!$J$3:$N$47,MATCH(K392,競技会設定!$N$3:$N$47,0),2),"")</f>
        <v>492185</v>
      </c>
      <c r="M392" s="97" t="s">
        <v>3861</v>
      </c>
      <c r="N392" s="17" t="str">
        <f t="shared" si="19"/>
        <v>HAMAGUCHI, Yusei</v>
      </c>
      <c r="O392" s="17" t="str">
        <f t="shared" si="20"/>
        <v>00</v>
      </c>
    </row>
    <row r="393" spans="1:15">
      <c r="A393" s="17" t="str">
        <f t="shared" si="18"/>
        <v>501000392</v>
      </c>
      <c r="B393" s="97">
        <v>392</v>
      </c>
      <c r="C393" s="97" t="s">
        <v>999</v>
      </c>
      <c r="D393" s="97" t="s">
        <v>1000</v>
      </c>
      <c r="E393" s="312" t="s">
        <v>2600</v>
      </c>
      <c r="F393" s="312" t="s">
        <v>2579</v>
      </c>
      <c r="G393" s="97" t="s">
        <v>3406</v>
      </c>
      <c r="H393" s="97" t="s">
        <v>4026</v>
      </c>
      <c r="I393" s="97" t="s">
        <v>4039</v>
      </c>
      <c r="J393" s="97" t="s">
        <v>4052</v>
      </c>
      <c r="K393" s="17" t="str">
        <f>IFERROR(INDEX(競技会設定!$J$3:$O$47,MATCH(J393,競技会設定!$M$3:$M$47,0),5),"")</f>
        <v>皇學館大</v>
      </c>
      <c r="L393" s="17" t="str">
        <f>IFERROR(INDEX(競技会設定!$J$3:$N$47,MATCH(K393,競技会設定!$N$3:$N$47,0),2),"")</f>
        <v>492185</v>
      </c>
      <c r="M393" s="97" t="s">
        <v>3861</v>
      </c>
      <c r="N393" s="17" t="str">
        <f t="shared" si="19"/>
        <v>MATSUZUKI, Shuki</v>
      </c>
      <c r="O393" s="17" t="str">
        <f t="shared" si="20"/>
        <v>00</v>
      </c>
    </row>
    <row r="394" spans="1:15">
      <c r="A394" s="17" t="str">
        <f t="shared" si="18"/>
        <v>501000393</v>
      </c>
      <c r="B394" s="97">
        <v>393</v>
      </c>
      <c r="C394" s="97" t="s">
        <v>1001</v>
      </c>
      <c r="D394" s="97" t="s">
        <v>1002</v>
      </c>
      <c r="E394" s="312" t="s">
        <v>2601</v>
      </c>
      <c r="F394" s="312" t="s">
        <v>2293</v>
      </c>
      <c r="G394" s="97" t="s">
        <v>3407</v>
      </c>
      <c r="H394" s="97" t="s">
        <v>4026</v>
      </c>
      <c r="I394" s="97" t="s">
        <v>4039</v>
      </c>
      <c r="J394" s="97" t="s">
        <v>4052</v>
      </c>
      <c r="K394" s="17" t="str">
        <f>IFERROR(INDEX(競技会設定!$J$3:$O$47,MATCH(J394,競技会設定!$M$3:$M$47,0),5),"")</f>
        <v>皇學館大</v>
      </c>
      <c r="L394" s="17" t="str">
        <f>IFERROR(INDEX(競技会設定!$J$3:$N$47,MATCH(K394,競技会設定!$N$3:$N$47,0),2),"")</f>
        <v>492185</v>
      </c>
      <c r="M394" s="97" t="s">
        <v>3861</v>
      </c>
      <c r="N394" s="17" t="str">
        <f t="shared" si="19"/>
        <v>YONEKAWA, Koki</v>
      </c>
      <c r="O394" s="17" t="str">
        <f t="shared" si="20"/>
        <v>00</v>
      </c>
    </row>
    <row r="395" spans="1:15">
      <c r="A395" s="17" t="str">
        <f t="shared" si="18"/>
        <v>501000394</v>
      </c>
      <c r="B395" s="97">
        <v>394</v>
      </c>
      <c r="C395" s="97" t="s">
        <v>1003</v>
      </c>
      <c r="D395" s="97" t="s">
        <v>1004</v>
      </c>
      <c r="E395" s="312" t="s">
        <v>2602</v>
      </c>
      <c r="F395" s="312" t="s">
        <v>2603</v>
      </c>
      <c r="G395" s="97" t="s">
        <v>3080</v>
      </c>
      <c r="H395" s="97" t="s">
        <v>4025</v>
      </c>
      <c r="I395" s="97" t="s">
        <v>4039</v>
      </c>
      <c r="J395" s="97" t="s">
        <v>4052</v>
      </c>
      <c r="K395" s="17" t="str">
        <f>IFERROR(INDEX(競技会設定!$J$3:$O$47,MATCH(J395,競技会設定!$M$3:$M$47,0),5),"")</f>
        <v>皇學館大</v>
      </c>
      <c r="L395" s="17" t="str">
        <f>IFERROR(INDEX(競技会設定!$J$3:$N$47,MATCH(K395,競技会設定!$N$3:$N$47,0),2),"")</f>
        <v>492185</v>
      </c>
      <c r="M395" s="97" t="s">
        <v>3863</v>
      </c>
      <c r="N395" s="17" t="str">
        <f t="shared" si="19"/>
        <v>KANAMORI, Kennosuke</v>
      </c>
      <c r="O395" s="17" t="str">
        <f t="shared" si="20"/>
        <v>98</v>
      </c>
    </row>
    <row r="396" spans="1:15">
      <c r="A396" s="17" t="str">
        <f t="shared" si="18"/>
        <v>501000395</v>
      </c>
      <c r="B396" s="97">
        <v>395</v>
      </c>
      <c r="C396" s="97" t="s">
        <v>1005</v>
      </c>
      <c r="D396" s="97" t="s">
        <v>1006</v>
      </c>
      <c r="E396" s="312" t="s">
        <v>2604</v>
      </c>
      <c r="F396" s="312" t="s">
        <v>2093</v>
      </c>
      <c r="G396" s="97" t="s">
        <v>3408</v>
      </c>
      <c r="H396" s="97" t="s">
        <v>4025</v>
      </c>
      <c r="I396" s="97" t="s">
        <v>4039</v>
      </c>
      <c r="J396" s="97" t="s">
        <v>4052</v>
      </c>
      <c r="K396" s="17" t="str">
        <f>IFERROR(INDEX(競技会設定!$J$3:$O$47,MATCH(J396,競技会設定!$M$3:$M$47,0),5),"")</f>
        <v>皇學館大</v>
      </c>
      <c r="L396" s="17" t="str">
        <f>IFERROR(INDEX(競技会設定!$J$3:$N$47,MATCH(K396,競技会設定!$N$3:$N$47,0),2),"")</f>
        <v>492185</v>
      </c>
      <c r="M396" s="97" t="s">
        <v>3861</v>
      </c>
      <c r="N396" s="17" t="str">
        <f t="shared" si="19"/>
        <v>KAMIMURA, Naoya</v>
      </c>
      <c r="O396" s="17" t="str">
        <f t="shared" si="20"/>
        <v>99</v>
      </c>
    </row>
    <row r="397" spans="1:15">
      <c r="A397" s="17" t="str">
        <f t="shared" si="18"/>
        <v>501000396</v>
      </c>
      <c r="B397" s="97">
        <v>396</v>
      </c>
      <c r="C397" s="97" t="s">
        <v>1007</v>
      </c>
      <c r="D397" s="97" t="s">
        <v>1008</v>
      </c>
      <c r="E397" s="312" t="s">
        <v>2605</v>
      </c>
      <c r="F397" s="312" t="s">
        <v>2497</v>
      </c>
      <c r="G397" s="97" t="s">
        <v>3409</v>
      </c>
      <c r="H397" s="97" t="s">
        <v>4025</v>
      </c>
      <c r="I397" s="97" t="s">
        <v>4039</v>
      </c>
      <c r="J397" s="97" t="s">
        <v>4052</v>
      </c>
      <c r="K397" s="17" t="str">
        <f>IFERROR(INDEX(競技会設定!$J$3:$O$47,MATCH(J397,競技会設定!$M$3:$M$47,0),5),"")</f>
        <v>皇學館大</v>
      </c>
      <c r="L397" s="17" t="str">
        <f>IFERROR(INDEX(競技会設定!$J$3:$N$47,MATCH(K397,競技会設定!$N$3:$N$47,0),2),"")</f>
        <v>492185</v>
      </c>
      <c r="M397" s="97" t="s">
        <v>3861</v>
      </c>
      <c r="N397" s="17" t="str">
        <f t="shared" si="19"/>
        <v>KAWASE, Shoya</v>
      </c>
      <c r="O397" s="17" t="str">
        <f t="shared" si="20"/>
        <v>98</v>
      </c>
    </row>
    <row r="398" spans="1:15">
      <c r="A398" s="17" t="str">
        <f t="shared" si="18"/>
        <v>501000397</v>
      </c>
      <c r="B398" s="97">
        <v>397</v>
      </c>
      <c r="C398" s="97" t="s">
        <v>1009</v>
      </c>
      <c r="D398" s="97" t="s">
        <v>1010</v>
      </c>
      <c r="E398" s="312" t="s">
        <v>2606</v>
      </c>
      <c r="F398" s="312" t="s">
        <v>2607</v>
      </c>
      <c r="G398" s="97" t="s">
        <v>3410</v>
      </c>
      <c r="H398" s="97" t="s">
        <v>4025</v>
      </c>
      <c r="I398" s="97" t="s">
        <v>4039</v>
      </c>
      <c r="J398" s="97" t="s">
        <v>4052</v>
      </c>
      <c r="K398" s="17" t="str">
        <f>IFERROR(INDEX(競技会設定!$J$3:$O$47,MATCH(J398,競技会設定!$M$3:$M$47,0),5),"")</f>
        <v>皇學館大</v>
      </c>
      <c r="L398" s="17" t="str">
        <f>IFERROR(INDEX(競技会設定!$J$3:$N$47,MATCH(K398,競技会設定!$N$3:$N$47,0),2),"")</f>
        <v>492185</v>
      </c>
      <c r="M398" s="97" t="s">
        <v>3861</v>
      </c>
      <c r="N398" s="17" t="str">
        <f t="shared" si="19"/>
        <v>KUWAYAMA, Fuya</v>
      </c>
      <c r="O398" s="17" t="str">
        <f t="shared" si="20"/>
        <v>99</v>
      </c>
    </row>
    <row r="399" spans="1:15">
      <c r="A399" s="17" t="str">
        <f t="shared" si="18"/>
        <v>501000398</v>
      </c>
      <c r="B399" s="97">
        <v>398</v>
      </c>
      <c r="C399" s="97" t="s">
        <v>1011</v>
      </c>
      <c r="D399" s="97" t="s">
        <v>1012</v>
      </c>
      <c r="E399" s="312" t="s">
        <v>2608</v>
      </c>
      <c r="F399" s="312" t="s">
        <v>2242</v>
      </c>
      <c r="G399" s="97" t="s">
        <v>3074</v>
      </c>
      <c r="H399" s="97" t="s">
        <v>4025</v>
      </c>
      <c r="I399" s="97" t="s">
        <v>4039</v>
      </c>
      <c r="J399" s="97" t="s">
        <v>4052</v>
      </c>
      <c r="K399" s="17" t="str">
        <f>IFERROR(INDEX(競技会設定!$J$3:$O$47,MATCH(J399,競技会設定!$M$3:$M$47,0),5),"")</f>
        <v>皇學館大</v>
      </c>
      <c r="L399" s="17" t="str">
        <f>IFERROR(INDEX(競技会設定!$J$3:$N$47,MATCH(K399,競技会設定!$N$3:$N$47,0),2),"")</f>
        <v>492185</v>
      </c>
      <c r="M399" s="97" t="s">
        <v>3859</v>
      </c>
      <c r="N399" s="17" t="str">
        <f t="shared" si="19"/>
        <v>TANABE, Hayato</v>
      </c>
      <c r="O399" s="17" t="str">
        <f t="shared" si="20"/>
        <v>98</v>
      </c>
    </row>
    <row r="400" spans="1:15">
      <c r="A400" s="17" t="str">
        <f t="shared" si="18"/>
        <v>501000399</v>
      </c>
      <c r="B400" s="97">
        <v>399</v>
      </c>
      <c r="C400" s="97" t="s">
        <v>1013</v>
      </c>
      <c r="D400" s="97" t="s">
        <v>1014</v>
      </c>
      <c r="E400" s="312" t="s">
        <v>2609</v>
      </c>
      <c r="F400" s="312" t="s">
        <v>2215</v>
      </c>
      <c r="G400" s="97" t="s">
        <v>3411</v>
      </c>
      <c r="H400" s="97" t="s">
        <v>4025</v>
      </c>
      <c r="I400" s="97" t="s">
        <v>4039</v>
      </c>
      <c r="J400" s="97" t="s">
        <v>4052</v>
      </c>
      <c r="K400" s="17" t="str">
        <f>IFERROR(INDEX(競技会設定!$J$3:$O$47,MATCH(J400,競技会設定!$M$3:$M$47,0),5),"")</f>
        <v>皇學館大</v>
      </c>
      <c r="L400" s="17" t="str">
        <f>IFERROR(INDEX(競技会設定!$J$3:$N$47,MATCH(K400,競技会設定!$N$3:$N$47,0),2),"")</f>
        <v>492185</v>
      </c>
      <c r="M400" s="97" t="s">
        <v>3899</v>
      </c>
      <c r="N400" s="17" t="str">
        <f t="shared" si="19"/>
        <v>HIRAYAMA, Hiroto</v>
      </c>
      <c r="O400" s="17" t="str">
        <f t="shared" si="20"/>
        <v>98</v>
      </c>
    </row>
    <row r="401" spans="1:15">
      <c r="A401" s="17" t="str">
        <f t="shared" si="18"/>
        <v>501000400</v>
      </c>
      <c r="B401" s="97">
        <v>400</v>
      </c>
      <c r="C401" s="97" t="s">
        <v>1015</v>
      </c>
      <c r="D401" s="97" t="s">
        <v>1016</v>
      </c>
      <c r="E401" s="312" t="s">
        <v>2610</v>
      </c>
      <c r="F401" s="312" t="s">
        <v>2611</v>
      </c>
      <c r="G401" s="97" t="s">
        <v>3097</v>
      </c>
      <c r="H401" s="97" t="s">
        <v>4025</v>
      </c>
      <c r="I401" s="97" t="s">
        <v>4039</v>
      </c>
      <c r="J401" s="97" t="s">
        <v>4052</v>
      </c>
      <c r="K401" s="17" t="str">
        <f>IFERROR(INDEX(競技会設定!$J$3:$O$47,MATCH(J401,競技会設定!$M$3:$M$47,0),5),"")</f>
        <v>皇學館大</v>
      </c>
      <c r="L401" s="17" t="str">
        <f>IFERROR(INDEX(競技会設定!$J$3:$N$47,MATCH(K401,競技会設定!$N$3:$N$47,0),2),"")</f>
        <v>492185</v>
      </c>
      <c r="M401" s="97" t="s">
        <v>3909</v>
      </c>
      <c r="N401" s="17" t="str">
        <f t="shared" si="19"/>
        <v>MIYAGI, Hibiki</v>
      </c>
      <c r="O401" s="17" t="str">
        <f t="shared" si="20"/>
        <v>98</v>
      </c>
    </row>
    <row r="402" spans="1:15">
      <c r="A402" s="17" t="str">
        <f t="shared" si="18"/>
        <v>501000401</v>
      </c>
      <c r="B402" s="97">
        <v>401</v>
      </c>
      <c r="C402" s="97" t="s">
        <v>1017</v>
      </c>
      <c r="D402" s="97" t="s">
        <v>1018</v>
      </c>
      <c r="E402" s="312" t="s">
        <v>2369</v>
      </c>
      <c r="F402" s="312" t="s">
        <v>2612</v>
      </c>
      <c r="G402" s="97" t="s">
        <v>3127</v>
      </c>
      <c r="H402" s="97" t="s">
        <v>4024</v>
      </c>
      <c r="I402" s="97" t="s">
        <v>4039</v>
      </c>
      <c r="J402" s="97" t="s">
        <v>4052</v>
      </c>
      <c r="K402" s="17" t="str">
        <f>IFERROR(INDEX(競技会設定!$J$3:$O$47,MATCH(J402,競技会設定!$M$3:$M$47,0),5),"")</f>
        <v>皇學館大</v>
      </c>
      <c r="L402" s="17" t="str">
        <f>IFERROR(INDEX(競技会設定!$J$3:$N$47,MATCH(K402,競技会設定!$N$3:$N$47,0),2),"")</f>
        <v>492185</v>
      </c>
      <c r="M402" s="97" t="s">
        <v>3861</v>
      </c>
      <c r="N402" s="17" t="str">
        <f t="shared" si="19"/>
        <v>KATO, Motonori</v>
      </c>
      <c r="O402" s="17" t="str">
        <f t="shared" si="20"/>
        <v>99</v>
      </c>
    </row>
    <row r="403" spans="1:15">
      <c r="A403" s="17" t="str">
        <f t="shared" si="18"/>
        <v>501000402</v>
      </c>
      <c r="B403" s="97">
        <v>402</v>
      </c>
      <c r="C403" s="97" t="s">
        <v>7602</v>
      </c>
      <c r="D403" s="97" t="s">
        <v>1019</v>
      </c>
      <c r="E403" s="312" t="s">
        <v>2566</v>
      </c>
      <c r="F403" s="312" t="s">
        <v>2613</v>
      </c>
      <c r="G403" s="97" t="s">
        <v>3412</v>
      </c>
      <c r="H403" s="97" t="s">
        <v>4024</v>
      </c>
      <c r="I403" s="97" t="s">
        <v>4039</v>
      </c>
      <c r="J403" s="97" t="s">
        <v>4052</v>
      </c>
      <c r="K403" s="17" t="str">
        <f>IFERROR(INDEX(競技会設定!$J$3:$O$47,MATCH(J403,競技会設定!$M$3:$M$47,0),5),"")</f>
        <v>皇學館大</v>
      </c>
      <c r="L403" s="17" t="str">
        <f>IFERROR(INDEX(競技会設定!$J$3:$N$47,MATCH(K403,競技会設定!$N$3:$N$47,0),2),"")</f>
        <v>492185</v>
      </c>
      <c r="M403" s="97" t="s">
        <v>3861</v>
      </c>
      <c r="N403" s="17" t="str">
        <f t="shared" si="19"/>
        <v>SAITO, Kiryu</v>
      </c>
      <c r="O403" s="17" t="str">
        <f t="shared" si="20"/>
        <v>00</v>
      </c>
    </row>
    <row r="404" spans="1:15">
      <c r="A404" s="17" t="str">
        <f t="shared" si="18"/>
        <v>501000403</v>
      </c>
      <c r="B404" s="97">
        <v>403</v>
      </c>
      <c r="C404" s="97" t="s">
        <v>612</v>
      </c>
      <c r="D404" s="97" t="s">
        <v>613</v>
      </c>
      <c r="E404" s="312" t="s">
        <v>2233</v>
      </c>
      <c r="F404" s="312" t="s">
        <v>2497</v>
      </c>
      <c r="G404" s="97" t="s">
        <v>3413</v>
      </c>
      <c r="H404" s="97" t="s">
        <v>4024</v>
      </c>
      <c r="I404" s="97" t="s">
        <v>4039</v>
      </c>
      <c r="J404" s="97" t="s">
        <v>4052</v>
      </c>
      <c r="K404" s="17" t="str">
        <f>IFERROR(INDEX(競技会設定!$J$3:$O$47,MATCH(J404,競技会設定!$M$3:$M$47,0),5),"")</f>
        <v>皇學館大</v>
      </c>
      <c r="L404" s="17" t="str">
        <f>IFERROR(INDEX(競技会設定!$J$3:$N$47,MATCH(K404,競技会設定!$N$3:$N$47,0),2),"")</f>
        <v>492185</v>
      </c>
      <c r="M404" s="97" t="s">
        <v>3857</v>
      </c>
      <c r="N404" s="17" t="str">
        <f t="shared" si="19"/>
        <v>SUZUKI, Shoya</v>
      </c>
      <c r="O404" s="17" t="str">
        <f t="shared" si="20"/>
        <v>99</v>
      </c>
    </row>
    <row r="405" spans="1:15">
      <c r="A405" s="17" t="str">
        <f t="shared" si="18"/>
        <v>501000404</v>
      </c>
      <c r="B405" s="97">
        <v>404</v>
      </c>
      <c r="C405" s="97" t="s">
        <v>1020</v>
      </c>
      <c r="D405" s="97" t="s">
        <v>1021</v>
      </c>
      <c r="E405" s="312" t="s">
        <v>2614</v>
      </c>
      <c r="F405" s="312" t="s">
        <v>2615</v>
      </c>
      <c r="G405" s="97" t="s">
        <v>3107</v>
      </c>
      <c r="H405" s="97" t="s">
        <v>4024</v>
      </c>
      <c r="I405" s="97" t="s">
        <v>4039</v>
      </c>
      <c r="J405" s="97" t="s">
        <v>4052</v>
      </c>
      <c r="K405" s="17" t="str">
        <f>IFERROR(INDEX(競技会設定!$J$3:$O$47,MATCH(J405,競技会設定!$M$3:$M$47,0),5),"")</f>
        <v>皇學館大</v>
      </c>
      <c r="L405" s="17" t="str">
        <f>IFERROR(INDEX(競技会設定!$J$3:$N$47,MATCH(K405,競技会設定!$N$3:$N$47,0),2),"")</f>
        <v>492185</v>
      </c>
      <c r="M405" s="97" t="s">
        <v>3859</v>
      </c>
      <c r="N405" s="17" t="str">
        <f t="shared" si="19"/>
        <v>HARADA, Tsubasa</v>
      </c>
      <c r="O405" s="17" t="str">
        <f t="shared" si="20"/>
        <v>99</v>
      </c>
    </row>
    <row r="406" spans="1:15">
      <c r="A406" s="17" t="str">
        <f t="shared" si="18"/>
        <v>501000405</v>
      </c>
      <c r="B406" s="97">
        <v>405</v>
      </c>
      <c r="C406" s="97" t="s">
        <v>1022</v>
      </c>
      <c r="D406" s="97" t="s">
        <v>1023</v>
      </c>
      <c r="E406" s="312" t="s">
        <v>2528</v>
      </c>
      <c r="F406" s="312" t="s">
        <v>2242</v>
      </c>
      <c r="G406" s="97" t="s">
        <v>3414</v>
      </c>
      <c r="H406" s="97" t="s">
        <v>4024</v>
      </c>
      <c r="I406" s="97" t="s">
        <v>4039</v>
      </c>
      <c r="J406" s="97" t="s">
        <v>4052</v>
      </c>
      <c r="K406" s="17" t="str">
        <f>IFERROR(INDEX(競技会設定!$J$3:$O$47,MATCH(J406,競技会設定!$M$3:$M$47,0),5),"")</f>
        <v>皇學館大</v>
      </c>
      <c r="L406" s="17" t="str">
        <f>IFERROR(INDEX(競技会設定!$J$3:$N$47,MATCH(K406,競技会設定!$N$3:$N$47,0),2),"")</f>
        <v>492185</v>
      </c>
      <c r="M406" s="97" t="s">
        <v>3861</v>
      </c>
      <c r="N406" s="17" t="str">
        <f t="shared" si="19"/>
        <v>MATSUBARA, Hayato</v>
      </c>
      <c r="O406" s="17" t="str">
        <f t="shared" si="20"/>
        <v>99</v>
      </c>
    </row>
    <row r="407" spans="1:15">
      <c r="A407" s="17" t="str">
        <f t="shared" si="18"/>
        <v>501000406</v>
      </c>
      <c r="B407" s="97">
        <v>406</v>
      </c>
      <c r="C407" s="97" t="s">
        <v>1024</v>
      </c>
      <c r="D407" s="97" t="s">
        <v>1025</v>
      </c>
      <c r="E407" s="312" t="s">
        <v>2616</v>
      </c>
      <c r="F407" s="312" t="s">
        <v>2131</v>
      </c>
      <c r="G407" s="97" t="s">
        <v>3415</v>
      </c>
      <c r="H407" s="97" t="s">
        <v>4026</v>
      </c>
      <c r="I407" s="97" t="s">
        <v>4039</v>
      </c>
      <c r="J407" s="97" t="s">
        <v>4052</v>
      </c>
      <c r="K407" s="17" t="str">
        <f>IFERROR(INDEX(競技会設定!$J$3:$O$47,MATCH(J407,競技会設定!$M$3:$M$47,0),5),"")</f>
        <v>皇學館大</v>
      </c>
      <c r="L407" s="17" t="str">
        <f>IFERROR(INDEX(競技会設定!$J$3:$N$47,MATCH(K407,競技会設定!$N$3:$N$47,0),2),"")</f>
        <v>492185</v>
      </c>
      <c r="M407" s="97" t="s">
        <v>3857</v>
      </c>
      <c r="N407" s="17" t="str">
        <f t="shared" si="19"/>
        <v>SASATAKE, Haruki</v>
      </c>
      <c r="O407" s="17" t="str">
        <f t="shared" si="20"/>
        <v>00</v>
      </c>
    </row>
    <row r="408" spans="1:15">
      <c r="A408" s="17" t="str">
        <f t="shared" si="18"/>
        <v>501000407</v>
      </c>
      <c r="B408" s="97">
        <v>407</v>
      </c>
      <c r="C408" s="97" t="s">
        <v>1026</v>
      </c>
      <c r="D408" s="97" t="s">
        <v>1027</v>
      </c>
      <c r="E408" s="312" t="s">
        <v>2617</v>
      </c>
      <c r="F408" s="312" t="s">
        <v>2618</v>
      </c>
      <c r="G408" s="97" t="s">
        <v>3416</v>
      </c>
      <c r="H408" s="97" t="s">
        <v>4026</v>
      </c>
      <c r="I408" s="97" t="s">
        <v>4039</v>
      </c>
      <c r="J408" s="97" t="s">
        <v>4052</v>
      </c>
      <c r="K408" s="17" t="str">
        <f>IFERROR(INDEX(競技会設定!$J$3:$O$47,MATCH(J408,競技会設定!$M$3:$M$47,0),5),"")</f>
        <v>皇學館大</v>
      </c>
      <c r="L408" s="17" t="str">
        <f>IFERROR(INDEX(競技会設定!$J$3:$N$47,MATCH(K408,競技会設定!$N$3:$N$47,0),2),"")</f>
        <v>492185</v>
      </c>
      <c r="M408" s="97" t="s">
        <v>3861</v>
      </c>
      <c r="N408" s="17" t="str">
        <f t="shared" si="19"/>
        <v>SHIBATA, Ryuichi</v>
      </c>
      <c r="O408" s="17" t="str">
        <f t="shared" si="20"/>
        <v>00</v>
      </c>
    </row>
    <row r="409" spans="1:15">
      <c r="A409" s="17" t="str">
        <f t="shared" si="18"/>
        <v>501000408</v>
      </c>
      <c r="B409" s="97">
        <v>408</v>
      </c>
      <c r="C409" s="97" t="s">
        <v>1028</v>
      </c>
      <c r="D409" s="97" t="s">
        <v>1029</v>
      </c>
      <c r="E409" s="312" t="s">
        <v>2619</v>
      </c>
      <c r="F409" s="312" t="s">
        <v>2234</v>
      </c>
      <c r="G409" s="97" t="s">
        <v>3417</v>
      </c>
      <c r="H409" s="97" t="s">
        <v>4026</v>
      </c>
      <c r="I409" s="97" t="s">
        <v>4039</v>
      </c>
      <c r="J409" s="97" t="s">
        <v>4052</v>
      </c>
      <c r="K409" s="17" t="str">
        <f>IFERROR(INDEX(競技会設定!$J$3:$O$47,MATCH(J409,競技会設定!$M$3:$M$47,0),5),"")</f>
        <v>皇學館大</v>
      </c>
      <c r="L409" s="17" t="str">
        <f>IFERROR(INDEX(競技会設定!$J$3:$N$47,MATCH(K409,競技会設定!$N$3:$N$47,0),2),"")</f>
        <v>492185</v>
      </c>
      <c r="M409" s="97" t="s">
        <v>3861</v>
      </c>
      <c r="N409" s="17" t="str">
        <f t="shared" si="19"/>
        <v>SHIMOMURA, Yuto</v>
      </c>
      <c r="O409" s="17" t="str">
        <f t="shared" si="20"/>
        <v>00</v>
      </c>
    </row>
    <row r="410" spans="1:15">
      <c r="A410" s="17" t="str">
        <f t="shared" si="18"/>
        <v>501000409</v>
      </c>
      <c r="B410" s="97">
        <v>409</v>
      </c>
      <c r="C410" s="97" t="s">
        <v>1030</v>
      </c>
      <c r="D410" s="97" t="s">
        <v>1031</v>
      </c>
      <c r="E410" s="312" t="s">
        <v>2620</v>
      </c>
      <c r="F410" s="312" t="s">
        <v>2621</v>
      </c>
      <c r="G410" s="97" t="s">
        <v>3418</v>
      </c>
      <c r="H410" s="97" t="s">
        <v>4026</v>
      </c>
      <c r="I410" s="97" t="s">
        <v>4039</v>
      </c>
      <c r="J410" s="97" t="s">
        <v>4052</v>
      </c>
      <c r="K410" s="17" t="str">
        <f>IFERROR(INDEX(競技会設定!$J$3:$O$47,MATCH(J410,競技会設定!$M$3:$M$47,0),5),"")</f>
        <v>皇學館大</v>
      </c>
      <c r="L410" s="17" t="str">
        <f>IFERROR(INDEX(競技会設定!$J$3:$N$47,MATCH(K410,競技会設定!$N$3:$N$47,0),2),"")</f>
        <v>492185</v>
      </c>
      <c r="M410" s="97" t="s">
        <v>3859</v>
      </c>
      <c r="N410" s="17" t="str">
        <f t="shared" si="19"/>
        <v>TAKEUCHI, Keiichiro</v>
      </c>
      <c r="O410" s="17" t="str">
        <f t="shared" si="20"/>
        <v>00</v>
      </c>
    </row>
    <row r="411" spans="1:15">
      <c r="A411" s="17" t="str">
        <f t="shared" si="18"/>
        <v>501000410</v>
      </c>
      <c r="B411" s="97">
        <v>410</v>
      </c>
      <c r="C411" s="97" t="s">
        <v>1032</v>
      </c>
      <c r="D411" s="97" t="s">
        <v>1033</v>
      </c>
      <c r="E411" s="312" t="s">
        <v>2622</v>
      </c>
      <c r="F411" s="312" t="s">
        <v>2153</v>
      </c>
      <c r="G411" s="97" t="s">
        <v>3419</v>
      </c>
      <c r="H411" s="97" t="s">
        <v>4026</v>
      </c>
      <c r="I411" s="97" t="s">
        <v>4039</v>
      </c>
      <c r="J411" s="97" t="s">
        <v>4052</v>
      </c>
      <c r="K411" s="17" t="str">
        <f>IFERROR(INDEX(競技会設定!$J$3:$O$47,MATCH(J411,競技会設定!$M$3:$M$47,0),5),"")</f>
        <v>皇學館大</v>
      </c>
      <c r="L411" s="17" t="str">
        <f>IFERROR(INDEX(競技会設定!$J$3:$N$47,MATCH(K411,競技会設定!$N$3:$N$47,0),2),"")</f>
        <v>492185</v>
      </c>
      <c r="M411" s="97" t="s">
        <v>3859</v>
      </c>
      <c r="N411" s="17" t="str">
        <f t="shared" si="19"/>
        <v>DOHI, Kota</v>
      </c>
      <c r="O411" s="17" t="str">
        <f t="shared" si="20"/>
        <v>00</v>
      </c>
    </row>
    <row r="412" spans="1:15">
      <c r="A412" s="17" t="str">
        <f t="shared" si="18"/>
        <v>501000411</v>
      </c>
      <c r="B412" s="97">
        <v>411</v>
      </c>
      <c r="C412" s="97" t="s">
        <v>1034</v>
      </c>
      <c r="D412" s="97" t="s">
        <v>1035</v>
      </c>
      <c r="E412" s="312" t="s">
        <v>2623</v>
      </c>
      <c r="F412" s="312" t="s">
        <v>2624</v>
      </c>
      <c r="G412" s="97" t="s">
        <v>3420</v>
      </c>
      <c r="H412" s="97" t="s">
        <v>4026</v>
      </c>
      <c r="I412" s="97" t="s">
        <v>4039</v>
      </c>
      <c r="J412" s="97" t="s">
        <v>4052</v>
      </c>
      <c r="K412" s="17" t="str">
        <f>IFERROR(INDEX(競技会設定!$J$3:$O$47,MATCH(J412,競技会設定!$M$3:$M$47,0),5),"")</f>
        <v>皇學館大</v>
      </c>
      <c r="L412" s="17" t="str">
        <f>IFERROR(INDEX(競技会設定!$J$3:$N$47,MATCH(K412,競技会設定!$N$3:$N$47,0),2),"")</f>
        <v>492185</v>
      </c>
      <c r="M412" s="97" t="s">
        <v>3859</v>
      </c>
      <c r="N412" s="17" t="str">
        <f t="shared" si="19"/>
        <v>HANAI, Shusuke</v>
      </c>
      <c r="O412" s="17" t="str">
        <f t="shared" si="20"/>
        <v>00</v>
      </c>
    </row>
    <row r="413" spans="1:15">
      <c r="A413" s="17" t="str">
        <f t="shared" si="18"/>
        <v>501000412</v>
      </c>
      <c r="B413" s="97">
        <v>412</v>
      </c>
      <c r="C413" s="97" t="s">
        <v>1036</v>
      </c>
      <c r="D413" s="97" t="s">
        <v>1037</v>
      </c>
      <c r="E413" s="312" t="s">
        <v>2625</v>
      </c>
      <c r="F413" s="312" t="s">
        <v>2626</v>
      </c>
      <c r="G413" s="97" t="s">
        <v>3421</v>
      </c>
      <c r="H413" s="97" t="s">
        <v>4026</v>
      </c>
      <c r="I413" s="97" t="s">
        <v>4039</v>
      </c>
      <c r="J413" s="97" t="s">
        <v>4052</v>
      </c>
      <c r="K413" s="17" t="str">
        <f>IFERROR(INDEX(競技会設定!$J$3:$O$47,MATCH(J413,競技会設定!$M$3:$M$47,0),5),"")</f>
        <v>皇學館大</v>
      </c>
      <c r="L413" s="17" t="str">
        <f>IFERROR(INDEX(競技会設定!$J$3:$N$47,MATCH(K413,競技会設定!$N$3:$N$47,0),2),"")</f>
        <v>492185</v>
      </c>
      <c r="M413" s="97" t="s">
        <v>3899</v>
      </c>
      <c r="N413" s="17" t="str">
        <f t="shared" si="19"/>
        <v>MIYANO, Renya</v>
      </c>
      <c r="O413" s="17" t="str">
        <f t="shared" si="20"/>
        <v>00</v>
      </c>
    </row>
    <row r="414" spans="1:15">
      <c r="A414" s="17" t="str">
        <f t="shared" si="18"/>
        <v>501000413</v>
      </c>
      <c r="B414" s="97">
        <v>413</v>
      </c>
      <c r="C414" s="97" t="s">
        <v>1038</v>
      </c>
      <c r="D414" s="97" t="s">
        <v>1039</v>
      </c>
      <c r="E414" s="312" t="s">
        <v>2627</v>
      </c>
      <c r="F414" s="312" t="s">
        <v>2293</v>
      </c>
      <c r="G414" s="97" t="s">
        <v>3422</v>
      </c>
      <c r="H414" s="97" t="s">
        <v>4026</v>
      </c>
      <c r="I414" s="97" t="s">
        <v>4039</v>
      </c>
      <c r="J414" s="97" t="s">
        <v>4052</v>
      </c>
      <c r="K414" s="17" t="str">
        <f>IFERROR(INDEX(競技会設定!$J$3:$O$47,MATCH(J414,競技会設定!$M$3:$M$47,0),5),"")</f>
        <v>皇學館大</v>
      </c>
      <c r="L414" s="17" t="str">
        <f>IFERROR(INDEX(競技会設定!$J$3:$N$47,MATCH(K414,競技会設定!$N$3:$N$47,0),2),"")</f>
        <v>492185</v>
      </c>
      <c r="M414" s="97" t="s">
        <v>3861</v>
      </c>
      <c r="N414" s="17" t="str">
        <f t="shared" si="19"/>
        <v>MIYAMOTO, Koki</v>
      </c>
      <c r="O414" s="17" t="str">
        <f t="shared" si="20"/>
        <v>00</v>
      </c>
    </row>
    <row r="415" spans="1:15">
      <c r="A415" s="17" t="str">
        <f t="shared" si="18"/>
        <v>501000414</v>
      </c>
      <c r="B415" s="97">
        <v>414</v>
      </c>
      <c r="C415" s="97" t="s">
        <v>1040</v>
      </c>
      <c r="D415" s="97" t="s">
        <v>1041</v>
      </c>
      <c r="E415" s="312" t="s">
        <v>2628</v>
      </c>
      <c r="F415" s="312" t="s">
        <v>2629</v>
      </c>
      <c r="G415" s="97" t="s">
        <v>3423</v>
      </c>
      <c r="H415" s="97" t="s">
        <v>4026</v>
      </c>
      <c r="I415" s="97" t="s">
        <v>4039</v>
      </c>
      <c r="J415" s="97" t="s">
        <v>4052</v>
      </c>
      <c r="K415" s="17" t="str">
        <f>IFERROR(INDEX(競技会設定!$J$3:$O$47,MATCH(J415,競技会設定!$M$3:$M$47,0),5),"")</f>
        <v>皇學館大</v>
      </c>
      <c r="L415" s="17" t="str">
        <f>IFERROR(INDEX(競技会設定!$J$3:$N$47,MATCH(K415,競技会設定!$N$3:$N$47,0),2),"")</f>
        <v>492185</v>
      </c>
      <c r="M415" s="97" t="s">
        <v>3861</v>
      </c>
      <c r="N415" s="17" t="str">
        <f t="shared" si="19"/>
        <v>MURAI , Koyo</v>
      </c>
      <c r="O415" s="17" t="str">
        <f t="shared" si="20"/>
        <v>01</v>
      </c>
    </row>
    <row r="416" spans="1:15">
      <c r="A416" s="17" t="str">
        <f t="shared" si="18"/>
        <v>501000415</v>
      </c>
      <c r="B416" s="97">
        <v>415</v>
      </c>
      <c r="C416" s="97" t="s">
        <v>1042</v>
      </c>
      <c r="D416" s="97" t="s">
        <v>1043</v>
      </c>
      <c r="E416" s="312" t="s">
        <v>2400</v>
      </c>
      <c r="F416" s="312" t="s">
        <v>2137</v>
      </c>
      <c r="G416" s="97" t="s">
        <v>3424</v>
      </c>
      <c r="H416" s="97" t="s">
        <v>4031</v>
      </c>
      <c r="I416" s="97" t="s">
        <v>4039</v>
      </c>
      <c r="J416" s="97" t="s">
        <v>4053</v>
      </c>
      <c r="K416" s="17" t="str">
        <f>IFERROR(INDEX(競技会設定!$J$3:$O$47,MATCH(J416,競技会設定!$M$3:$M$47,0),5),"")</f>
        <v>豊田工業高専</v>
      </c>
      <c r="L416" s="17" t="str">
        <f>IFERROR(INDEX(競技会設定!$J$3:$N$47,MATCH(K416,競技会設定!$N$3:$N$47,0),2),"")</f>
        <v>496025</v>
      </c>
      <c r="M416" s="97" t="s">
        <v>3859</v>
      </c>
      <c r="N416" s="17" t="str">
        <f t="shared" si="19"/>
        <v>MIYAGAWA, Ryota</v>
      </c>
      <c r="O416" s="17" t="str">
        <f t="shared" si="20"/>
        <v>00</v>
      </c>
    </row>
    <row r="417" spans="1:15">
      <c r="A417" s="17" t="str">
        <f t="shared" si="18"/>
        <v>501000416</v>
      </c>
      <c r="B417" s="97">
        <v>416</v>
      </c>
      <c r="C417" s="97" t="s">
        <v>1044</v>
      </c>
      <c r="D417" s="97" t="s">
        <v>1045</v>
      </c>
      <c r="E417" s="312" t="s">
        <v>2630</v>
      </c>
      <c r="F417" s="312" t="s">
        <v>2141</v>
      </c>
      <c r="G417" s="97" t="s">
        <v>3425</v>
      </c>
      <c r="H417" s="97" t="s">
        <v>4031</v>
      </c>
      <c r="I417" s="97" t="s">
        <v>4039</v>
      </c>
      <c r="J417" s="97" t="s">
        <v>4053</v>
      </c>
      <c r="K417" s="17" t="str">
        <f>IFERROR(INDEX(競技会設定!$J$3:$O$47,MATCH(J417,競技会設定!$M$3:$M$47,0),5),"")</f>
        <v>豊田工業高専</v>
      </c>
      <c r="L417" s="17" t="str">
        <f>IFERROR(INDEX(競技会設定!$J$3:$N$47,MATCH(K417,競技会設定!$N$3:$N$47,0),2),"")</f>
        <v>496025</v>
      </c>
      <c r="M417" s="97" t="s">
        <v>3859</v>
      </c>
      <c r="N417" s="17" t="str">
        <f t="shared" si="19"/>
        <v>TSUTSUI, Tomoya</v>
      </c>
      <c r="O417" s="17" t="str">
        <f t="shared" si="20"/>
        <v>99</v>
      </c>
    </row>
    <row r="418" spans="1:15">
      <c r="A418" s="17" t="str">
        <f t="shared" si="18"/>
        <v>501000417</v>
      </c>
      <c r="B418" s="97">
        <v>417</v>
      </c>
      <c r="C418" s="97" t="s">
        <v>1046</v>
      </c>
      <c r="D418" s="97" t="s">
        <v>1047</v>
      </c>
      <c r="E418" s="312" t="s">
        <v>2589</v>
      </c>
      <c r="F418" s="312" t="s">
        <v>2631</v>
      </c>
      <c r="G418" s="97" t="s">
        <v>3426</v>
      </c>
      <c r="H418" s="97" t="s">
        <v>4031</v>
      </c>
      <c r="I418" s="97" t="s">
        <v>4039</v>
      </c>
      <c r="J418" s="97" t="s">
        <v>4053</v>
      </c>
      <c r="K418" s="17" t="str">
        <f>IFERROR(INDEX(競技会設定!$J$3:$O$47,MATCH(J418,競技会設定!$M$3:$M$47,0),5),"")</f>
        <v>豊田工業高専</v>
      </c>
      <c r="L418" s="17" t="str">
        <f>IFERROR(INDEX(競技会設定!$J$3:$N$47,MATCH(K418,競技会設定!$N$3:$N$47,0),2),"")</f>
        <v>496025</v>
      </c>
      <c r="M418" s="97" t="s">
        <v>3859</v>
      </c>
      <c r="N418" s="17" t="str">
        <f t="shared" si="19"/>
        <v>SAKAI, Katsumi</v>
      </c>
      <c r="O418" s="17" t="str">
        <f t="shared" si="20"/>
        <v>00</v>
      </c>
    </row>
    <row r="419" spans="1:15">
      <c r="A419" s="17" t="str">
        <f t="shared" si="18"/>
        <v>501000418</v>
      </c>
      <c r="B419" s="97">
        <v>418</v>
      </c>
      <c r="C419" s="97" t="s">
        <v>1048</v>
      </c>
      <c r="D419" s="97" t="s">
        <v>1049</v>
      </c>
      <c r="E419" s="312" t="s">
        <v>2632</v>
      </c>
      <c r="F419" s="312" t="s">
        <v>2633</v>
      </c>
      <c r="G419" s="97" t="s">
        <v>3427</v>
      </c>
      <c r="H419" s="97" t="s">
        <v>4031</v>
      </c>
      <c r="I419" s="97" t="s">
        <v>4039</v>
      </c>
      <c r="J419" s="97" t="s">
        <v>4053</v>
      </c>
      <c r="K419" s="17" t="str">
        <f>IFERROR(INDEX(競技会設定!$J$3:$O$47,MATCH(J419,競技会設定!$M$3:$M$47,0),5),"")</f>
        <v>豊田工業高専</v>
      </c>
      <c r="L419" s="17" t="str">
        <f>IFERROR(INDEX(競技会設定!$J$3:$N$47,MATCH(K419,競技会設定!$N$3:$N$47,0),2),"")</f>
        <v>496025</v>
      </c>
      <c r="M419" s="97" t="s">
        <v>3859</v>
      </c>
      <c r="N419" s="17" t="str">
        <f t="shared" si="19"/>
        <v>YAMANAKA, Masahumi</v>
      </c>
      <c r="O419" s="17" t="str">
        <f t="shared" si="20"/>
        <v>00</v>
      </c>
    </row>
    <row r="420" spans="1:15">
      <c r="A420" s="17" t="str">
        <f t="shared" si="18"/>
        <v>501000419</v>
      </c>
      <c r="B420" s="97">
        <v>419</v>
      </c>
      <c r="C420" s="97" t="s">
        <v>1050</v>
      </c>
      <c r="D420" s="97" t="s">
        <v>1051</v>
      </c>
      <c r="E420" s="312" t="s">
        <v>2444</v>
      </c>
      <c r="F420" s="312" t="s">
        <v>2149</v>
      </c>
      <c r="G420" s="97" t="s">
        <v>3428</v>
      </c>
      <c r="H420" s="97" t="s">
        <v>4031</v>
      </c>
      <c r="I420" s="97" t="s">
        <v>4039</v>
      </c>
      <c r="J420" s="97" t="s">
        <v>4053</v>
      </c>
      <c r="K420" s="17" t="str">
        <f>IFERROR(INDEX(競技会設定!$J$3:$O$47,MATCH(J420,競技会設定!$M$3:$M$47,0),5),"")</f>
        <v>豊田工業高専</v>
      </c>
      <c r="L420" s="17" t="str">
        <f>IFERROR(INDEX(競技会設定!$J$3:$N$47,MATCH(K420,競技会設定!$N$3:$N$47,0),2),"")</f>
        <v>496025</v>
      </c>
      <c r="M420" s="97" t="s">
        <v>3859</v>
      </c>
      <c r="N420" s="17" t="str">
        <f t="shared" si="19"/>
        <v>SUMI, Ryo</v>
      </c>
      <c r="O420" s="17" t="str">
        <f t="shared" si="20"/>
        <v>00</v>
      </c>
    </row>
    <row r="421" spans="1:15">
      <c r="A421" s="17" t="str">
        <f t="shared" si="18"/>
        <v>501000420</v>
      </c>
      <c r="B421" s="97">
        <v>420</v>
      </c>
      <c r="C421" s="97" t="s">
        <v>1052</v>
      </c>
      <c r="D421" s="97" t="s">
        <v>1053</v>
      </c>
      <c r="E421" s="312" t="s">
        <v>2580</v>
      </c>
      <c r="F421" s="312" t="s">
        <v>2634</v>
      </c>
      <c r="G421" s="97" t="s">
        <v>3346</v>
      </c>
      <c r="H421" s="97" t="s">
        <v>4031</v>
      </c>
      <c r="I421" s="97" t="s">
        <v>4039</v>
      </c>
      <c r="J421" s="97" t="s">
        <v>4053</v>
      </c>
      <c r="K421" s="17" t="str">
        <f>IFERROR(INDEX(競技会設定!$J$3:$O$47,MATCH(J421,競技会設定!$M$3:$M$47,0),5),"")</f>
        <v>豊田工業高専</v>
      </c>
      <c r="L421" s="17" t="str">
        <f>IFERROR(INDEX(競技会設定!$J$3:$N$47,MATCH(K421,競技会設定!$N$3:$N$47,0),2),"")</f>
        <v>496025</v>
      </c>
      <c r="M421" s="97" t="s">
        <v>3859</v>
      </c>
      <c r="N421" s="17" t="str">
        <f t="shared" si="19"/>
        <v>NAKANISHI, Hinata</v>
      </c>
      <c r="O421" s="17" t="str">
        <f t="shared" si="20"/>
        <v>00</v>
      </c>
    </row>
    <row r="422" spans="1:15">
      <c r="A422" s="17" t="str">
        <f t="shared" si="18"/>
        <v>501000421</v>
      </c>
      <c r="B422" s="97">
        <v>421</v>
      </c>
      <c r="C422" s="97" t="s">
        <v>1054</v>
      </c>
      <c r="D422" s="97" t="s">
        <v>1055</v>
      </c>
      <c r="E422" s="312" t="s">
        <v>2635</v>
      </c>
      <c r="F422" s="312" t="s">
        <v>2310</v>
      </c>
      <c r="G422" s="97" t="s">
        <v>3349</v>
      </c>
      <c r="H422" s="97" t="s">
        <v>4025</v>
      </c>
      <c r="I422" s="97" t="s">
        <v>4039</v>
      </c>
      <c r="J422" s="97" t="s">
        <v>4053</v>
      </c>
      <c r="K422" s="17" t="str">
        <f>IFERROR(INDEX(競技会設定!$J$3:$O$47,MATCH(J422,競技会設定!$M$3:$M$47,0),5),"")</f>
        <v>豊田工業高専</v>
      </c>
      <c r="L422" s="17" t="str">
        <f>IFERROR(INDEX(競技会設定!$J$3:$N$47,MATCH(K422,競技会設定!$N$3:$N$47,0),2),"")</f>
        <v>496025</v>
      </c>
      <c r="M422" s="97" t="s">
        <v>3859</v>
      </c>
      <c r="N422" s="17" t="str">
        <f t="shared" si="19"/>
        <v>KURACHI, Yuito</v>
      </c>
      <c r="O422" s="17" t="str">
        <f t="shared" si="20"/>
        <v>01</v>
      </c>
    </row>
    <row r="423" spans="1:15">
      <c r="A423" s="17" t="str">
        <f t="shared" si="18"/>
        <v>501000422</v>
      </c>
      <c r="B423" s="97">
        <v>422</v>
      </c>
      <c r="C423" s="97" t="s">
        <v>1056</v>
      </c>
      <c r="D423" s="97" t="s">
        <v>1057</v>
      </c>
      <c r="E423" s="312" t="s">
        <v>2259</v>
      </c>
      <c r="F423" s="312" t="s">
        <v>2486</v>
      </c>
      <c r="G423" s="97" t="s">
        <v>3429</v>
      </c>
      <c r="H423" s="97" t="s">
        <v>4025</v>
      </c>
      <c r="I423" s="97" t="s">
        <v>4039</v>
      </c>
      <c r="J423" s="97" t="s">
        <v>4053</v>
      </c>
      <c r="K423" s="17" t="str">
        <f>IFERROR(INDEX(競技会設定!$J$3:$O$47,MATCH(J423,競技会設定!$M$3:$M$47,0),5),"")</f>
        <v>豊田工業高専</v>
      </c>
      <c r="L423" s="17" t="str">
        <f>IFERROR(INDEX(競技会設定!$J$3:$N$47,MATCH(K423,競技会設定!$N$3:$N$47,0),2),"")</f>
        <v>496025</v>
      </c>
      <c r="M423" s="97" t="s">
        <v>3859</v>
      </c>
      <c r="N423" s="17" t="str">
        <f t="shared" si="19"/>
        <v>YAMAMOTO, Shunsuke</v>
      </c>
      <c r="O423" s="17" t="str">
        <f t="shared" si="20"/>
        <v>02</v>
      </c>
    </row>
    <row r="424" spans="1:15">
      <c r="A424" s="17" t="str">
        <f t="shared" si="18"/>
        <v>501000423</v>
      </c>
      <c r="B424" s="97">
        <v>423</v>
      </c>
      <c r="C424" s="97" t="s">
        <v>1058</v>
      </c>
      <c r="D424" s="97" t="s">
        <v>1059</v>
      </c>
      <c r="E424" s="312" t="s">
        <v>2369</v>
      </c>
      <c r="F424" s="312" t="s">
        <v>2636</v>
      </c>
      <c r="G424" s="97" t="s">
        <v>3430</v>
      </c>
      <c r="H424" s="97" t="s">
        <v>4025</v>
      </c>
      <c r="I424" s="97" t="s">
        <v>4039</v>
      </c>
      <c r="J424" s="97" t="s">
        <v>4053</v>
      </c>
      <c r="K424" s="17" t="str">
        <f>IFERROR(INDEX(競技会設定!$J$3:$O$47,MATCH(J424,競技会設定!$M$3:$M$47,0),5),"")</f>
        <v>豊田工業高専</v>
      </c>
      <c r="L424" s="17" t="str">
        <f>IFERROR(INDEX(競技会設定!$J$3:$N$47,MATCH(K424,競技会設定!$N$3:$N$47,0),2),"")</f>
        <v>496025</v>
      </c>
      <c r="M424" s="97" t="s">
        <v>3859</v>
      </c>
      <c r="N424" s="17" t="str">
        <f t="shared" si="19"/>
        <v>KATO, Tatsuki</v>
      </c>
      <c r="O424" s="17" t="str">
        <f t="shared" si="20"/>
        <v>00</v>
      </c>
    </row>
    <row r="425" spans="1:15">
      <c r="A425" s="17" t="str">
        <f t="shared" si="18"/>
        <v>501000424</v>
      </c>
      <c r="B425" s="97">
        <v>424</v>
      </c>
      <c r="C425" s="97" t="s">
        <v>1060</v>
      </c>
      <c r="D425" s="97" t="s">
        <v>1061</v>
      </c>
      <c r="E425" s="312" t="s">
        <v>2577</v>
      </c>
      <c r="F425" s="312" t="s">
        <v>2637</v>
      </c>
      <c r="G425" s="97" t="s">
        <v>3431</v>
      </c>
      <c r="H425" s="97" t="s">
        <v>4025</v>
      </c>
      <c r="I425" s="97" t="s">
        <v>4039</v>
      </c>
      <c r="J425" s="97" t="s">
        <v>4053</v>
      </c>
      <c r="K425" s="17" t="str">
        <f>IFERROR(INDEX(競技会設定!$J$3:$O$47,MATCH(J425,競技会設定!$M$3:$M$47,0),5),"")</f>
        <v>豊田工業高専</v>
      </c>
      <c r="L425" s="17" t="str">
        <f>IFERROR(INDEX(競技会設定!$J$3:$N$47,MATCH(K425,競技会設定!$N$3:$N$47,0),2),"")</f>
        <v>496025</v>
      </c>
      <c r="M425" s="97" t="s">
        <v>3859</v>
      </c>
      <c r="N425" s="17" t="str">
        <f t="shared" si="19"/>
        <v>HONDA, Kento</v>
      </c>
      <c r="O425" s="17" t="str">
        <f t="shared" si="20"/>
        <v>02</v>
      </c>
    </row>
    <row r="426" spans="1:15">
      <c r="A426" s="17" t="str">
        <f t="shared" si="18"/>
        <v>501000425</v>
      </c>
      <c r="B426" s="97">
        <v>425</v>
      </c>
      <c r="C426" s="97" t="s">
        <v>1062</v>
      </c>
      <c r="D426" s="97" t="s">
        <v>1063</v>
      </c>
      <c r="E426" s="312" t="s">
        <v>2638</v>
      </c>
      <c r="F426" s="312" t="s">
        <v>2639</v>
      </c>
      <c r="G426" s="97" t="s">
        <v>3432</v>
      </c>
      <c r="H426" s="97" t="s">
        <v>4025</v>
      </c>
      <c r="I426" s="97" t="s">
        <v>4039</v>
      </c>
      <c r="J426" s="97" t="s">
        <v>4054</v>
      </c>
      <c r="K426" s="17" t="str">
        <f>IFERROR(INDEX(競技会設定!$J$3:$O$47,MATCH(J426,競技会設定!$M$3:$M$47,0),5),"")</f>
        <v>三重大</v>
      </c>
      <c r="L426" s="17" t="str">
        <f>IFERROR(INDEX(競技会設定!$J$3:$N$47,MATCH(K426,競技会設定!$N$3:$N$47,0),2),"")</f>
        <v>490046</v>
      </c>
      <c r="M426" s="97" t="s">
        <v>3861</v>
      </c>
      <c r="N426" s="17" t="str">
        <f t="shared" si="19"/>
        <v>TAKEMURA, Soma</v>
      </c>
      <c r="O426" s="17" t="str">
        <f t="shared" si="20"/>
        <v>98</v>
      </c>
    </row>
    <row r="427" spans="1:15">
      <c r="A427" s="17" t="str">
        <f t="shared" si="18"/>
        <v>501000426</v>
      </c>
      <c r="B427" s="97">
        <v>426</v>
      </c>
      <c r="C427" s="97" t="s">
        <v>1064</v>
      </c>
      <c r="D427" s="97" t="s">
        <v>1065</v>
      </c>
      <c r="E427" s="312" t="s">
        <v>2640</v>
      </c>
      <c r="F427" s="312" t="s">
        <v>2437</v>
      </c>
      <c r="G427" s="97" t="s">
        <v>3433</v>
      </c>
      <c r="H427" s="97" t="s">
        <v>4024</v>
      </c>
      <c r="I427" s="97" t="s">
        <v>4039</v>
      </c>
      <c r="J427" s="97" t="s">
        <v>4054</v>
      </c>
      <c r="K427" s="17" t="str">
        <f>IFERROR(INDEX(競技会設定!$J$3:$O$47,MATCH(J427,競技会設定!$M$3:$M$47,0),5),"")</f>
        <v>三重大</v>
      </c>
      <c r="L427" s="17" t="str">
        <f>IFERROR(INDEX(競技会設定!$J$3:$N$47,MATCH(K427,競技会設定!$N$3:$N$47,0),2),"")</f>
        <v>490046</v>
      </c>
      <c r="M427" s="97" t="s">
        <v>3861</v>
      </c>
      <c r="N427" s="17" t="str">
        <f t="shared" si="19"/>
        <v>SAKAGUCHI, Taiga</v>
      </c>
      <c r="O427" s="17" t="str">
        <f t="shared" si="20"/>
        <v>00</v>
      </c>
    </row>
    <row r="428" spans="1:15">
      <c r="A428" s="17" t="str">
        <f t="shared" si="18"/>
        <v>501000427</v>
      </c>
      <c r="B428" s="97">
        <v>427</v>
      </c>
      <c r="C428" s="97" t="s">
        <v>1066</v>
      </c>
      <c r="D428" s="97" t="s">
        <v>1067</v>
      </c>
      <c r="E428" s="312" t="s">
        <v>2641</v>
      </c>
      <c r="F428" s="312" t="s">
        <v>2247</v>
      </c>
      <c r="G428" s="97" t="s">
        <v>3416</v>
      </c>
      <c r="H428" s="97" t="s">
        <v>4026</v>
      </c>
      <c r="I428" s="97" t="s">
        <v>4039</v>
      </c>
      <c r="J428" s="97" t="s">
        <v>4054</v>
      </c>
      <c r="K428" s="17" t="str">
        <f>IFERROR(INDEX(競技会設定!$J$3:$O$47,MATCH(J428,競技会設定!$M$3:$M$47,0),5),"")</f>
        <v>三重大</v>
      </c>
      <c r="L428" s="17" t="str">
        <f>IFERROR(INDEX(競技会設定!$J$3:$N$47,MATCH(K428,競技会設定!$N$3:$N$47,0),2),"")</f>
        <v>490046</v>
      </c>
      <c r="M428" s="97" t="s">
        <v>3861</v>
      </c>
      <c r="N428" s="17" t="str">
        <f t="shared" si="19"/>
        <v>IKEUCHI, Keigo</v>
      </c>
      <c r="O428" s="17" t="str">
        <f t="shared" si="20"/>
        <v>00</v>
      </c>
    </row>
    <row r="429" spans="1:15">
      <c r="A429" s="17" t="str">
        <f t="shared" si="18"/>
        <v>501000428</v>
      </c>
      <c r="B429" s="97">
        <v>428</v>
      </c>
      <c r="C429" s="97" t="s">
        <v>1068</v>
      </c>
      <c r="D429" s="97" t="s">
        <v>1069</v>
      </c>
      <c r="E429" s="312" t="s">
        <v>2642</v>
      </c>
      <c r="F429" s="312" t="s">
        <v>2643</v>
      </c>
      <c r="G429" s="97" t="s">
        <v>3434</v>
      </c>
      <c r="H429" s="97" t="s">
        <v>4026</v>
      </c>
      <c r="I429" s="97" t="s">
        <v>4039</v>
      </c>
      <c r="J429" s="97" t="s">
        <v>4054</v>
      </c>
      <c r="K429" s="17" t="str">
        <f>IFERROR(INDEX(競技会設定!$J$3:$O$47,MATCH(J429,競技会設定!$M$3:$M$47,0),5),"")</f>
        <v>三重大</v>
      </c>
      <c r="L429" s="17" t="str">
        <f>IFERROR(INDEX(競技会設定!$J$3:$N$47,MATCH(K429,競技会設定!$N$3:$N$47,0),2),"")</f>
        <v>490046</v>
      </c>
      <c r="M429" s="97" t="s">
        <v>3861</v>
      </c>
      <c r="N429" s="17" t="str">
        <f t="shared" si="19"/>
        <v>YOSHIKAWA, Tappei</v>
      </c>
      <c r="O429" s="17" t="str">
        <f t="shared" si="20"/>
        <v>00</v>
      </c>
    </row>
    <row r="430" spans="1:15">
      <c r="A430" s="17" t="str">
        <f t="shared" si="18"/>
        <v>501000429</v>
      </c>
      <c r="B430" s="97">
        <v>429</v>
      </c>
      <c r="C430" s="97" t="s">
        <v>1070</v>
      </c>
      <c r="D430" s="97" t="s">
        <v>1071</v>
      </c>
      <c r="E430" s="312" t="s">
        <v>2187</v>
      </c>
      <c r="F430" s="312" t="s">
        <v>2106</v>
      </c>
      <c r="G430" s="97" t="s">
        <v>3435</v>
      </c>
      <c r="H430" s="97" t="s">
        <v>4024</v>
      </c>
      <c r="I430" s="97" t="s">
        <v>4039</v>
      </c>
      <c r="J430" s="97" t="s">
        <v>4054</v>
      </c>
      <c r="K430" s="17" t="str">
        <f>IFERROR(INDEX(競技会設定!$J$3:$O$47,MATCH(J430,競技会設定!$M$3:$M$47,0),5),"")</f>
        <v>三重大</v>
      </c>
      <c r="L430" s="17" t="str">
        <f>IFERROR(INDEX(競技会設定!$J$3:$N$47,MATCH(K430,競技会設定!$N$3:$N$47,0),2),"")</f>
        <v>490046</v>
      </c>
      <c r="M430" s="97" t="s">
        <v>3861</v>
      </c>
      <c r="N430" s="17" t="str">
        <f t="shared" si="19"/>
        <v>TAMURA, Yusuke</v>
      </c>
      <c r="O430" s="17" t="str">
        <f t="shared" si="20"/>
        <v>99</v>
      </c>
    </row>
    <row r="431" spans="1:15">
      <c r="A431" s="17" t="str">
        <f t="shared" si="18"/>
        <v>501000430</v>
      </c>
      <c r="B431" s="97">
        <v>430</v>
      </c>
      <c r="C431" s="97" t="s">
        <v>1072</v>
      </c>
      <c r="D431" s="97" t="s">
        <v>1073</v>
      </c>
      <c r="E431" s="312" t="s">
        <v>2644</v>
      </c>
      <c r="F431" s="312" t="s">
        <v>2645</v>
      </c>
      <c r="G431" s="97" t="s">
        <v>3195</v>
      </c>
      <c r="H431" s="97" t="s">
        <v>4026</v>
      </c>
      <c r="I431" s="97" t="s">
        <v>4039</v>
      </c>
      <c r="J431" s="97" t="s">
        <v>4055</v>
      </c>
      <c r="K431" s="17" t="str">
        <f>IFERROR(INDEX(競技会設定!$J$3:$O$47,MATCH(J431,競技会設定!$M$3:$M$47,0),5),"")</f>
        <v>三重短期大</v>
      </c>
      <c r="L431" s="17" t="str">
        <f>IFERROR(INDEX(競技会設定!$J$3:$N$47,MATCH(K431,競技会設定!$N$3:$N$47,0),2),"")</f>
        <v>492048</v>
      </c>
      <c r="M431" s="97" t="s">
        <v>3861</v>
      </c>
      <c r="N431" s="17" t="str">
        <f t="shared" si="19"/>
        <v>SAKAMOTO, Tsunagu</v>
      </c>
      <c r="O431" s="17" t="str">
        <f t="shared" si="20"/>
        <v>01</v>
      </c>
    </row>
    <row r="432" spans="1:15">
      <c r="A432" s="17" t="str">
        <f t="shared" si="18"/>
        <v>501000431</v>
      </c>
      <c r="B432" s="97">
        <v>431</v>
      </c>
      <c r="C432" s="97" t="s">
        <v>1074</v>
      </c>
      <c r="D432" s="97" t="s">
        <v>1075</v>
      </c>
      <c r="E432" s="312" t="s">
        <v>2082</v>
      </c>
      <c r="F432" s="312" t="s">
        <v>2153</v>
      </c>
      <c r="G432" s="97" t="s">
        <v>3210</v>
      </c>
      <c r="H432" s="97" t="s">
        <v>4025</v>
      </c>
      <c r="I432" s="97" t="s">
        <v>4039</v>
      </c>
      <c r="J432" s="97" t="s">
        <v>4056</v>
      </c>
      <c r="K432" s="17" t="str">
        <f>IFERROR(INDEX(競技会設定!$J$3:$O$47,MATCH(J432,競技会設定!$M$3:$M$47,0),5),"")</f>
        <v>至学館大</v>
      </c>
      <c r="L432" s="17" t="str">
        <f>IFERROR(INDEX(競技会設定!$J$3:$N$47,MATCH(K432,競技会設定!$N$3:$N$47,0),2),"")</f>
        <v>492174</v>
      </c>
      <c r="M432" s="97" t="s">
        <v>3859</v>
      </c>
      <c r="N432" s="17" t="str">
        <f t="shared" si="19"/>
        <v>ITO, Kota</v>
      </c>
      <c r="O432" s="17" t="str">
        <f t="shared" si="20"/>
        <v>98</v>
      </c>
    </row>
    <row r="433" spans="1:15">
      <c r="A433" s="17" t="str">
        <f t="shared" si="18"/>
        <v>501000432</v>
      </c>
      <c r="B433" s="97">
        <v>432</v>
      </c>
      <c r="C433" s="97" t="s">
        <v>1076</v>
      </c>
      <c r="D433" s="97" t="s">
        <v>1077</v>
      </c>
      <c r="E433" s="312" t="s">
        <v>2257</v>
      </c>
      <c r="F433" s="312" t="s">
        <v>2532</v>
      </c>
      <c r="G433" s="97" t="s">
        <v>3436</v>
      </c>
      <c r="H433" s="97" t="s">
        <v>4025</v>
      </c>
      <c r="I433" s="97" t="s">
        <v>4039</v>
      </c>
      <c r="J433" s="97" t="s">
        <v>4056</v>
      </c>
      <c r="K433" s="17" t="str">
        <f>IFERROR(INDEX(競技会設定!$J$3:$O$47,MATCH(J433,競技会設定!$M$3:$M$47,0),5),"")</f>
        <v>至学館大</v>
      </c>
      <c r="L433" s="17" t="str">
        <f>IFERROR(INDEX(競技会設定!$J$3:$N$47,MATCH(K433,競技会設定!$N$3:$N$47,0),2),"")</f>
        <v>492174</v>
      </c>
      <c r="M433" s="97" t="s">
        <v>3855</v>
      </c>
      <c r="N433" s="17" t="str">
        <f t="shared" si="19"/>
        <v>UMEDA, Takaya</v>
      </c>
      <c r="O433" s="17" t="str">
        <f t="shared" si="20"/>
        <v>98</v>
      </c>
    </row>
    <row r="434" spans="1:15">
      <c r="A434" s="17" t="str">
        <f t="shared" si="18"/>
        <v>501000433</v>
      </c>
      <c r="B434" s="97">
        <v>433</v>
      </c>
      <c r="C434" s="97" t="s">
        <v>1078</v>
      </c>
      <c r="D434" s="97" t="s">
        <v>1079</v>
      </c>
      <c r="E434" s="312" t="s">
        <v>2646</v>
      </c>
      <c r="F434" s="312" t="s">
        <v>2141</v>
      </c>
      <c r="G434" s="97" t="s">
        <v>3437</v>
      </c>
      <c r="H434" s="97" t="s">
        <v>4025</v>
      </c>
      <c r="I434" s="97" t="s">
        <v>4039</v>
      </c>
      <c r="J434" s="97" t="s">
        <v>4056</v>
      </c>
      <c r="K434" s="17" t="str">
        <f>IFERROR(INDEX(競技会設定!$J$3:$O$47,MATCH(J434,競技会設定!$M$3:$M$47,0),5),"")</f>
        <v>至学館大</v>
      </c>
      <c r="L434" s="17" t="str">
        <f>IFERROR(INDEX(競技会設定!$J$3:$N$47,MATCH(K434,競技会設定!$N$3:$N$47,0),2),"")</f>
        <v>492174</v>
      </c>
      <c r="M434" s="97" t="s">
        <v>3859</v>
      </c>
      <c r="N434" s="17" t="str">
        <f t="shared" si="19"/>
        <v>ENOMOTO, Tomoya</v>
      </c>
      <c r="O434" s="17" t="str">
        <f t="shared" si="20"/>
        <v>98</v>
      </c>
    </row>
    <row r="435" spans="1:15">
      <c r="A435" s="17" t="str">
        <f t="shared" si="18"/>
        <v>501000434</v>
      </c>
      <c r="B435" s="97">
        <v>434</v>
      </c>
      <c r="C435" s="97" t="s">
        <v>1080</v>
      </c>
      <c r="D435" s="97" t="s">
        <v>1081</v>
      </c>
      <c r="E435" s="312" t="s">
        <v>2647</v>
      </c>
      <c r="F435" s="312" t="s">
        <v>2108</v>
      </c>
      <c r="G435" s="97" t="s">
        <v>3438</v>
      </c>
      <c r="H435" s="97" t="s">
        <v>4025</v>
      </c>
      <c r="I435" s="97" t="s">
        <v>4039</v>
      </c>
      <c r="J435" s="97" t="s">
        <v>4056</v>
      </c>
      <c r="K435" s="17" t="str">
        <f>IFERROR(INDEX(競技会設定!$J$3:$O$47,MATCH(J435,競技会設定!$M$3:$M$47,0),5),"")</f>
        <v>至学館大</v>
      </c>
      <c r="L435" s="17" t="str">
        <f>IFERROR(INDEX(競技会設定!$J$3:$N$47,MATCH(K435,競技会設定!$N$3:$N$47,0),2),"")</f>
        <v>492174</v>
      </c>
      <c r="M435" s="97" t="s">
        <v>3859</v>
      </c>
      <c r="N435" s="17" t="str">
        <f t="shared" si="19"/>
        <v>OMI, Yuki</v>
      </c>
      <c r="O435" s="17" t="str">
        <f t="shared" si="20"/>
        <v>98</v>
      </c>
    </row>
    <row r="436" spans="1:15">
      <c r="A436" s="17" t="str">
        <f t="shared" si="18"/>
        <v>501000435</v>
      </c>
      <c r="B436" s="97">
        <v>435</v>
      </c>
      <c r="C436" s="97" t="s">
        <v>1082</v>
      </c>
      <c r="D436" s="97" t="s">
        <v>1083</v>
      </c>
      <c r="E436" s="312" t="s">
        <v>2169</v>
      </c>
      <c r="F436" s="312" t="s">
        <v>2445</v>
      </c>
      <c r="G436" s="97" t="s">
        <v>3439</v>
      </c>
      <c r="H436" s="97" t="s">
        <v>4025</v>
      </c>
      <c r="I436" s="97" t="s">
        <v>4039</v>
      </c>
      <c r="J436" s="97" t="s">
        <v>4056</v>
      </c>
      <c r="K436" s="17" t="str">
        <f>IFERROR(INDEX(競技会設定!$J$3:$O$47,MATCH(J436,競技会設定!$M$3:$M$47,0),5),"")</f>
        <v>至学館大</v>
      </c>
      <c r="L436" s="17" t="str">
        <f>IFERROR(INDEX(競技会設定!$J$3:$N$47,MATCH(K436,競技会設定!$N$3:$N$47,0),2),"")</f>
        <v>492174</v>
      </c>
      <c r="M436" s="97" t="s">
        <v>3859</v>
      </c>
      <c r="N436" s="17" t="str">
        <f t="shared" si="19"/>
        <v>SUGIMOTO, Yasuhiro</v>
      </c>
      <c r="O436" s="17" t="str">
        <f t="shared" si="20"/>
        <v>98</v>
      </c>
    </row>
    <row r="437" spans="1:15">
      <c r="A437" s="17" t="str">
        <f t="shared" si="18"/>
        <v>501000436</v>
      </c>
      <c r="B437" s="97">
        <v>436</v>
      </c>
      <c r="C437" s="97" t="s">
        <v>1084</v>
      </c>
      <c r="D437" s="97" t="s">
        <v>1085</v>
      </c>
      <c r="E437" s="312" t="s">
        <v>2233</v>
      </c>
      <c r="F437" s="312" t="s">
        <v>2137</v>
      </c>
      <c r="G437" s="97" t="s">
        <v>3440</v>
      </c>
      <c r="H437" s="97" t="s">
        <v>4025</v>
      </c>
      <c r="I437" s="97" t="s">
        <v>4039</v>
      </c>
      <c r="J437" s="97" t="s">
        <v>4056</v>
      </c>
      <c r="K437" s="17" t="str">
        <f>IFERROR(INDEX(競技会設定!$J$3:$O$47,MATCH(J437,競技会設定!$M$3:$M$47,0),5),"")</f>
        <v>至学館大</v>
      </c>
      <c r="L437" s="17" t="str">
        <f>IFERROR(INDEX(競技会設定!$J$3:$N$47,MATCH(K437,競技会設定!$N$3:$N$47,0),2),"")</f>
        <v>492174</v>
      </c>
      <c r="M437" s="97" t="s">
        <v>3859</v>
      </c>
      <c r="N437" s="17" t="str">
        <f t="shared" si="19"/>
        <v>SUZUKI, Ryota</v>
      </c>
      <c r="O437" s="17" t="str">
        <f t="shared" si="20"/>
        <v>98</v>
      </c>
    </row>
    <row r="438" spans="1:15">
      <c r="A438" s="17" t="str">
        <f t="shared" si="18"/>
        <v>501000437</v>
      </c>
      <c r="B438" s="97">
        <v>437</v>
      </c>
      <c r="C438" s="97" t="s">
        <v>1086</v>
      </c>
      <c r="D438" s="97" t="s">
        <v>1087</v>
      </c>
      <c r="E438" s="312" t="s">
        <v>2648</v>
      </c>
      <c r="F438" s="312" t="s">
        <v>2182</v>
      </c>
      <c r="G438" s="97" t="s">
        <v>3441</v>
      </c>
      <c r="H438" s="97" t="s">
        <v>4025</v>
      </c>
      <c r="I438" s="97" t="s">
        <v>4039</v>
      </c>
      <c r="J438" s="97" t="s">
        <v>4056</v>
      </c>
      <c r="K438" s="17" t="str">
        <f>IFERROR(INDEX(競技会設定!$J$3:$O$47,MATCH(J438,競技会設定!$M$3:$M$47,0),5),"")</f>
        <v>至学館大</v>
      </c>
      <c r="L438" s="17" t="str">
        <f>IFERROR(INDEX(競技会設定!$J$3:$N$47,MATCH(K438,競技会設定!$N$3:$N$47,0),2),"")</f>
        <v>492174</v>
      </c>
      <c r="M438" s="97" t="s">
        <v>3859</v>
      </c>
      <c r="N438" s="17" t="str">
        <f t="shared" si="19"/>
        <v>NAKAZAWA, Yuya</v>
      </c>
      <c r="O438" s="17" t="str">
        <f t="shared" si="20"/>
        <v>98</v>
      </c>
    </row>
    <row r="439" spans="1:15">
      <c r="A439" s="17" t="str">
        <f t="shared" si="18"/>
        <v>501000438</v>
      </c>
      <c r="B439" s="97">
        <v>438</v>
      </c>
      <c r="C439" s="97" t="s">
        <v>1088</v>
      </c>
      <c r="D439" s="97" t="s">
        <v>1089</v>
      </c>
      <c r="E439" s="312" t="s">
        <v>2649</v>
      </c>
      <c r="F439" s="312" t="s">
        <v>2650</v>
      </c>
      <c r="G439" s="97" t="s">
        <v>3094</v>
      </c>
      <c r="H439" s="97" t="s">
        <v>4025</v>
      </c>
      <c r="I439" s="97" t="s">
        <v>4039</v>
      </c>
      <c r="J439" s="97" t="s">
        <v>4056</v>
      </c>
      <c r="K439" s="17" t="str">
        <f>IFERROR(INDEX(競技会設定!$J$3:$O$47,MATCH(J439,競技会設定!$M$3:$M$47,0),5),"")</f>
        <v>至学館大</v>
      </c>
      <c r="L439" s="17" t="str">
        <f>IFERROR(INDEX(競技会設定!$J$3:$N$47,MATCH(K439,競技会設定!$N$3:$N$47,0),2),"")</f>
        <v>492174</v>
      </c>
      <c r="M439" s="97" t="s">
        <v>3859</v>
      </c>
      <c r="N439" s="17" t="str">
        <f t="shared" si="19"/>
        <v>FUNAHASHI, Toshi</v>
      </c>
      <c r="O439" s="17" t="str">
        <f t="shared" si="20"/>
        <v>99</v>
      </c>
    </row>
    <row r="440" spans="1:15">
      <c r="A440" s="17" t="str">
        <f t="shared" si="18"/>
        <v>501000439</v>
      </c>
      <c r="B440" s="97">
        <v>439</v>
      </c>
      <c r="C440" s="97" t="s">
        <v>1090</v>
      </c>
      <c r="D440" s="97" t="s">
        <v>1091</v>
      </c>
      <c r="E440" s="312" t="s">
        <v>2651</v>
      </c>
      <c r="F440" s="312" t="s">
        <v>2177</v>
      </c>
      <c r="G440" s="97" t="s">
        <v>3442</v>
      </c>
      <c r="H440" s="97" t="s">
        <v>4025</v>
      </c>
      <c r="I440" s="97" t="s">
        <v>4039</v>
      </c>
      <c r="J440" s="97" t="s">
        <v>4056</v>
      </c>
      <c r="K440" s="17" t="str">
        <f>IFERROR(INDEX(競技会設定!$J$3:$O$47,MATCH(J440,競技会設定!$M$3:$M$47,0),5),"")</f>
        <v>至学館大</v>
      </c>
      <c r="L440" s="17" t="str">
        <f>IFERROR(INDEX(競技会設定!$J$3:$N$47,MATCH(K440,競技会設定!$N$3:$N$47,0),2),"")</f>
        <v>492174</v>
      </c>
      <c r="M440" s="97" t="s">
        <v>3859</v>
      </c>
      <c r="N440" s="17" t="str">
        <f t="shared" si="19"/>
        <v>MORIZAWA, Ko</v>
      </c>
      <c r="O440" s="17" t="str">
        <f t="shared" si="20"/>
        <v>99</v>
      </c>
    </row>
    <row r="441" spans="1:15">
      <c r="A441" s="17" t="str">
        <f t="shared" si="18"/>
        <v>501000440</v>
      </c>
      <c r="B441" s="97">
        <v>440</v>
      </c>
      <c r="C441" s="97" t="s">
        <v>1092</v>
      </c>
      <c r="D441" s="97" t="s">
        <v>1093</v>
      </c>
      <c r="E441" s="312" t="s">
        <v>2360</v>
      </c>
      <c r="F441" s="312" t="s">
        <v>2652</v>
      </c>
      <c r="G441" s="97" t="s">
        <v>3443</v>
      </c>
      <c r="H441" s="97" t="s">
        <v>4025</v>
      </c>
      <c r="I441" s="97" t="s">
        <v>4039</v>
      </c>
      <c r="J441" s="97" t="s">
        <v>4056</v>
      </c>
      <c r="K441" s="17" t="str">
        <f>IFERROR(INDEX(競技会設定!$J$3:$O$47,MATCH(J441,競技会設定!$M$3:$M$47,0),5),"")</f>
        <v>至学館大</v>
      </c>
      <c r="L441" s="17" t="str">
        <f>IFERROR(INDEX(競技会設定!$J$3:$N$47,MATCH(K441,競技会設定!$N$3:$N$47,0),2),"")</f>
        <v>492174</v>
      </c>
      <c r="M441" s="97" t="s">
        <v>3859</v>
      </c>
      <c r="N441" s="17" t="str">
        <f t="shared" si="19"/>
        <v>WATANABE, Toshiharu</v>
      </c>
      <c r="O441" s="17" t="str">
        <f t="shared" si="20"/>
        <v>98</v>
      </c>
    </row>
    <row r="442" spans="1:15">
      <c r="A442" s="17" t="str">
        <f t="shared" si="18"/>
        <v>501000441</v>
      </c>
      <c r="B442" s="97">
        <v>441</v>
      </c>
      <c r="C442" s="97" t="s">
        <v>1094</v>
      </c>
      <c r="D442" s="97" t="s">
        <v>1095</v>
      </c>
      <c r="E442" s="312" t="s">
        <v>2381</v>
      </c>
      <c r="F442" s="312" t="s">
        <v>2653</v>
      </c>
      <c r="G442" s="97" t="s">
        <v>3444</v>
      </c>
      <c r="H442" s="97" t="s">
        <v>4024</v>
      </c>
      <c r="I442" s="97" t="s">
        <v>4039</v>
      </c>
      <c r="J442" s="97" t="s">
        <v>4056</v>
      </c>
      <c r="K442" s="17" t="str">
        <f>IFERROR(INDEX(競技会設定!$J$3:$O$47,MATCH(J442,競技会設定!$M$3:$M$47,0),5),"")</f>
        <v>至学館大</v>
      </c>
      <c r="L442" s="17" t="str">
        <f>IFERROR(INDEX(競技会設定!$J$3:$N$47,MATCH(K442,競技会設定!$N$3:$N$47,0),2),"")</f>
        <v>492174</v>
      </c>
      <c r="M442" s="97" t="s">
        <v>3859</v>
      </c>
      <c r="N442" s="17" t="str">
        <f t="shared" si="19"/>
        <v>ASAI, Kimiyasu</v>
      </c>
      <c r="O442" s="17" t="str">
        <f t="shared" si="20"/>
        <v>99</v>
      </c>
    </row>
    <row r="443" spans="1:15">
      <c r="A443" s="17" t="str">
        <f t="shared" si="18"/>
        <v>501000442</v>
      </c>
      <c r="B443" s="97">
        <v>442</v>
      </c>
      <c r="C443" s="97" t="s">
        <v>1096</v>
      </c>
      <c r="D443" s="97" t="s">
        <v>1097</v>
      </c>
      <c r="E443" s="312" t="s">
        <v>2431</v>
      </c>
      <c r="F443" s="312" t="s">
        <v>2654</v>
      </c>
      <c r="G443" s="97" t="s">
        <v>3104</v>
      </c>
      <c r="H443" s="97" t="s">
        <v>4024</v>
      </c>
      <c r="I443" s="97" t="s">
        <v>4039</v>
      </c>
      <c r="J443" s="97" t="s">
        <v>4056</v>
      </c>
      <c r="K443" s="17" t="str">
        <f>IFERROR(INDEX(競技会設定!$J$3:$O$47,MATCH(J443,競技会設定!$M$3:$M$47,0),5),"")</f>
        <v>至学館大</v>
      </c>
      <c r="L443" s="17" t="str">
        <f>IFERROR(INDEX(競技会設定!$J$3:$N$47,MATCH(K443,競技会設定!$N$3:$N$47,0),2),"")</f>
        <v>492174</v>
      </c>
      <c r="M443" s="97" t="s">
        <v>3855</v>
      </c>
      <c r="N443" s="17" t="str">
        <f t="shared" si="19"/>
        <v>IMACHI, Tasuku</v>
      </c>
      <c r="O443" s="17" t="str">
        <f t="shared" si="20"/>
        <v>99</v>
      </c>
    </row>
    <row r="444" spans="1:15">
      <c r="A444" s="17" t="str">
        <f t="shared" si="18"/>
        <v>501000443</v>
      </c>
      <c r="B444" s="97">
        <v>443</v>
      </c>
      <c r="C444" s="97" t="s">
        <v>1098</v>
      </c>
      <c r="D444" s="97" t="s">
        <v>1099</v>
      </c>
      <c r="E444" s="312" t="s">
        <v>2655</v>
      </c>
      <c r="F444" s="312" t="s">
        <v>2409</v>
      </c>
      <c r="G444" s="97" t="s">
        <v>3445</v>
      </c>
      <c r="H444" s="97" t="s">
        <v>4024</v>
      </c>
      <c r="I444" s="97" t="s">
        <v>4039</v>
      </c>
      <c r="J444" s="97" t="s">
        <v>4056</v>
      </c>
      <c r="K444" s="17" t="str">
        <f>IFERROR(INDEX(競技会設定!$J$3:$O$47,MATCH(J444,競技会設定!$M$3:$M$47,0),5),"")</f>
        <v>至学館大</v>
      </c>
      <c r="L444" s="17" t="str">
        <f>IFERROR(INDEX(競技会設定!$J$3:$N$47,MATCH(K444,競技会設定!$N$3:$N$47,0),2),"")</f>
        <v>492174</v>
      </c>
      <c r="M444" s="97" t="s">
        <v>3859</v>
      </c>
      <c r="N444" s="17" t="str">
        <f t="shared" si="19"/>
        <v>UJITA, Takayuki</v>
      </c>
      <c r="O444" s="17" t="str">
        <f t="shared" si="20"/>
        <v>99</v>
      </c>
    </row>
    <row r="445" spans="1:15">
      <c r="A445" s="17" t="str">
        <f t="shared" si="18"/>
        <v>501000444</v>
      </c>
      <c r="B445" s="97">
        <v>444</v>
      </c>
      <c r="C445" s="97" t="s">
        <v>1100</v>
      </c>
      <c r="D445" s="97" t="s">
        <v>1101</v>
      </c>
      <c r="E445" s="312" t="s">
        <v>2161</v>
      </c>
      <c r="F445" s="312" t="s">
        <v>2100</v>
      </c>
      <c r="G445" s="97" t="s">
        <v>3446</v>
      </c>
      <c r="H445" s="97" t="s">
        <v>4024</v>
      </c>
      <c r="I445" s="97" t="s">
        <v>4039</v>
      </c>
      <c r="J445" s="97" t="s">
        <v>4056</v>
      </c>
      <c r="K445" s="17" t="str">
        <f>IFERROR(INDEX(競技会設定!$J$3:$O$47,MATCH(J445,競技会設定!$M$3:$M$47,0),5),"")</f>
        <v>至学館大</v>
      </c>
      <c r="L445" s="17" t="str">
        <f>IFERROR(INDEX(競技会設定!$J$3:$N$47,MATCH(K445,競技会設定!$N$3:$N$47,0),2),"")</f>
        <v>492174</v>
      </c>
      <c r="M445" s="97" t="s">
        <v>3859</v>
      </c>
      <c r="N445" s="17" t="str">
        <f t="shared" si="19"/>
        <v>KINOSHITA, Kaito</v>
      </c>
      <c r="O445" s="17" t="str">
        <f t="shared" si="20"/>
        <v>99</v>
      </c>
    </row>
    <row r="446" spans="1:15">
      <c r="A446" s="17" t="str">
        <f t="shared" si="18"/>
        <v>501000445</v>
      </c>
      <c r="B446" s="97">
        <v>445</v>
      </c>
      <c r="C446" s="97" t="s">
        <v>1102</v>
      </c>
      <c r="D446" s="97" t="s">
        <v>1103</v>
      </c>
      <c r="E446" s="312" t="s">
        <v>2656</v>
      </c>
      <c r="F446" s="312" t="s">
        <v>2170</v>
      </c>
      <c r="G446" s="97" t="s">
        <v>3447</v>
      </c>
      <c r="H446" s="97" t="s">
        <v>4024</v>
      </c>
      <c r="I446" s="97" t="s">
        <v>4039</v>
      </c>
      <c r="J446" s="97" t="s">
        <v>4056</v>
      </c>
      <c r="K446" s="17" t="str">
        <f>IFERROR(INDEX(競技会設定!$J$3:$O$47,MATCH(J446,競技会設定!$M$3:$M$47,0),5),"")</f>
        <v>至学館大</v>
      </c>
      <c r="L446" s="17" t="str">
        <f>IFERROR(INDEX(競技会設定!$J$3:$N$47,MATCH(K446,競技会設定!$N$3:$N$47,0),2),"")</f>
        <v>492174</v>
      </c>
      <c r="M446" s="97" t="s">
        <v>3859</v>
      </c>
      <c r="N446" s="17" t="str">
        <f t="shared" si="19"/>
        <v>TSUDA, Daiki</v>
      </c>
      <c r="O446" s="17" t="str">
        <f t="shared" si="20"/>
        <v>00</v>
      </c>
    </row>
    <row r="447" spans="1:15">
      <c r="A447" s="17" t="str">
        <f t="shared" si="18"/>
        <v>501000446</v>
      </c>
      <c r="B447" s="97">
        <v>446</v>
      </c>
      <c r="C447" s="97" t="s">
        <v>1104</v>
      </c>
      <c r="D447" s="97" t="s">
        <v>1105</v>
      </c>
      <c r="E447" s="312" t="s">
        <v>2316</v>
      </c>
      <c r="F447" s="312" t="s">
        <v>2657</v>
      </c>
      <c r="G447" s="97" t="s">
        <v>3448</v>
      </c>
      <c r="H447" s="97" t="s">
        <v>4024</v>
      </c>
      <c r="I447" s="97" t="s">
        <v>4039</v>
      </c>
      <c r="J447" s="97" t="s">
        <v>4056</v>
      </c>
      <c r="K447" s="17" t="str">
        <f>IFERROR(INDEX(競技会設定!$J$3:$O$47,MATCH(J447,競技会設定!$M$3:$M$47,0),5),"")</f>
        <v>至学館大</v>
      </c>
      <c r="L447" s="17" t="str">
        <f>IFERROR(INDEX(競技会設定!$J$3:$N$47,MATCH(K447,競技会設定!$N$3:$N$47,0),2),"")</f>
        <v>492174</v>
      </c>
      <c r="M447" s="97" t="s">
        <v>3859</v>
      </c>
      <c r="N447" s="17" t="str">
        <f t="shared" si="19"/>
        <v>MAKINO, Masahito</v>
      </c>
      <c r="O447" s="17" t="str">
        <f t="shared" si="20"/>
        <v>00</v>
      </c>
    </row>
    <row r="448" spans="1:15">
      <c r="A448" s="17" t="str">
        <f t="shared" si="18"/>
        <v>501000447</v>
      </c>
      <c r="B448" s="97">
        <v>447</v>
      </c>
      <c r="C448" s="97" t="s">
        <v>1106</v>
      </c>
      <c r="D448" s="97" t="s">
        <v>1107</v>
      </c>
      <c r="E448" s="312" t="s">
        <v>2249</v>
      </c>
      <c r="F448" s="312" t="s">
        <v>2658</v>
      </c>
      <c r="G448" s="97" t="s">
        <v>3449</v>
      </c>
      <c r="H448" s="97" t="s">
        <v>4024</v>
      </c>
      <c r="I448" s="97" t="s">
        <v>4039</v>
      </c>
      <c r="J448" s="97" t="s">
        <v>4056</v>
      </c>
      <c r="K448" s="17" t="str">
        <f>IFERROR(INDEX(競技会設定!$J$3:$O$47,MATCH(J448,競技会設定!$M$3:$M$47,0),5),"")</f>
        <v>至学館大</v>
      </c>
      <c r="L448" s="17" t="str">
        <f>IFERROR(INDEX(競技会設定!$J$3:$N$47,MATCH(K448,競技会設定!$N$3:$N$47,0),2),"")</f>
        <v>492174</v>
      </c>
      <c r="M448" s="97" t="s">
        <v>3857</v>
      </c>
      <c r="N448" s="17" t="str">
        <f t="shared" si="19"/>
        <v>MASUDA, Jinto</v>
      </c>
      <c r="O448" s="17" t="str">
        <f t="shared" si="20"/>
        <v>99</v>
      </c>
    </row>
    <row r="449" spans="1:15">
      <c r="A449" s="17" t="str">
        <f t="shared" si="18"/>
        <v>501000448</v>
      </c>
      <c r="B449" s="97">
        <v>448</v>
      </c>
      <c r="C449" s="97" t="s">
        <v>1108</v>
      </c>
      <c r="D449" s="97" t="s">
        <v>1109</v>
      </c>
      <c r="E449" s="312" t="s">
        <v>2113</v>
      </c>
      <c r="F449" s="312" t="s">
        <v>2106</v>
      </c>
      <c r="G449" s="97" t="s">
        <v>3450</v>
      </c>
      <c r="H449" s="97" t="s">
        <v>4024</v>
      </c>
      <c r="I449" s="97" t="s">
        <v>4039</v>
      </c>
      <c r="J449" s="97" t="s">
        <v>4056</v>
      </c>
      <c r="K449" s="17" t="str">
        <f>IFERROR(INDEX(競技会設定!$J$3:$O$47,MATCH(J449,競技会設定!$M$3:$M$47,0),5),"")</f>
        <v>至学館大</v>
      </c>
      <c r="L449" s="17" t="str">
        <f>IFERROR(INDEX(競技会設定!$J$3:$N$47,MATCH(K449,競技会設定!$N$3:$N$47,0),2),"")</f>
        <v>492174</v>
      </c>
      <c r="M449" s="97" t="s">
        <v>3859</v>
      </c>
      <c r="N449" s="17" t="str">
        <f t="shared" si="19"/>
        <v>MIZUNO, Yusuke</v>
      </c>
      <c r="O449" s="17" t="str">
        <f t="shared" si="20"/>
        <v>99</v>
      </c>
    </row>
    <row r="450" spans="1:15">
      <c r="A450" s="17" t="str">
        <f t="shared" si="18"/>
        <v>501000449</v>
      </c>
      <c r="B450" s="97">
        <v>449</v>
      </c>
      <c r="C450" s="97" t="s">
        <v>1110</v>
      </c>
      <c r="D450" s="97" t="s">
        <v>1111</v>
      </c>
      <c r="E450" s="312" t="s">
        <v>2206</v>
      </c>
      <c r="F450" s="312" t="s">
        <v>2624</v>
      </c>
      <c r="G450" s="97" t="s">
        <v>3451</v>
      </c>
      <c r="H450" s="97" t="s">
        <v>4024</v>
      </c>
      <c r="I450" s="97" t="s">
        <v>4039</v>
      </c>
      <c r="J450" s="97" t="s">
        <v>4056</v>
      </c>
      <c r="K450" s="17" t="str">
        <f>IFERROR(INDEX(競技会設定!$J$3:$O$47,MATCH(J450,競技会設定!$M$3:$M$47,0),5),"")</f>
        <v>至学館大</v>
      </c>
      <c r="L450" s="17" t="str">
        <f>IFERROR(INDEX(競技会設定!$J$3:$N$47,MATCH(K450,競技会設定!$N$3:$N$47,0),2),"")</f>
        <v>492174</v>
      </c>
      <c r="M450" s="97" t="s">
        <v>3859</v>
      </c>
      <c r="N450" s="17" t="str">
        <f t="shared" si="19"/>
        <v>MIYAZAKI, Shusuke</v>
      </c>
      <c r="O450" s="17" t="str">
        <f t="shared" si="20"/>
        <v>99</v>
      </c>
    </row>
    <row r="451" spans="1:15">
      <c r="A451" s="17" t="str">
        <f t="shared" ref="A451:A514" si="21">IF(B451="","","501"&amp;TEXT(B451,"000000"))</f>
        <v>501000450</v>
      </c>
      <c r="B451" s="97">
        <v>450</v>
      </c>
      <c r="C451" s="97" t="s">
        <v>1112</v>
      </c>
      <c r="D451" s="97" t="s">
        <v>1113</v>
      </c>
      <c r="E451" s="312" t="s">
        <v>2659</v>
      </c>
      <c r="F451" s="312" t="s">
        <v>2660</v>
      </c>
      <c r="G451" s="97" t="s">
        <v>3156</v>
      </c>
      <c r="H451" s="97" t="s">
        <v>4026</v>
      </c>
      <c r="I451" s="97" t="s">
        <v>4039</v>
      </c>
      <c r="J451" s="97" t="s">
        <v>4056</v>
      </c>
      <c r="K451" s="17" t="str">
        <f>IFERROR(INDEX(競技会設定!$J$3:$O$47,MATCH(J451,競技会設定!$M$3:$M$47,0),5),"")</f>
        <v>至学館大</v>
      </c>
      <c r="L451" s="17" t="str">
        <f>IFERROR(INDEX(競技会設定!$J$3:$N$47,MATCH(K451,競技会設定!$N$3:$N$47,0),2),"")</f>
        <v>492174</v>
      </c>
      <c r="M451" s="97" t="s">
        <v>3859</v>
      </c>
      <c r="N451" s="17" t="str">
        <f t="shared" ref="N451:N514" si="22">IF(E451="","",E451&amp;", "&amp;F451)</f>
        <v>ARAKI, Shigetaka</v>
      </c>
      <c r="O451" s="17" t="str">
        <f t="shared" ref="O451:O514" si="23">IFERROR(TEXT(INT(LEFT(G451,2)),"00"),"")</f>
        <v>00</v>
      </c>
    </row>
    <row r="452" spans="1:15">
      <c r="A452" s="17" t="str">
        <f t="shared" si="21"/>
        <v>501000451</v>
      </c>
      <c r="B452" s="97">
        <v>451</v>
      </c>
      <c r="C452" s="97" t="s">
        <v>1114</v>
      </c>
      <c r="D452" s="97" t="s">
        <v>1115</v>
      </c>
      <c r="E452" s="312" t="s">
        <v>2661</v>
      </c>
      <c r="F452" s="312" t="s">
        <v>2131</v>
      </c>
      <c r="G452" s="97" t="s">
        <v>3223</v>
      </c>
      <c r="H452" s="97" t="s">
        <v>4026</v>
      </c>
      <c r="I452" s="97" t="s">
        <v>4039</v>
      </c>
      <c r="J452" s="97" t="s">
        <v>4056</v>
      </c>
      <c r="K452" s="17" t="str">
        <f>IFERROR(INDEX(競技会設定!$J$3:$O$47,MATCH(J452,競技会設定!$M$3:$M$47,0),5),"")</f>
        <v>至学館大</v>
      </c>
      <c r="L452" s="17" t="str">
        <f>IFERROR(INDEX(競技会設定!$J$3:$N$47,MATCH(K452,競技会設定!$N$3:$N$47,0),2),"")</f>
        <v>492174</v>
      </c>
      <c r="M452" s="97" t="s">
        <v>3859</v>
      </c>
      <c r="N452" s="17" t="str">
        <f t="shared" si="22"/>
        <v>INO, Haruki</v>
      </c>
      <c r="O452" s="17" t="str">
        <f t="shared" si="23"/>
        <v>00</v>
      </c>
    </row>
    <row r="453" spans="1:15">
      <c r="A453" s="17" t="str">
        <f t="shared" si="21"/>
        <v>501000452</v>
      </c>
      <c r="B453" s="97">
        <v>452</v>
      </c>
      <c r="C453" s="97" t="s">
        <v>1116</v>
      </c>
      <c r="D453" s="97" t="s">
        <v>1117</v>
      </c>
      <c r="E453" s="312" t="s">
        <v>2662</v>
      </c>
      <c r="F453" s="312" t="s">
        <v>2663</v>
      </c>
      <c r="G453" s="97" t="s">
        <v>3152</v>
      </c>
      <c r="H453" s="97" t="s">
        <v>4026</v>
      </c>
      <c r="I453" s="97" t="s">
        <v>4039</v>
      </c>
      <c r="J453" s="97" t="s">
        <v>4056</v>
      </c>
      <c r="K453" s="17" t="str">
        <f>IFERROR(INDEX(競技会設定!$J$3:$O$47,MATCH(J453,競技会設定!$M$3:$M$47,0),5),"")</f>
        <v>至学館大</v>
      </c>
      <c r="L453" s="17" t="str">
        <f>IFERROR(INDEX(競技会設定!$J$3:$N$47,MATCH(K453,競技会設定!$N$3:$N$47,0),2),"")</f>
        <v>492174</v>
      </c>
      <c r="M453" s="97" t="s">
        <v>3859</v>
      </c>
      <c r="N453" s="17" t="str">
        <f t="shared" si="22"/>
        <v>EGUCHI, Motohiro</v>
      </c>
      <c r="O453" s="17" t="str">
        <f t="shared" si="23"/>
        <v>00</v>
      </c>
    </row>
    <row r="454" spans="1:15">
      <c r="A454" s="17" t="str">
        <f t="shared" si="21"/>
        <v>501000453</v>
      </c>
      <c r="B454" s="97">
        <v>453</v>
      </c>
      <c r="C454" s="97" t="s">
        <v>1118</v>
      </c>
      <c r="D454" s="97" t="s">
        <v>1119</v>
      </c>
      <c r="E454" s="312" t="s">
        <v>2664</v>
      </c>
      <c r="F454" s="312" t="s">
        <v>2665</v>
      </c>
      <c r="G454" s="97" t="s">
        <v>3452</v>
      </c>
      <c r="H454" s="97" t="s">
        <v>4026</v>
      </c>
      <c r="I454" s="97" t="s">
        <v>4039</v>
      </c>
      <c r="J454" s="97" t="s">
        <v>4056</v>
      </c>
      <c r="K454" s="17" t="str">
        <f>IFERROR(INDEX(競技会設定!$J$3:$O$47,MATCH(J454,競技会設定!$M$3:$M$47,0),5),"")</f>
        <v>至学館大</v>
      </c>
      <c r="L454" s="17" t="str">
        <f>IFERROR(INDEX(競技会設定!$J$3:$N$47,MATCH(K454,競技会設定!$N$3:$N$47,0),2),"")</f>
        <v>492174</v>
      </c>
      <c r="M454" s="97" t="s">
        <v>3859</v>
      </c>
      <c r="N454" s="17" t="str">
        <f t="shared" si="22"/>
        <v>OGO, Ryoya</v>
      </c>
      <c r="O454" s="17" t="str">
        <f t="shared" si="23"/>
        <v>00</v>
      </c>
    </row>
    <row r="455" spans="1:15">
      <c r="A455" s="17" t="str">
        <f t="shared" si="21"/>
        <v>501000454</v>
      </c>
      <c r="B455" s="97">
        <v>454</v>
      </c>
      <c r="C455" s="97" t="s">
        <v>1120</v>
      </c>
      <c r="D455" s="97" t="s">
        <v>1121</v>
      </c>
      <c r="E455" s="312" t="s">
        <v>2666</v>
      </c>
      <c r="F455" s="312" t="s">
        <v>2253</v>
      </c>
      <c r="G455" s="97" t="s">
        <v>3453</v>
      </c>
      <c r="H455" s="97" t="s">
        <v>4026</v>
      </c>
      <c r="I455" s="97" t="s">
        <v>4039</v>
      </c>
      <c r="J455" s="97" t="s">
        <v>4056</v>
      </c>
      <c r="K455" s="17" t="str">
        <f>IFERROR(INDEX(競技会設定!$J$3:$O$47,MATCH(J455,競技会設定!$M$3:$M$47,0),5),"")</f>
        <v>至学館大</v>
      </c>
      <c r="L455" s="17" t="str">
        <f>IFERROR(INDEX(競技会設定!$J$3:$N$47,MATCH(K455,競技会設定!$N$3:$N$47,0),2),"")</f>
        <v>492174</v>
      </c>
      <c r="M455" s="97" t="s">
        <v>3859</v>
      </c>
      <c r="N455" s="17" t="str">
        <f t="shared" si="22"/>
        <v>OKAMOTO, Kentaro</v>
      </c>
      <c r="O455" s="17" t="str">
        <f t="shared" si="23"/>
        <v>00</v>
      </c>
    </row>
    <row r="456" spans="1:15">
      <c r="A456" s="17" t="str">
        <f t="shared" si="21"/>
        <v>501000455</v>
      </c>
      <c r="B456" s="97">
        <v>455</v>
      </c>
      <c r="C456" s="97" t="s">
        <v>1122</v>
      </c>
      <c r="D456" s="97" t="s">
        <v>1123</v>
      </c>
      <c r="E456" s="312" t="s">
        <v>2303</v>
      </c>
      <c r="F456" s="312" t="s">
        <v>2667</v>
      </c>
      <c r="G456" s="97" t="s">
        <v>3454</v>
      </c>
      <c r="H456" s="97" t="s">
        <v>4026</v>
      </c>
      <c r="I456" s="97" t="s">
        <v>4039</v>
      </c>
      <c r="J456" s="97" t="s">
        <v>4056</v>
      </c>
      <c r="K456" s="17" t="str">
        <f>IFERROR(INDEX(競技会設定!$J$3:$O$47,MATCH(J456,競技会設定!$M$3:$M$47,0),5),"")</f>
        <v>至学館大</v>
      </c>
      <c r="L456" s="17" t="str">
        <f>IFERROR(INDEX(競技会設定!$J$3:$N$47,MATCH(K456,競技会設定!$N$3:$N$47,0),2),"")</f>
        <v>492174</v>
      </c>
      <c r="M456" s="97" t="s">
        <v>3859</v>
      </c>
      <c r="N456" s="17" t="str">
        <f t="shared" si="22"/>
        <v>OKUMURA, Kimiya</v>
      </c>
      <c r="O456" s="17" t="str">
        <f t="shared" si="23"/>
        <v>00</v>
      </c>
    </row>
    <row r="457" spans="1:15">
      <c r="A457" s="17" t="str">
        <f t="shared" si="21"/>
        <v>501000456</v>
      </c>
      <c r="B457" s="97">
        <v>456</v>
      </c>
      <c r="C457" s="97" t="s">
        <v>1124</v>
      </c>
      <c r="D457" s="97" t="s">
        <v>1125</v>
      </c>
      <c r="E457" s="312" t="s">
        <v>2668</v>
      </c>
      <c r="F457" s="312" t="s">
        <v>2669</v>
      </c>
      <c r="G457" s="97" t="s">
        <v>3455</v>
      </c>
      <c r="H457" s="97" t="s">
        <v>4026</v>
      </c>
      <c r="I457" s="97" t="s">
        <v>4039</v>
      </c>
      <c r="J457" s="97" t="s">
        <v>4056</v>
      </c>
      <c r="K457" s="17" t="str">
        <f>IFERROR(INDEX(競技会設定!$J$3:$O$47,MATCH(J457,競技会設定!$M$3:$M$47,0),5),"")</f>
        <v>至学館大</v>
      </c>
      <c r="L457" s="17" t="str">
        <f>IFERROR(INDEX(競技会設定!$J$3:$N$47,MATCH(K457,競技会設定!$N$3:$N$47,0),2),"")</f>
        <v>492174</v>
      </c>
      <c r="M457" s="97" t="s">
        <v>3859</v>
      </c>
      <c r="N457" s="17" t="str">
        <f t="shared" si="22"/>
        <v>KAWAI , Daishi</v>
      </c>
      <c r="O457" s="17" t="str">
        <f t="shared" si="23"/>
        <v>00</v>
      </c>
    </row>
    <row r="458" spans="1:15">
      <c r="A458" s="17" t="str">
        <f t="shared" si="21"/>
        <v>501000457</v>
      </c>
      <c r="B458" s="97">
        <v>457</v>
      </c>
      <c r="C458" s="97" t="s">
        <v>1126</v>
      </c>
      <c r="D458" s="97" t="s">
        <v>1127</v>
      </c>
      <c r="E458" s="312" t="s">
        <v>2670</v>
      </c>
      <c r="F458" s="312" t="s">
        <v>2207</v>
      </c>
      <c r="G458" s="97" t="s">
        <v>3456</v>
      </c>
      <c r="H458" s="97" t="s">
        <v>4026</v>
      </c>
      <c r="I458" s="97" t="s">
        <v>4039</v>
      </c>
      <c r="J458" s="97" t="s">
        <v>4056</v>
      </c>
      <c r="K458" s="17" t="str">
        <f>IFERROR(INDEX(競技会設定!$J$3:$O$47,MATCH(J458,競技会設定!$M$3:$M$47,0),5),"")</f>
        <v>至学館大</v>
      </c>
      <c r="L458" s="17" t="str">
        <f>IFERROR(INDEX(競技会設定!$J$3:$N$47,MATCH(K458,競技会設定!$N$3:$N$47,0),2),"")</f>
        <v>492174</v>
      </c>
      <c r="M458" s="97" t="s">
        <v>3855</v>
      </c>
      <c r="N458" s="17" t="str">
        <f t="shared" si="22"/>
        <v>KOUNO, Tatsuya</v>
      </c>
      <c r="O458" s="17" t="str">
        <f t="shared" si="23"/>
        <v>01</v>
      </c>
    </row>
    <row r="459" spans="1:15">
      <c r="A459" s="17" t="str">
        <f t="shared" si="21"/>
        <v>501000458</v>
      </c>
      <c r="B459" s="97">
        <v>458</v>
      </c>
      <c r="C459" s="97" t="s">
        <v>1128</v>
      </c>
      <c r="D459" s="97" t="s">
        <v>1129</v>
      </c>
      <c r="E459" s="312" t="s">
        <v>2671</v>
      </c>
      <c r="F459" s="312" t="s">
        <v>2094</v>
      </c>
      <c r="G459" s="97" t="s">
        <v>3317</v>
      </c>
      <c r="H459" s="97" t="s">
        <v>4026</v>
      </c>
      <c r="I459" s="97" t="s">
        <v>4039</v>
      </c>
      <c r="J459" s="97" t="s">
        <v>4056</v>
      </c>
      <c r="K459" s="17" t="str">
        <f>IFERROR(INDEX(競技会設定!$J$3:$O$47,MATCH(J459,競技会設定!$M$3:$M$47,0),5),"")</f>
        <v>至学館大</v>
      </c>
      <c r="L459" s="17" t="str">
        <f>IFERROR(INDEX(競技会設定!$J$3:$N$47,MATCH(K459,競技会設定!$N$3:$N$47,0),2),"")</f>
        <v>492174</v>
      </c>
      <c r="M459" s="97" t="s">
        <v>3855</v>
      </c>
      <c r="N459" s="17" t="str">
        <f t="shared" si="22"/>
        <v>FUKAGAWA, Sota</v>
      </c>
      <c r="O459" s="17" t="str">
        <f t="shared" si="23"/>
        <v>00</v>
      </c>
    </row>
    <row r="460" spans="1:15">
      <c r="A460" s="17" t="str">
        <f t="shared" si="21"/>
        <v>501000459</v>
      </c>
      <c r="B460" s="97">
        <v>459</v>
      </c>
      <c r="C460" s="97" t="s">
        <v>1130</v>
      </c>
      <c r="D460" s="97" t="s">
        <v>1131</v>
      </c>
      <c r="E460" s="312" t="s">
        <v>2249</v>
      </c>
      <c r="F460" s="312" t="s">
        <v>2672</v>
      </c>
      <c r="G460" s="97" t="s">
        <v>3457</v>
      </c>
      <c r="H460" s="97" t="s">
        <v>4026</v>
      </c>
      <c r="I460" s="97" t="s">
        <v>4039</v>
      </c>
      <c r="J460" s="97" t="s">
        <v>4056</v>
      </c>
      <c r="K460" s="17" t="str">
        <f>IFERROR(INDEX(競技会設定!$J$3:$O$47,MATCH(J460,競技会設定!$M$3:$M$47,0),5),"")</f>
        <v>至学館大</v>
      </c>
      <c r="L460" s="17" t="str">
        <f>IFERROR(INDEX(競技会設定!$J$3:$N$47,MATCH(K460,競技会設定!$N$3:$N$47,0),2),"")</f>
        <v>492174</v>
      </c>
      <c r="M460" s="97" t="s">
        <v>3861</v>
      </c>
      <c r="N460" s="17" t="str">
        <f t="shared" si="22"/>
        <v>MASUDA, Ibuki</v>
      </c>
      <c r="O460" s="17" t="str">
        <f t="shared" si="23"/>
        <v>00</v>
      </c>
    </row>
    <row r="461" spans="1:15">
      <c r="A461" s="17" t="str">
        <f t="shared" si="21"/>
        <v>501000460</v>
      </c>
      <c r="B461" s="97">
        <v>460</v>
      </c>
      <c r="C461" s="97" t="s">
        <v>1132</v>
      </c>
      <c r="D461" s="97" t="s">
        <v>1133</v>
      </c>
      <c r="E461" s="312" t="s">
        <v>2328</v>
      </c>
      <c r="F461" s="312" t="s">
        <v>2673</v>
      </c>
      <c r="G461" s="97" t="s">
        <v>3458</v>
      </c>
      <c r="H461" s="97" t="s">
        <v>4026</v>
      </c>
      <c r="I461" s="97" t="s">
        <v>4039</v>
      </c>
      <c r="J461" s="97" t="s">
        <v>4056</v>
      </c>
      <c r="K461" s="17" t="str">
        <f>IFERROR(INDEX(競技会設定!$J$3:$O$47,MATCH(J461,競技会設定!$M$3:$M$47,0),5),"")</f>
        <v>至学館大</v>
      </c>
      <c r="L461" s="17" t="str">
        <f>IFERROR(INDEX(競技会設定!$J$3:$N$47,MATCH(K461,競技会設定!$N$3:$N$47,0),2),"")</f>
        <v>492174</v>
      </c>
      <c r="M461" s="97" t="s">
        <v>3855</v>
      </c>
      <c r="N461" s="17" t="str">
        <f t="shared" si="22"/>
        <v>YAMADA, Manamu</v>
      </c>
      <c r="O461" s="17" t="str">
        <f t="shared" si="23"/>
        <v>00</v>
      </c>
    </row>
    <row r="462" spans="1:15">
      <c r="A462" s="17" t="str">
        <f t="shared" si="21"/>
        <v>501000461</v>
      </c>
      <c r="B462" s="97">
        <v>461</v>
      </c>
      <c r="C462" s="97" t="s">
        <v>1134</v>
      </c>
      <c r="D462" s="97" t="s">
        <v>1135</v>
      </c>
      <c r="E462" s="312" t="s">
        <v>2674</v>
      </c>
      <c r="F462" s="312" t="s">
        <v>2675</v>
      </c>
      <c r="G462" s="97" t="s">
        <v>3394</v>
      </c>
      <c r="H462" s="97" t="s">
        <v>4025</v>
      </c>
      <c r="I462" s="97" t="s">
        <v>4039</v>
      </c>
      <c r="J462" s="97" t="s">
        <v>4056</v>
      </c>
      <c r="K462" s="17" t="str">
        <f>IFERROR(INDEX(競技会設定!$J$3:$O$47,MATCH(J462,競技会設定!$M$3:$M$47,0),5),"")</f>
        <v>至学館大</v>
      </c>
      <c r="L462" s="17" t="str">
        <f>IFERROR(INDEX(競技会設定!$J$3:$N$47,MATCH(K462,競技会設定!$N$3:$N$47,0),2),"")</f>
        <v>492174</v>
      </c>
      <c r="M462" s="97" t="s">
        <v>3859</v>
      </c>
      <c r="N462" s="17" t="str">
        <f t="shared" si="22"/>
        <v>YODA, Shogo</v>
      </c>
      <c r="O462" s="17" t="str">
        <f t="shared" si="23"/>
        <v>98</v>
      </c>
    </row>
    <row r="463" spans="1:15">
      <c r="A463" s="17" t="str">
        <f t="shared" si="21"/>
        <v>501000462</v>
      </c>
      <c r="B463" s="97">
        <v>462</v>
      </c>
      <c r="C463" s="97" t="s">
        <v>1136</v>
      </c>
      <c r="D463" s="97" t="s">
        <v>1137</v>
      </c>
      <c r="E463" s="312" t="s">
        <v>2676</v>
      </c>
      <c r="F463" s="312" t="s">
        <v>2152</v>
      </c>
      <c r="G463" s="97" t="s">
        <v>3297</v>
      </c>
      <c r="H463" s="97" t="s">
        <v>4024</v>
      </c>
      <c r="I463" s="97" t="s">
        <v>4039</v>
      </c>
      <c r="J463" s="97" t="s">
        <v>4057</v>
      </c>
      <c r="K463" s="17" t="str">
        <f>IFERROR(INDEX(競技会設定!$J$3:$O$47,MATCH(J463,競技会設定!$M$3:$M$47,0),5),"")</f>
        <v>静岡県立大</v>
      </c>
      <c r="L463" s="17" t="str">
        <f>IFERROR(INDEX(競技会設定!$J$3:$N$47,MATCH(K463,競技会設定!$N$3:$N$47,0),2),"")</f>
        <v>491037</v>
      </c>
      <c r="M463" s="97" t="s">
        <v>3857</v>
      </c>
      <c r="N463" s="17" t="str">
        <f t="shared" si="22"/>
        <v>TAKAGI, Kazuma</v>
      </c>
      <c r="O463" s="17" t="str">
        <f t="shared" si="23"/>
        <v>99</v>
      </c>
    </row>
    <row r="464" spans="1:15">
      <c r="A464" s="17" t="str">
        <f t="shared" si="21"/>
        <v>501000463</v>
      </c>
      <c r="B464" s="97">
        <v>463</v>
      </c>
      <c r="C464" s="97" t="s">
        <v>1138</v>
      </c>
      <c r="D464" s="97" t="s">
        <v>1139</v>
      </c>
      <c r="E464" s="312" t="s">
        <v>2099</v>
      </c>
      <c r="F464" s="312" t="s">
        <v>2293</v>
      </c>
      <c r="G464" s="97" t="s">
        <v>3459</v>
      </c>
      <c r="H464" s="97" t="s">
        <v>4024</v>
      </c>
      <c r="I464" s="97" t="s">
        <v>4039</v>
      </c>
      <c r="J464" s="97" t="s">
        <v>4057</v>
      </c>
      <c r="K464" s="17" t="str">
        <f>IFERROR(INDEX(競技会設定!$J$3:$O$47,MATCH(J464,競技会設定!$M$3:$M$47,0),5),"")</f>
        <v>静岡県立大</v>
      </c>
      <c r="L464" s="17" t="str">
        <f>IFERROR(INDEX(競技会設定!$J$3:$N$47,MATCH(K464,競技会設定!$N$3:$N$47,0),2),"")</f>
        <v>491037</v>
      </c>
      <c r="M464" s="97" t="s">
        <v>3857</v>
      </c>
      <c r="N464" s="17" t="str">
        <f t="shared" si="22"/>
        <v>KAWABATA, Koki</v>
      </c>
      <c r="O464" s="17" t="str">
        <f t="shared" si="23"/>
        <v>99</v>
      </c>
    </row>
    <row r="465" spans="1:15">
      <c r="A465" s="17" t="str">
        <f t="shared" si="21"/>
        <v>501000464</v>
      </c>
      <c r="B465" s="97">
        <v>464</v>
      </c>
      <c r="C465" s="97" t="s">
        <v>1140</v>
      </c>
      <c r="D465" s="97" t="s">
        <v>1141</v>
      </c>
      <c r="E465" s="312" t="s">
        <v>2677</v>
      </c>
      <c r="F465" s="312" t="s">
        <v>2232</v>
      </c>
      <c r="G465" s="97" t="s">
        <v>3113</v>
      </c>
      <c r="H465" s="97" t="s">
        <v>4024</v>
      </c>
      <c r="I465" s="97" t="s">
        <v>4039</v>
      </c>
      <c r="J465" s="97" t="s">
        <v>4057</v>
      </c>
      <c r="K465" s="17" t="str">
        <f>IFERROR(INDEX(競技会設定!$J$3:$O$47,MATCH(J465,競技会設定!$M$3:$M$47,0),5),"")</f>
        <v>静岡県立大</v>
      </c>
      <c r="L465" s="17" t="str">
        <f>IFERROR(INDEX(競技会設定!$J$3:$N$47,MATCH(K465,競技会設定!$N$3:$N$47,0),2),"")</f>
        <v>491037</v>
      </c>
      <c r="M465" s="97" t="s">
        <v>3857</v>
      </c>
      <c r="N465" s="17" t="str">
        <f t="shared" si="22"/>
        <v>DAICHO, Kaoru</v>
      </c>
      <c r="O465" s="17" t="str">
        <f t="shared" si="23"/>
        <v>99</v>
      </c>
    </row>
    <row r="466" spans="1:15">
      <c r="A466" s="17" t="str">
        <f t="shared" si="21"/>
        <v>501000465</v>
      </c>
      <c r="B466" s="97">
        <v>465</v>
      </c>
      <c r="C466" s="97" t="s">
        <v>1142</v>
      </c>
      <c r="D466" s="97" t="s">
        <v>1143</v>
      </c>
      <c r="E466" s="312" t="s">
        <v>2678</v>
      </c>
      <c r="F466" s="312" t="s">
        <v>2679</v>
      </c>
      <c r="G466" s="97" t="s">
        <v>3460</v>
      </c>
      <c r="H466" s="97" t="s">
        <v>4024</v>
      </c>
      <c r="I466" s="97" t="s">
        <v>4039</v>
      </c>
      <c r="J466" s="97" t="s">
        <v>4057</v>
      </c>
      <c r="K466" s="17" t="str">
        <f>IFERROR(INDEX(競技会設定!$J$3:$O$47,MATCH(J466,競技会設定!$M$3:$M$47,0),5),"")</f>
        <v>静岡県立大</v>
      </c>
      <c r="L466" s="17" t="str">
        <f>IFERROR(INDEX(競技会設定!$J$3:$N$47,MATCH(K466,競技会設定!$N$3:$N$47,0),2),"")</f>
        <v>491037</v>
      </c>
      <c r="M466" s="97" t="s">
        <v>3857</v>
      </c>
      <c r="N466" s="17" t="str">
        <f t="shared" si="22"/>
        <v>TSUKAMOTO, Bunta</v>
      </c>
      <c r="O466" s="17" t="str">
        <f t="shared" si="23"/>
        <v>99</v>
      </c>
    </row>
    <row r="467" spans="1:15">
      <c r="A467" s="17" t="str">
        <f t="shared" si="21"/>
        <v>501000466</v>
      </c>
      <c r="B467" s="97">
        <v>466</v>
      </c>
      <c r="C467" s="97" t="s">
        <v>1144</v>
      </c>
      <c r="D467" s="97" t="s">
        <v>1145</v>
      </c>
      <c r="E467" s="312" t="s">
        <v>2680</v>
      </c>
      <c r="F467" s="312" t="s">
        <v>2665</v>
      </c>
      <c r="G467" s="97" t="s">
        <v>3461</v>
      </c>
      <c r="H467" s="97" t="s">
        <v>4025</v>
      </c>
      <c r="I467" s="97" t="s">
        <v>4039</v>
      </c>
      <c r="J467" s="97" t="s">
        <v>4057</v>
      </c>
      <c r="K467" s="17" t="str">
        <f>IFERROR(INDEX(競技会設定!$J$3:$O$47,MATCH(J467,競技会設定!$M$3:$M$47,0),5),"")</f>
        <v>静岡県立大</v>
      </c>
      <c r="L467" s="17" t="str">
        <f>IFERROR(INDEX(競技会設定!$J$3:$N$47,MATCH(K467,競技会設定!$N$3:$N$47,0),2),"")</f>
        <v>491037</v>
      </c>
      <c r="M467" s="97" t="s">
        <v>3857</v>
      </c>
      <c r="N467" s="17" t="str">
        <f t="shared" si="22"/>
        <v>MURAMATSU, Ryoya</v>
      </c>
      <c r="O467" s="17" t="str">
        <f t="shared" si="23"/>
        <v>98</v>
      </c>
    </row>
    <row r="468" spans="1:15">
      <c r="A468" s="17" t="str">
        <f t="shared" si="21"/>
        <v>501000467</v>
      </c>
      <c r="B468" s="97">
        <v>467</v>
      </c>
      <c r="C468" s="97" t="s">
        <v>1146</v>
      </c>
      <c r="D468" s="97" t="s">
        <v>1147</v>
      </c>
      <c r="E468" s="312" t="s">
        <v>2249</v>
      </c>
      <c r="F468" s="312" t="s">
        <v>2681</v>
      </c>
      <c r="G468" s="97" t="s">
        <v>3270</v>
      </c>
      <c r="H468" s="97" t="s">
        <v>4025</v>
      </c>
      <c r="I468" s="97" t="s">
        <v>4039</v>
      </c>
      <c r="J468" s="97" t="s">
        <v>4057</v>
      </c>
      <c r="K468" s="17" t="str">
        <f>IFERROR(INDEX(競技会設定!$J$3:$O$47,MATCH(J468,競技会設定!$M$3:$M$47,0),5),"")</f>
        <v>静岡県立大</v>
      </c>
      <c r="L468" s="17" t="str">
        <f>IFERROR(INDEX(競技会設定!$J$3:$N$47,MATCH(K468,競技会設定!$N$3:$N$47,0),2),"")</f>
        <v>491037</v>
      </c>
      <c r="M468" s="97" t="s">
        <v>3857</v>
      </c>
      <c r="N468" s="17" t="str">
        <f t="shared" si="22"/>
        <v>MASUDA, Kazuya</v>
      </c>
      <c r="O468" s="17" t="str">
        <f t="shared" si="23"/>
        <v>98</v>
      </c>
    </row>
    <row r="469" spans="1:15">
      <c r="A469" s="17" t="str">
        <f t="shared" si="21"/>
        <v>501000468</v>
      </c>
      <c r="B469" s="97">
        <v>468</v>
      </c>
      <c r="C469" s="97" t="s">
        <v>1148</v>
      </c>
      <c r="D469" s="97" t="s">
        <v>1149</v>
      </c>
      <c r="E469" s="312" t="s">
        <v>2176</v>
      </c>
      <c r="F469" s="312" t="s">
        <v>2163</v>
      </c>
      <c r="G469" s="97" t="s">
        <v>3462</v>
      </c>
      <c r="H469" s="97" t="s">
        <v>4025</v>
      </c>
      <c r="I469" s="97" t="s">
        <v>4039</v>
      </c>
      <c r="J469" s="97" t="s">
        <v>4057</v>
      </c>
      <c r="K469" s="17" t="str">
        <f>IFERROR(INDEX(競技会設定!$J$3:$O$47,MATCH(J469,競技会設定!$M$3:$M$47,0),5),"")</f>
        <v>静岡県立大</v>
      </c>
      <c r="L469" s="17" t="str">
        <f>IFERROR(INDEX(競技会設定!$J$3:$N$47,MATCH(K469,競技会設定!$N$3:$N$47,0),2),"")</f>
        <v>491037</v>
      </c>
      <c r="M469" s="97" t="s">
        <v>3857</v>
      </c>
      <c r="N469" s="17" t="str">
        <f t="shared" si="22"/>
        <v>NAKAMURA, Fumiya</v>
      </c>
      <c r="O469" s="17" t="str">
        <f t="shared" si="23"/>
        <v>98</v>
      </c>
    </row>
    <row r="470" spans="1:15">
      <c r="A470" s="17" t="str">
        <f t="shared" si="21"/>
        <v>501000469</v>
      </c>
      <c r="B470" s="97">
        <v>469</v>
      </c>
      <c r="C470" s="97" t="s">
        <v>1150</v>
      </c>
      <c r="D470" s="97" t="s">
        <v>1151</v>
      </c>
      <c r="E470" s="312" t="s">
        <v>2682</v>
      </c>
      <c r="F470" s="312" t="s">
        <v>2149</v>
      </c>
      <c r="G470" s="97" t="s">
        <v>3463</v>
      </c>
      <c r="H470" s="97" t="s">
        <v>4025</v>
      </c>
      <c r="I470" s="97" t="s">
        <v>4039</v>
      </c>
      <c r="J470" s="97" t="s">
        <v>4057</v>
      </c>
      <c r="K470" s="17" t="str">
        <f>IFERROR(INDEX(競技会設定!$J$3:$O$47,MATCH(J470,競技会設定!$M$3:$M$47,0),5),"")</f>
        <v>静岡県立大</v>
      </c>
      <c r="L470" s="17" t="str">
        <f>IFERROR(INDEX(競技会設定!$J$3:$N$47,MATCH(K470,競技会設定!$N$3:$N$47,0),2),"")</f>
        <v>491037</v>
      </c>
      <c r="M470" s="97" t="s">
        <v>3857</v>
      </c>
      <c r="N470" s="17" t="str">
        <f t="shared" si="22"/>
        <v>TSUKUNO, Ryo</v>
      </c>
      <c r="O470" s="17" t="str">
        <f t="shared" si="23"/>
        <v>97</v>
      </c>
    </row>
    <row r="471" spans="1:15">
      <c r="A471" s="17" t="str">
        <f t="shared" si="21"/>
        <v>501000470</v>
      </c>
      <c r="B471" s="97">
        <v>470</v>
      </c>
      <c r="C471" s="97" t="s">
        <v>1152</v>
      </c>
      <c r="D471" s="97" t="s">
        <v>1153</v>
      </c>
      <c r="E471" s="312" t="s">
        <v>2159</v>
      </c>
      <c r="F471" s="312" t="s">
        <v>2585</v>
      </c>
      <c r="G471" s="97" t="s">
        <v>3464</v>
      </c>
      <c r="H471" s="97" t="s">
        <v>4025</v>
      </c>
      <c r="I471" s="97" t="s">
        <v>4039</v>
      </c>
      <c r="J471" s="97" t="s">
        <v>4057</v>
      </c>
      <c r="K471" s="17" t="str">
        <f>IFERROR(INDEX(競技会設定!$J$3:$O$47,MATCH(J471,競技会設定!$M$3:$M$47,0),5),"")</f>
        <v>静岡県立大</v>
      </c>
      <c r="L471" s="17" t="str">
        <f>IFERROR(INDEX(競技会設定!$J$3:$N$47,MATCH(K471,競技会設定!$N$3:$N$47,0),2),"")</f>
        <v>491037</v>
      </c>
      <c r="M471" s="97" t="s">
        <v>3857</v>
      </c>
      <c r="N471" s="17" t="str">
        <f t="shared" si="22"/>
        <v>OHARA, Ryoma</v>
      </c>
      <c r="O471" s="17" t="str">
        <f t="shared" si="23"/>
        <v>96</v>
      </c>
    </row>
    <row r="472" spans="1:15">
      <c r="A472" s="17" t="str">
        <f t="shared" si="21"/>
        <v>501000471</v>
      </c>
      <c r="B472" s="97">
        <v>471</v>
      </c>
      <c r="C472" s="97" t="s">
        <v>1154</v>
      </c>
      <c r="D472" s="97" t="s">
        <v>1155</v>
      </c>
      <c r="E472" s="312" t="s">
        <v>2683</v>
      </c>
      <c r="F472" s="312" t="s">
        <v>2116</v>
      </c>
      <c r="G472" s="97" t="s">
        <v>3465</v>
      </c>
      <c r="H472" s="97" t="s">
        <v>4025</v>
      </c>
      <c r="I472" s="97" t="s">
        <v>4039</v>
      </c>
      <c r="J472" s="97" t="s">
        <v>4057</v>
      </c>
      <c r="K472" s="17" t="str">
        <f>IFERROR(INDEX(競技会設定!$J$3:$O$47,MATCH(J472,競技会設定!$M$3:$M$47,0),5),"")</f>
        <v>静岡県立大</v>
      </c>
      <c r="L472" s="17" t="str">
        <f>IFERROR(INDEX(競技会設定!$J$3:$N$47,MATCH(K472,競技会設定!$N$3:$N$47,0),2),"")</f>
        <v>491037</v>
      </c>
      <c r="M472" s="97" t="s">
        <v>3857</v>
      </c>
      <c r="N472" s="17" t="str">
        <f t="shared" si="22"/>
        <v>OZAWA, Hiroki</v>
      </c>
      <c r="O472" s="17" t="str">
        <f t="shared" si="23"/>
        <v>00</v>
      </c>
    </row>
    <row r="473" spans="1:15">
      <c r="A473" s="17" t="str">
        <f t="shared" si="21"/>
        <v>501000472</v>
      </c>
      <c r="B473" s="97">
        <v>472</v>
      </c>
      <c r="C473" s="97" t="s">
        <v>1156</v>
      </c>
      <c r="D473" s="97" t="s">
        <v>1157</v>
      </c>
      <c r="E473" s="312" t="s">
        <v>2684</v>
      </c>
      <c r="F473" s="312" t="s">
        <v>2685</v>
      </c>
      <c r="G473" s="97" t="s">
        <v>3466</v>
      </c>
      <c r="H473" s="97" t="s">
        <v>4026</v>
      </c>
      <c r="I473" s="97" t="s">
        <v>4039</v>
      </c>
      <c r="J473" s="97" t="s">
        <v>4057</v>
      </c>
      <c r="K473" s="17" t="str">
        <f>IFERROR(INDEX(競技会設定!$J$3:$O$47,MATCH(J473,競技会設定!$M$3:$M$47,0),5),"")</f>
        <v>静岡県立大</v>
      </c>
      <c r="L473" s="17" t="str">
        <f>IFERROR(INDEX(競技会設定!$J$3:$N$47,MATCH(K473,競技会設定!$N$3:$N$47,0),2),"")</f>
        <v>491037</v>
      </c>
      <c r="M473" s="97" t="s">
        <v>3857</v>
      </c>
      <c r="N473" s="17" t="str">
        <f t="shared" si="22"/>
        <v>OBATA, Eito</v>
      </c>
      <c r="O473" s="17" t="str">
        <f t="shared" si="23"/>
        <v>00</v>
      </c>
    </row>
    <row r="474" spans="1:15">
      <c r="A474" s="17" t="str">
        <f t="shared" si="21"/>
        <v>501000473</v>
      </c>
      <c r="B474" s="97">
        <v>473</v>
      </c>
      <c r="C474" s="97" t="s">
        <v>1158</v>
      </c>
      <c r="D474" s="97" t="s">
        <v>1159</v>
      </c>
      <c r="E474" s="312" t="s">
        <v>2419</v>
      </c>
      <c r="F474" s="312" t="s">
        <v>2686</v>
      </c>
      <c r="G474" s="97" t="s">
        <v>3467</v>
      </c>
      <c r="H474" s="97" t="s">
        <v>4024</v>
      </c>
      <c r="I474" s="97" t="s">
        <v>4039</v>
      </c>
      <c r="J474" s="97" t="s">
        <v>4058</v>
      </c>
      <c r="K474" s="17" t="str">
        <f>IFERROR(INDEX(競技会設定!$J$3:$O$47,MATCH(J474,競技会設定!$M$3:$M$47,0),5),"")</f>
        <v>中部学院大</v>
      </c>
      <c r="L474" s="17" t="str">
        <f>IFERROR(INDEX(競技会設定!$J$3:$N$47,MATCH(K474,競技会設定!$N$3:$N$47,0),2),"")</f>
        <v>492428</v>
      </c>
      <c r="M474" s="97" t="s">
        <v>3855</v>
      </c>
      <c r="N474" s="17" t="str">
        <f t="shared" si="22"/>
        <v>FUJIMOTO, Yuuki</v>
      </c>
      <c r="O474" s="17" t="str">
        <f t="shared" si="23"/>
        <v>99</v>
      </c>
    </row>
    <row r="475" spans="1:15">
      <c r="A475" s="17" t="str">
        <f t="shared" si="21"/>
        <v>501000474</v>
      </c>
      <c r="B475" s="97">
        <v>474</v>
      </c>
      <c r="C475" s="97" t="s">
        <v>1160</v>
      </c>
      <c r="D475" s="97" t="s">
        <v>1161</v>
      </c>
      <c r="E475" s="312" t="s">
        <v>2496</v>
      </c>
      <c r="F475" s="312" t="s">
        <v>2131</v>
      </c>
      <c r="G475" s="97" t="s">
        <v>3468</v>
      </c>
      <c r="H475" s="97" t="s">
        <v>4026</v>
      </c>
      <c r="I475" s="97" t="s">
        <v>4039</v>
      </c>
      <c r="J475" s="97" t="s">
        <v>4058</v>
      </c>
      <c r="K475" s="17" t="str">
        <f>IFERROR(INDEX(競技会設定!$J$3:$O$47,MATCH(J475,競技会設定!$M$3:$M$47,0),5),"")</f>
        <v>中部学院大</v>
      </c>
      <c r="L475" s="17" t="str">
        <f>IFERROR(INDEX(競技会設定!$J$3:$N$47,MATCH(K475,競技会設定!$N$3:$N$47,0),2),"")</f>
        <v>492428</v>
      </c>
      <c r="M475" s="97" t="s">
        <v>3855</v>
      </c>
      <c r="N475" s="17" t="str">
        <f t="shared" si="22"/>
        <v>NISHIMURA, Haruki</v>
      </c>
      <c r="O475" s="17" t="str">
        <f t="shared" si="23"/>
        <v>00</v>
      </c>
    </row>
    <row r="476" spans="1:15">
      <c r="A476" s="17" t="str">
        <f t="shared" si="21"/>
        <v>501000475</v>
      </c>
      <c r="B476" s="97">
        <v>475</v>
      </c>
      <c r="C476" s="97" t="s">
        <v>1162</v>
      </c>
      <c r="D476" s="97" t="s">
        <v>1163</v>
      </c>
      <c r="E476" s="312" t="s">
        <v>2687</v>
      </c>
      <c r="F476" s="312" t="s">
        <v>2085</v>
      </c>
      <c r="G476" s="97" t="s">
        <v>3469</v>
      </c>
      <c r="H476" s="97" t="s">
        <v>4029</v>
      </c>
      <c r="I476" s="97" t="s">
        <v>4039</v>
      </c>
      <c r="J476" s="97" t="s">
        <v>4058</v>
      </c>
      <c r="K476" s="17" t="str">
        <f>IFERROR(INDEX(競技会設定!$J$3:$O$47,MATCH(J476,競技会設定!$M$3:$M$47,0),5),"")</f>
        <v>中部学院大</v>
      </c>
      <c r="L476" s="17" t="str">
        <f>IFERROR(INDEX(競技会設定!$J$3:$N$47,MATCH(K476,競技会設定!$N$3:$N$47,0),2),"")</f>
        <v>492428</v>
      </c>
      <c r="M476" s="97" t="s">
        <v>3855</v>
      </c>
      <c r="N476" s="17" t="str">
        <f t="shared" si="22"/>
        <v>MATSUOKA, Takuma</v>
      </c>
      <c r="O476" s="17" t="str">
        <f t="shared" si="23"/>
        <v>01</v>
      </c>
    </row>
    <row r="477" spans="1:15">
      <c r="A477" s="17" t="str">
        <f t="shared" si="21"/>
        <v>501000476</v>
      </c>
      <c r="B477" s="97">
        <v>476</v>
      </c>
      <c r="C477" s="97" t="s">
        <v>1164</v>
      </c>
      <c r="D477" s="97" t="s">
        <v>1165</v>
      </c>
      <c r="E477" s="312" t="s">
        <v>2541</v>
      </c>
      <c r="F477" s="312" t="s">
        <v>2312</v>
      </c>
      <c r="G477" s="97" t="s">
        <v>3470</v>
      </c>
      <c r="H477" s="97" t="s">
        <v>4029</v>
      </c>
      <c r="I477" s="97" t="s">
        <v>4039</v>
      </c>
      <c r="J477" s="97" t="s">
        <v>4058</v>
      </c>
      <c r="K477" s="17" t="str">
        <f>IFERROR(INDEX(競技会設定!$J$3:$O$47,MATCH(J477,競技会設定!$M$3:$M$47,0),5),"")</f>
        <v>中部学院大</v>
      </c>
      <c r="L477" s="17" t="str">
        <f>IFERROR(INDEX(競技会設定!$J$3:$N$47,MATCH(K477,競技会設定!$N$3:$N$47,0),2),"")</f>
        <v>492428</v>
      </c>
      <c r="M477" s="97" t="s">
        <v>3855</v>
      </c>
      <c r="N477" s="17" t="str">
        <f t="shared" si="22"/>
        <v>OGAWA, Koya</v>
      </c>
      <c r="O477" s="17" t="str">
        <f t="shared" si="23"/>
        <v>01</v>
      </c>
    </row>
    <row r="478" spans="1:15">
      <c r="A478" s="17" t="str">
        <f t="shared" si="21"/>
        <v>501000477</v>
      </c>
      <c r="B478" s="97">
        <v>477</v>
      </c>
      <c r="C478" s="97" t="s">
        <v>1166</v>
      </c>
      <c r="D478" s="97" t="s">
        <v>1167</v>
      </c>
      <c r="E478" s="312" t="s">
        <v>2349</v>
      </c>
      <c r="F478" s="312" t="s">
        <v>2544</v>
      </c>
      <c r="G478" s="97" t="s">
        <v>3471</v>
      </c>
      <c r="H478" s="97" t="s">
        <v>4025</v>
      </c>
      <c r="I478" s="97" t="s">
        <v>4039</v>
      </c>
      <c r="J478" s="97" t="s">
        <v>4059</v>
      </c>
      <c r="K478" s="17" t="str">
        <f>IFERROR(INDEX(競技会設定!$J$3:$O$47,MATCH(J478,競技会設定!$M$3:$M$47,0),5),"")</f>
        <v>中部大</v>
      </c>
      <c r="L478" s="17" t="str">
        <f>IFERROR(INDEX(競技会設定!$J$3:$N$47,MATCH(K478,競技会設定!$N$3:$N$47,0),2),"")</f>
        <v>492175</v>
      </c>
      <c r="M478" s="97" t="s">
        <v>3859</v>
      </c>
      <c r="N478" s="17" t="str">
        <f t="shared" si="22"/>
        <v>KOBAYASHI, Yoshinori</v>
      </c>
      <c r="O478" s="17" t="str">
        <f t="shared" si="23"/>
        <v>98</v>
      </c>
    </row>
    <row r="479" spans="1:15">
      <c r="A479" s="17" t="str">
        <f t="shared" si="21"/>
        <v>501000478</v>
      </c>
      <c r="B479" s="97">
        <v>478</v>
      </c>
      <c r="C479" s="97" t="s">
        <v>1168</v>
      </c>
      <c r="D479" s="97" t="s">
        <v>1169</v>
      </c>
      <c r="E479" s="312" t="s">
        <v>2688</v>
      </c>
      <c r="F479" s="312" t="s">
        <v>2689</v>
      </c>
      <c r="G479" s="97" t="s">
        <v>3472</v>
      </c>
      <c r="H479" s="97" t="s">
        <v>4025</v>
      </c>
      <c r="I479" s="97" t="s">
        <v>4039</v>
      </c>
      <c r="J479" s="97" t="s">
        <v>4059</v>
      </c>
      <c r="K479" s="17" t="str">
        <f>IFERROR(INDEX(競技会設定!$J$3:$O$47,MATCH(J479,競技会設定!$M$3:$M$47,0),5),"")</f>
        <v>中部大</v>
      </c>
      <c r="L479" s="17" t="str">
        <f>IFERROR(INDEX(競技会設定!$J$3:$N$47,MATCH(K479,競技会設定!$N$3:$N$47,0),2),"")</f>
        <v>492175</v>
      </c>
      <c r="M479" s="97" t="s">
        <v>3859</v>
      </c>
      <c r="N479" s="17" t="str">
        <f t="shared" si="22"/>
        <v>BABA, Takao</v>
      </c>
      <c r="O479" s="17" t="str">
        <f t="shared" si="23"/>
        <v>98</v>
      </c>
    </row>
    <row r="480" spans="1:15">
      <c r="A480" s="17" t="str">
        <f t="shared" si="21"/>
        <v>501000479</v>
      </c>
      <c r="B480" s="97">
        <v>479</v>
      </c>
      <c r="C480" s="97" t="s">
        <v>1170</v>
      </c>
      <c r="D480" s="97" t="s">
        <v>1171</v>
      </c>
      <c r="E480" s="312" t="s">
        <v>2690</v>
      </c>
      <c r="F480" s="312" t="s">
        <v>2286</v>
      </c>
      <c r="G480" s="97" t="s">
        <v>3473</v>
      </c>
      <c r="H480" s="97" t="s">
        <v>4025</v>
      </c>
      <c r="I480" s="97" t="s">
        <v>4039</v>
      </c>
      <c r="J480" s="97" t="s">
        <v>4059</v>
      </c>
      <c r="K480" s="17" t="str">
        <f>IFERROR(INDEX(競技会設定!$J$3:$O$47,MATCH(J480,競技会設定!$M$3:$M$47,0),5),"")</f>
        <v>中部大</v>
      </c>
      <c r="L480" s="17" t="str">
        <f>IFERROR(INDEX(競技会設定!$J$3:$N$47,MATCH(K480,競技会設定!$N$3:$N$47,0),2),"")</f>
        <v>492175</v>
      </c>
      <c r="M480" s="97" t="s">
        <v>3861</v>
      </c>
      <c r="N480" s="17" t="str">
        <f t="shared" si="22"/>
        <v>MATSUISHI, Naoki</v>
      </c>
      <c r="O480" s="17" t="str">
        <f t="shared" si="23"/>
        <v>98</v>
      </c>
    </row>
    <row r="481" spans="1:15">
      <c r="A481" s="17" t="str">
        <f t="shared" si="21"/>
        <v>501000480</v>
      </c>
      <c r="B481" s="97">
        <v>480</v>
      </c>
      <c r="C481" s="97" t="s">
        <v>1172</v>
      </c>
      <c r="D481" s="97" t="s">
        <v>1173</v>
      </c>
      <c r="E481" s="312" t="s">
        <v>2691</v>
      </c>
      <c r="F481" s="312" t="s">
        <v>2170</v>
      </c>
      <c r="G481" s="97" t="s">
        <v>3474</v>
      </c>
      <c r="H481" s="97" t="s">
        <v>4024</v>
      </c>
      <c r="I481" s="97" t="s">
        <v>4039</v>
      </c>
      <c r="J481" s="97" t="s">
        <v>4059</v>
      </c>
      <c r="K481" s="17" t="str">
        <f>IFERROR(INDEX(競技会設定!$J$3:$O$47,MATCH(J481,競技会設定!$M$3:$M$47,0),5),"")</f>
        <v>中部大</v>
      </c>
      <c r="L481" s="17" t="str">
        <f>IFERROR(INDEX(競技会設定!$J$3:$N$47,MATCH(K481,競技会設定!$N$3:$N$47,0),2),"")</f>
        <v>492175</v>
      </c>
      <c r="M481" s="97" t="s">
        <v>3859</v>
      </c>
      <c r="N481" s="17" t="str">
        <f t="shared" si="22"/>
        <v>ISHIZUKA, Daiki</v>
      </c>
      <c r="O481" s="17" t="str">
        <f t="shared" si="23"/>
        <v>99</v>
      </c>
    </row>
    <row r="482" spans="1:15">
      <c r="A482" s="17" t="str">
        <f t="shared" si="21"/>
        <v>501000481</v>
      </c>
      <c r="B482" s="97">
        <v>481</v>
      </c>
      <c r="C482" s="97" t="s">
        <v>1174</v>
      </c>
      <c r="D482" s="97" t="s">
        <v>1175</v>
      </c>
      <c r="E482" s="312" t="s">
        <v>2692</v>
      </c>
      <c r="F482" s="312" t="s">
        <v>2693</v>
      </c>
      <c r="G482" s="97" t="s">
        <v>3475</v>
      </c>
      <c r="H482" s="97" t="s">
        <v>4024</v>
      </c>
      <c r="I482" s="97" t="s">
        <v>4039</v>
      </c>
      <c r="J482" s="97" t="s">
        <v>4059</v>
      </c>
      <c r="K482" s="17" t="str">
        <f>IFERROR(INDEX(競技会設定!$J$3:$O$47,MATCH(J482,競技会設定!$M$3:$M$47,0),5),"")</f>
        <v>中部大</v>
      </c>
      <c r="L482" s="17" t="str">
        <f>IFERROR(INDEX(競技会設定!$J$3:$N$47,MATCH(K482,競技会設定!$N$3:$N$47,0),2),"")</f>
        <v>492175</v>
      </c>
      <c r="M482" s="97" t="s">
        <v>3859</v>
      </c>
      <c r="N482" s="17" t="str">
        <f t="shared" si="22"/>
        <v>ISHIMAKI, Yoshiya</v>
      </c>
      <c r="O482" s="17" t="str">
        <f t="shared" si="23"/>
        <v>99</v>
      </c>
    </row>
    <row r="483" spans="1:15">
      <c r="A483" s="17" t="str">
        <f t="shared" si="21"/>
        <v>501000482</v>
      </c>
      <c r="B483" s="97">
        <v>482</v>
      </c>
      <c r="C483" s="97" t="s">
        <v>1176</v>
      </c>
      <c r="D483" s="97" t="s">
        <v>1177</v>
      </c>
      <c r="E483" s="312" t="s">
        <v>2239</v>
      </c>
      <c r="F483" s="312" t="s">
        <v>2137</v>
      </c>
      <c r="G483" s="97" t="s">
        <v>3476</v>
      </c>
      <c r="H483" s="97" t="s">
        <v>4024</v>
      </c>
      <c r="I483" s="97" t="s">
        <v>4039</v>
      </c>
      <c r="J483" s="97" t="s">
        <v>4059</v>
      </c>
      <c r="K483" s="17" t="str">
        <f>IFERROR(INDEX(競技会設定!$J$3:$O$47,MATCH(J483,競技会設定!$M$3:$M$47,0),5),"")</f>
        <v>中部大</v>
      </c>
      <c r="L483" s="17" t="str">
        <f>IFERROR(INDEX(競技会設定!$J$3:$N$47,MATCH(K483,競技会設定!$N$3:$N$47,0),2),"")</f>
        <v>492175</v>
      </c>
      <c r="M483" s="97" t="s">
        <v>3859</v>
      </c>
      <c r="N483" s="17" t="str">
        <f t="shared" si="22"/>
        <v>ISOBE, Ryota</v>
      </c>
      <c r="O483" s="17" t="str">
        <f t="shared" si="23"/>
        <v>99</v>
      </c>
    </row>
    <row r="484" spans="1:15">
      <c r="A484" s="17" t="str">
        <f t="shared" si="21"/>
        <v>501000483</v>
      </c>
      <c r="B484" s="97">
        <v>483</v>
      </c>
      <c r="C484" s="97" t="s">
        <v>1178</v>
      </c>
      <c r="D484" s="97" t="s">
        <v>1179</v>
      </c>
      <c r="E484" s="312" t="s">
        <v>2508</v>
      </c>
      <c r="F484" s="312" t="s">
        <v>2665</v>
      </c>
      <c r="G484" s="97" t="s">
        <v>3477</v>
      </c>
      <c r="H484" s="97" t="s">
        <v>4024</v>
      </c>
      <c r="I484" s="97" t="s">
        <v>4039</v>
      </c>
      <c r="J484" s="97" t="s">
        <v>4059</v>
      </c>
      <c r="K484" s="17" t="str">
        <f>IFERROR(INDEX(競技会設定!$J$3:$O$47,MATCH(J484,競技会設定!$M$3:$M$47,0),5),"")</f>
        <v>中部大</v>
      </c>
      <c r="L484" s="17" t="str">
        <f>IFERROR(INDEX(競技会設定!$J$3:$N$47,MATCH(K484,競技会設定!$N$3:$N$47,0),2),"")</f>
        <v>492175</v>
      </c>
      <c r="M484" s="97" t="s">
        <v>3859</v>
      </c>
      <c r="N484" s="17" t="str">
        <f t="shared" si="22"/>
        <v>UKAI, Ryoya</v>
      </c>
      <c r="O484" s="17" t="str">
        <f t="shared" si="23"/>
        <v>99</v>
      </c>
    </row>
    <row r="485" spans="1:15">
      <c r="A485" s="17" t="str">
        <f t="shared" si="21"/>
        <v>501000484</v>
      </c>
      <c r="B485" s="97">
        <v>484</v>
      </c>
      <c r="C485" s="97" t="s">
        <v>1180</v>
      </c>
      <c r="D485" s="97" t="s">
        <v>1181</v>
      </c>
      <c r="E485" s="312" t="s">
        <v>2694</v>
      </c>
      <c r="F485" s="312" t="s">
        <v>2085</v>
      </c>
      <c r="G485" s="97" t="s">
        <v>3478</v>
      </c>
      <c r="H485" s="97" t="s">
        <v>4024</v>
      </c>
      <c r="I485" s="97" t="s">
        <v>4039</v>
      </c>
      <c r="J485" s="97" t="s">
        <v>4059</v>
      </c>
      <c r="K485" s="17" t="str">
        <f>IFERROR(INDEX(競技会設定!$J$3:$O$47,MATCH(J485,競技会設定!$M$3:$M$47,0),5),"")</f>
        <v>中部大</v>
      </c>
      <c r="L485" s="17" t="str">
        <f>IFERROR(INDEX(競技会設定!$J$3:$N$47,MATCH(K485,競技会設定!$N$3:$N$47,0),2),"")</f>
        <v>492175</v>
      </c>
      <c r="M485" s="97" t="s">
        <v>3859</v>
      </c>
      <c r="N485" s="17" t="str">
        <f t="shared" si="22"/>
        <v>OGASAWARA, Takuma</v>
      </c>
      <c r="O485" s="17" t="str">
        <f t="shared" si="23"/>
        <v>97</v>
      </c>
    </row>
    <row r="486" spans="1:15">
      <c r="A486" s="17" t="str">
        <f t="shared" si="21"/>
        <v>501000485</v>
      </c>
      <c r="B486" s="97">
        <v>485</v>
      </c>
      <c r="C486" s="97" t="s">
        <v>1182</v>
      </c>
      <c r="D486" s="97" t="s">
        <v>1183</v>
      </c>
      <c r="E486" s="312" t="s">
        <v>2695</v>
      </c>
      <c r="F486" s="312" t="s">
        <v>2696</v>
      </c>
      <c r="G486" s="97" t="s">
        <v>3479</v>
      </c>
      <c r="H486" s="97" t="s">
        <v>4024</v>
      </c>
      <c r="I486" s="97" t="s">
        <v>4039</v>
      </c>
      <c r="J486" s="97" t="s">
        <v>4059</v>
      </c>
      <c r="K486" s="17" t="str">
        <f>IFERROR(INDEX(競技会設定!$J$3:$O$47,MATCH(J486,競技会設定!$M$3:$M$47,0),5),"")</f>
        <v>中部大</v>
      </c>
      <c r="L486" s="17" t="str">
        <f>IFERROR(INDEX(競技会設定!$J$3:$N$47,MATCH(K486,競技会設定!$N$3:$N$47,0),2),"")</f>
        <v>492175</v>
      </c>
      <c r="M486" s="97" t="s">
        <v>3861</v>
      </c>
      <c r="N486" s="17" t="str">
        <f t="shared" si="22"/>
        <v>KURATSUJI, Ken</v>
      </c>
      <c r="O486" s="17" t="str">
        <f t="shared" si="23"/>
        <v>99</v>
      </c>
    </row>
    <row r="487" spans="1:15">
      <c r="A487" s="17" t="str">
        <f t="shared" si="21"/>
        <v>501000486</v>
      </c>
      <c r="B487" s="97">
        <v>486</v>
      </c>
      <c r="C487" s="97" t="s">
        <v>1184</v>
      </c>
      <c r="D487" s="97" t="s">
        <v>1185</v>
      </c>
      <c r="E487" s="312" t="s">
        <v>2697</v>
      </c>
      <c r="F487" s="312" t="s">
        <v>2698</v>
      </c>
      <c r="G487" s="97" t="s">
        <v>3480</v>
      </c>
      <c r="H487" s="97" t="s">
        <v>4024</v>
      </c>
      <c r="I487" s="97" t="s">
        <v>4039</v>
      </c>
      <c r="J487" s="97" t="s">
        <v>4059</v>
      </c>
      <c r="K487" s="17" t="str">
        <f>IFERROR(INDEX(競技会設定!$J$3:$O$47,MATCH(J487,競技会設定!$M$3:$M$47,0),5),"")</f>
        <v>中部大</v>
      </c>
      <c r="L487" s="17" t="str">
        <f>IFERROR(INDEX(競技会設定!$J$3:$N$47,MATCH(K487,競技会設定!$N$3:$N$47,0),2),"")</f>
        <v>492175</v>
      </c>
      <c r="M487" s="97" t="s">
        <v>3859</v>
      </c>
      <c r="N487" s="17" t="str">
        <f t="shared" si="22"/>
        <v>SUGETA, Rui</v>
      </c>
      <c r="O487" s="17" t="str">
        <f t="shared" si="23"/>
        <v>00</v>
      </c>
    </row>
    <row r="488" spans="1:15">
      <c r="A488" s="17" t="str">
        <f t="shared" si="21"/>
        <v>501000487</v>
      </c>
      <c r="B488" s="97">
        <v>487</v>
      </c>
      <c r="C488" s="97" t="s">
        <v>1186</v>
      </c>
      <c r="D488" s="97" t="s">
        <v>1187</v>
      </c>
      <c r="E488" s="312" t="s">
        <v>2308</v>
      </c>
      <c r="F488" s="312" t="s">
        <v>2699</v>
      </c>
      <c r="G488" s="97" t="s">
        <v>3481</v>
      </c>
      <c r="H488" s="97" t="s">
        <v>4024</v>
      </c>
      <c r="I488" s="97" t="s">
        <v>4039</v>
      </c>
      <c r="J488" s="97" t="s">
        <v>4059</v>
      </c>
      <c r="K488" s="17" t="str">
        <f>IFERROR(INDEX(競技会設定!$J$3:$O$47,MATCH(J488,競技会設定!$M$3:$M$47,0),5),"")</f>
        <v>中部大</v>
      </c>
      <c r="L488" s="17" t="str">
        <f>IFERROR(INDEX(競技会設定!$J$3:$N$47,MATCH(K488,競技会設定!$N$3:$N$47,0),2),"")</f>
        <v>492175</v>
      </c>
      <c r="M488" s="97" t="s">
        <v>3859</v>
      </c>
      <c r="N488" s="17" t="str">
        <f t="shared" si="22"/>
        <v>YAMAGUCHI, Kaiki</v>
      </c>
      <c r="O488" s="17" t="str">
        <f t="shared" si="23"/>
        <v>99</v>
      </c>
    </row>
    <row r="489" spans="1:15">
      <c r="A489" s="17" t="str">
        <f t="shared" si="21"/>
        <v>501000488</v>
      </c>
      <c r="B489" s="97">
        <v>488</v>
      </c>
      <c r="C489" s="97" t="s">
        <v>1188</v>
      </c>
      <c r="D489" s="97" t="s">
        <v>1189</v>
      </c>
      <c r="E489" s="312" t="s">
        <v>2700</v>
      </c>
      <c r="F489" s="312" t="s">
        <v>2345</v>
      </c>
      <c r="G489" s="97" t="s">
        <v>3482</v>
      </c>
      <c r="H489" s="97" t="s">
        <v>4026</v>
      </c>
      <c r="I489" s="97" t="s">
        <v>4039</v>
      </c>
      <c r="J489" s="97" t="s">
        <v>4059</v>
      </c>
      <c r="K489" s="17" t="str">
        <f>IFERROR(INDEX(競技会設定!$J$3:$O$47,MATCH(J489,競技会設定!$M$3:$M$47,0),5),"")</f>
        <v>中部大</v>
      </c>
      <c r="L489" s="17" t="str">
        <f>IFERROR(INDEX(競技会設定!$J$3:$N$47,MATCH(K489,競技会設定!$N$3:$N$47,0),2),"")</f>
        <v>492175</v>
      </c>
      <c r="M489" s="97" t="s">
        <v>3859</v>
      </c>
      <c r="N489" s="17" t="str">
        <f t="shared" si="22"/>
        <v>UMETANI, Masanari</v>
      </c>
      <c r="O489" s="17" t="str">
        <f t="shared" si="23"/>
        <v>99</v>
      </c>
    </row>
    <row r="490" spans="1:15">
      <c r="A490" s="17" t="str">
        <f t="shared" si="21"/>
        <v>501000489</v>
      </c>
      <c r="B490" s="97">
        <v>489</v>
      </c>
      <c r="C490" s="97" t="s">
        <v>1190</v>
      </c>
      <c r="D490" s="97" t="s">
        <v>1191</v>
      </c>
      <c r="E490" s="312" t="s">
        <v>2281</v>
      </c>
      <c r="F490" s="312" t="s">
        <v>2260</v>
      </c>
      <c r="G490" s="97" t="s">
        <v>3483</v>
      </c>
      <c r="H490" s="97" t="s">
        <v>4026</v>
      </c>
      <c r="I490" s="97" t="s">
        <v>4039</v>
      </c>
      <c r="J490" s="97" t="s">
        <v>4059</v>
      </c>
      <c r="K490" s="17" t="str">
        <f>IFERROR(INDEX(競技会設定!$J$3:$O$47,MATCH(J490,競技会設定!$M$3:$M$47,0),5),"")</f>
        <v>中部大</v>
      </c>
      <c r="L490" s="17" t="str">
        <f>IFERROR(INDEX(競技会設定!$J$3:$N$47,MATCH(K490,競技会設定!$N$3:$N$47,0),2),"")</f>
        <v>492175</v>
      </c>
      <c r="M490" s="97" t="s">
        <v>3861</v>
      </c>
      <c r="N490" s="17" t="str">
        <f t="shared" si="22"/>
        <v>OKAMURA, Rintaro</v>
      </c>
      <c r="O490" s="17" t="str">
        <f t="shared" si="23"/>
        <v>01</v>
      </c>
    </row>
    <row r="491" spans="1:15">
      <c r="A491" s="17" t="str">
        <f t="shared" si="21"/>
        <v>501000490</v>
      </c>
      <c r="B491" s="97">
        <v>490</v>
      </c>
      <c r="C491" s="97" t="s">
        <v>1192</v>
      </c>
      <c r="D491" s="97" t="s">
        <v>1193</v>
      </c>
      <c r="E491" s="312" t="s">
        <v>2314</v>
      </c>
      <c r="F491" s="312" t="s">
        <v>2615</v>
      </c>
      <c r="G491" s="97" t="s">
        <v>3484</v>
      </c>
      <c r="H491" s="97" t="s">
        <v>4026</v>
      </c>
      <c r="I491" s="97" t="s">
        <v>4039</v>
      </c>
      <c r="J491" s="97" t="s">
        <v>4059</v>
      </c>
      <c r="K491" s="17" t="str">
        <f>IFERROR(INDEX(競技会設定!$J$3:$O$47,MATCH(J491,競技会設定!$M$3:$M$47,0),5),"")</f>
        <v>中部大</v>
      </c>
      <c r="L491" s="17" t="str">
        <f>IFERROR(INDEX(競技会設定!$J$3:$N$47,MATCH(K491,競技会設定!$N$3:$N$47,0),2),"")</f>
        <v>492175</v>
      </c>
      <c r="M491" s="97" t="s">
        <v>3859</v>
      </c>
      <c r="N491" s="17" t="str">
        <f t="shared" si="22"/>
        <v>KONDO, Tsubasa</v>
      </c>
      <c r="O491" s="17" t="str">
        <f t="shared" si="23"/>
        <v>00</v>
      </c>
    </row>
    <row r="492" spans="1:15">
      <c r="A492" s="17" t="str">
        <f t="shared" si="21"/>
        <v>501000491</v>
      </c>
      <c r="B492" s="97">
        <v>491</v>
      </c>
      <c r="C492" s="97" t="s">
        <v>1194</v>
      </c>
      <c r="D492" s="97" t="s">
        <v>1195</v>
      </c>
      <c r="E492" s="312" t="s">
        <v>2701</v>
      </c>
      <c r="F492" s="312" t="s">
        <v>2127</v>
      </c>
      <c r="G492" s="97" t="s">
        <v>3124</v>
      </c>
      <c r="H492" s="97" t="s">
        <v>4026</v>
      </c>
      <c r="I492" s="97" t="s">
        <v>4039</v>
      </c>
      <c r="J492" s="97" t="s">
        <v>4059</v>
      </c>
      <c r="K492" s="17" t="str">
        <f>IFERROR(INDEX(競技会設定!$J$3:$O$47,MATCH(J492,競技会設定!$M$3:$M$47,0),5),"")</f>
        <v>中部大</v>
      </c>
      <c r="L492" s="17" t="str">
        <f>IFERROR(INDEX(競技会設定!$J$3:$N$47,MATCH(K492,競技会設定!$N$3:$N$47,0),2),"")</f>
        <v>492175</v>
      </c>
      <c r="M492" s="97" t="s">
        <v>3859</v>
      </c>
      <c r="N492" s="17" t="str">
        <f t="shared" si="22"/>
        <v>TAKENO, Yura</v>
      </c>
      <c r="O492" s="17" t="str">
        <f t="shared" si="23"/>
        <v>99</v>
      </c>
    </row>
    <row r="493" spans="1:15">
      <c r="A493" s="17" t="str">
        <f t="shared" si="21"/>
        <v>501000492</v>
      </c>
      <c r="B493" s="97">
        <v>492</v>
      </c>
      <c r="C493" s="97" t="s">
        <v>1196</v>
      </c>
      <c r="D493" s="97" t="s">
        <v>1197</v>
      </c>
      <c r="E493" s="312" t="s">
        <v>2702</v>
      </c>
      <c r="F493" s="312" t="s">
        <v>2637</v>
      </c>
      <c r="G493" s="97" t="s">
        <v>3485</v>
      </c>
      <c r="H493" s="97" t="s">
        <v>4026</v>
      </c>
      <c r="I493" s="97" t="s">
        <v>4039</v>
      </c>
      <c r="J493" s="97" t="s">
        <v>4059</v>
      </c>
      <c r="K493" s="17" t="str">
        <f>IFERROR(INDEX(競技会設定!$J$3:$O$47,MATCH(J493,競技会設定!$M$3:$M$47,0),5),"")</f>
        <v>中部大</v>
      </c>
      <c r="L493" s="17" t="str">
        <f>IFERROR(INDEX(競技会設定!$J$3:$N$47,MATCH(K493,競技会設定!$N$3:$N$47,0),2),"")</f>
        <v>492175</v>
      </c>
      <c r="M493" s="97" t="s">
        <v>3859</v>
      </c>
      <c r="N493" s="17" t="str">
        <f t="shared" si="22"/>
        <v>TERAI, Kento</v>
      </c>
      <c r="O493" s="17" t="str">
        <f t="shared" si="23"/>
        <v>00</v>
      </c>
    </row>
    <row r="494" spans="1:15">
      <c r="A494" s="17" t="str">
        <f t="shared" si="21"/>
        <v>501000493</v>
      </c>
      <c r="B494" s="97">
        <v>493</v>
      </c>
      <c r="C494" s="97" t="s">
        <v>1198</v>
      </c>
      <c r="D494" s="97" t="s">
        <v>1199</v>
      </c>
      <c r="E494" s="312" t="s">
        <v>2703</v>
      </c>
      <c r="F494" s="312" t="s">
        <v>2704</v>
      </c>
      <c r="G494" s="97" t="s">
        <v>3486</v>
      </c>
      <c r="H494" s="97" t="s">
        <v>4026</v>
      </c>
      <c r="I494" s="97" t="s">
        <v>4039</v>
      </c>
      <c r="J494" s="97" t="s">
        <v>4059</v>
      </c>
      <c r="K494" s="17" t="str">
        <f>IFERROR(INDEX(競技会設定!$J$3:$O$47,MATCH(J494,競技会設定!$M$3:$M$47,0),5),"")</f>
        <v>中部大</v>
      </c>
      <c r="L494" s="17" t="str">
        <f>IFERROR(INDEX(競技会設定!$J$3:$N$47,MATCH(K494,競技会設定!$N$3:$N$47,0),2),"")</f>
        <v>492175</v>
      </c>
      <c r="M494" s="97" t="s">
        <v>3845</v>
      </c>
      <c r="N494" s="17" t="str">
        <f t="shared" si="22"/>
        <v>HORIUCHI, Tomotaka</v>
      </c>
      <c r="O494" s="17" t="str">
        <f t="shared" si="23"/>
        <v>01</v>
      </c>
    </row>
    <row r="495" spans="1:15">
      <c r="A495" s="17" t="str">
        <f t="shared" si="21"/>
        <v>501000494</v>
      </c>
      <c r="B495" s="97">
        <v>494</v>
      </c>
      <c r="C495" s="97" t="s">
        <v>1200</v>
      </c>
      <c r="D495" s="97" t="s">
        <v>1201</v>
      </c>
      <c r="E495" s="312" t="s">
        <v>2316</v>
      </c>
      <c r="F495" s="312" t="s">
        <v>2705</v>
      </c>
      <c r="G495" s="97" t="s">
        <v>3487</v>
      </c>
      <c r="H495" s="97" t="s">
        <v>4026</v>
      </c>
      <c r="I495" s="97" t="s">
        <v>4039</v>
      </c>
      <c r="J495" s="97" t="s">
        <v>4059</v>
      </c>
      <c r="K495" s="17" t="str">
        <f>IFERROR(INDEX(競技会設定!$J$3:$O$47,MATCH(J495,競技会設定!$M$3:$M$47,0),5),"")</f>
        <v>中部大</v>
      </c>
      <c r="L495" s="17" t="str">
        <f>IFERROR(INDEX(競技会設定!$J$3:$N$47,MATCH(K495,競技会設定!$N$3:$N$47,0),2),"")</f>
        <v>492175</v>
      </c>
      <c r="M495" s="97" t="s">
        <v>3859</v>
      </c>
      <c r="N495" s="17" t="str">
        <f t="shared" si="22"/>
        <v>MAKINO, Toshihiko</v>
      </c>
      <c r="O495" s="17" t="str">
        <f t="shared" si="23"/>
        <v>00</v>
      </c>
    </row>
    <row r="496" spans="1:15">
      <c r="A496" s="17" t="str">
        <f t="shared" si="21"/>
        <v>501000495</v>
      </c>
      <c r="B496" s="97">
        <v>495</v>
      </c>
      <c r="C496" s="97" t="s">
        <v>1202</v>
      </c>
      <c r="D496" s="97" t="s">
        <v>1203</v>
      </c>
      <c r="E496" s="312" t="s">
        <v>2706</v>
      </c>
      <c r="F496" s="312" t="s">
        <v>2486</v>
      </c>
      <c r="G496" s="97" t="s">
        <v>3488</v>
      </c>
      <c r="H496" s="97" t="s">
        <v>4026</v>
      </c>
      <c r="I496" s="97" t="s">
        <v>4039</v>
      </c>
      <c r="J496" s="97" t="s">
        <v>4059</v>
      </c>
      <c r="K496" s="17" t="str">
        <f>IFERROR(INDEX(競技会設定!$J$3:$O$47,MATCH(J496,競技会設定!$M$3:$M$47,0),5),"")</f>
        <v>中部大</v>
      </c>
      <c r="L496" s="17" t="str">
        <f>IFERROR(INDEX(競技会設定!$J$3:$N$47,MATCH(K496,競技会設定!$N$3:$N$47,0),2),"")</f>
        <v>492175</v>
      </c>
      <c r="M496" s="97" t="s">
        <v>3859</v>
      </c>
      <c r="N496" s="17" t="str">
        <f t="shared" si="22"/>
        <v>MATSUDA, Shunsuke</v>
      </c>
      <c r="O496" s="17" t="str">
        <f t="shared" si="23"/>
        <v>00</v>
      </c>
    </row>
    <row r="497" spans="1:15">
      <c r="A497" s="17" t="str">
        <f t="shared" si="21"/>
        <v>501000496</v>
      </c>
      <c r="B497" s="97">
        <v>496</v>
      </c>
      <c r="C497" s="97" t="s">
        <v>1204</v>
      </c>
      <c r="D497" s="97" t="s">
        <v>1205</v>
      </c>
      <c r="E497" s="312" t="s">
        <v>2259</v>
      </c>
      <c r="F497" s="312" t="s">
        <v>2532</v>
      </c>
      <c r="G497" s="97" t="s">
        <v>3457</v>
      </c>
      <c r="H497" s="97" t="s">
        <v>4026</v>
      </c>
      <c r="I497" s="97" t="s">
        <v>4039</v>
      </c>
      <c r="J497" s="97" t="s">
        <v>4059</v>
      </c>
      <c r="K497" s="17" t="str">
        <f>IFERROR(INDEX(競技会設定!$J$3:$O$47,MATCH(J497,競技会設定!$M$3:$M$47,0),5),"")</f>
        <v>中部大</v>
      </c>
      <c r="L497" s="17" t="str">
        <f>IFERROR(INDEX(競技会設定!$J$3:$N$47,MATCH(K497,競技会設定!$N$3:$N$47,0),2),"")</f>
        <v>492175</v>
      </c>
      <c r="M497" s="97" t="s">
        <v>3859</v>
      </c>
      <c r="N497" s="17" t="str">
        <f t="shared" si="22"/>
        <v>YAMAMOTO, Takaya</v>
      </c>
      <c r="O497" s="17" t="str">
        <f t="shared" si="23"/>
        <v>00</v>
      </c>
    </row>
    <row r="498" spans="1:15">
      <c r="A498" s="17" t="str">
        <f t="shared" si="21"/>
        <v>501000497</v>
      </c>
      <c r="B498" s="97">
        <v>497</v>
      </c>
      <c r="C498" s="97" t="s">
        <v>1206</v>
      </c>
      <c r="D498" s="97" t="s">
        <v>1207</v>
      </c>
      <c r="E498" s="312" t="s">
        <v>2707</v>
      </c>
      <c r="F498" s="312" t="s">
        <v>2108</v>
      </c>
      <c r="G498" s="97" t="s">
        <v>3144</v>
      </c>
      <c r="H498" s="97" t="s">
        <v>4026</v>
      </c>
      <c r="I498" s="97" t="s">
        <v>4039</v>
      </c>
      <c r="J498" s="97" t="s">
        <v>4060</v>
      </c>
      <c r="K498" s="17" t="str">
        <f>IFERROR(INDEX(競技会設定!$J$3:$O$47,MATCH(J498,競技会設定!$M$3:$M$47,0),5),"")</f>
        <v>南山大</v>
      </c>
      <c r="L498" s="17" t="str">
        <f>IFERROR(INDEX(競技会設定!$J$3:$N$47,MATCH(K498,競技会設定!$N$3:$N$47,0),2),"")</f>
        <v>492182</v>
      </c>
      <c r="M498" s="97" t="s">
        <v>3859</v>
      </c>
      <c r="N498" s="17" t="str">
        <f t="shared" si="22"/>
        <v>HIRAMATSU , Yuki</v>
      </c>
      <c r="O498" s="17" t="str">
        <f t="shared" si="23"/>
        <v>01</v>
      </c>
    </row>
    <row r="499" spans="1:15">
      <c r="A499" s="17" t="str">
        <f t="shared" si="21"/>
        <v>501000498</v>
      </c>
      <c r="B499" s="97">
        <v>498</v>
      </c>
      <c r="C499" s="97" t="s">
        <v>1208</v>
      </c>
      <c r="D499" s="97" t="s">
        <v>1209</v>
      </c>
      <c r="E499" s="312" t="s">
        <v>2708</v>
      </c>
      <c r="F499" s="312" t="s">
        <v>2709</v>
      </c>
      <c r="G499" s="97" t="s">
        <v>3489</v>
      </c>
      <c r="H499" s="97" t="s">
        <v>4025</v>
      </c>
      <c r="I499" s="97" t="s">
        <v>4039</v>
      </c>
      <c r="J499" s="97" t="s">
        <v>4060</v>
      </c>
      <c r="K499" s="17" t="str">
        <f>IFERROR(INDEX(競技会設定!$J$3:$O$47,MATCH(J499,競技会設定!$M$3:$M$47,0),5),"")</f>
        <v>南山大</v>
      </c>
      <c r="L499" s="17" t="str">
        <f>IFERROR(INDEX(競技会設定!$J$3:$N$47,MATCH(K499,競技会設定!$N$3:$N$47,0),2),"")</f>
        <v>492182</v>
      </c>
      <c r="M499" s="97" t="s">
        <v>3859</v>
      </c>
      <c r="N499" s="17" t="str">
        <f t="shared" si="22"/>
        <v>NIMI, Syugo</v>
      </c>
      <c r="O499" s="17" t="str">
        <f t="shared" si="23"/>
        <v>99</v>
      </c>
    </row>
    <row r="500" spans="1:15">
      <c r="A500" s="17" t="str">
        <f t="shared" si="21"/>
        <v>501000499</v>
      </c>
      <c r="B500" s="97">
        <v>499</v>
      </c>
      <c r="C500" s="97" t="s">
        <v>1210</v>
      </c>
      <c r="D500" s="97" t="s">
        <v>1211</v>
      </c>
      <c r="E500" s="312" t="s">
        <v>2710</v>
      </c>
      <c r="F500" s="312" t="s">
        <v>2397</v>
      </c>
      <c r="G500" s="97" t="s">
        <v>3430</v>
      </c>
      <c r="H500" s="97" t="s">
        <v>4026</v>
      </c>
      <c r="I500" s="97" t="s">
        <v>4039</v>
      </c>
      <c r="J500" s="97" t="s">
        <v>4060</v>
      </c>
      <c r="K500" s="17" t="str">
        <f>IFERROR(INDEX(競技会設定!$J$3:$O$47,MATCH(J500,競技会設定!$M$3:$M$47,0),5),"")</f>
        <v>南山大</v>
      </c>
      <c r="L500" s="17" t="str">
        <f>IFERROR(INDEX(競技会設定!$J$3:$N$47,MATCH(K500,競技会設定!$N$3:$N$47,0),2),"")</f>
        <v>492182</v>
      </c>
      <c r="M500" s="97" t="s">
        <v>3859</v>
      </c>
      <c r="N500" s="17" t="str">
        <f t="shared" si="22"/>
        <v>IMAMURA, Soshi</v>
      </c>
      <c r="O500" s="17" t="str">
        <f t="shared" si="23"/>
        <v>00</v>
      </c>
    </row>
    <row r="501" spans="1:15">
      <c r="A501" s="17" t="str">
        <f t="shared" si="21"/>
        <v>501000500</v>
      </c>
      <c r="B501" s="97">
        <v>500</v>
      </c>
      <c r="C501" s="97" t="s">
        <v>1212</v>
      </c>
      <c r="D501" s="97" t="s">
        <v>1213</v>
      </c>
      <c r="E501" s="312" t="s">
        <v>2328</v>
      </c>
      <c r="F501" s="312" t="s">
        <v>2711</v>
      </c>
      <c r="G501" s="97" t="s">
        <v>3490</v>
      </c>
      <c r="H501" s="97" t="s">
        <v>4025</v>
      </c>
      <c r="I501" s="97" t="s">
        <v>4039</v>
      </c>
      <c r="J501" s="97" t="s">
        <v>4060</v>
      </c>
      <c r="K501" s="17" t="str">
        <f>IFERROR(INDEX(競技会設定!$J$3:$O$47,MATCH(J501,競技会設定!$M$3:$M$47,0),5),"")</f>
        <v>南山大</v>
      </c>
      <c r="L501" s="17" t="str">
        <f>IFERROR(INDEX(競技会設定!$J$3:$N$47,MATCH(K501,競技会設定!$N$3:$N$47,0),2),"")</f>
        <v>492182</v>
      </c>
      <c r="M501" s="97" t="s">
        <v>3859</v>
      </c>
      <c r="N501" s="17" t="str">
        <f t="shared" si="22"/>
        <v>YAMADA, Kasei</v>
      </c>
      <c r="O501" s="17" t="str">
        <f t="shared" si="23"/>
        <v>97</v>
      </c>
    </row>
    <row r="502" spans="1:15">
      <c r="A502" s="17" t="str">
        <f t="shared" si="21"/>
        <v>501000501</v>
      </c>
      <c r="B502" s="97">
        <v>501</v>
      </c>
      <c r="C502" s="97" t="s">
        <v>1214</v>
      </c>
      <c r="D502" s="97" t="s">
        <v>1215</v>
      </c>
      <c r="E502" s="312" t="s">
        <v>2221</v>
      </c>
      <c r="F502" s="312" t="s">
        <v>2712</v>
      </c>
      <c r="G502" s="97" t="s">
        <v>3324</v>
      </c>
      <c r="H502" s="97" t="s">
        <v>4025</v>
      </c>
      <c r="I502" s="97" t="s">
        <v>4039</v>
      </c>
      <c r="J502" s="97" t="s">
        <v>4060</v>
      </c>
      <c r="K502" s="17" t="str">
        <f>IFERROR(INDEX(競技会設定!$J$3:$O$47,MATCH(J502,競技会設定!$M$3:$M$47,0),5),"")</f>
        <v>南山大</v>
      </c>
      <c r="L502" s="17" t="str">
        <f>IFERROR(INDEX(競技会設定!$J$3:$N$47,MATCH(K502,競技会設定!$N$3:$N$47,0),2),"")</f>
        <v>492182</v>
      </c>
      <c r="M502" s="97" t="s">
        <v>3859</v>
      </c>
      <c r="N502" s="17" t="str">
        <f t="shared" si="22"/>
        <v>TANAKA, Mikio</v>
      </c>
      <c r="O502" s="17" t="str">
        <f t="shared" si="23"/>
        <v>98</v>
      </c>
    </row>
    <row r="503" spans="1:15">
      <c r="A503" s="17" t="str">
        <f t="shared" si="21"/>
        <v>501000502</v>
      </c>
      <c r="B503" s="97">
        <v>502</v>
      </c>
      <c r="C503" s="97" t="s">
        <v>1216</v>
      </c>
      <c r="D503" s="97" t="s">
        <v>1217</v>
      </c>
      <c r="E503" s="312" t="s">
        <v>2492</v>
      </c>
      <c r="F503" s="312" t="s">
        <v>2312</v>
      </c>
      <c r="G503" s="97" t="s">
        <v>3491</v>
      </c>
      <c r="H503" s="97" t="s">
        <v>4024</v>
      </c>
      <c r="I503" s="97" t="s">
        <v>4039</v>
      </c>
      <c r="J503" s="97" t="s">
        <v>4060</v>
      </c>
      <c r="K503" s="17" t="str">
        <f>IFERROR(INDEX(競技会設定!$J$3:$O$47,MATCH(J503,競技会設定!$M$3:$M$47,0),5),"")</f>
        <v>南山大</v>
      </c>
      <c r="L503" s="17" t="str">
        <f>IFERROR(INDEX(競技会設定!$J$3:$N$47,MATCH(K503,競技会設定!$N$3:$N$47,0),2),"")</f>
        <v>492182</v>
      </c>
      <c r="M503" s="97" t="s">
        <v>3859</v>
      </c>
      <c r="N503" s="17" t="str">
        <f t="shared" si="22"/>
        <v>OHASHI, Koya</v>
      </c>
      <c r="O503" s="17" t="str">
        <f t="shared" si="23"/>
        <v>98</v>
      </c>
    </row>
    <row r="504" spans="1:15">
      <c r="A504" s="17" t="str">
        <f t="shared" si="21"/>
        <v>501000503</v>
      </c>
      <c r="B504" s="97">
        <v>503</v>
      </c>
      <c r="C504" s="97" t="s">
        <v>1218</v>
      </c>
      <c r="D504" s="97" t="s">
        <v>1109</v>
      </c>
      <c r="E504" s="312" t="s">
        <v>2113</v>
      </c>
      <c r="F504" s="312" t="s">
        <v>2106</v>
      </c>
      <c r="G504" s="97" t="s">
        <v>3492</v>
      </c>
      <c r="H504" s="97" t="s">
        <v>4025</v>
      </c>
      <c r="I504" s="97" t="s">
        <v>4039</v>
      </c>
      <c r="J504" s="97" t="s">
        <v>4060</v>
      </c>
      <c r="K504" s="17" t="str">
        <f>IFERROR(INDEX(競技会設定!$J$3:$O$47,MATCH(J504,競技会設定!$M$3:$M$47,0),5),"")</f>
        <v>南山大</v>
      </c>
      <c r="L504" s="17" t="str">
        <f>IFERROR(INDEX(競技会設定!$J$3:$N$47,MATCH(K504,競技会設定!$N$3:$N$47,0),2),"")</f>
        <v>492182</v>
      </c>
      <c r="M504" s="97" t="s">
        <v>3859</v>
      </c>
      <c r="N504" s="17" t="str">
        <f t="shared" si="22"/>
        <v>MIZUNO, Yusuke</v>
      </c>
      <c r="O504" s="17" t="str">
        <f t="shared" si="23"/>
        <v>98</v>
      </c>
    </row>
    <row r="505" spans="1:15">
      <c r="A505" s="17" t="str">
        <f t="shared" si="21"/>
        <v>501000504</v>
      </c>
      <c r="B505" s="97">
        <v>504</v>
      </c>
      <c r="C505" s="97" t="s">
        <v>1219</v>
      </c>
      <c r="D505" s="97" t="s">
        <v>7603</v>
      </c>
      <c r="E505" s="312" t="s">
        <v>2713</v>
      </c>
      <c r="F505" s="312" t="s">
        <v>2714</v>
      </c>
      <c r="G505" s="97" t="s">
        <v>3493</v>
      </c>
      <c r="H505" s="97" t="s">
        <v>4024</v>
      </c>
      <c r="I505" s="97" t="s">
        <v>4039</v>
      </c>
      <c r="J505" s="97" t="s">
        <v>4060</v>
      </c>
      <c r="K505" s="17" t="str">
        <f>IFERROR(INDEX(競技会設定!$J$3:$O$47,MATCH(J505,競技会設定!$M$3:$M$47,0),5),"")</f>
        <v>南山大</v>
      </c>
      <c r="L505" s="17" t="str">
        <f>IFERROR(INDEX(競技会設定!$J$3:$N$47,MATCH(K505,競技会設定!$N$3:$N$47,0),2),"")</f>
        <v>492182</v>
      </c>
      <c r="M505" s="97" t="s">
        <v>3859</v>
      </c>
      <c r="N505" s="17" t="str">
        <f t="shared" si="22"/>
        <v>AMAKAWA, Tsuyoshi</v>
      </c>
      <c r="O505" s="17" t="str">
        <f t="shared" si="23"/>
        <v>99</v>
      </c>
    </row>
    <row r="506" spans="1:15">
      <c r="A506" s="17" t="str">
        <f t="shared" si="21"/>
        <v>501000505</v>
      </c>
      <c r="B506" s="97">
        <v>505</v>
      </c>
      <c r="C506" s="97" t="s">
        <v>1220</v>
      </c>
      <c r="D506" s="97" t="s">
        <v>1221</v>
      </c>
      <c r="E506" s="312" t="s">
        <v>2715</v>
      </c>
      <c r="F506" s="312" t="s">
        <v>2486</v>
      </c>
      <c r="G506" s="97" t="s">
        <v>3494</v>
      </c>
      <c r="H506" s="97" t="s">
        <v>4026</v>
      </c>
      <c r="I506" s="97" t="s">
        <v>4039</v>
      </c>
      <c r="J506" s="97" t="s">
        <v>4060</v>
      </c>
      <c r="K506" s="17" t="str">
        <f>IFERROR(INDEX(競技会設定!$J$3:$O$47,MATCH(J506,競技会設定!$M$3:$M$47,0),5),"")</f>
        <v>南山大</v>
      </c>
      <c r="L506" s="17" t="str">
        <f>IFERROR(INDEX(競技会設定!$J$3:$N$47,MATCH(K506,競技会設定!$N$3:$N$47,0),2),"")</f>
        <v>492182</v>
      </c>
      <c r="M506" s="97" t="s">
        <v>3859</v>
      </c>
      <c r="N506" s="17" t="str">
        <f t="shared" si="22"/>
        <v>NEMOTO, Shunsuke</v>
      </c>
      <c r="O506" s="17" t="str">
        <f t="shared" si="23"/>
        <v>01</v>
      </c>
    </row>
    <row r="507" spans="1:15">
      <c r="A507" s="17" t="str">
        <f t="shared" si="21"/>
        <v>501000506</v>
      </c>
      <c r="B507" s="97">
        <v>506</v>
      </c>
      <c r="C507" s="97" t="s">
        <v>1222</v>
      </c>
      <c r="D507" s="97" t="s">
        <v>1223</v>
      </c>
      <c r="E507" s="312" t="s">
        <v>2716</v>
      </c>
      <c r="F507" s="312" t="s">
        <v>2170</v>
      </c>
      <c r="G507" s="97" t="s">
        <v>3495</v>
      </c>
      <c r="H507" s="97" t="s">
        <v>4024</v>
      </c>
      <c r="I507" s="97" t="s">
        <v>4039</v>
      </c>
      <c r="J507" s="97" t="s">
        <v>4060</v>
      </c>
      <c r="K507" s="17" t="str">
        <f>IFERROR(INDEX(競技会設定!$J$3:$O$47,MATCH(J507,競技会設定!$M$3:$M$47,0),5),"")</f>
        <v>南山大</v>
      </c>
      <c r="L507" s="17" t="str">
        <f>IFERROR(INDEX(競技会設定!$J$3:$N$47,MATCH(K507,競技会設定!$N$3:$N$47,0),2),"")</f>
        <v>492182</v>
      </c>
      <c r="M507" s="97" t="s">
        <v>3859</v>
      </c>
      <c r="N507" s="17" t="str">
        <f t="shared" si="22"/>
        <v>WAKAHAMA, Daiki</v>
      </c>
      <c r="O507" s="17" t="str">
        <f t="shared" si="23"/>
        <v>99</v>
      </c>
    </row>
    <row r="508" spans="1:15">
      <c r="A508" s="17" t="str">
        <f t="shared" si="21"/>
        <v>501000507</v>
      </c>
      <c r="B508" s="97">
        <v>507</v>
      </c>
      <c r="C508" s="97" t="s">
        <v>1224</v>
      </c>
      <c r="D508" s="97" t="s">
        <v>1225</v>
      </c>
      <c r="E508" s="312" t="s">
        <v>2717</v>
      </c>
      <c r="F508" s="312" t="s">
        <v>2637</v>
      </c>
      <c r="G508" s="97" t="s">
        <v>3289</v>
      </c>
      <c r="H508" s="97" t="s">
        <v>4026</v>
      </c>
      <c r="I508" s="97" t="s">
        <v>4039</v>
      </c>
      <c r="J508" s="97" t="s">
        <v>4060</v>
      </c>
      <c r="K508" s="17" t="str">
        <f>IFERROR(INDEX(競技会設定!$J$3:$O$47,MATCH(J508,競技会設定!$M$3:$M$47,0),5),"")</f>
        <v>南山大</v>
      </c>
      <c r="L508" s="17" t="str">
        <f>IFERROR(INDEX(競技会設定!$J$3:$N$47,MATCH(K508,競技会設定!$N$3:$N$47,0),2),"")</f>
        <v>492182</v>
      </c>
      <c r="M508" s="97" t="s">
        <v>3859</v>
      </c>
      <c r="N508" s="17" t="str">
        <f t="shared" si="22"/>
        <v>KATAYAMA , Kento</v>
      </c>
      <c r="O508" s="17" t="str">
        <f t="shared" si="23"/>
        <v>00</v>
      </c>
    </row>
    <row r="509" spans="1:15">
      <c r="A509" s="17" t="str">
        <f t="shared" si="21"/>
        <v>501000508</v>
      </c>
      <c r="B509" s="97">
        <v>508</v>
      </c>
      <c r="C509" s="97" t="s">
        <v>1226</v>
      </c>
      <c r="D509" s="97" t="s">
        <v>1227</v>
      </c>
      <c r="E509" s="312" t="s">
        <v>2718</v>
      </c>
      <c r="F509" s="312" t="s">
        <v>2293</v>
      </c>
      <c r="G509" s="97" t="s">
        <v>3126</v>
      </c>
      <c r="H509" s="97" t="s">
        <v>4024</v>
      </c>
      <c r="I509" s="97" t="s">
        <v>4039</v>
      </c>
      <c r="J509" s="97" t="s">
        <v>4060</v>
      </c>
      <c r="K509" s="17" t="str">
        <f>IFERROR(INDEX(競技会設定!$J$3:$O$47,MATCH(J509,競技会設定!$M$3:$M$47,0),5),"")</f>
        <v>南山大</v>
      </c>
      <c r="L509" s="17" t="str">
        <f>IFERROR(INDEX(競技会設定!$J$3:$N$47,MATCH(K509,競技会設定!$N$3:$N$47,0),2),"")</f>
        <v>492182</v>
      </c>
      <c r="M509" s="97" t="s">
        <v>3859</v>
      </c>
      <c r="N509" s="17" t="str">
        <f t="shared" si="22"/>
        <v>BANNO, Koki</v>
      </c>
      <c r="O509" s="17" t="str">
        <f t="shared" si="23"/>
        <v>99</v>
      </c>
    </row>
    <row r="510" spans="1:15">
      <c r="A510" s="17" t="str">
        <f t="shared" si="21"/>
        <v>501000509</v>
      </c>
      <c r="B510" s="97">
        <v>509</v>
      </c>
      <c r="C510" s="97" t="s">
        <v>1228</v>
      </c>
      <c r="D510" s="97" t="s">
        <v>1229</v>
      </c>
      <c r="E510" s="312" t="s">
        <v>2719</v>
      </c>
      <c r="F510" s="312" t="s">
        <v>2293</v>
      </c>
      <c r="G510" s="97" t="s">
        <v>3496</v>
      </c>
      <c r="H510" s="97" t="s">
        <v>4025</v>
      </c>
      <c r="I510" s="97" t="s">
        <v>4039</v>
      </c>
      <c r="J510" s="97" t="s">
        <v>4060</v>
      </c>
      <c r="K510" s="17" t="str">
        <f>IFERROR(INDEX(競技会設定!$J$3:$O$47,MATCH(J510,競技会設定!$M$3:$M$47,0),5),"")</f>
        <v>南山大</v>
      </c>
      <c r="L510" s="17" t="str">
        <f>IFERROR(INDEX(競技会設定!$J$3:$N$47,MATCH(K510,競技会設定!$N$3:$N$47,0),2),"")</f>
        <v>492182</v>
      </c>
      <c r="M510" s="97" t="s">
        <v>3859</v>
      </c>
      <c r="N510" s="17" t="str">
        <f t="shared" si="22"/>
        <v>TOKUE, Koki</v>
      </c>
      <c r="O510" s="17" t="str">
        <f t="shared" si="23"/>
        <v>98</v>
      </c>
    </row>
    <row r="511" spans="1:15">
      <c r="A511" s="17" t="str">
        <f t="shared" si="21"/>
        <v>501000510</v>
      </c>
      <c r="B511" s="97">
        <v>510</v>
      </c>
      <c r="C511" s="97" t="s">
        <v>1230</v>
      </c>
      <c r="D511" s="97" t="s">
        <v>1231</v>
      </c>
      <c r="E511" s="312" t="s">
        <v>2720</v>
      </c>
      <c r="F511" s="312" t="s">
        <v>2721</v>
      </c>
      <c r="G511" s="97" t="s">
        <v>3228</v>
      </c>
      <c r="H511" s="97" t="s">
        <v>4025</v>
      </c>
      <c r="I511" s="97" t="s">
        <v>4039</v>
      </c>
      <c r="J511" s="97" t="s">
        <v>4060</v>
      </c>
      <c r="K511" s="17" t="str">
        <f>IFERROR(INDEX(競技会設定!$J$3:$O$47,MATCH(J511,競技会設定!$M$3:$M$47,0),5),"")</f>
        <v>南山大</v>
      </c>
      <c r="L511" s="17" t="str">
        <f>IFERROR(INDEX(競技会設定!$J$3:$N$47,MATCH(K511,競技会設定!$N$3:$N$47,0),2),"")</f>
        <v>492182</v>
      </c>
      <c r="M511" s="97" t="s">
        <v>3859</v>
      </c>
      <c r="N511" s="17" t="str">
        <f t="shared" si="22"/>
        <v>OJI, Akito</v>
      </c>
      <c r="O511" s="17" t="str">
        <f t="shared" si="23"/>
        <v>99</v>
      </c>
    </row>
    <row r="512" spans="1:15">
      <c r="A512" s="17" t="str">
        <f t="shared" si="21"/>
        <v>501000511</v>
      </c>
      <c r="B512" s="97">
        <v>511</v>
      </c>
      <c r="C512" s="97" t="s">
        <v>1232</v>
      </c>
      <c r="D512" s="97" t="s">
        <v>1233</v>
      </c>
      <c r="E512" s="312" t="s">
        <v>2722</v>
      </c>
      <c r="F512" s="312" t="s">
        <v>2723</v>
      </c>
      <c r="G512" s="97" t="s">
        <v>3129</v>
      </c>
      <c r="H512" s="97" t="s">
        <v>4024</v>
      </c>
      <c r="I512" s="97" t="s">
        <v>4039</v>
      </c>
      <c r="J512" s="97" t="s">
        <v>4060</v>
      </c>
      <c r="K512" s="17" t="str">
        <f>IFERROR(INDEX(競技会設定!$J$3:$O$47,MATCH(J512,競技会設定!$M$3:$M$47,0),5),"")</f>
        <v>南山大</v>
      </c>
      <c r="L512" s="17" t="str">
        <f>IFERROR(INDEX(競技会設定!$J$3:$N$47,MATCH(K512,競技会設定!$N$3:$N$47,0),2),"")</f>
        <v>492182</v>
      </c>
      <c r="M512" s="97" t="s">
        <v>3859</v>
      </c>
      <c r="N512" s="17" t="str">
        <f t="shared" si="22"/>
        <v>KAKUTANI, Toshiya</v>
      </c>
      <c r="O512" s="17" t="str">
        <f t="shared" si="23"/>
        <v>98</v>
      </c>
    </row>
    <row r="513" spans="1:15">
      <c r="A513" s="17" t="str">
        <f t="shared" si="21"/>
        <v>501000512</v>
      </c>
      <c r="B513" s="97">
        <v>512</v>
      </c>
      <c r="C513" s="97" t="s">
        <v>1234</v>
      </c>
      <c r="D513" s="97" t="s">
        <v>1235</v>
      </c>
      <c r="E513" s="312" t="s">
        <v>2724</v>
      </c>
      <c r="F513" s="312" t="s">
        <v>2124</v>
      </c>
      <c r="G513" s="97" t="s">
        <v>3497</v>
      </c>
      <c r="H513" s="97" t="s">
        <v>4024</v>
      </c>
      <c r="I513" s="97" t="s">
        <v>4039</v>
      </c>
      <c r="J513" s="97" t="s">
        <v>4060</v>
      </c>
      <c r="K513" s="17" t="str">
        <f>IFERROR(INDEX(競技会設定!$J$3:$O$47,MATCH(J513,競技会設定!$M$3:$M$47,0),5),"")</f>
        <v>南山大</v>
      </c>
      <c r="L513" s="17" t="str">
        <f>IFERROR(INDEX(競技会設定!$J$3:$N$47,MATCH(K513,競技会設定!$N$3:$N$47,0),2),"")</f>
        <v>492182</v>
      </c>
      <c r="M513" s="97" t="s">
        <v>3859</v>
      </c>
      <c r="N513" s="17" t="str">
        <f t="shared" si="22"/>
        <v>KOSATO, Keita</v>
      </c>
      <c r="O513" s="17" t="str">
        <f t="shared" si="23"/>
        <v>98</v>
      </c>
    </row>
    <row r="514" spans="1:15">
      <c r="A514" s="17" t="str">
        <f t="shared" si="21"/>
        <v>501000513</v>
      </c>
      <c r="B514" s="97">
        <v>513</v>
      </c>
      <c r="C514" s="97" t="s">
        <v>1236</v>
      </c>
      <c r="D514" s="97" t="s">
        <v>1237</v>
      </c>
      <c r="E514" s="312" t="s">
        <v>2534</v>
      </c>
      <c r="F514" s="312" t="s">
        <v>2725</v>
      </c>
      <c r="G514" s="97" t="s">
        <v>3498</v>
      </c>
      <c r="H514" s="97" t="s">
        <v>4026</v>
      </c>
      <c r="I514" s="97" t="s">
        <v>4039</v>
      </c>
      <c r="J514" s="97" t="s">
        <v>4060</v>
      </c>
      <c r="K514" s="17" t="str">
        <f>IFERROR(INDEX(競技会設定!$J$3:$O$47,MATCH(J514,競技会設定!$M$3:$M$47,0),5),"")</f>
        <v>南山大</v>
      </c>
      <c r="L514" s="17" t="str">
        <f>IFERROR(INDEX(競技会設定!$J$3:$N$47,MATCH(K514,競技会設定!$N$3:$N$47,0),2),"")</f>
        <v>492182</v>
      </c>
      <c r="M514" s="97" t="s">
        <v>3859</v>
      </c>
      <c r="N514" s="17" t="str">
        <f t="shared" si="22"/>
        <v>HIOKI, Ryuya</v>
      </c>
      <c r="O514" s="17" t="str">
        <f t="shared" si="23"/>
        <v>99</v>
      </c>
    </row>
    <row r="515" spans="1:15">
      <c r="A515" s="17" t="str">
        <f t="shared" ref="A515:A578" si="24">IF(B515="","","501"&amp;TEXT(B515,"000000"))</f>
        <v>501000514</v>
      </c>
      <c r="B515" s="97">
        <v>514</v>
      </c>
      <c r="C515" s="97" t="s">
        <v>1238</v>
      </c>
      <c r="D515" s="97" t="s">
        <v>1239</v>
      </c>
      <c r="E515" s="312" t="s">
        <v>2360</v>
      </c>
      <c r="F515" s="312" t="s">
        <v>2137</v>
      </c>
      <c r="G515" s="97" t="s">
        <v>3108</v>
      </c>
      <c r="H515" s="97" t="s">
        <v>4024</v>
      </c>
      <c r="I515" s="97" t="s">
        <v>4039</v>
      </c>
      <c r="J515" s="97" t="s">
        <v>4060</v>
      </c>
      <c r="K515" s="17" t="str">
        <f>IFERROR(INDEX(競技会設定!$J$3:$O$47,MATCH(J515,競技会設定!$M$3:$M$47,0),5),"")</f>
        <v>南山大</v>
      </c>
      <c r="L515" s="17" t="str">
        <f>IFERROR(INDEX(競技会設定!$J$3:$N$47,MATCH(K515,競技会設定!$N$3:$N$47,0),2),"")</f>
        <v>492182</v>
      </c>
      <c r="M515" s="97" t="s">
        <v>3847</v>
      </c>
      <c r="N515" s="17" t="str">
        <f t="shared" ref="N515:N578" si="25">IF(E515="","",E515&amp;", "&amp;F515)</f>
        <v>WATANABE, Ryota</v>
      </c>
      <c r="O515" s="17" t="str">
        <f t="shared" ref="O515:O578" si="26">IFERROR(TEXT(INT(LEFT(G515,2)),"00"),"")</f>
        <v>99</v>
      </c>
    </row>
    <row r="516" spans="1:15">
      <c r="A516" s="17" t="str">
        <f t="shared" si="24"/>
        <v>501000515</v>
      </c>
      <c r="B516" s="97">
        <v>515</v>
      </c>
      <c r="C516" s="97" t="s">
        <v>1240</v>
      </c>
      <c r="D516" s="97" t="s">
        <v>1241</v>
      </c>
      <c r="E516" s="312" t="s">
        <v>2363</v>
      </c>
      <c r="F516" s="312" t="s">
        <v>2726</v>
      </c>
      <c r="G516" s="97">
        <v>990203</v>
      </c>
      <c r="H516" s="97">
        <v>4</v>
      </c>
      <c r="I516" s="97" t="s">
        <v>4039</v>
      </c>
      <c r="J516" s="97" t="s">
        <v>4061</v>
      </c>
      <c r="K516" s="17" t="str">
        <f>IFERROR(INDEX(競技会設定!$J$3:$O$47,MATCH(J516,競技会設定!$M$3:$M$47,0),5),"")</f>
        <v>日本福祉大</v>
      </c>
      <c r="L516" s="17">
        <f>IFERROR(INDEX(競技会設定!$J$3:$N$47,MATCH(K516,競技会設定!$N$3:$N$47,0),2),"")</f>
        <v>492183</v>
      </c>
      <c r="M516" s="97" t="s">
        <v>3859</v>
      </c>
      <c r="N516" s="17" t="str">
        <f t="shared" si="25"/>
        <v>SAKAKIBARA, Akihito</v>
      </c>
      <c r="O516" s="17" t="str">
        <f t="shared" si="26"/>
        <v>99</v>
      </c>
    </row>
    <row r="517" spans="1:15">
      <c r="A517" s="17" t="str">
        <f t="shared" si="24"/>
        <v>501000516</v>
      </c>
      <c r="B517" s="97">
        <v>516</v>
      </c>
      <c r="C517" s="97" t="s">
        <v>7604</v>
      </c>
      <c r="D517" s="97" t="s">
        <v>1242</v>
      </c>
      <c r="E517" s="312" t="s">
        <v>2727</v>
      </c>
      <c r="F517" s="312" t="s">
        <v>2172</v>
      </c>
      <c r="G517" s="97">
        <v>981202</v>
      </c>
      <c r="H517" s="97">
        <v>4</v>
      </c>
      <c r="I517" s="97" t="s">
        <v>4039</v>
      </c>
      <c r="J517" s="97" t="s">
        <v>4061</v>
      </c>
      <c r="K517" s="17" t="str">
        <f>IFERROR(INDEX(競技会設定!$J$3:$O$47,MATCH(J517,競技会設定!$M$3:$M$47,0),5),"")</f>
        <v>日本福祉大</v>
      </c>
      <c r="L517" s="17">
        <f>IFERROR(INDEX(競技会設定!$J$3:$N$47,MATCH(K517,競技会設定!$N$3:$N$47,0),2),"")</f>
        <v>492183</v>
      </c>
      <c r="M517" s="97" t="s">
        <v>3859</v>
      </c>
      <c r="N517" s="17" t="str">
        <f t="shared" si="25"/>
        <v>TAKATSUJI, Masaya</v>
      </c>
      <c r="O517" s="17" t="str">
        <f t="shared" si="26"/>
        <v>98</v>
      </c>
    </row>
    <row r="518" spans="1:15">
      <c r="A518" s="17" t="str">
        <f t="shared" si="24"/>
        <v>501000517</v>
      </c>
      <c r="B518" s="97">
        <v>517</v>
      </c>
      <c r="C518" s="97" t="s">
        <v>1243</v>
      </c>
      <c r="D518" s="97" t="s">
        <v>1244</v>
      </c>
      <c r="E518" s="312" t="s">
        <v>2173</v>
      </c>
      <c r="F518" s="312" t="s">
        <v>2505</v>
      </c>
      <c r="G518" s="97">
        <v>980702</v>
      </c>
      <c r="H518" s="97">
        <v>4</v>
      </c>
      <c r="I518" s="97" t="s">
        <v>4039</v>
      </c>
      <c r="J518" s="97" t="s">
        <v>4061</v>
      </c>
      <c r="K518" s="17" t="str">
        <f>IFERROR(INDEX(競技会設定!$J$3:$O$47,MATCH(J518,競技会設定!$M$3:$M$47,0),5),"")</f>
        <v>日本福祉大</v>
      </c>
      <c r="L518" s="17">
        <f>IFERROR(INDEX(競技会設定!$J$3:$N$47,MATCH(K518,競技会設定!$N$3:$N$47,0),2),"")</f>
        <v>492183</v>
      </c>
      <c r="M518" s="97" t="s">
        <v>3877</v>
      </c>
      <c r="N518" s="17" t="str">
        <f t="shared" si="25"/>
        <v>TAKAHASHI, Shunya</v>
      </c>
      <c r="O518" s="17" t="str">
        <f t="shared" si="26"/>
        <v>98</v>
      </c>
    </row>
    <row r="519" spans="1:15">
      <c r="A519" s="17" t="str">
        <f t="shared" si="24"/>
        <v>501000518</v>
      </c>
      <c r="B519" s="97">
        <v>518</v>
      </c>
      <c r="C519" s="97" t="s">
        <v>1245</v>
      </c>
      <c r="D519" s="97" t="s">
        <v>1246</v>
      </c>
      <c r="E519" s="312" t="s">
        <v>2261</v>
      </c>
      <c r="F519" s="312" t="s">
        <v>2459</v>
      </c>
      <c r="G519" s="97">
        <v>990722</v>
      </c>
      <c r="H519" s="97">
        <v>3</v>
      </c>
      <c r="I519" s="97" t="s">
        <v>4039</v>
      </c>
      <c r="J519" s="97" t="s">
        <v>4061</v>
      </c>
      <c r="K519" s="17" t="str">
        <f>IFERROR(INDEX(競技会設定!$J$3:$O$47,MATCH(J519,競技会設定!$M$3:$M$47,0),5),"")</f>
        <v>日本福祉大</v>
      </c>
      <c r="L519" s="17">
        <f>IFERROR(INDEX(競技会設定!$J$3:$N$47,MATCH(K519,競技会設定!$N$3:$N$47,0),2),"")</f>
        <v>492183</v>
      </c>
      <c r="M519" s="97" t="s">
        <v>3859</v>
      </c>
      <c r="N519" s="17" t="str">
        <f t="shared" si="25"/>
        <v>ABE, Hiroyuki</v>
      </c>
      <c r="O519" s="17" t="str">
        <f t="shared" si="26"/>
        <v>99</v>
      </c>
    </row>
    <row r="520" spans="1:15">
      <c r="A520" s="17" t="str">
        <f t="shared" si="24"/>
        <v>501000519</v>
      </c>
      <c r="B520" s="97">
        <v>519</v>
      </c>
      <c r="C520" s="97" t="s">
        <v>1247</v>
      </c>
      <c r="D520" s="97" t="s">
        <v>1248</v>
      </c>
      <c r="E520" s="312" t="s">
        <v>2728</v>
      </c>
      <c r="F520" s="312" t="s">
        <v>2729</v>
      </c>
      <c r="G520" s="97">
        <v>991012</v>
      </c>
      <c r="H520" s="97">
        <v>3</v>
      </c>
      <c r="I520" s="97" t="s">
        <v>4039</v>
      </c>
      <c r="J520" s="97" t="s">
        <v>4061</v>
      </c>
      <c r="K520" s="17" t="str">
        <f>IFERROR(INDEX(競技会設定!$J$3:$O$47,MATCH(J520,競技会設定!$M$3:$M$47,0),5),"")</f>
        <v>日本福祉大</v>
      </c>
      <c r="L520" s="17">
        <f>IFERROR(INDEX(競技会設定!$J$3:$N$47,MATCH(K520,競技会設定!$N$3:$N$47,0),2),"")</f>
        <v>492183</v>
      </c>
      <c r="M520" s="97" t="s">
        <v>3855</v>
      </c>
      <c r="N520" s="17" t="str">
        <f t="shared" si="25"/>
        <v>IGUCHI, Sotaro</v>
      </c>
      <c r="O520" s="17" t="str">
        <f t="shared" si="26"/>
        <v>99</v>
      </c>
    </row>
    <row r="521" spans="1:15">
      <c r="A521" s="17" t="str">
        <f t="shared" si="24"/>
        <v>501000520</v>
      </c>
      <c r="B521" s="97">
        <v>520</v>
      </c>
      <c r="C521" s="97" t="s">
        <v>7605</v>
      </c>
      <c r="D521" s="97" t="s">
        <v>1249</v>
      </c>
      <c r="E521" s="312" t="s">
        <v>2369</v>
      </c>
      <c r="F521" s="312" t="s">
        <v>2153</v>
      </c>
      <c r="G521" s="97">
        <v>991020</v>
      </c>
      <c r="H521" s="97">
        <v>3</v>
      </c>
      <c r="I521" s="97" t="s">
        <v>4039</v>
      </c>
      <c r="J521" s="97" t="s">
        <v>4061</v>
      </c>
      <c r="K521" s="17" t="str">
        <f>IFERROR(INDEX(競技会設定!$J$3:$O$47,MATCH(J521,競技会設定!$M$3:$M$47,0),5),"")</f>
        <v>日本福祉大</v>
      </c>
      <c r="L521" s="17">
        <f>IFERROR(INDEX(競技会設定!$J$3:$N$47,MATCH(K521,競技会設定!$N$3:$N$47,0),2),"")</f>
        <v>492183</v>
      </c>
      <c r="M521" s="97" t="s">
        <v>3859</v>
      </c>
      <c r="N521" s="17" t="str">
        <f t="shared" si="25"/>
        <v>KATO, Kota</v>
      </c>
      <c r="O521" s="17" t="str">
        <f t="shared" si="26"/>
        <v>99</v>
      </c>
    </row>
    <row r="522" spans="1:15">
      <c r="A522" s="17" t="str">
        <f t="shared" si="24"/>
        <v>501000521</v>
      </c>
      <c r="B522" s="97">
        <v>521</v>
      </c>
      <c r="C522" s="97" t="s">
        <v>1250</v>
      </c>
      <c r="D522" s="97" t="s">
        <v>1251</v>
      </c>
      <c r="E522" s="312" t="s">
        <v>2730</v>
      </c>
      <c r="F522" s="312" t="s">
        <v>2675</v>
      </c>
      <c r="G522" s="97">
        <v>991110</v>
      </c>
      <c r="H522" s="97">
        <v>3</v>
      </c>
      <c r="I522" s="97" t="s">
        <v>4039</v>
      </c>
      <c r="J522" s="97" t="s">
        <v>4061</v>
      </c>
      <c r="K522" s="17" t="str">
        <f>IFERROR(INDEX(競技会設定!$J$3:$O$47,MATCH(J522,競技会設定!$M$3:$M$47,0),5),"")</f>
        <v>日本福祉大</v>
      </c>
      <c r="L522" s="17">
        <f>IFERROR(INDEX(競技会設定!$J$3:$N$47,MATCH(K522,競技会設定!$N$3:$N$47,0),2),"")</f>
        <v>492183</v>
      </c>
      <c r="M522" s="97" t="s">
        <v>3859</v>
      </c>
      <c r="N522" s="17" t="str">
        <f t="shared" si="25"/>
        <v>SAKATA, Shogo</v>
      </c>
      <c r="O522" s="17" t="str">
        <f t="shared" si="26"/>
        <v>99</v>
      </c>
    </row>
    <row r="523" spans="1:15">
      <c r="A523" s="17" t="str">
        <f t="shared" si="24"/>
        <v>501000522</v>
      </c>
      <c r="B523" s="97">
        <v>522</v>
      </c>
      <c r="C523" s="97" t="s">
        <v>1252</v>
      </c>
      <c r="D523" s="97" t="s">
        <v>1253</v>
      </c>
      <c r="E523" s="312" t="s">
        <v>2447</v>
      </c>
      <c r="F523" s="312" t="s">
        <v>2547</v>
      </c>
      <c r="G523" s="97">
        <v>991115</v>
      </c>
      <c r="H523" s="97">
        <v>3</v>
      </c>
      <c r="I523" s="97" t="s">
        <v>4039</v>
      </c>
      <c r="J523" s="97" t="s">
        <v>4061</v>
      </c>
      <c r="K523" s="17" t="str">
        <f>IFERROR(INDEX(競技会設定!$J$3:$O$47,MATCH(J523,競技会設定!$M$3:$M$47,0),5),"")</f>
        <v>日本福祉大</v>
      </c>
      <c r="L523" s="17">
        <f>IFERROR(INDEX(競技会設定!$J$3:$N$47,MATCH(K523,競技会設定!$N$3:$N$47,0),2),"")</f>
        <v>492183</v>
      </c>
      <c r="M523" s="97" t="s">
        <v>3859</v>
      </c>
      <c r="N523" s="17" t="str">
        <f t="shared" si="25"/>
        <v>TACHIBANA, Toru</v>
      </c>
      <c r="O523" s="17" t="str">
        <f t="shared" si="26"/>
        <v>99</v>
      </c>
    </row>
    <row r="524" spans="1:15">
      <c r="A524" s="17" t="str">
        <f t="shared" si="24"/>
        <v>501000523</v>
      </c>
      <c r="B524" s="97">
        <v>523</v>
      </c>
      <c r="C524" s="97" t="s">
        <v>1254</v>
      </c>
      <c r="D524" s="97" t="s">
        <v>1255</v>
      </c>
      <c r="E524" s="312" t="s">
        <v>2221</v>
      </c>
      <c r="F524" s="312" t="s">
        <v>2731</v>
      </c>
      <c r="G524" s="97">
        <v>990914</v>
      </c>
      <c r="H524" s="97">
        <v>3</v>
      </c>
      <c r="I524" s="97" t="s">
        <v>4039</v>
      </c>
      <c r="J524" s="97" t="s">
        <v>4061</v>
      </c>
      <c r="K524" s="17" t="str">
        <f>IFERROR(INDEX(競技会設定!$J$3:$O$47,MATCH(J524,競技会設定!$M$3:$M$47,0),5),"")</f>
        <v>日本福祉大</v>
      </c>
      <c r="L524" s="17">
        <f>IFERROR(INDEX(競技会設定!$J$3:$N$47,MATCH(K524,競技会設定!$N$3:$N$47,0),2),"")</f>
        <v>492183</v>
      </c>
      <c r="M524" s="97" t="s">
        <v>3859</v>
      </c>
      <c r="N524" s="17" t="str">
        <f t="shared" si="25"/>
        <v>TANAKA, Rei</v>
      </c>
      <c r="O524" s="17" t="str">
        <f t="shared" si="26"/>
        <v>99</v>
      </c>
    </row>
    <row r="525" spans="1:15">
      <c r="A525" s="17" t="str">
        <f t="shared" si="24"/>
        <v>501000524</v>
      </c>
      <c r="B525" s="97">
        <v>524</v>
      </c>
      <c r="C525" s="97" t="s">
        <v>1256</v>
      </c>
      <c r="D525" s="97" t="s">
        <v>1257</v>
      </c>
      <c r="E525" s="312" t="s">
        <v>2732</v>
      </c>
      <c r="F525" s="312" t="s">
        <v>2725</v>
      </c>
      <c r="G525" s="97">
        <v>990923</v>
      </c>
      <c r="H525" s="97">
        <v>3</v>
      </c>
      <c r="I525" s="97" t="s">
        <v>4039</v>
      </c>
      <c r="J525" s="97" t="s">
        <v>4061</v>
      </c>
      <c r="K525" s="17" t="str">
        <f>IFERROR(INDEX(競技会設定!$J$3:$O$47,MATCH(J525,競技会設定!$M$3:$M$47,0),5),"")</f>
        <v>日本福祉大</v>
      </c>
      <c r="L525" s="17">
        <f>IFERROR(INDEX(競技会設定!$J$3:$N$47,MATCH(K525,競技会設定!$N$3:$N$47,0),2),"")</f>
        <v>492183</v>
      </c>
      <c r="M525" s="97" t="s">
        <v>3847</v>
      </c>
      <c r="N525" s="17" t="str">
        <f t="shared" si="25"/>
        <v>YOKOYAMA, Ryuya</v>
      </c>
      <c r="O525" s="17" t="str">
        <f t="shared" si="26"/>
        <v>99</v>
      </c>
    </row>
    <row r="526" spans="1:15">
      <c r="A526" s="17" t="str">
        <f t="shared" si="24"/>
        <v>501000525</v>
      </c>
      <c r="B526" s="97">
        <v>525</v>
      </c>
      <c r="C526" s="97" t="s">
        <v>1258</v>
      </c>
      <c r="D526" s="97" t="s">
        <v>1259</v>
      </c>
      <c r="E526" s="312" t="s">
        <v>2733</v>
      </c>
      <c r="F526" s="312" t="s">
        <v>2734</v>
      </c>
      <c r="G526" s="97" t="s">
        <v>3499</v>
      </c>
      <c r="H526" s="97">
        <v>2</v>
      </c>
      <c r="I526" s="97" t="s">
        <v>4039</v>
      </c>
      <c r="J526" s="97" t="s">
        <v>4061</v>
      </c>
      <c r="K526" s="17" t="str">
        <f>IFERROR(INDEX(競技会設定!$J$3:$O$47,MATCH(J526,競技会設定!$M$3:$M$47,0),5),"")</f>
        <v>日本福祉大</v>
      </c>
      <c r="L526" s="17">
        <f>IFERROR(INDEX(競技会設定!$J$3:$N$47,MATCH(K526,競技会設定!$N$3:$N$47,0),2),"")</f>
        <v>492183</v>
      </c>
      <c r="M526" s="97" t="s">
        <v>3853</v>
      </c>
      <c r="N526" s="17" t="str">
        <f t="shared" si="25"/>
        <v>SUEMOTO, Kousei</v>
      </c>
      <c r="O526" s="17" t="str">
        <f t="shared" si="26"/>
        <v>00</v>
      </c>
    </row>
    <row r="527" spans="1:15">
      <c r="A527" s="17" t="str">
        <f t="shared" si="24"/>
        <v>501000526</v>
      </c>
      <c r="B527" s="97">
        <v>526</v>
      </c>
      <c r="C527" s="97" t="s">
        <v>1260</v>
      </c>
      <c r="D527" s="97" t="s">
        <v>1261</v>
      </c>
      <c r="E527" s="312" t="s">
        <v>2517</v>
      </c>
      <c r="F527" s="312" t="s">
        <v>2149</v>
      </c>
      <c r="G527" s="97" t="s">
        <v>3500</v>
      </c>
      <c r="H527" s="97">
        <v>2</v>
      </c>
      <c r="I527" s="97" t="s">
        <v>4039</v>
      </c>
      <c r="J527" s="97" t="s">
        <v>4061</v>
      </c>
      <c r="K527" s="17" t="str">
        <f>IFERROR(INDEX(競技会設定!$J$3:$O$47,MATCH(J527,競技会設定!$M$3:$M$47,0),5),"")</f>
        <v>日本福祉大</v>
      </c>
      <c r="L527" s="17">
        <f>IFERROR(INDEX(競技会設定!$J$3:$N$47,MATCH(K527,競技会設定!$N$3:$N$47,0),2),"")</f>
        <v>492183</v>
      </c>
      <c r="M527" s="97" t="s">
        <v>3859</v>
      </c>
      <c r="N527" s="17" t="str">
        <f t="shared" si="25"/>
        <v>NAGASAKI, Ryo</v>
      </c>
      <c r="O527" s="17" t="str">
        <f t="shared" si="26"/>
        <v>00</v>
      </c>
    </row>
    <row r="528" spans="1:15">
      <c r="A528" s="17" t="str">
        <f t="shared" si="24"/>
        <v>501000527</v>
      </c>
      <c r="B528" s="97">
        <v>527</v>
      </c>
      <c r="C528" s="97" t="s">
        <v>1262</v>
      </c>
      <c r="D528" s="97" t="s">
        <v>7606</v>
      </c>
      <c r="E528" s="312" t="s">
        <v>2735</v>
      </c>
      <c r="F528" s="312" t="s">
        <v>2152</v>
      </c>
      <c r="G528" s="97" t="s">
        <v>3501</v>
      </c>
      <c r="H528" s="97">
        <v>2</v>
      </c>
      <c r="I528" s="97" t="s">
        <v>4039</v>
      </c>
      <c r="J528" s="97" t="s">
        <v>4061</v>
      </c>
      <c r="K528" s="17" t="str">
        <f>IFERROR(INDEX(競技会設定!$J$3:$O$47,MATCH(J528,競技会設定!$M$3:$M$47,0),5),"")</f>
        <v>日本福祉大</v>
      </c>
      <c r="L528" s="17">
        <f>IFERROR(INDEX(競技会設定!$J$3:$N$47,MATCH(K528,競技会設定!$N$3:$N$47,0),2),"")</f>
        <v>492183</v>
      </c>
      <c r="M528" s="97" t="s">
        <v>3859</v>
      </c>
      <c r="N528" s="17" t="str">
        <f t="shared" si="25"/>
        <v>SEIKE, Kazuma</v>
      </c>
      <c r="O528" s="17" t="str">
        <f t="shared" si="26"/>
        <v>00</v>
      </c>
    </row>
    <row r="529" spans="1:15">
      <c r="A529" s="17" t="str">
        <f t="shared" si="24"/>
        <v>501000528</v>
      </c>
      <c r="B529" s="97">
        <v>528</v>
      </c>
      <c r="C529" s="97" t="s">
        <v>1263</v>
      </c>
      <c r="D529" s="97" t="s">
        <v>7607</v>
      </c>
      <c r="E529" s="312" t="s">
        <v>2736</v>
      </c>
      <c r="F529" s="312" t="s">
        <v>2737</v>
      </c>
      <c r="G529" s="97">
        <v>920720</v>
      </c>
      <c r="H529" s="97">
        <v>2</v>
      </c>
      <c r="I529" s="97" t="s">
        <v>4039</v>
      </c>
      <c r="J529" s="97" t="s">
        <v>4061</v>
      </c>
      <c r="K529" s="17" t="str">
        <f>IFERROR(INDEX(競技会設定!$J$3:$O$47,MATCH(J529,競技会設定!$M$3:$M$47,0),5),"")</f>
        <v>日本福祉大</v>
      </c>
      <c r="L529" s="17">
        <f>IFERROR(INDEX(競技会設定!$J$3:$N$47,MATCH(K529,競技会設定!$N$3:$N$47,0),2),"")</f>
        <v>492183</v>
      </c>
      <c r="M529" s="97" t="s">
        <v>3909</v>
      </c>
      <c r="N529" s="17" t="str">
        <f t="shared" si="25"/>
        <v>ISHIGAKI, Yoshito</v>
      </c>
      <c r="O529" s="17" t="str">
        <f t="shared" si="26"/>
        <v>92</v>
      </c>
    </row>
    <row r="530" spans="1:15">
      <c r="A530" s="17" t="str">
        <f t="shared" si="24"/>
        <v>501000529</v>
      </c>
      <c r="B530" s="97">
        <v>529</v>
      </c>
      <c r="C530" s="97" t="s">
        <v>1264</v>
      </c>
      <c r="D530" s="97" t="s">
        <v>7608</v>
      </c>
      <c r="E530" s="312" t="s">
        <v>2738</v>
      </c>
      <c r="F530" s="312" t="s">
        <v>2739</v>
      </c>
      <c r="G530" s="97" t="s">
        <v>3502</v>
      </c>
      <c r="H530" s="97">
        <v>2</v>
      </c>
      <c r="I530" s="97" t="s">
        <v>4039</v>
      </c>
      <c r="J530" s="97" t="s">
        <v>4061</v>
      </c>
      <c r="K530" s="17" t="str">
        <f>IFERROR(INDEX(競技会設定!$J$3:$O$47,MATCH(J530,競技会設定!$M$3:$M$47,0),5),"")</f>
        <v>日本福祉大</v>
      </c>
      <c r="L530" s="17">
        <f>IFERROR(INDEX(競技会設定!$J$3:$N$47,MATCH(K530,競技会設定!$N$3:$N$47,0),2),"")</f>
        <v>492183</v>
      </c>
      <c r="M530" s="97" t="s">
        <v>3893</v>
      </c>
      <c r="N530" s="17" t="str">
        <f t="shared" si="25"/>
        <v>NISHIMORI, Genki</v>
      </c>
      <c r="O530" s="17" t="str">
        <f t="shared" si="26"/>
        <v>00</v>
      </c>
    </row>
    <row r="531" spans="1:15">
      <c r="A531" s="17" t="str">
        <f t="shared" si="24"/>
        <v>501000530</v>
      </c>
      <c r="B531" s="97">
        <v>530</v>
      </c>
      <c r="C531" s="97" t="s">
        <v>1265</v>
      </c>
      <c r="D531" s="97" t="s">
        <v>7609</v>
      </c>
      <c r="E531" s="312" t="s">
        <v>2687</v>
      </c>
      <c r="F531" s="312" t="s">
        <v>2615</v>
      </c>
      <c r="G531" s="97" t="s">
        <v>3313</v>
      </c>
      <c r="H531" s="97">
        <v>2</v>
      </c>
      <c r="I531" s="97" t="s">
        <v>4039</v>
      </c>
      <c r="J531" s="97" t="s">
        <v>4061</v>
      </c>
      <c r="K531" s="17" t="str">
        <f>IFERROR(INDEX(競技会設定!$J$3:$O$47,MATCH(J531,競技会設定!$M$3:$M$47,0),5),"")</f>
        <v>日本福祉大</v>
      </c>
      <c r="L531" s="17">
        <f>IFERROR(INDEX(競技会設定!$J$3:$N$47,MATCH(K531,競技会設定!$N$3:$N$47,0),2),"")</f>
        <v>492183</v>
      </c>
      <c r="M531" s="97" t="s">
        <v>3859</v>
      </c>
      <c r="N531" s="17" t="str">
        <f t="shared" si="25"/>
        <v>MATSUOKA, Tsubasa</v>
      </c>
      <c r="O531" s="17" t="str">
        <f t="shared" si="26"/>
        <v>00</v>
      </c>
    </row>
    <row r="532" spans="1:15">
      <c r="A532" s="17" t="str">
        <f t="shared" si="24"/>
        <v>501000531</v>
      </c>
      <c r="B532" s="97">
        <v>531</v>
      </c>
      <c r="C532" s="97" t="s">
        <v>1266</v>
      </c>
      <c r="D532" s="97" t="s">
        <v>7610</v>
      </c>
      <c r="E532" s="312" t="s">
        <v>2348</v>
      </c>
      <c r="F532" s="312" t="s">
        <v>2193</v>
      </c>
      <c r="G532" s="97" t="s">
        <v>3503</v>
      </c>
      <c r="H532" s="97">
        <v>2</v>
      </c>
      <c r="I532" s="97" t="s">
        <v>4039</v>
      </c>
      <c r="J532" s="97" t="s">
        <v>4061</v>
      </c>
      <c r="K532" s="17" t="str">
        <f>IFERROR(INDEX(競技会設定!$J$3:$O$47,MATCH(J532,競技会設定!$M$3:$M$47,0),5),"")</f>
        <v>日本福祉大</v>
      </c>
      <c r="L532" s="17">
        <f>IFERROR(INDEX(競技会設定!$J$3:$N$47,MATCH(K532,競技会設定!$N$3:$N$47,0),2),"")</f>
        <v>492183</v>
      </c>
      <c r="M532" s="97" t="s">
        <v>3859</v>
      </c>
      <c r="N532" s="17" t="str">
        <f t="shared" si="25"/>
        <v>MAEDA, Yuta</v>
      </c>
      <c r="O532" s="17" t="str">
        <f t="shared" si="26"/>
        <v>00</v>
      </c>
    </row>
    <row r="533" spans="1:15">
      <c r="A533" s="17" t="str">
        <f t="shared" si="24"/>
        <v>501000532</v>
      </c>
      <c r="B533" s="97">
        <v>532</v>
      </c>
      <c r="C533" s="97" t="s">
        <v>1267</v>
      </c>
      <c r="D533" s="97" t="s">
        <v>1268</v>
      </c>
      <c r="E533" s="312" t="s">
        <v>2740</v>
      </c>
      <c r="F533" s="312" t="s">
        <v>2741</v>
      </c>
      <c r="G533" s="97" t="s">
        <v>3504</v>
      </c>
      <c r="H533" s="97">
        <v>2</v>
      </c>
      <c r="I533" s="97" t="s">
        <v>4039</v>
      </c>
      <c r="J533" s="97" t="s">
        <v>4061</v>
      </c>
      <c r="K533" s="17" t="str">
        <f>IFERROR(INDEX(競技会設定!$J$3:$O$47,MATCH(J533,競技会設定!$M$3:$M$47,0),5),"")</f>
        <v>日本福祉大</v>
      </c>
      <c r="L533" s="17">
        <f>IFERROR(INDEX(競技会設定!$J$3:$N$47,MATCH(K533,競技会設定!$N$3:$N$47,0),2),"")</f>
        <v>492183</v>
      </c>
      <c r="M533" s="97" t="s">
        <v>3859</v>
      </c>
      <c r="N533" s="17" t="str">
        <f t="shared" si="25"/>
        <v>KAMATA, Takeru</v>
      </c>
      <c r="O533" s="17" t="str">
        <f t="shared" si="26"/>
        <v>00</v>
      </c>
    </row>
    <row r="534" spans="1:15">
      <c r="A534" s="17" t="str">
        <f t="shared" si="24"/>
        <v>501000533</v>
      </c>
      <c r="B534" s="97">
        <v>533</v>
      </c>
      <c r="C534" s="97" t="s">
        <v>1269</v>
      </c>
      <c r="D534" s="97" t="s">
        <v>1270</v>
      </c>
      <c r="E534" s="312" t="s">
        <v>2742</v>
      </c>
      <c r="F534" s="312" t="s">
        <v>2193</v>
      </c>
      <c r="G534" s="97" t="s">
        <v>3308</v>
      </c>
      <c r="H534" s="97">
        <v>2</v>
      </c>
      <c r="I534" s="97" t="s">
        <v>4039</v>
      </c>
      <c r="J534" s="97" t="s">
        <v>4061</v>
      </c>
      <c r="K534" s="17" t="str">
        <f>IFERROR(INDEX(競技会設定!$J$3:$O$47,MATCH(J534,競技会設定!$M$3:$M$47,0),5),"")</f>
        <v>日本福祉大</v>
      </c>
      <c r="L534" s="17">
        <f>IFERROR(INDEX(競技会設定!$J$3:$N$47,MATCH(K534,競技会設定!$N$3:$N$47,0),2),"")</f>
        <v>492183</v>
      </c>
      <c r="M534" s="97" t="s">
        <v>3859</v>
      </c>
      <c r="N534" s="17" t="str">
        <f t="shared" si="25"/>
        <v>MARUYAMA, Yuta</v>
      </c>
      <c r="O534" s="17" t="str">
        <f t="shared" si="26"/>
        <v>00</v>
      </c>
    </row>
    <row r="535" spans="1:15">
      <c r="A535" s="17" t="str">
        <f t="shared" si="24"/>
        <v>501000534</v>
      </c>
      <c r="B535" s="97">
        <v>534</v>
      </c>
      <c r="C535" s="97" t="s">
        <v>1271</v>
      </c>
      <c r="D535" s="97" t="s">
        <v>1272</v>
      </c>
      <c r="E535" s="312" t="s">
        <v>2580</v>
      </c>
      <c r="F535" s="312" t="s">
        <v>2149</v>
      </c>
      <c r="G535" s="97" t="s">
        <v>3312</v>
      </c>
      <c r="H535" s="97">
        <v>2</v>
      </c>
      <c r="I535" s="97" t="s">
        <v>4039</v>
      </c>
      <c r="J535" s="97" t="s">
        <v>4061</v>
      </c>
      <c r="K535" s="17" t="str">
        <f>IFERROR(INDEX(競技会設定!$J$3:$O$47,MATCH(J535,競技会設定!$M$3:$M$47,0),5),"")</f>
        <v>日本福祉大</v>
      </c>
      <c r="L535" s="17">
        <f>IFERROR(INDEX(競技会設定!$J$3:$N$47,MATCH(K535,競技会設定!$N$3:$N$47,0),2),"")</f>
        <v>492183</v>
      </c>
      <c r="M535" s="97" t="s">
        <v>3893</v>
      </c>
      <c r="N535" s="17" t="str">
        <f t="shared" si="25"/>
        <v>NAKANISHI, Ryo</v>
      </c>
      <c r="O535" s="17" t="str">
        <f t="shared" si="26"/>
        <v>00</v>
      </c>
    </row>
    <row r="536" spans="1:15">
      <c r="A536" s="17" t="str">
        <f t="shared" si="24"/>
        <v>501000535</v>
      </c>
      <c r="B536" s="97">
        <v>535</v>
      </c>
      <c r="C536" s="97" t="s">
        <v>1273</v>
      </c>
      <c r="D536" s="97" t="s">
        <v>1274</v>
      </c>
      <c r="E536" s="312" t="s">
        <v>2743</v>
      </c>
      <c r="F536" s="312" t="s">
        <v>2744</v>
      </c>
      <c r="G536" s="97" t="s">
        <v>3255</v>
      </c>
      <c r="H536" s="97">
        <v>2</v>
      </c>
      <c r="I536" s="97" t="s">
        <v>4039</v>
      </c>
      <c r="J536" s="97" t="s">
        <v>4061</v>
      </c>
      <c r="K536" s="17" t="str">
        <f>IFERROR(INDEX(競技会設定!$J$3:$O$47,MATCH(J536,競技会設定!$M$3:$M$47,0),5),"")</f>
        <v>日本福祉大</v>
      </c>
      <c r="L536" s="17">
        <f>IFERROR(INDEX(競技会設定!$J$3:$N$47,MATCH(K536,競技会設定!$N$3:$N$47,0),2),"")</f>
        <v>492183</v>
      </c>
      <c r="M536" s="97" t="s">
        <v>3859</v>
      </c>
      <c r="N536" s="17" t="str">
        <f t="shared" si="25"/>
        <v>NAGASE, Itsuki</v>
      </c>
      <c r="O536" s="17" t="str">
        <f t="shared" si="26"/>
        <v>00</v>
      </c>
    </row>
    <row r="537" spans="1:15">
      <c r="A537" s="17" t="str">
        <f t="shared" si="24"/>
        <v>501000536</v>
      </c>
      <c r="B537" s="97">
        <v>536</v>
      </c>
      <c r="C537" s="97" t="s">
        <v>7611</v>
      </c>
      <c r="D537" s="97" t="s">
        <v>1275</v>
      </c>
      <c r="E537" s="312" t="s">
        <v>2483</v>
      </c>
      <c r="F537" s="312" t="s">
        <v>2100</v>
      </c>
      <c r="G537" s="97" t="s">
        <v>3474</v>
      </c>
      <c r="H537" s="97">
        <v>2</v>
      </c>
      <c r="I537" s="97" t="s">
        <v>4039</v>
      </c>
      <c r="J537" s="97" t="s">
        <v>4061</v>
      </c>
      <c r="K537" s="17" t="str">
        <f>IFERROR(INDEX(競技会設定!$J$3:$O$47,MATCH(J537,競技会設定!$M$3:$M$47,0),5),"")</f>
        <v>日本福祉大</v>
      </c>
      <c r="L537" s="17">
        <f>IFERROR(INDEX(競技会設定!$J$3:$N$47,MATCH(K537,競技会設定!$N$3:$N$47,0),2),"")</f>
        <v>492183</v>
      </c>
      <c r="M537" s="97" t="s">
        <v>3843</v>
      </c>
      <c r="N537" s="17" t="str">
        <f t="shared" si="25"/>
        <v>YAMAZAKI, Kaito</v>
      </c>
      <c r="O537" s="17" t="str">
        <f t="shared" si="26"/>
        <v>99</v>
      </c>
    </row>
    <row r="538" spans="1:15">
      <c r="A538" s="17" t="str">
        <f t="shared" si="24"/>
        <v>501000537</v>
      </c>
      <c r="B538" s="97">
        <v>537</v>
      </c>
      <c r="C538" s="97" t="s">
        <v>1276</v>
      </c>
      <c r="D538" s="97" t="s">
        <v>7612</v>
      </c>
      <c r="E538" s="312" t="s">
        <v>2745</v>
      </c>
      <c r="F538" s="312" t="s">
        <v>2746</v>
      </c>
      <c r="G538" s="97" t="s">
        <v>3505</v>
      </c>
      <c r="H538" s="97">
        <v>1</v>
      </c>
      <c r="I538" s="97" t="s">
        <v>4039</v>
      </c>
      <c r="J538" s="97" t="s">
        <v>4061</v>
      </c>
      <c r="K538" s="17" t="str">
        <f>IFERROR(INDEX(競技会設定!$J$3:$O$47,MATCH(J538,競技会設定!$M$3:$M$47,0),5),"")</f>
        <v>日本福祉大</v>
      </c>
      <c r="L538" s="17">
        <f>IFERROR(INDEX(競技会設定!$J$3:$N$47,MATCH(K538,競技会設定!$N$3:$N$47,0),2),"")</f>
        <v>492183</v>
      </c>
      <c r="M538" s="97" t="s">
        <v>3859</v>
      </c>
      <c r="N538" s="17" t="str">
        <f t="shared" si="25"/>
        <v>KANDA , Oki</v>
      </c>
      <c r="O538" s="17" t="str">
        <f t="shared" si="26"/>
        <v>01</v>
      </c>
    </row>
    <row r="539" spans="1:15">
      <c r="A539" s="17" t="str">
        <f t="shared" si="24"/>
        <v>501000538</v>
      </c>
      <c r="B539" s="97">
        <v>538</v>
      </c>
      <c r="C539" s="97" t="s">
        <v>1277</v>
      </c>
      <c r="D539" s="97" t="s">
        <v>1278</v>
      </c>
      <c r="E539" s="312" t="s">
        <v>2747</v>
      </c>
      <c r="F539" s="312" t="s">
        <v>2748</v>
      </c>
      <c r="G539" s="97" t="s">
        <v>3227</v>
      </c>
      <c r="H539" s="97">
        <v>1</v>
      </c>
      <c r="I539" s="97" t="s">
        <v>4039</v>
      </c>
      <c r="J539" s="97" t="s">
        <v>4061</v>
      </c>
      <c r="K539" s="17" t="str">
        <f>IFERROR(INDEX(競技会設定!$J$3:$O$47,MATCH(J539,競技会設定!$M$3:$M$47,0),5),"")</f>
        <v>日本福祉大</v>
      </c>
      <c r="L539" s="17">
        <f>IFERROR(INDEX(競技会設定!$J$3:$N$47,MATCH(K539,競技会設定!$N$3:$N$47,0),2),"")</f>
        <v>492183</v>
      </c>
      <c r="M539" s="97" t="s">
        <v>3859</v>
      </c>
      <c r="N539" s="17" t="str">
        <f t="shared" si="25"/>
        <v>KANEKO, Taira</v>
      </c>
      <c r="O539" s="17" t="str">
        <f t="shared" si="26"/>
        <v>02</v>
      </c>
    </row>
    <row r="540" spans="1:15">
      <c r="A540" s="17" t="str">
        <f t="shared" si="24"/>
        <v>501000539</v>
      </c>
      <c r="B540" s="97">
        <v>539</v>
      </c>
      <c r="C540" s="97" t="s">
        <v>1279</v>
      </c>
      <c r="D540" s="97" t="s">
        <v>1280</v>
      </c>
      <c r="E540" s="312" t="s">
        <v>2749</v>
      </c>
      <c r="F540" s="312" t="s">
        <v>2462</v>
      </c>
      <c r="G540" s="97" t="s">
        <v>3506</v>
      </c>
      <c r="H540" s="97">
        <v>1</v>
      </c>
      <c r="I540" s="97" t="s">
        <v>4039</v>
      </c>
      <c r="J540" s="97" t="s">
        <v>4061</v>
      </c>
      <c r="K540" s="17" t="str">
        <f>IFERROR(INDEX(競技会設定!$J$3:$O$47,MATCH(J540,競技会設定!$M$3:$M$47,0),5),"")</f>
        <v>日本福祉大</v>
      </c>
      <c r="L540" s="17">
        <f>IFERROR(INDEX(競技会設定!$J$3:$N$47,MATCH(K540,競技会設定!$N$3:$N$47,0),2),"")</f>
        <v>492183</v>
      </c>
      <c r="M540" s="97" t="s">
        <v>3859</v>
      </c>
      <c r="N540" s="17" t="str">
        <f t="shared" si="25"/>
        <v>AYUKAWA, Sho</v>
      </c>
      <c r="O540" s="17" t="str">
        <f t="shared" si="26"/>
        <v>01</v>
      </c>
    </row>
    <row r="541" spans="1:15">
      <c r="A541" s="17" t="str">
        <f t="shared" si="24"/>
        <v>501000540</v>
      </c>
      <c r="B541" s="97">
        <v>540</v>
      </c>
      <c r="C541" s="97" t="s">
        <v>1281</v>
      </c>
      <c r="D541" s="97" t="s">
        <v>1282</v>
      </c>
      <c r="E541" s="312" t="s">
        <v>2386</v>
      </c>
      <c r="F541" s="312" t="s">
        <v>2750</v>
      </c>
      <c r="G541" s="97" t="s">
        <v>3507</v>
      </c>
      <c r="H541" s="97">
        <v>1</v>
      </c>
      <c r="I541" s="97" t="s">
        <v>4039</v>
      </c>
      <c r="J541" s="97" t="s">
        <v>4061</v>
      </c>
      <c r="K541" s="17" t="str">
        <f>IFERROR(INDEX(競技会設定!$J$3:$O$47,MATCH(J541,競技会設定!$M$3:$M$47,0),5),"")</f>
        <v>日本福祉大</v>
      </c>
      <c r="L541" s="17">
        <f>IFERROR(INDEX(競技会設定!$J$3:$N$47,MATCH(K541,競技会設定!$N$3:$N$47,0),2),"")</f>
        <v>492183</v>
      </c>
      <c r="M541" s="97" t="s">
        <v>3859</v>
      </c>
      <c r="N541" s="17" t="str">
        <f t="shared" si="25"/>
        <v>HAYAKAWA, Ritsu</v>
      </c>
      <c r="O541" s="17" t="str">
        <f t="shared" si="26"/>
        <v>01</v>
      </c>
    </row>
    <row r="542" spans="1:15">
      <c r="A542" s="17" t="str">
        <f t="shared" si="24"/>
        <v>501000541</v>
      </c>
      <c r="B542" s="97">
        <v>541</v>
      </c>
      <c r="C542" s="97" t="s">
        <v>1283</v>
      </c>
      <c r="D542" s="97" t="s">
        <v>7613</v>
      </c>
      <c r="E542" s="312" t="s">
        <v>2751</v>
      </c>
      <c r="F542" s="312" t="s">
        <v>2752</v>
      </c>
      <c r="G542" s="97" t="s">
        <v>3508</v>
      </c>
      <c r="H542" s="97">
        <v>1</v>
      </c>
      <c r="I542" s="97" t="s">
        <v>4039</v>
      </c>
      <c r="J542" s="97" t="s">
        <v>4061</v>
      </c>
      <c r="K542" s="17" t="str">
        <f>IFERROR(INDEX(競技会設定!$J$3:$O$47,MATCH(J542,競技会設定!$M$3:$M$47,0),5),"")</f>
        <v>日本福祉大</v>
      </c>
      <c r="L542" s="17">
        <f>IFERROR(INDEX(競技会設定!$J$3:$N$47,MATCH(K542,競技会設定!$N$3:$N$47,0),2),"")</f>
        <v>492183</v>
      </c>
      <c r="M542" s="97" t="s">
        <v>3859</v>
      </c>
      <c r="N542" s="17" t="str">
        <f t="shared" si="25"/>
        <v>II, Hiroaki</v>
      </c>
      <c r="O542" s="17" t="str">
        <f t="shared" si="26"/>
        <v>02</v>
      </c>
    </row>
    <row r="543" spans="1:15">
      <c r="A543" s="17" t="str">
        <f t="shared" si="24"/>
        <v>501000542</v>
      </c>
      <c r="B543" s="97">
        <v>542</v>
      </c>
      <c r="C543" s="97" t="s">
        <v>1284</v>
      </c>
      <c r="D543" s="97" t="s">
        <v>1285</v>
      </c>
      <c r="E543" s="312" t="s">
        <v>2753</v>
      </c>
      <c r="F543" s="312" t="s">
        <v>2100</v>
      </c>
      <c r="G543" s="97" t="s">
        <v>3509</v>
      </c>
      <c r="H543" s="97" t="s">
        <v>4031</v>
      </c>
      <c r="I543" s="97" t="s">
        <v>4039</v>
      </c>
      <c r="J543" s="97" t="s">
        <v>4062</v>
      </c>
      <c r="K543" s="17" t="str">
        <f>IFERROR(INDEX(競技会設定!$J$3:$O$47,MATCH(J543,競技会設定!$M$3:$M$47,0),5),"")</f>
        <v>浜松医科大</v>
      </c>
      <c r="L543" s="17" t="str">
        <f>IFERROR(INDEX(競技会設定!$J$3:$N$47,MATCH(K543,競技会設定!$N$3:$N$47,0),2),"")</f>
        <v>490079</v>
      </c>
      <c r="M543" s="97" t="s">
        <v>3857</v>
      </c>
      <c r="N543" s="17" t="str">
        <f t="shared" si="25"/>
        <v>OZEKI, Kaito</v>
      </c>
      <c r="O543" s="17" t="str">
        <f t="shared" si="26"/>
        <v>98</v>
      </c>
    </row>
    <row r="544" spans="1:15">
      <c r="A544" s="17" t="str">
        <f t="shared" si="24"/>
        <v>501000543</v>
      </c>
      <c r="B544" s="97">
        <v>543</v>
      </c>
      <c r="C544" s="97" t="s">
        <v>1286</v>
      </c>
      <c r="D544" s="97" t="s">
        <v>1287</v>
      </c>
      <c r="E544" s="312" t="s">
        <v>2644</v>
      </c>
      <c r="F544" s="312" t="s">
        <v>2754</v>
      </c>
      <c r="G544" s="97" t="s">
        <v>3510</v>
      </c>
      <c r="H544" s="97" t="s">
        <v>4031</v>
      </c>
      <c r="I544" s="97" t="s">
        <v>4039</v>
      </c>
      <c r="J544" s="97" t="s">
        <v>4062</v>
      </c>
      <c r="K544" s="17" t="str">
        <f>IFERROR(INDEX(競技会設定!$J$3:$O$47,MATCH(J544,競技会設定!$M$3:$M$47,0),5),"")</f>
        <v>浜松医科大</v>
      </c>
      <c r="L544" s="17" t="str">
        <f>IFERROR(INDEX(競技会設定!$J$3:$N$47,MATCH(K544,競技会設定!$N$3:$N$47,0),2),"")</f>
        <v>490079</v>
      </c>
      <c r="M544" s="97" t="s">
        <v>3857</v>
      </c>
      <c r="N544" s="17" t="str">
        <f t="shared" si="25"/>
        <v>SAKAMOTO, Kango</v>
      </c>
      <c r="O544" s="17" t="str">
        <f t="shared" si="26"/>
        <v>96</v>
      </c>
    </row>
    <row r="545" spans="1:15">
      <c r="A545" s="17" t="str">
        <f t="shared" si="24"/>
        <v>501000544</v>
      </c>
      <c r="B545" s="97">
        <v>544</v>
      </c>
      <c r="C545" s="97" t="s">
        <v>1288</v>
      </c>
      <c r="D545" s="97" t="s">
        <v>1289</v>
      </c>
      <c r="E545" s="312" t="s">
        <v>2755</v>
      </c>
      <c r="F545" s="312" t="s">
        <v>2756</v>
      </c>
      <c r="G545" s="97" t="s">
        <v>3511</v>
      </c>
      <c r="H545" s="97" t="s">
        <v>4031</v>
      </c>
      <c r="I545" s="97" t="s">
        <v>4039</v>
      </c>
      <c r="J545" s="97" t="s">
        <v>4062</v>
      </c>
      <c r="K545" s="17" t="str">
        <f>IFERROR(INDEX(競技会設定!$J$3:$O$47,MATCH(J545,競技会設定!$M$3:$M$47,0),5),"")</f>
        <v>浜松医科大</v>
      </c>
      <c r="L545" s="17" t="str">
        <f>IFERROR(INDEX(競技会設定!$J$3:$N$47,MATCH(K545,競技会設定!$N$3:$N$47,0),2),"")</f>
        <v>490079</v>
      </c>
      <c r="M545" s="97" t="s">
        <v>3857</v>
      </c>
      <c r="N545" s="17" t="str">
        <f t="shared" si="25"/>
        <v>YAMATO, Hironori</v>
      </c>
      <c r="O545" s="17" t="str">
        <f t="shared" si="26"/>
        <v>97</v>
      </c>
    </row>
    <row r="546" spans="1:15">
      <c r="A546" s="17" t="str">
        <f t="shared" si="24"/>
        <v>501000545</v>
      </c>
      <c r="B546" s="97">
        <v>545</v>
      </c>
      <c r="C546" s="97" t="s">
        <v>1290</v>
      </c>
      <c r="D546" s="97" t="s">
        <v>1291</v>
      </c>
      <c r="E546" s="312" t="s">
        <v>2757</v>
      </c>
      <c r="F546" s="312" t="s">
        <v>2193</v>
      </c>
      <c r="G546" s="97" t="s">
        <v>3512</v>
      </c>
      <c r="H546" s="97" t="s">
        <v>4031</v>
      </c>
      <c r="I546" s="97" t="s">
        <v>4039</v>
      </c>
      <c r="J546" s="97" t="s">
        <v>4062</v>
      </c>
      <c r="K546" s="17" t="str">
        <f>IFERROR(INDEX(競技会設定!$J$3:$O$47,MATCH(J546,競技会設定!$M$3:$M$47,0),5),"")</f>
        <v>浜松医科大</v>
      </c>
      <c r="L546" s="17" t="str">
        <f>IFERROR(INDEX(競技会設定!$J$3:$N$47,MATCH(K546,競技会設定!$N$3:$N$47,0),2),"")</f>
        <v>490079</v>
      </c>
      <c r="M546" s="97" t="s">
        <v>3857</v>
      </c>
      <c r="N546" s="17" t="str">
        <f t="shared" si="25"/>
        <v>YOKOCHI, Yuta</v>
      </c>
      <c r="O546" s="17" t="str">
        <f t="shared" si="26"/>
        <v>93</v>
      </c>
    </row>
    <row r="547" spans="1:15">
      <c r="A547" s="17" t="str">
        <f t="shared" si="24"/>
        <v>501000546</v>
      </c>
      <c r="B547" s="97">
        <v>546</v>
      </c>
      <c r="C547" s="97" t="s">
        <v>1292</v>
      </c>
      <c r="D547" s="97" t="s">
        <v>1293</v>
      </c>
      <c r="E547" s="312" t="s">
        <v>2360</v>
      </c>
      <c r="F547" s="312" t="s">
        <v>2131</v>
      </c>
      <c r="G547" s="97" t="s">
        <v>3513</v>
      </c>
      <c r="H547" s="97" t="s">
        <v>4031</v>
      </c>
      <c r="I547" s="97" t="s">
        <v>4039</v>
      </c>
      <c r="J547" s="97" t="s">
        <v>4062</v>
      </c>
      <c r="K547" s="17" t="str">
        <f>IFERROR(INDEX(競技会設定!$J$3:$O$47,MATCH(J547,競技会設定!$M$3:$M$47,0),5),"")</f>
        <v>浜松医科大</v>
      </c>
      <c r="L547" s="17" t="str">
        <f>IFERROR(INDEX(競技会設定!$J$3:$N$47,MATCH(K547,競技会設定!$N$3:$N$47,0),2),"")</f>
        <v>490079</v>
      </c>
      <c r="M547" s="97" t="s">
        <v>3857</v>
      </c>
      <c r="N547" s="17" t="str">
        <f t="shared" si="25"/>
        <v>WATANABE, Haruki</v>
      </c>
      <c r="O547" s="17" t="str">
        <f t="shared" si="26"/>
        <v>96</v>
      </c>
    </row>
    <row r="548" spans="1:15">
      <c r="A548" s="17" t="str">
        <f t="shared" si="24"/>
        <v>501000547</v>
      </c>
      <c r="B548" s="97">
        <v>547</v>
      </c>
      <c r="C548" s="97" t="s">
        <v>1294</v>
      </c>
      <c r="D548" s="97" t="s">
        <v>1295</v>
      </c>
      <c r="E548" s="312" t="s">
        <v>2169</v>
      </c>
      <c r="F548" s="312" t="s">
        <v>2758</v>
      </c>
      <c r="G548" s="97" t="s">
        <v>3409</v>
      </c>
      <c r="H548" s="97" t="s">
        <v>4025</v>
      </c>
      <c r="I548" s="97" t="s">
        <v>4039</v>
      </c>
      <c r="J548" s="97" t="s">
        <v>4062</v>
      </c>
      <c r="K548" s="17" t="str">
        <f>IFERROR(INDEX(競技会設定!$J$3:$O$47,MATCH(J548,競技会設定!$M$3:$M$47,0),5),"")</f>
        <v>浜松医科大</v>
      </c>
      <c r="L548" s="17" t="str">
        <f>IFERROR(INDEX(競技会設定!$J$3:$N$47,MATCH(K548,競技会設定!$N$3:$N$47,0),2),"")</f>
        <v>490079</v>
      </c>
      <c r="M548" s="97" t="s">
        <v>3857</v>
      </c>
      <c r="N548" s="17" t="str">
        <f t="shared" si="25"/>
        <v>SUGIMOTO, Mochihiro</v>
      </c>
      <c r="O548" s="17" t="str">
        <f t="shared" si="26"/>
        <v>98</v>
      </c>
    </row>
    <row r="549" spans="1:15">
      <c r="A549" s="17" t="str">
        <f t="shared" si="24"/>
        <v>501000548</v>
      </c>
      <c r="B549" s="97">
        <v>548</v>
      </c>
      <c r="C549" s="97" t="s">
        <v>1296</v>
      </c>
      <c r="D549" s="97" t="s">
        <v>1297</v>
      </c>
      <c r="E549" s="312" t="s">
        <v>2759</v>
      </c>
      <c r="F549" s="312" t="s">
        <v>2760</v>
      </c>
      <c r="G549" s="97" t="s">
        <v>3327</v>
      </c>
      <c r="H549" s="97" t="s">
        <v>4024</v>
      </c>
      <c r="I549" s="97" t="s">
        <v>4039</v>
      </c>
      <c r="J549" s="97" t="s">
        <v>4062</v>
      </c>
      <c r="K549" s="17" t="str">
        <f>IFERROR(INDEX(競技会設定!$J$3:$O$47,MATCH(J549,競技会設定!$M$3:$M$47,0),5),"")</f>
        <v>浜松医科大</v>
      </c>
      <c r="L549" s="17" t="str">
        <f>IFERROR(INDEX(競技会設定!$J$3:$N$47,MATCH(K549,競技会設定!$N$3:$N$47,0),2),"")</f>
        <v>490079</v>
      </c>
      <c r="M549" s="97" t="s">
        <v>3857</v>
      </c>
      <c r="N549" s="17" t="str">
        <f t="shared" si="25"/>
        <v>NAITO, Ryujin</v>
      </c>
      <c r="O549" s="17" t="str">
        <f t="shared" si="26"/>
        <v>00</v>
      </c>
    </row>
    <row r="550" spans="1:15">
      <c r="A550" s="17" t="str">
        <f t="shared" si="24"/>
        <v>501000549</v>
      </c>
      <c r="B550" s="97">
        <v>549</v>
      </c>
      <c r="C550" s="97" t="s">
        <v>1298</v>
      </c>
      <c r="D550" s="97" t="s">
        <v>1299</v>
      </c>
      <c r="E550" s="312" t="s">
        <v>2761</v>
      </c>
      <c r="F550" s="312" t="s">
        <v>2307</v>
      </c>
      <c r="G550" s="97" t="s">
        <v>3514</v>
      </c>
      <c r="H550" s="97" t="s">
        <v>4024</v>
      </c>
      <c r="I550" s="97" t="s">
        <v>4039</v>
      </c>
      <c r="J550" s="97" t="s">
        <v>4062</v>
      </c>
      <c r="K550" s="17" t="str">
        <f>IFERROR(INDEX(競技会設定!$J$3:$O$47,MATCH(J550,競技会設定!$M$3:$M$47,0),5),"")</f>
        <v>浜松医科大</v>
      </c>
      <c r="L550" s="17" t="str">
        <f>IFERROR(INDEX(競技会設定!$J$3:$N$47,MATCH(K550,競技会設定!$N$3:$N$47,0),2),"")</f>
        <v>490079</v>
      </c>
      <c r="M550" s="97" t="s">
        <v>3857</v>
      </c>
      <c r="N550" s="17" t="str">
        <f t="shared" si="25"/>
        <v>HISHIDA, Kotaro</v>
      </c>
      <c r="O550" s="17" t="str">
        <f t="shared" si="26"/>
        <v>99</v>
      </c>
    </row>
    <row r="551" spans="1:15">
      <c r="A551" s="17" t="str">
        <f t="shared" si="24"/>
        <v>501000550</v>
      </c>
      <c r="B551" s="97">
        <v>550</v>
      </c>
      <c r="C551" s="97" t="s">
        <v>1300</v>
      </c>
      <c r="D551" s="97" t="s">
        <v>1301</v>
      </c>
      <c r="E551" s="312" t="s">
        <v>2218</v>
      </c>
      <c r="F551" s="312" t="s">
        <v>2762</v>
      </c>
      <c r="G551" s="97" t="s">
        <v>3134</v>
      </c>
      <c r="H551" s="97" t="s">
        <v>4026</v>
      </c>
      <c r="I551" s="97" t="s">
        <v>4039</v>
      </c>
      <c r="J551" s="97" t="s">
        <v>4062</v>
      </c>
      <c r="K551" s="17" t="str">
        <f>IFERROR(INDEX(競技会設定!$J$3:$O$47,MATCH(J551,競技会設定!$M$3:$M$47,0),5),"")</f>
        <v>浜松医科大</v>
      </c>
      <c r="L551" s="17" t="str">
        <f>IFERROR(INDEX(競技会設定!$J$3:$N$47,MATCH(K551,競技会設定!$N$3:$N$47,0),2),"")</f>
        <v>490079</v>
      </c>
      <c r="M551" s="97" t="s">
        <v>3857</v>
      </c>
      <c r="N551" s="17" t="str">
        <f t="shared" si="25"/>
        <v>IWASE, Yunosuke</v>
      </c>
      <c r="O551" s="17" t="str">
        <f t="shared" si="26"/>
        <v>00</v>
      </c>
    </row>
    <row r="552" spans="1:15">
      <c r="A552" s="17" t="str">
        <f t="shared" si="24"/>
        <v>501000551</v>
      </c>
      <c r="B552" s="97">
        <v>551</v>
      </c>
      <c r="C552" s="97" t="s">
        <v>1302</v>
      </c>
      <c r="D552" s="97" t="s">
        <v>1303</v>
      </c>
      <c r="E552" s="312" t="s">
        <v>2763</v>
      </c>
      <c r="F552" s="312" t="s">
        <v>2203</v>
      </c>
      <c r="G552" s="97" t="s">
        <v>3162</v>
      </c>
      <c r="H552" s="97" t="s">
        <v>4026</v>
      </c>
      <c r="I552" s="97" t="s">
        <v>4039</v>
      </c>
      <c r="J552" s="97" t="s">
        <v>4062</v>
      </c>
      <c r="K552" s="17" t="str">
        <f>IFERROR(INDEX(競技会設定!$J$3:$O$47,MATCH(J552,競技会設定!$M$3:$M$47,0),5),"")</f>
        <v>浜松医科大</v>
      </c>
      <c r="L552" s="17" t="str">
        <f>IFERROR(INDEX(競技会設定!$J$3:$N$47,MATCH(K552,競技会設定!$N$3:$N$47,0),2),"")</f>
        <v>490079</v>
      </c>
      <c r="M552" s="97" t="s">
        <v>3857</v>
      </c>
      <c r="N552" s="17" t="str">
        <f t="shared" si="25"/>
        <v>KAWAGUCHI, Daichi</v>
      </c>
      <c r="O552" s="17" t="str">
        <f t="shared" si="26"/>
        <v>01</v>
      </c>
    </row>
    <row r="553" spans="1:15">
      <c r="A553" s="17" t="str">
        <f t="shared" si="24"/>
        <v>501000552</v>
      </c>
      <c r="B553" s="97">
        <v>552</v>
      </c>
      <c r="C553" s="97" t="s">
        <v>1304</v>
      </c>
      <c r="D553" s="97" t="s">
        <v>1305</v>
      </c>
      <c r="E553" s="312" t="s">
        <v>2187</v>
      </c>
      <c r="F553" s="312" t="s">
        <v>2547</v>
      </c>
      <c r="G553" s="97" t="s">
        <v>3515</v>
      </c>
      <c r="H553" s="97" t="s">
        <v>4026</v>
      </c>
      <c r="I553" s="97" t="s">
        <v>4039</v>
      </c>
      <c r="J553" s="97" t="s">
        <v>4062</v>
      </c>
      <c r="K553" s="17" t="str">
        <f>IFERROR(INDEX(競技会設定!$J$3:$O$47,MATCH(J553,競技会設定!$M$3:$M$47,0),5),"")</f>
        <v>浜松医科大</v>
      </c>
      <c r="L553" s="17" t="str">
        <f>IFERROR(INDEX(競技会設定!$J$3:$N$47,MATCH(K553,競技会設定!$N$3:$N$47,0),2),"")</f>
        <v>490079</v>
      </c>
      <c r="M553" s="97" t="s">
        <v>3857</v>
      </c>
      <c r="N553" s="17" t="str">
        <f t="shared" si="25"/>
        <v>TAMURA, Toru</v>
      </c>
      <c r="O553" s="17" t="str">
        <f t="shared" si="26"/>
        <v>01</v>
      </c>
    </row>
    <row r="554" spans="1:15">
      <c r="A554" s="17" t="str">
        <f t="shared" si="24"/>
        <v>501000553</v>
      </c>
      <c r="B554" s="97">
        <v>553</v>
      </c>
      <c r="C554" s="97" t="s">
        <v>1306</v>
      </c>
      <c r="D554" s="97" t="s">
        <v>1307</v>
      </c>
      <c r="E554" s="312" t="s">
        <v>2259</v>
      </c>
      <c r="F554" s="312" t="s">
        <v>2106</v>
      </c>
      <c r="G554" s="97" t="s">
        <v>3334</v>
      </c>
      <c r="H554" s="97" t="s">
        <v>4026</v>
      </c>
      <c r="I554" s="97" t="s">
        <v>4039</v>
      </c>
      <c r="J554" s="97" t="s">
        <v>4062</v>
      </c>
      <c r="K554" s="17" t="str">
        <f>IFERROR(INDEX(競技会設定!$J$3:$O$47,MATCH(J554,競技会設定!$M$3:$M$47,0),5),"")</f>
        <v>浜松医科大</v>
      </c>
      <c r="L554" s="17" t="str">
        <f>IFERROR(INDEX(競技会設定!$J$3:$N$47,MATCH(K554,競技会設定!$N$3:$N$47,0),2),"")</f>
        <v>490079</v>
      </c>
      <c r="M554" s="97" t="s">
        <v>3857</v>
      </c>
      <c r="N554" s="17" t="str">
        <f t="shared" si="25"/>
        <v>YAMAMOTO, Yusuke</v>
      </c>
      <c r="O554" s="17" t="str">
        <f t="shared" si="26"/>
        <v>00</v>
      </c>
    </row>
    <row r="555" spans="1:15">
      <c r="A555" s="17" t="str">
        <f t="shared" si="24"/>
        <v>501000554</v>
      </c>
      <c r="B555" s="97">
        <v>554</v>
      </c>
      <c r="C555" s="97" t="s">
        <v>1308</v>
      </c>
      <c r="D555" s="97" t="s">
        <v>1309</v>
      </c>
      <c r="E555" s="312" t="s">
        <v>2328</v>
      </c>
      <c r="F555" s="312" t="s">
        <v>2764</v>
      </c>
      <c r="G555" s="97" t="s">
        <v>3516</v>
      </c>
      <c r="H555" s="97" t="s">
        <v>4031</v>
      </c>
      <c r="I555" s="97" t="s">
        <v>4039</v>
      </c>
      <c r="J555" s="97" t="s">
        <v>4063</v>
      </c>
      <c r="K555" s="17" t="str">
        <f>IFERROR(INDEX(競技会設定!$J$3:$O$47,MATCH(J555,競技会設定!$M$3:$M$47,0),5),"")</f>
        <v>名古屋市立大</v>
      </c>
      <c r="L555" s="17" t="str">
        <f>IFERROR(INDEX(競技会設定!$J$3:$N$47,MATCH(K555,競技会設定!$N$3:$N$47,0),2),"")</f>
        <v>491013</v>
      </c>
      <c r="M555" s="97" t="s">
        <v>3859</v>
      </c>
      <c r="N555" s="17" t="str">
        <f t="shared" si="25"/>
        <v>YAMADA, Takehiro</v>
      </c>
      <c r="O555" s="17" t="str">
        <f t="shared" si="26"/>
        <v>97</v>
      </c>
    </row>
    <row r="556" spans="1:15">
      <c r="A556" s="17" t="str">
        <f t="shared" si="24"/>
        <v>501000555</v>
      </c>
      <c r="B556" s="97">
        <v>555</v>
      </c>
      <c r="C556" s="97" t="s">
        <v>1310</v>
      </c>
      <c r="D556" s="97" t="s">
        <v>1311</v>
      </c>
      <c r="E556" s="312" t="s">
        <v>2082</v>
      </c>
      <c r="F556" s="312" t="s">
        <v>2081</v>
      </c>
      <c r="G556" s="97" t="s">
        <v>3517</v>
      </c>
      <c r="H556" s="97" t="s">
        <v>4026</v>
      </c>
      <c r="I556" s="97" t="s">
        <v>4039</v>
      </c>
      <c r="J556" s="97" t="s">
        <v>4063</v>
      </c>
      <c r="K556" s="17" t="str">
        <f>IFERROR(INDEX(競技会設定!$J$3:$O$47,MATCH(J556,競技会設定!$M$3:$M$47,0),5),"")</f>
        <v>名古屋市立大</v>
      </c>
      <c r="L556" s="17" t="str">
        <f>IFERROR(INDEX(競技会設定!$J$3:$N$47,MATCH(K556,競技会設定!$N$3:$N$47,0),2),"")</f>
        <v>491013</v>
      </c>
      <c r="M556" s="97" t="s">
        <v>3859</v>
      </c>
      <c r="N556" s="17" t="str">
        <f t="shared" si="25"/>
        <v>ITO, Tomoki</v>
      </c>
      <c r="O556" s="17" t="str">
        <f t="shared" si="26"/>
        <v>00</v>
      </c>
    </row>
    <row r="557" spans="1:15">
      <c r="A557" s="17" t="str">
        <f t="shared" si="24"/>
        <v>501000556</v>
      </c>
      <c r="B557" s="97">
        <v>556</v>
      </c>
      <c r="C557" s="97" t="s">
        <v>1312</v>
      </c>
      <c r="D557" s="97" t="s">
        <v>1313</v>
      </c>
      <c r="E557" s="312" t="s">
        <v>2597</v>
      </c>
      <c r="F557" s="312" t="s">
        <v>2310</v>
      </c>
      <c r="G557" s="97" t="s">
        <v>3269</v>
      </c>
      <c r="H557" s="97" t="s">
        <v>4025</v>
      </c>
      <c r="I557" s="97" t="s">
        <v>4039</v>
      </c>
      <c r="J557" s="97" t="s">
        <v>4063</v>
      </c>
      <c r="K557" s="17" t="str">
        <f>IFERROR(INDEX(競技会設定!$J$3:$O$47,MATCH(J557,競技会設定!$M$3:$M$47,0),5),"")</f>
        <v>名古屋市立大</v>
      </c>
      <c r="L557" s="17" t="str">
        <f>IFERROR(INDEX(競技会設定!$J$3:$N$47,MATCH(K557,競技会設定!$N$3:$N$47,0),2),"")</f>
        <v>491013</v>
      </c>
      <c r="M557" s="97" t="s">
        <v>3859</v>
      </c>
      <c r="N557" s="17" t="str">
        <f t="shared" si="25"/>
        <v>TANIGUCHI, Yuito</v>
      </c>
      <c r="O557" s="17" t="str">
        <f t="shared" si="26"/>
        <v>98</v>
      </c>
    </row>
    <row r="558" spans="1:15">
      <c r="A558" s="17" t="str">
        <f t="shared" si="24"/>
        <v>501000557</v>
      </c>
      <c r="B558" s="97">
        <v>557</v>
      </c>
      <c r="C558" s="97" t="s">
        <v>1314</v>
      </c>
      <c r="D558" s="97" t="s">
        <v>1315</v>
      </c>
      <c r="E558" s="312" t="s">
        <v>2765</v>
      </c>
      <c r="F558" s="312" t="s">
        <v>2766</v>
      </c>
      <c r="G558" s="97" t="s">
        <v>3479</v>
      </c>
      <c r="H558" s="97" t="s">
        <v>4024</v>
      </c>
      <c r="I558" s="97" t="s">
        <v>4039</v>
      </c>
      <c r="J558" s="97" t="s">
        <v>4063</v>
      </c>
      <c r="K558" s="17" t="str">
        <f>IFERROR(INDEX(競技会設定!$J$3:$O$47,MATCH(J558,競技会設定!$M$3:$M$47,0),5),"")</f>
        <v>名古屋市立大</v>
      </c>
      <c r="L558" s="17" t="str">
        <f>IFERROR(INDEX(競技会設定!$J$3:$N$47,MATCH(K558,競技会設定!$N$3:$N$47,0),2),"")</f>
        <v>491013</v>
      </c>
      <c r="M558" s="97" t="s">
        <v>3855</v>
      </c>
      <c r="N558" s="17" t="str">
        <f t="shared" si="25"/>
        <v>SAGO, Soto</v>
      </c>
      <c r="O558" s="17" t="str">
        <f t="shared" si="26"/>
        <v>99</v>
      </c>
    </row>
    <row r="559" spans="1:15">
      <c r="A559" s="17" t="str">
        <f t="shared" si="24"/>
        <v>501000558</v>
      </c>
      <c r="B559" s="97">
        <v>558</v>
      </c>
      <c r="C559" s="97" t="s">
        <v>1316</v>
      </c>
      <c r="D559" s="97" t="s">
        <v>1317</v>
      </c>
      <c r="E559" s="312" t="s">
        <v>2140</v>
      </c>
      <c r="F559" s="312" t="s">
        <v>2767</v>
      </c>
      <c r="G559" s="97" t="s">
        <v>3518</v>
      </c>
      <c r="H559" s="97" t="s">
        <v>4032</v>
      </c>
      <c r="I559" s="97" t="s">
        <v>4039</v>
      </c>
      <c r="J559" s="97" t="s">
        <v>4064</v>
      </c>
      <c r="K559" s="17" t="str">
        <f>IFERROR(INDEX(競技会設定!$J$3:$O$47,MATCH(J559,競技会設定!$M$3:$M$47,0),5),"")</f>
        <v>名古屋商科大</v>
      </c>
      <c r="L559" s="17" t="str">
        <f>IFERROR(INDEX(競技会設定!$J$3:$N$47,MATCH(K559,競技会設定!$N$3:$N$47,0),2),"")</f>
        <v>492179</v>
      </c>
      <c r="M559" s="97" t="s">
        <v>3859</v>
      </c>
      <c r="N559" s="17" t="str">
        <f t="shared" si="25"/>
        <v>IWATA, Haruhi</v>
      </c>
      <c r="O559" s="17" t="str">
        <f t="shared" si="26"/>
        <v>99</v>
      </c>
    </row>
    <row r="560" spans="1:15">
      <c r="A560" s="17" t="str">
        <f t="shared" si="24"/>
        <v>501000559</v>
      </c>
      <c r="B560" s="97">
        <v>559</v>
      </c>
      <c r="C560" s="97" t="s">
        <v>1318</v>
      </c>
      <c r="D560" s="97" t="s">
        <v>1319</v>
      </c>
      <c r="E560" s="312" t="s">
        <v>2768</v>
      </c>
      <c r="F560" s="312" t="s">
        <v>2769</v>
      </c>
      <c r="G560" s="97" t="s">
        <v>3519</v>
      </c>
      <c r="H560" s="97" t="s">
        <v>4024</v>
      </c>
      <c r="I560" s="97" t="s">
        <v>4039</v>
      </c>
      <c r="J560" s="97" t="s">
        <v>4064</v>
      </c>
      <c r="K560" s="17" t="str">
        <f>IFERROR(INDEX(競技会設定!$J$3:$O$47,MATCH(J560,競技会設定!$M$3:$M$47,0),5),"")</f>
        <v>名古屋商科大</v>
      </c>
      <c r="L560" s="17" t="str">
        <f>IFERROR(INDEX(競技会設定!$J$3:$N$47,MATCH(K560,競技会設定!$N$3:$N$47,0),2),"")</f>
        <v>492179</v>
      </c>
      <c r="M560" s="97" t="s">
        <v>3861</v>
      </c>
      <c r="N560" s="17" t="str">
        <f t="shared" si="25"/>
        <v>NIWA, Akira</v>
      </c>
      <c r="O560" s="17" t="str">
        <f t="shared" si="26"/>
        <v>00</v>
      </c>
    </row>
    <row r="561" spans="1:15">
      <c r="A561" s="17" t="str">
        <f t="shared" si="24"/>
        <v>501000560</v>
      </c>
      <c r="B561" s="97">
        <v>560</v>
      </c>
      <c r="C561" s="97" t="s">
        <v>1320</v>
      </c>
      <c r="D561" s="97" t="s">
        <v>1321</v>
      </c>
      <c r="E561" s="312" t="s">
        <v>2770</v>
      </c>
      <c r="F561" s="312" t="s">
        <v>2637</v>
      </c>
      <c r="G561" s="97" t="s">
        <v>3140</v>
      </c>
      <c r="H561" s="97" t="s">
        <v>4026</v>
      </c>
      <c r="I561" s="97" t="s">
        <v>4039</v>
      </c>
      <c r="J561" s="97" t="s">
        <v>4064</v>
      </c>
      <c r="K561" s="17" t="str">
        <f>IFERROR(INDEX(競技会設定!$J$3:$O$47,MATCH(J561,競技会設定!$M$3:$M$47,0),5),"")</f>
        <v>名古屋商科大</v>
      </c>
      <c r="L561" s="17" t="str">
        <f>IFERROR(INDEX(競技会設定!$J$3:$N$47,MATCH(K561,競技会設定!$N$3:$N$47,0),2),"")</f>
        <v>492179</v>
      </c>
      <c r="M561" s="97" t="s">
        <v>3859</v>
      </c>
      <c r="N561" s="17" t="str">
        <f t="shared" si="25"/>
        <v>MAKISAKO , Kento</v>
      </c>
      <c r="O561" s="17" t="str">
        <f t="shared" si="26"/>
        <v>00</v>
      </c>
    </row>
    <row r="562" spans="1:15">
      <c r="A562" s="17" t="str">
        <f t="shared" si="24"/>
        <v>501000561</v>
      </c>
      <c r="B562" s="97">
        <v>561</v>
      </c>
      <c r="C562" s="97" t="s">
        <v>1322</v>
      </c>
      <c r="D562" s="97" t="s">
        <v>1323</v>
      </c>
      <c r="E562" s="312" t="s">
        <v>2687</v>
      </c>
      <c r="F562" s="312" t="s">
        <v>2293</v>
      </c>
      <c r="G562" s="97" t="s">
        <v>3133</v>
      </c>
      <c r="H562" s="97" t="s">
        <v>4026</v>
      </c>
      <c r="I562" s="97" t="s">
        <v>4039</v>
      </c>
      <c r="J562" s="97" t="s">
        <v>4064</v>
      </c>
      <c r="K562" s="17" t="str">
        <f>IFERROR(INDEX(競技会設定!$J$3:$O$47,MATCH(J562,競技会設定!$M$3:$M$47,0),5),"")</f>
        <v>名古屋商科大</v>
      </c>
      <c r="L562" s="17" t="str">
        <f>IFERROR(INDEX(競技会設定!$J$3:$N$47,MATCH(K562,競技会設定!$N$3:$N$47,0),2),"")</f>
        <v>492179</v>
      </c>
      <c r="M562" s="97" t="s">
        <v>3859</v>
      </c>
      <c r="N562" s="17" t="str">
        <f t="shared" si="25"/>
        <v>MATSUOKA, Koki</v>
      </c>
      <c r="O562" s="17" t="str">
        <f t="shared" si="26"/>
        <v>00</v>
      </c>
    </row>
    <row r="563" spans="1:15">
      <c r="A563" s="17" t="str">
        <f t="shared" si="24"/>
        <v>501000562</v>
      </c>
      <c r="B563" s="97">
        <v>562</v>
      </c>
      <c r="C563" s="97" t="s">
        <v>1324</v>
      </c>
      <c r="D563" s="97" t="s">
        <v>1325</v>
      </c>
      <c r="E563" s="312" t="s">
        <v>2358</v>
      </c>
      <c r="F563" s="312" t="s">
        <v>2149</v>
      </c>
      <c r="G563" s="97" t="s">
        <v>3520</v>
      </c>
      <c r="H563" s="97" t="s">
        <v>4026</v>
      </c>
      <c r="I563" s="97" t="s">
        <v>4039</v>
      </c>
      <c r="J563" s="97" t="s">
        <v>4064</v>
      </c>
      <c r="K563" s="17" t="str">
        <f>IFERROR(INDEX(競技会設定!$J$3:$O$47,MATCH(J563,競技会設定!$M$3:$M$47,0),5),"")</f>
        <v>名古屋商科大</v>
      </c>
      <c r="L563" s="17" t="str">
        <f>IFERROR(INDEX(競技会設定!$J$3:$N$47,MATCH(K563,競技会設定!$N$3:$N$47,0),2),"")</f>
        <v>492179</v>
      </c>
      <c r="M563" s="97" t="s">
        <v>3859</v>
      </c>
      <c r="N563" s="17" t="str">
        <f t="shared" si="25"/>
        <v>TSUCHIYA, Ryo</v>
      </c>
      <c r="O563" s="17" t="str">
        <f t="shared" si="26"/>
        <v>00</v>
      </c>
    </row>
    <row r="564" spans="1:15">
      <c r="A564" s="17" t="str">
        <f t="shared" si="24"/>
        <v>501000563</v>
      </c>
      <c r="B564" s="97">
        <v>563</v>
      </c>
      <c r="C564" s="97" t="s">
        <v>1326</v>
      </c>
      <c r="D564" s="97" t="s">
        <v>1327</v>
      </c>
      <c r="E564" s="312" t="s">
        <v>2771</v>
      </c>
      <c r="F564" s="312" t="s">
        <v>2741</v>
      </c>
      <c r="G564" s="97" t="s">
        <v>3357</v>
      </c>
      <c r="H564" s="97" t="s">
        <v>4026</v>
      </c>
      <c r="I564" s="97" t="s">
        <v>4039</v>
      </c>
      <c r="J564" s="97" t="s">
        <v>4064</v>
      </c>
      <c r="K564" s="17" t="str">
        <f>IFERROR(INDEX(競技会設定!$J$3:$O$47,MATCH(J564,競技会設定!$M$3:$M$47,0),5),"")</f>
        <v>名古屋商科大</v>
      </c>
      <c r="L564" s="17" t="str">
        <f>IFERROR(INDEX(競技会設定!$J$3:$N$47,MATCH(K564,競技会設定!$N$3:$N$47,0),2),"")</f>
        <v>492179</v>
      </c>
      <c r="M564" s="97" t="s">
        <v>3859</v>
      </c>
      <c r="N564" s="17" t="str">
        <f t="shared" si="25"/>
        <v>BAN, Takeru</v>
      </c>
      <c r="O564" s="17" t="str">
        <f t="shared" si="26"/>
        <v>00</v>
      </c>
    </row>
    <row r="565" spans="1:15">
      <c r="A565" s="17" t="str">
        <f t="shared" si="24"/>
        <v>501000564</v>
      </c>
      <c r="B565" s="97">
        <v>564</v>
      </c>
      <c r="C565" s="97" t="s">
        <v>1328</v>
      </c>
      <c r="D565" s="97" t="s">
        <v>1329</v>
      </c>
      <c r="E565" s="312" t="s">
        <v>2772</v>
      </c>
      <c r="F565" s="312" t="s">
        <v>2093</v>
      </c>
      <c r="G565" s="97" t="s">
        <v>3293</v>
      </c>
      <c r="H565" s="97" t="s">
        <v>4024</v>
      </c>
      <c r="I565" s="97" t="s">
        <v>4039</v>
      </c>
      <c r="J565" s="97" t="s">
        <v>4065</v>
      </c>
      <c r="K565" s="17" t="str">
        <f>IFERROR(INDEX(競技会設定!$J$3:$O$47,MATCH(J565,競技会設定!$M$3:$M$47,0),5),"")</f>
        <v>名古屋大</v>
      </c>
      <c r="L565" s="17" t="str">
        <f>IFERROR(INDEX(競技会設定!$J$3:$N$47,MATCH(K565,競技会設定!$N$3:$N$47,0),2),"")</f>
        <v>490043</v>
      </c>
      <c r="M565" s="97" t="s">
        <v>3859</v>
      </c>
      <c r="N565" s="17" t="str">
        <f t="shared" si="25"/>
        <v>GOTO, Naoya</v>
      </c>
      <c r="O565" s="17" t="str">
        <f t="shared" si="26"/>
        <v>99</v>
      </c>
    </row>
    <row r="566" spans="1:15">
      <c r="A566" s="17" t="str">
        <f t="shared" si="24"/>
        <v>501000565</v>
      </c>
      <c r="B566" s="97">
        <v>565</v>
      </c>
      <c r="C566" s="97" t="s">
        <v>1330</v>
      </c>
      <c r="D566" s="97" t="s">
        <v>1331</v>
      </c>
      <c r="E566" s="312" t="s">
        <v>2773</v>
      </c>
      <c r="F566" s="312" t="s">
        <v>2253</v>
      </c>
      <c r="G566" s="97" t="s">
        <v>3521</v>
      </c>
      <c r="H566" s="97" t="s">
        <v>4026</v>
      </c>
      <c r="I566" s="97" t="s">
        <v>4039</v>
      </c>
      <c r="J566" s="97" t="s">
        <v>4065</v>
      </c>
      <c r="K566" s="17" t="str">
        <f>IFERROR(INDEX(競技会設定!$J$3:$O$47,MATCH(J566,競技会設定!$M$3:$M$47,0),5),"")</f>
        <v>名古屋大</v>
      </c>
      <c r="L566" s="17" t="str">
        <f>IFERROR(INDEX(競技会設定!$J$3:$N$47,MATCH(K566,競技会設定!$N$3:$N$47,0),2),"")</f>
        <v>490043</v>
      </c>
      <c r="M566" s="97" t="s">
        <v>3861</v>
      </c>
      <c r="N566" s="17" t="str">
        <f t="shared" si="25"/>
        <v>MORI, Kentaro</v>
      </c>
      <c r="O566" s="17" t="str">
        <f t="shared" si="26"/>
        <v>00</v>
      </c>
    </row>
    <row r="567" spans="1:15">
      <c r="A567" s="17" t="str">
        <f t="shared" si="24"/>
        <v>501000566</v>
      </c>
      <c r="B567" s="97">
        <v>566</v>
      </c>
      <c r="C567" s="97" t="s">
        <v>1332</v>
      </c>
      <c r="D567" s="97" t="s">
        <v>1333</v>
      </c>
      <c r="E567" s="312" t="s">
        <v>2774</v>
      </c>
      <c r="F567" s="312" t="s">
        <v>2563</v>
      </c>
      <c r="G567" s="97" t="s">
        <v>3522</v>
      </c>
      <c r="H567" s="97" t="s">
        <v>4031</v>
      </c>
      <c r="I567" s="97" t="s">
        <v>4039</v>
      </c>
      <c r="J567" s="97" t="s">
        <v>4065</v>
      </c>
      <c r="K567" s="17" t="str">
        <f>IFERROR(INDEX(競技会設定!$J$3:$O$47,MATCH(J567,競技会設定!$M$3:$M$47,0),5),"")</f>
        <v>名古屋大</v>
      </c>
      <c r="L567" s="17" t="str">
        <f>IFERROR(INDEX(競技会設定!$J$3:$N$47,MATCH(K567,競技会設定!$N$3:$N$47,0),2),"")</f>
        <v>490043</v>
      </c>
      <c r="M567" s="97" t="s">
        <v>3859</v>
      </c>
      <c r="N567" s="17" t="str">
        <f t="shared" si="25"/>
        <v>MARUCHI, Masato</v>
      </c>
      <c r="O567" s="17" t="str">
        <f t="shared" si="26"/>
        <v>96</v>
      </c>
    </row>
    <row r="568" spans="1:15">
      <c r="A568" s="17" t="str">
        <f t="shared" si="24"/>
        <v>501000567</v>
      </c>
      <c r="B568" s="97">
        <v>567</v>
      </c>
      <c r="C568" s="97" t="s">
        <v>1334</v>
      </c>
      <c r="D568" s="97" t="s">
        <v>1335</v>
      </c>
      <c r="E568" s="312" t="s">
        <v>2775</v>
      </c>
      <c r="F568" s="312" t="s">
        <v>2418</v>
      </c>
      <c r="G568" s="97" t="s">
        <v>3220</v>
      </c>
      <c r="H568" s="97" t="s">
        <v>4026</v>
      </c>
      <c r="I568" s="97" t="s">
        <v>4039</v>
      </c>
      <c r="J568" s="97" t="s">
        <v>4065</v>
      </c>
      <c r="K568" s="17" t="str">
        <f>IFERROR(INDEX(競技会設定!$J$3:$O$47,MATCH(J568,競技会設定!$M$3:$M$47,0),5),"")</f>
        <v>名古屋大</v>
      </c>
      <c r="L568" s="17" t="str">
        <f>IFERROR(INDEX(競技会設定!$J$3:$N$47,MATCH(K568,競技会設定!$N$3:$N$47,0),2),"")</f>
        <v>490043</v>
      </c>
      <c r="M568" s="97" t="s">
        <v>3867</v>
      </c>
      <c r="N568" s="17" t="str">
        <f t="shared" si="25"/>
        <v>YASUI, Yosuke</v>
      </c>
      <c r="O568" s="17" t="str">
        <f t="shared" si="26"/>
        <v>00</v>
      </c>
    </row>
    <row r="569" spans="1:15">
      <c r="A569" s="17" t="str">
        <f t="shared" si="24"/>
        <v>501000568</v>
      </c>
      <c r="B569" s="97">
        <v>568</v>
      </c>
      <c r="C569" s="97" t="s">
        <v>1336</v>
      </c>
      <c r="D569" s="97" t="s">
        <v>1337</v>
      </c>
      <c r="E569" s="312" t="s">
        <v>2776</v>
      </c>
      <c r="F569" s="312" t="s">
        <v>2430</v>
      </c>
      <c r="G569" s="97" t="s">
        <v>3523</v>
      </c>
      <c r="H569" s="97" t="s">
        <v>4026</v>
      </c>
      <c r="I569" s="97" t="s">
        <v>4039</v>
      </c>
      <c r="J569" s="97" t="s">
        <v>4065</v>
      </c>
      <c r="K569" s="17" t="str">
        <f>IFERROR(INDEX(競技会設定!$J$3:$O$47,MATCH(J569,競技会設定!$M$3:$M$47,0),5),"")</f>
        <v>名古屋大</v>
      </c>
      <c r="L569" s="17" t="str">
        <f>IFERROR(INDEX(競技会設定!$J$3:$N$47,MATCH(K569,競技会設定!$N$3:$N$47,0),2),"")</f>
        <v>490043</v>
      </c>
      <c r="M569" s="97" t="s">
        <v>3859</v>
      </c>
      <c r="N569" s="17" t="str">
        <f t="shared" si="25"/>
        <v>TORII, Seiya</v>
      </c>
      <c r="O569" s="17" t="str">
        <f t="shared" si="26"/>
        <v>00</v>
      </c>
    </row>
    <row r="570" spans="1:15">
      <c r="A570" s="17" t="str">
        <f t="shared" si="24"/>
        <v>501000569</v>
      </c>
      <c r="B570" s="97">
        <v>569</v>
      </c>
      <c r="C570" s="97" t="s">
        <v>1338</v>
      </c>
      <c r="D570" s="97" t="s">
        <v>1339</v>
      </c>
      <c r="E570" s="312" t="s">
        <v>2777</v>
      </c>
      <c r="F570" s="312" t="s">
        <v>2178</v>
      </c>
      <c r="G570" s="97" t="s">
        <v>3213</v>
      </c>
      <c r="H570" s="97" t="s">
        <v>4025</v>
      </c>
      <c r="I570" s="97" t="s">
        <v>4039</v>
      </c>
      <c r="J570" s="97" t="s">
        <v>4065</v>
      </c>
      <c r="K570" s="17" t="str">
        <f>IFERROR(INDEX(競技会設定!$J$3:$O$47,MATCH(J570,競技会設定!$M$3:$M$47,0),5),"")</f>
        <v>名古屋大</v>
      </c>
      <c r="L570" s="17" t="str">
        <f>IFERROR(INDEX(競技会設定!$J$3:$N$47,MATCH(K570,競技会設定!$N$3:$N$47,0),2),"")</f>
        <v>490043</v>
      </c>
      <c r="M570" s="97" t="s">
        <v>3859</v>
      </c>
      <c r="N570" s="17" t="str">
        <f t="shared" si="25"/>
        <v>OE, Takashi</v>
      </c>
      <c r="O570" s="17" t="str">
        <f t="shared" si="26"/>
        <v>98</v>
      </c>
    </row>
    <row r="571" spans="1:15">
      <c r="A571" s="17" t="str">
        <f t="shared" si="24"/>
        <v>501000570</v>
      </c>
      <c r="B571" s="97">
        <v>570</v>
      </c>
      <c r="C571" s="97" t="s">
        <v>1340</v>
      </c>
      <c r="D571" s="97" t="s">
        <v>1341</v>
      </c>
      <c r="E571" s="312" t="s">
        <v>2778</v>
      </c>
      <c r="F571" s="312" t="s">
        <v>2160</v>
      </c>
      <c r="G571" s="97" t="s">
        <v>3524</v>
      </c>
      <c r="H571" s="97" t="s">
        <v>4028</v>
      </c>
      <c r="I571" s="97" t="s">
        <v>4039</v>
      </c>
      <c r="J571" s="97" t="s">
        <v>4065</v>
      </c>
      <c r="K571" s="17" t="str">
        <f>IFERROR(INDEX(競技会設定!$J$3:$O$47,MATCH(J571,競技会設定!$M$3:$M$47,0),5),"")</f>
        <v>名古屋大</v>
      </c>
      <c r="L571" s="17" t="str">
        <f>IFERROR(INDEX(競技会設定!$J$3:$N$47,MATCH(K571,競技会設定!$N$3:$N$47,0),2),"")</f>
        <v>490043</v>
      </c>
      <c r="M571" s="97" t="s">
        <v>3861</v>
      </c>
      <c r="N571" s="17" t="str">
        <f t="shared" si="25"/>
        <v>IIDA, Kohei</v>
      </c>
      <c r="O571" s="17" t="str">
        <f t="shared" si="26"/>
        <v>96</v>
      </c>
    </row>
    <row r="572" spans="1:15">
      <c r="A572" s="17" t="str">
        <f t="shared" si="24"/>
        <v>501000571</v>
      </c>
      <c r="B572" s="97">
        <v>571</v>
      </c>
      <c r="C572" s="97" t="s">
        <v>1342</v>
      </c>
      <c r="D572" s="97" t="s">
        <v>1343</v>
      </c>
      <c r="E572" s="312" t="s">
        <v>2779</v>
      </c>
      <c r="F572" s="312" t="s">
        <v>2780</v>
      </c>
      <c r="G572" s="97" t="s">
        <v>3525</v>
      </c>
      <c r="H572" s="97" t="s">
        <v>4026</v>
      </c>
      <c r="I572" s="97" t="s">
        <v>4039</v>
      </c>
      <c r="J572" s="97" t="s">
        <v>4065</v>
      </c>
      <c r="K572" s="17" t="str">
        <f>IFERROR(INDEX(競技会設定!$J$3:$O$47,MATCH(J572,競技会設定!$M$3:$M$47,0),5),"")</f>
        <v>名古屋大</v>
      </c>
      <c r="L572" s="17" t="str">
        <f>IFERROR(INDEX(競技会設定!$J$3:$N$47,MATCH(K572,競技会設定!$N$3:$N$47,0),2),"")</f>
        <v>490043</v>
      </c>
      <c r="M572" s="97" t="s">
        <v>3867</v>
      </c>
      <c r="N572" s="17" t="str">
        <f t="shared" si="25"/>
        <v>SHIGETA, Naotaka</v>
      </c>
      <c r="O572" s="17" t="str">
        <f t="shared" si="26"/>
        <v>00</v>
      </c>
    </row>
    <row r="573" spans="1:15">
      <c r="A573" s="17" t="str">
        <f t="shared" si="24"/>
        <v>501000572</v>
      </c>
      <c r="B573" s="97">
        <v>572</v>
      </c>
      <c r="C573" s="97" t="s">
        <v>1344</v>
      </c>
      <c r="D573" s="97" t="s">
        <v>1345</v>
      </c>
      <c r="E573" s="312" t="s">
        <v>2781</v>
      </c>
      <c r="F573" s="312" t="s">
        <v>2782</v>
      </c>
      <c r="G573" s="97" t="s">
        <v>3526</v>
      </c>
      <c r="H573" s="97" t="s">
        <v>4024</v>
      </c>
      <c r="I573" s="97" t="s">
        <v>4039</v>
      </c>
      <c r="J573" s="97" t="s">
        <v>4065</v>
      </c>
      <c r="K573" s="17" t="str">
        <f>IFERROR(INDEX(競技会設定!$J$3:$O$47,MATCH(J573,競技会設定!$M$3:$M$47,0),5),"")</f>
        <v>名古屋大</v>
      </c>
      <c r="L573" s="17" t="str">
        <f>IFERROR(INDEX(競技会設定!$J$3:$N$47,MATCH(K573,競技会設定!$N$3:$N$47,0),2),"")</f>
        <v>490043</v>
      </c>
      <c r="M573" s="97" t="s">
        <v>3883</v>
      </c>
      <c r="N573" s="17" t="str">
        <f t="shared" si="25"/>
        <v>MORIKAWA, Haruyuki</v>
      </c>
      <c r="O573" s="17" t="str">
        <f t="shared" si="26"/>
        <v>99</v>
      </c>
    </row>
    <row r="574" spans="1:15">
      <c r="A574" s="17" t="str">
        <f t="shared" si="24"/>
        <v>501000573</v>
      </c>
      <c r="B574" s="97">
        <v>573</v>
      </c>
      <c r="C574" s="97" t="s">
        <v>1346</v>
      </c>
      <c r="D574" s="97" t="s">
        <v>1347</v>
      </c>
      <c r="E574" s="312" t="s">
        <v>2783</v>
      </c>
      <c r="F574" s="312" t="s">
        <v>2784</v>
      </c>
      <c r="G574" s="97" t="s">
        <v>3527</v>
      </c>
      <c r="H574" s="97" t="s">
        <v>4033</v>
      </c>
      <c r="I574" s="97" t="s">
        <v>4039</v>
      </c>
      <c r="J574" s="97" t="s">
        <v>4065</v>
      </c>
      <c r="K574" s="17" t="str">
        <f>IFERROR(INDEX(競技会設定!$J$3:$O$47,MATCH(J574,競技会設定!$M$3:$M$47,0),5),"")</f>
        <v>名古屋大</v>
      </c>
      <c r="L574" s="17" t="str">
        <f>IFERROR(INDEX(競技会設定!$J$3:$N$47,MATCH(K574,競技会設定!$N$3:$N$47,0),2),"")</f>
        <v>490043</v>
      </c>
      <c r="M574" s="97" t="s">
        <v>3859</v>
      </c>
      <c r="N574" s="17" t="str">
        <f t="shared" si="25"/>
        <v>KAMINO, Etsutaro</v>
      </c>
      <c r="O574" s="17" t="str">
        <f t="shared" si="26"/>
        <v>94</v>
      </c>
    </row>
    <row r="575" spans="1:15">
      <c r="A575" s="17" t="str">
        <f t="shared" si="24"/>
        <v>501000574</v>
      </c>
      <c r="B575" s="97">
        <v>574</v>
      </c>
      <c r="C575" s="97" t="s">
        <v>1348</v>
      </c>
      <c r="D575" s="97" t="s">
        <v>1349</v>
      </c>
      <c r="E575" s="312" t="s">
        <v>2349</v>
      </c>
      <c r="F575" s="312" t="s">
        <v>2785</v>
      </c>
      <c r="G575" s="97" t="s">
        <v>3528</v>
      </c>
      <c r="H575" s="97" t="s">
        <v>4025</v>
      </c>
      <c r="I575" s="97" t="s">
        <v>4039</v>
      </c>
      <c r="J575" s="97" t="s">
        <v>4065</v>
      </c>
      <c r="K575" s="17" t="str">
        <f>IFERROR(INDEX(競技会設定!$J$3:$O$47,MATCH(J575,競技会設定!$M$3:$M$47,0),5),"")</f>
        <v>名古屋大</v>
      </c>
      <c r="L575" s="17" t="str">
        <f>IFERROR(INDEX(競技会設定!$J$3:$N$47,MATCH(K575,競技会設定!$N$3:$N$47,0),2),"")</f>
        <v>490043</v>
      </c>
      <c r="M575" s="97" t="s">
        <v>3849</v>
      </c>
      <c r="N575" s="17" t="str">
        <f t="shared" si="25"/>
        <v>KOBAYASHI, Atsuki</v>
      </c>
      <c r="O575" s="17" t="str">
        <f t="shared" si="26"/>
        <v>98</v>
      </c>
    </row>
    <row r="576" spans="1:15">
      <c r="A576" s="17" t="str">
        <f t="shared" si="24"/>
        <v>501000575</v>
      </c>
      <c r="B576" s="97">
        <v>575</v>
      </c>
      <c r="C576" s="97" t="s">
        <v>1350</v>
      </c>
      <c r="D576" s="97" t="s">
        <v>1351</v>
      </c>
      <c r="E576" s="312" t="s">
        <v>2786</v>
      </c>
      <c r="F576" s="312" t="s">
        <v>2624</v>
      </c>
      <c r="G576" s="97" t="s">
        <v>3260</v>
      </c>
      <c r="H576" s="97" t="s">
        <v>4026</v>
      </c>
      <c r="I576" s="97" t="s">
        <v>4039</v>
      </c>
      <c r="J576" s="97" t="s">
        <v>4065</v>
      </c>
      <c r="K576" s="17" t="str">
        <f>IFERROR(INDEX(競技会設定!$J$3:$O$47,MATCH(J576,競技会設定!$M$3:$M$47,0),5),"")</f>
        <v>名古屋大</v>
      </c>
      <c r="L576" s="17" t="str">
        <f>IFERROR(INDEX(競技会設定!$J$3:$N$47,MATCH(K576,競技会設定!$N$3:$N$47,0),2),"")</f>
        <v>490043</v>
      </c>
      <c r="M576" s="97" t="s">
        <v>3861</v>
      </c>
      <c r="N576" s="17" t="str">
        <f t="shared" si="25"/>
        <v>SOMA, Shusuke</v>
      </c>
      <c r="O576" s="17" t="str">
        <f t="shared" si="26"/>
        <v>00</v>
      </c>
    </row>
    <row r="577" spans="1:15">
      <c r="A577" s="17" t="str">
        <f t="shared" si="24"/>
        <v>501000576</v>
      </c>
      <c r="B577" s="97">
        <v>576</v>
      </c>
      <c r="C577" s="97" t="s">
        <v>1352</v>
      </c>
      <c r="D577" s="97" t="s">
        <v>1353</v>
      </c>
      <c r="E577" s="312" t="s">
        <v>2512</v>
      </c>
      <c r="F577" s="312" t="s">
        <v>2696</v>
      </c>
      <c r="G577" s="97" t="s">
        <v>3529</v>
      </c>
      <c r="H577" s="97" t="s">
        <v>4024</v>
      </c>
      <c r="I577" s="97" t="s">
        <v>4039</v>
      </c>
      <c r="J577" s="97" t="s">
        <v>4065</v>
      </c>
      <c r="K577" s="17" t="str">
        <f>IFERROR(INDEX(競技会設定!$J$3:$O$47,MATCH(J577,競技会設定!$M$3:$M$47,0),5),"")</f>
        <v>名古屋大</v>
      </c>
      <c r="L577" s="17" t="str">
        <f>IFERROR(INDEX(競技会設定!$J$3:$N$47,MATCH(K577,競技会設定!$N$3:$N$47,0),2),"")</f>
        <v>490043</v>
      </c>
      <c r="M577" s="97" t="s">
        <v>3828</v>
      </c>
      <c r="N577" s="17" t="str">
        <f t="shared" si="25"/>
        <v>HYODO, Ken</v>
      </c>
      <c r="O577" s="17" t="str">
        <f t="shared" si="26"/>
        <v>98</v>
      </c>
    </row>
    <row r="578" spans="1:15">
      <c r="A578" s="17" t="str">
        <f t="shared" si="24"/>
        <v>501000577</v>
      </c>
      <c r="B578" s="97">
        <v>577</v>
      </c>
      <c r="C578" s="97" t="s">
        <v>1354</v>
      </c>
      <c r="D578" s="97" t="s">
        <v>1355</v>
      </c>
      <c r="E578" s="312" t="s">
        <v>2787</v>
      </c>
      <c r="F578" s="312" t="s">
        <v>2489</v>
      </c>
      <c r="G578" s="97" t="s">
        <v>3142</v>
      </c>
      <c r="H578" s="97" t="s">
        <v>4026</v>
      </c>
      <c r="I578" s="97" t="s">
        <v>4039</v>
      </c>
      <c r="J578" s="97" t="s">
        <v>4065</v>
      </c>
      <c r="K578" s="17" t="str">
        <f>IFERROR(INDEX(競技会設定!$J$3:$O$47,MATCH(J578,競技会設定!$M$3:$M$47,0),5),"")</f>
        <v>名古屋大</v>
      </c>
      <c r="L578" s="17" t="str">
        <f>IFERROR(INDEX(競技会設定!$J$3:$N$47,MATCH(K578,競技会設定!$N$3:$N$47,0),2),"")</f>
        <v>490043</v>
      </c>
      <c r="M578" s="97" t="s">
        <v>3870</v>
      </c>
      <c r="N578" s="17" t="str">
        <f t="shared" si="25"/>
        <v>MEGA, Shu</v>
      </c>
      <c r="O578" s="17" t="str">
        <f t="shared" si="26"/>
        <v>01</v>
      </c>
    </row>
    <row r="579" spans="1:15">
      <c r="A579" s="17" t="str">
        <f t="shared" ref="A579:A642" si="27">IF(B579="","","501"&amp;TEXT(B579,"000000"))</f>
        <v>501000578</v>
      </c>
      <c r="B579" s="97">
        <v>578</v>
      </c>
      <c r="C579" s="97" t="s">
        <v>1356</v>
      </c>
      <c r="D579" s="97" t="s">
        <v>1357</v>
      </c>
      <c r="E579" s="312" t="s">
        <v>2788</v>
      </c>
      <c r="F579" s="312" t="s">
        <v>2087</v>
      </c>
      <c r="G579" s="97" t="s">
        <v>3530</v>
      </c>
      <c r="H579" s="97" t="s">
        <v>4024</v>
      </c>
      <c r="I579" s="97" t="s">
        <v>4039</v>
      </c>
      <c r="J579" s="97" t="s">
        <v>4065</v>
      </c>
      <c r="K579" s="17" t="str">
        <f>IFERROR(INDEX(競技会設定!$J$3:$O$47,MATCH(J579,競技会設定!$M$3:$M$47,0),5),"")</f>
        <v>名古屋大</v>
      </c>
      <c r="L579" s="17" t="str">
        <f>IFERROR(INDEX(競技会設定!$J$3:$N$47,MATCH(K579,競技会設定!$N$3:$N$47,0),2),"")</f>
        <v>490043</v>
      </c>
      <c r="M579" s="97" t="s">
        <v>3853</v>
      </c>
      <c r="N579" s="17" t="str">
        <f t="shared" ref="N579:N642" si="28">IF(E579="","",E579&amp;", "&amp;F579)</f>
        <v>MIYAHARA, Shota</v>
      </c>
      <c r="O579" s="17" t="str">
        <f t="shared" ref="O579:O642" si="29">IFERROR(TEXT(INT(LEFT(G579,2)),"00"),"")</f>
        <v>00</v>
      </c>
    </row>
    <row r="580" spans="1:15">
      <c r="A580" s="17" t="str">
        <f t="shared" si="27"/>
        <v>501000579</v>
      </c>
      <c r="B580" s="97">
        <v>579</v>
      </c>
      <c r="C580" s="97" t="s">
        <v>1358</v>
      </c>
      <c r="D580" s="97" t="s">
        <v>1359</v>
      </c>
      <c r="E580" s="312" t="s">
        <v>2789</v>
      </c>
      <c r="F580" s="312" t="s">
        <v>2739</v>
      </c>
      <c r="G580" s="97" t="s">
        <v>3531</v>
      </c>
      <c r="H580" s="97" t="s">
        <v>4024</v>
      </c>
      <c r="I580" s="97" t="s">
        <v>4039</v>
      </c>
      <c r="J580" s="97" t="s">
        <v>4065</v>
      </c>
      <c r="K580" s="17" t="str">
        <f>IFERROR(INDEX(競技会設定!$J$3:$O$47,MATCH(J580,競技会設定!$M$3:$M$47,0),5),"")</f>
        <v>名古屋大</v>
      </c>
      <c r="L580" s="17" t="str">
        <f>IFERROR(INDEX(競技会設定!$J$3:$N$47,MATCH(K580,競技会設定!$N$3:$N$47,0),2),"")</f>
        <v>490043</v>
      </c>
      <c r="M580" s="97" t="s">
        <v>3855</v>
      </c>
      <c r="N580" s="17" t="str">
        <f t="shared" si="28"/>
        <v>SUWA, Genki</v>
      </c>
      <c r="O580" s="17" t="str">
        <f t="shared" si="29"/>
        <v>99</v>
      </c>
    </row>
    <row r="581" spans="1:15">
      <c r="A581" s="17" t="str">
        <f t="shared" si="27"/>
        <v>501000580</v>
      </c>
      <c r="B581" s="97">
        <v>580</v>
      </c>
      <c r="C581" s="97" t="s">
        <v>1360</v>
      </c>
      <c r="D581" s="97" t="s">
        <v>1361</v>
      </c>
      <c r="E581" s="312" t="s">
        <v>2790</v>
      </c>
      <c r="F581" s="312" t="s">
        <v>2791</v>
      </c>
      <c r="G581" s="97" t="s">
        <v>3532</v>
      </c>
      <c r="H581" s="97" t="s">
        <v>4024</v>
      </c>
      <c r="I581" s="97" t="s">
        <v>4039</v>
      </c>
      <c r="J581" s="97" t="s">
        <v>4065</v>
      </c>
      <c r="K581" s="17" t="str">
        <f>IFERROR(INDEX(競技会設定!$J$3:$O$47,MATCH(J581,競技会設定!$M$3:$M$47,0),5),"")</f>
        <v>名古屋大</v>
      </c>
      <c r="L581" s="17" t="str">
        <f>IFERROR(INDEX(競技会設定!$J$3:$N$47,MATCH(K581,競技会設定!$N$3:$N$47,0),2),"")</f>
        <v>490043</v>
      </c>
      <c r="M581" s="97" t="s">
        <v>3859</v>
      </c>
      <c r="N581" s="17" t="str">
        <f t="shared" si="28"/>
        <v>FUKATSU, Yoshihito</v>
      </c>
      <c r="O581" s="17" t="str">
        <f t="shared" si="29"/>
        <v>99</v>
      </c>
    </row>
    <row r="582" spans="1:15">
      <c r="A582" s="17" t="str">
        <f t="shared" si="27"/>
        <v>501000581</v>
      </c>
      <c r="B582" s="97">
        <v>581</v>
      </c>
      <c r="C582" s="97" t="s">
        <v>1362</v>
      </c>
      <c r="D582" s="97" t="s">
        <v>1363</v>
      </c>
      <c r="E582" s="312" t="s">
        <v>2792</v>
      </c>
      <c r="F582" s="312" t="s">
        <v>2793</v>
      </c>
      <c r="G582" s="97" t="s">
        <v>3533</v>
      </c>
      <c r="H582" s="97" t="s">
        <v>4024</v>
      </c>
      <c r="I582" s="97" t="s">
        <v>4039</v>
      </c>
      <c r="J582" s="97" t="s">
        <v>4065</v>
      </c>
      <c r="K582" s="17" t="str">
        <f>IFERROR(INDEX(競技会設定!$J$3:$O$47,MATCH(J582,競技会設定!$M$3:$M$47,0),5),"")</f>
        <v>名古屋大</v>
      </c>
      <c r="L582" s="17" t="str">
        <f>IFERROR(INDEX(競技会設定!$J$3:$N$47,MATCH(K582,競技会設定!$N$3:$N$47,0),2),"")</f>
        <v>490043</v>
      </c>
      <c r="M582" s="97" t="s">
        <v>3861</v>
      </c>
      <c r="N582" s="17" t="str">
        <f t="shared" si="28"/>
        <v>HARAYA, Seiryu</v>
      </c>
      <c r="O582" s="17" t="str">
        <f t="shared" si="29"/>
        <v>00</v>
      </c>
    </row>
    <row r="583" spans="1:15">
      <c r="A583" s="17" t="str">
        <f t="shared" si="27"/>
        <v>501000582</v>
      </c>
      <c r="B583" s="97">
        <v>582</v>
      </c>
      <c r="C583" s="97" t="s">
        <v>1364</v>
      </c>
      <c r="D583" s="97" t="s">
        <v>1365</v>
      </c>
      <c r="E583" s="312" t="s">
        <v>2794</v>
      </c>
      <c r="F583" s="312" t="s">
        <v>2215</v>
      </c>
      <c r="G583" s="97" t="s">
        <v>3534</v>
      </c>
      <c r="H583" s="97" t="s">
        <v>4027</v>
      </c>
      <c r="I583" s="97" t="s">
        <v>4039</v>
      </c>
      <c r="J583" s="97" t="s">
        <v>4065</v>
      </c>
      <c r="K583" s="17" t="str">
        <f>IFERROR(INDEX(競技会設定!$J$3:$O$47,MATCH(J583,競技会設定!$M$3:$M$47,0),5),"")</f>
        <v>名古屋大</v>
      </c>
      <c r="L583" s="17" t="str">
        <f>IFERROR(INDEX(競技会設定!$J$3:$N$47,MATCH(K583,競技会設定!$N$3:$N$47,0),2),"")</f>
        <v>490043</v>
      </c>
      <c r="M583" s="97" t="s">
        <v>3859</v>
      </c>
      <c r="N583" s="17" t="str">
        <f t="shared" si="28"/>
        <v>KUNISHI, Hiroto</v>
      </c>
      <c r="O583" s="17" t="str">
        <f t="shared" si="29"/>
        <v>93</v>
      </c>
    </row>
    <row r="584" spans="1:15">
      <c r="A584" s="17" t="str">
        <f t="shared" si="27"/>
        <v>501000583</v>
      </c>
      <c r="B584" s="97">
        <v>583</v>
      </c>
      <c r="C584" s="97" t="s">
        <v>1366</v>
      </c>
      <c r="D584" s="97" t="s">
        <v>1367</v>
      </c>
      <c r="E584" s="312" t="s">
        <v>2449</v>
      </c>
      <c r="F584" s="312" t="s">
        <v>2153</v>
      </c>
      <c r="G584" s="97" t="s">
        <v>3535</v>
      </c>
      <c r="H584" s="97" t="s">
        <v>4026</v>
      </c>
      <c r="I584" s="97" t="s">
        <v>4039</v>
      </c>
      <c r="J584" s="97" t="s">
        <v>4065</v>
      </c>
      <c r="K584" s="17" t="str">
        <f>IFERROR(INDEX(競技会設定!$J$3:$O$47,MATCH(J584,競技会設定!$M$3:$M$47,0),5),"")</f>
        <v>名古屋大</v>
      </c>
      <c r="L584" s="17" t="str">
        <f>IFERROR(INDEX(競技会設定!$J$3:$N$47,MATCH(K584,競技会設定!$N$3:$N$47,0),2),"")</f>
        <v>490043</v>
      </c>
      <c r="M584" s="97" t="s">
        <v>3855</v>
      </c>
      <c r="N584" s="17" t="str">
        <f t="shared" si="28"/>
        <v>NAKASHIMA, Kota</v>
      </c>
      <c r="O584" s="17" t="str">
        <f t="shared" si="29"/>
        <v>00</v>
      </c>
    </row>
    <row r="585" spans="1:15">
      <c r="A585" s="17" t="str">
        <f t="shared" si="27"/>
        <v>501000584</v>
      </c>
      <c r="B585" s="97">
        <v>584</v>
      </c>
      <c r="C585" s="97" t="s">
        <v>1368</v>
      </c>
      <c r="D585" s="97" t="s">
        <v>1369</v>
      </c>
      <c r="E585" s="312" t="s">
        <v>2795</v>
      </c>
      <c r="F585" s="312" t="s">
        <v>2081</v>
      </c>
      <c r="G585" s="97" t="s">
        <v>3536</v>
      </c>
      <c r="H585" s="97" t="s">
        <v>4024</v>
      </c>
      <c r="I585" s="97" t="s">
        <v>4039</v>
      </c>
      <c r="J585" s="97" t="s">
        <v>4065</v>
      </c>
      <c r="K585" s="17" t="str">
        <f>IFERROR(INDEX(競技会設定!$J$3:$O$47,MATCH(J585,競技会設定!$M$3:$M$47,0),5),"")</f>
        <v>名古屋大</v>
      </c>
      <c r="L585" s="17" t="str">
        <f>IFERROR(INDEX(競技会設定!$J$3:$N$47,MATCH(K585,競技会設定!$N$3:$N$47,0),2),"")</f>
        <v>490043</v>
      </c>
      <c r="M585" s="97" t="s">
        <v>3859</v>
      </c>
      <c r="N585" s="17" t="str">
        <f t="shared" si="28"/>
        <v>UGA, Tomoki</v>
      </c>
      <c r="O585" s="17" t="str">
        <f t="shared" si="29"/>
        <v>99</v>
      </c>
    </row>
    <row r="586" spans="1:15">
      <c r="A586" s="17" t="str">
        <f t="shared" si="27"/>
        <v>501000585</v>
      </c>
      <c r="B586" s="97">
        <v>585</v>
      </c>
      <c r="C586" s="97" t="s">
        <v>1370</v>
      </c>
      <c r="D586" s="97" t="s">
        <v>1371</v>
      </c>
      <c r="E586" s="312" t="s">
        <v>2492</v>
      </c>
      <c r="F586" s="312" t="s">
        <v>2796</v>
      </c>
      <c r="G586" s="97" t="s">
        <v>3537</v>
      </c>
      <c r="H586" s="97" t="s">
        <v>4026</v>
      </c>
      <c r="I586" s="97" t="s">
        <v>4039</v>
      </c>
      <c r="J586" s="97" t="s">
        <v>4065</v>
      </c>
      <c r="K586" s="17" t="str">
        <f>IFERROR(INDEX(競技会設定!$J$3:$O$47,MATCH(J586,競技会設定!$M$3:$M$47,0),5),"")</f>
        <v>名古屋大</v>
      </c>
      <c r="L586" s="17" t="str">
        <f>IFERROR(INDEX(競技会設定!$J$3:$N$47,MATCH(K586,競技会設定!$N$3:$N$47,0),2),"")</f>
        <v>490043</v>
      </c>
      <c r="M586" s="97" t="s">
        <v>3859</v>
      </c>
      <c r="N586" s="17" t="str">
        <f t="shared" si="28"/>
        <v>OHASHI, Motoki</v>
      </c>
      <c r="O586" s="17" t="str">
        <f t="shared" si="29"/>
        <v>00</v>
      </c>
    </row>
    <row r="587" spans="1:15">
      <c r="A587" s="17" t="str">
        <f t="shared" si="27"/>
        <v>501000586</v>
      </c>
      <c r="B587" s="97">
        <v>586</v>
      </c>
      <c r="C587" s="97" t="s">
        <v>1372</v>
      </c>
      <c r="D587" s="97" t="s">
        <v>1373</v>
      </c>
      <c r="E587" s="312" t="s">
        <v>2797</v>
      </c>
      <c r="F587" s="312" t="s">
        <v>2798</v>
      </c>
      <c r="G587" s="97" t="s">
        <v>3538</v>
      </c>
      <c r="H587" s="97" t="s">
        <v>4025</v>
      </c>
      <c r="I587" s="97" t="s">
        <v>4039</v>
      </c>
      <c r="J587" s="97" t="s">
        <v>4065</v>
      </c>
      <c r="K587" s="17" t="str">
        <f>IFERROR(INDEX(競技会設定!$J$3:$O$47,MATCH(J587,競技会設定!$M$3:$M$47,0),5),"")</f>
        <v>名古屋大</v>
      </c>
      <c r="L587" s="17" t="str">
        <f>IFERROR(INDEX(競技会設定!$J$3:$N$47,MATCH(K587,競技会設定!$N$3:$N$47,0),2),"")</f>
        <v>490043</v>
      </c>
      <c r="M587" s="97" t="s">
        <v>3883</v>
      </c>
      <c r="N587" s="17" t="str">
        <f t="shared" si="28"/>
        <v>KATTA, Tetsufumi</v>
      </c>
      <c r="O587" s="17" t="str">
        <f t="shared" si="29"/>
        <v>99</v>
      </c>
    </row>
    <row r="588" spans="1:15">
      <c r="A588" s="17" t="str">
        <f t="shared" si="27"/>
        <v>501000587</v>
      </c>
      <c r="B588" s="97">
        <v>587</v>
      </c>
      <c r="C588" s="97" t="s">
        <v>1374</v>
      </c>
      <c r="D588" s="97" t="s">
        <v>1375</v>
      </c>
      <c r="E588" s="312" t="s">
        <v>2176</v>
      </c>
      <c r="F588" s="312" t="s">
        <v>2799</v>
      </c>
      <c r="G588" s="97" t="s">
        <v>3539</v>
      </c>
      <c r="H588" s="97" t="s">
        <v>4026</v>
      </c>
      <c r="I588" s="97" t="s">
        <v>4039</v>
      </c>
      <c r="J588" s="97" t="s">
        <v>4065</v>
      </c>
      <c r="K588" s="17" t="str">
        <f>IFERROR(INDEX(競技会設定!$J$3:$O$47,MATCH(J588,競技会設定!$M$3:$M$47,0),5),"")</f>
        <v>名古屋大</v>
      </c>
      <c r="L588" s="17" t="str">
        <f>IFERROR(INDEX(競技会設定!$J$3:$N$47,MATCH(K588,競技会設定!$N$3:$N$47,0),2),"")</f>
        <v>490043</v>
      </c>
      <c r="M588" s="97" t="s">
        <v>3833</v>
      </c>
      <c r="N588" s="17" t="str">
        <f t="shared" si="28"/>
        <v>NAKAMURA, Tatsuhiko</v>
      </c>
      <c r="O588" s="17" t="str">
        <f t="shared" si="29"/>
        <v>00</v>
      </c>
    </row>
    <row r="589" spans="1:15">
      <c r="A589" s="17" t="str">
        <f t="shared" si="27"/>
        <v>501000588</v>
      </c>
      <c r="B589" s="97">
        <v>588</v>
      </c>
      <c r="C589" s="97" t="s">
        <v>1376</v>
      </c>
      <c r="D589" s="97" t="s">
        <v>1377</v>
      </c>
      <c r="E589" s="312" t="s">
        <v>2082</v>
      </c>
      <c r="F589" s="312" t="s">
        <v>2182</v>
      </c>
      <c r="G589" s="97" t="s">
        <v>3540</v>
      </c>
      <c r="H589" s="97" t="s">
        <v>4028</v>
      </c>
      <c r="I589" s="97" t="s">
        <v>4039</v>
      </c>
      <c r="J589" s="97" t="s">
        <v>4065</v>
      </c>
      <c r="K589" s="17" t="str">
        <f>IFERROR(INDEX(競技会設定!$J$3:$O$47,MATCH(J589,競技会設定!$M$3:$M$47,0),5),"")</f>
        <v>名古屋大</v>
      </c>
      <c r="L589" s="17" t="str">
        <f>IFERROR(INDEX(競技会設定!$J$3:$N$47,MATCH(K589,競技会設定!$N$3:$N$47,0),2),"")</f>
        <v>490043</v>
      </c>
      <c r="M589" s="97" t="s">
        <v>3859</v>
      </c>
      <c r="N589" s="17" t="str">
        <f t="shared" si="28"/>
        <v>ITO, Yuya</v>
      </c>
      <c r="O589" s="17" t="str">
        <f t="shared" si="29"/>
        <v>96</v>
      </c>
    </row>
    <row r="590" spans="1:15">
      <c r="A590" s="17" t="str">
        <f t="shared" si="27"/>
        <v>501000589</v>
      </c>
      <c r="B590" s="97">
        <v>589</v>
      </c>
      <c r="C590" s="97" t="s">
        <v>1378</v>
      </c>
      <c r="D590" s="97" t="s">
        <v>1379</v>
      </c>
      <c r="E590" s="312" t="s">
        <v>2130</v>
      </c>
      <c r="F590" s="312" t="s">
        <v>2118</v>
      </c>
      <c r="G590" s="97" t="s">
        <v>3496</v>
      </c>
      <c r="H590" s="97" t="s">
        <v>4025</v>
      </c>
      <c r="I590" s="97" t="s">
        <v>4039</v>
      </c>
      <c r="J590" s="97" t="s">
        <v>4065</v>
      </c>
      <c r="K590" s="17" t="str">
        <f>IFERROR(INDEX(競技会設定!$J$3:$O$47,MATCH(J590,競技会設定!$M$3:$M$47,0),5),"")</f>
        <v>名古屋大</v>
      </c>
      <c r="L590" s="17" t="str">
        <f>IFERROR(INDEX(競技会設定!$J$3:$N$47,MATCH(K590,競技会設定!$N$3:$N$47,0),2),"")</f>
        <v>490043</v>
      </c>
      <c r="M590" s="97" t="s">
        <v>3861</v>
      </c>
      <c r="N590" s="17" t="str">
        <f t="shared" si="28"/>
        <v>HASEGAWA, Kazuki</v>
      </c>
      <c r="O590" s="17" t="str">
        <f t="shared" si="29"/>
        <v>98</v>
      </c>
    </row>
    <row r="591" spans="1:15">
      <c r="A591" s="17" t="str">
        <f t="shared" si="27"/>
        <v>501000590</v>
      </c>
      <c r="B591" s="97">
        <v>590</v>
      </c>
      <c r="C591" s="97" t="s">
        <v>1380</v>
      </c>
      <c r="D591" s="97" t="s">
        <v>1381</v>
      </c>
      <c r="E591" s="312" t="s">
        <v>2328</v>
      </c>
      <c r="F591" s="312" t="s">
        <v>2172</v>
      </c>
      <c r="G591" s="97" t="s">
        <v>3541</v>
      </c>
      <c r="H591" s="97" t="s">
        <v>4026</v>
      </c>
      <c r="I591" s="97" t="s">
        <v>4039</v>
      </c>
      <c r="J591" s="97" t="s">
        <v>4065</v>
      </c>
      <c r="K591" s="17" t="str">
        <f>IFERROR(INDEX(競技会設定!$J$3:$O$47,MATCH(J591,競技会設定!$M$3:$M$47,0),5),"")</f>
        <v>名古屋大</v>
      </c>
      <c r="L591" s="17" t="str">
        <f>IFERROR(INDEX(競技会設定!$J$3:$N$47,MATCH(K591,競技会設定!$N$3:$N$47,0),2),"")</f>
        <v>490043</v>
      </c>
      <c r="M591" s="97" t="s">
        <v>3859</v>
      </c>
      <c r="N591" s="17" t="str">
        <f t="shared" si="28"/>
        <v>YAMADA, Masaya</v>
      </c>
      <c r="O591" s="17" t="str">
        <f t="shared" si="29"/>
        <v>99</v>
      </c>
    </row>
    <row r="592" spans="1:15">
      <c r="A592" s="17" t="str">
        <f t="shared" si="27"/>
        <v>501000591</v>
      </c>
      <c r="B592" s="97">
        <v>591</v>
      </c>
      <c r="C592" s="97" t="s">
        <v>1382</v>
      </c>
      <c r="D592" s="97" t="s">
        <v>1383</v>
      </c>
      <c r="E592" s="312" t="s">
        <v>2157</v>
      </c>
      <c r="F592" s="312" t="s">
        <v>2800</v>
      </c>
      <c r="G592" s="97" t="s">
        <v>3221</v>
      </c>
      <c r="H592" s="97" t="s">
        <v>4026</v>
      </c>
      <c r="I592" s="97" t="s">
        <v>4039</v>
      </c>
      <c r="J592" s="97" t="s">
        <v>4065</v>
      </c>
      <c r="K592" s="17" t="str">
        <f>IFERROR(INDEX(競技会設定!$J$3:$O$47,MATCH(J592,競技会設定!$M$3:$M$47,0),5),"")</f>
        <v>名古屋大</v>
      </c>
      <c r="L592" s="17" t="str">
        <f>IFERROR(INDEX(競技会設定!$J$3:$N$47,MATCH(K592,競技会設定!$N$3:$N$47,0),2),"")</f>
        <v>490043</v>
      </c>
      <c r="M592" s="97" t="s">
        <v>3855</v>
      </c>
      <c r="N592" s="17" t="str">
        <f t="shared" si="28"/>
        <v>ENDO, Noa</v>
      </c>
      <c r="O592" s="17" t="str">
        <f t="shared" si="29"/>
        <v>00</v>
      </c>
    </row>
    <row r="593" spans="1:15">
      <c r="A593" s="17" t="str">
        <f t="shared" si="27"/>
        <v>501000592</v>
      </c>
      <c r="B593" s="97">
        <v>592</v>
      </c>
      <c r="C593" s="97" t="s">
        <v>1384</v>
      </c>
      <c r="D593" s="97" t="s">
        <v>1385</v>
      </c>
      <c r="E593" s="312" t="s">
        <v>2801</v>
      </c>
      <c r="F593" s="312" t="s">
        <v>2802</v>
      </c>
      <c r="G593" s="97" t="s">
        <v>3542</v>
      </c>
      <c r="H593" s="97" t="s">
        <v>4026</v>
      </c>
      <c r="I593" s="97" t="s">
        <v>4039</v>
      </c>
      <c r="J593" s="97" t="s">
        <v>4065</v>
      </c>
      <c r="K593" s="17" t="str">
        <f>IFERROR(INDEX(競技会設定!$J$3:$O$47,MATCH(J593,競技会設定!$M$3:$M$47,0),5),"")</f>
        <v>名古屋大</v>
      </c>
      <c r="L593" s="17" t="str">
        <f>IFERROR(INDEX(競技会設定!$J$3:$N$47,MATCH(K593,競技会設定!$N$3:$N$47,0),2),"")</f>
        <v>490043</v>
      </c>
      <c r="M593" s="97" t="s">
        <v>3859</v>
      </c>
      <c r="N593" s="17" t="str">
        <f t="shared" si="28"/>
        <v>MORISHITA, Hiromitsu</v>
      </c>
      <c r="O593" s="17" t="str">
        <f t="shared" si="29"/>
        <v>01</v>
      </c>
    </row>
    <row r="594" spans="1:15">
      <c r="A594" s="17" t="str">
        <f t="shared" si="27"/>
        <v>501000593</v>
      </c>
      <c r="B594" s="97">
        <v>593</v>
      </c>
      <c r="C594" s="97" t="s">
        <v>1386</v>
      </c>
      <c r="D594" s="97" t="s">
        <v>1387</v>
      </c>
      <c r="E594" s="312" t="s">
        <v>2803</v>
      </c>
      <c r="F594" s="312" t="s">
        <v>2441</v>
      </c>
      <c r="G594" s="97" t="s">
        <v>3543</v>
      </c>
      <c r="H594" s="97" t="s">
        <v>4030</v>
      </c>
      <c r="I594" s="97" t="s">
        <v>4039</v>
      </c>
      <c r="J594" s="97" t="s">
        <v>4065</v>
      </c>
      <c r="K594" s="17" t="str">
        <f>IFERROR(INDEX(競技会設定!$J$3:$O$47,MATCH(J594,競技会設定!$M$3:$M$47,0),5),"")</f>
        <v>名古屋大</v>
      </c>
      <c r="L594" s="17" t="str">
        <f>IFERROR(INDEX(競技会設定!$J$3:$N$47,MATCH(K594,競技会設定!$N$3:$N$47,0),2),"")</f>
        <v>490043</v>
      </c>
      <c r="M594" s="97" t="s">
        <v>3859</v>
      </c>
      <c r="N594" s="17" t="str">
        <f t="shared" si="28"/>
        <v>SHINKAI, Ryoji</v>
      </c>
      <c r="O594" s="17" t="str">
        <f t="shared" si="29"/>
        <v>96</v>
      </c>
    </row>
    <row r="595" spans="1:15">
      <c r="A595" s="17" t="str">
        <f t="shared" si="27"/>
        <v>501000594</v>
      </c>
      <c r="B595" s="97">
        <v>594</v>
      </c>
      <c r="C595" s="97" t="s">
        <v>1388</v>
      </c>
      <c r="D595" s="97" t="s">
        <v>1389</v>
      </c>
      <c r="E595" s="312" t="s">
        <v>2804</v>
      </c>
      <c r="F595" s="312" t="s">
        <v>2093</v>
      </c>
      <c r="G595" s="97" t="s">
        <v>3544</v>
      </c>
      <c r="H595" s="97" t="s">
        <v>4025</v>
      </c>
      <c r="I595" s="97" t="s">
        <v>4039</v>
      </c>
      <c r="J595" s="97" t="s">
        <v>4065</v>
      </c>
      <c r="K595" s="17" t="str">
        <f>IFERROR(INDEX(競技会設定!$J$3:$O$47,MATCH(J595,競技会設定!$M$3:$M$47,0),5),"")</f>
        <v>名古屋大</v>
      </c>
      <c r="L595" s="17" t="str">
        <f>IFERROR(INDEX(競技会設定!$J$3:$N$47,MATCH(K595,競技会設定!$N$3:$N$47,0),2),"")</f>
        <v>490043</v>
      </c>
      <c r="M595" s="97" t="s">
        <v>3859</v>
      </c>
      <c r="N595" s="17" t="str">
        <f t="shared" si="28"/>
        <v>SAKAYORI, Naoya</v>
      </c>
      <c r="O595" s="17" t="str">
        <f t="shared" si="29"/>
        <v>97</v>
      </c>
    </row>
    <row r="596" spans="1:15">
      <c r="A596" s="17" t="str">
        <f t="shared" si="27"/>
        <v>501000595</v>
      </c>
      <c r="B596" s="97">
        <v>595</v>
      </c>
      <c r="C596" s="97" t="s">
        <v>1390</v>
      </c>
      <c r="D596" s="97" t="s">
        <v>1391</v>
      </c>
      <c r="E596" s="312" t="s">
        <v>2805</v>
      </c>
      <c r="F596" s="312" t="s">
        <v>2501</v>
      </c>
      <c r="G596" s="97" t="s">
        <v>3545</v>
      </c>
      <c r="H596" s="97" t="s">
        <v>4025</v>
      </c>
      <c r="I596" s="97" t="s">
        <v>4039</v>
      </c>
      <c r="J596" s="97" t="s">
        <v>4065</v>
      </c>
      <c r="K596" s="17" t="str">
        <f>IFERROR(INDEX(競技会設定!$J$3:$O$47,MATCH(J596,競技会設定!$M$3:$M$47,0),5),"")</f>
        <v>名古屋大</v>
      </c>
      <c r="L596" s="17" t="str">
        <f>IFERROR(INDEX(競技会設定!$J$3:$N$47,MATCH(K596,競技会設定!$N$3:$N$47,0),2),"")</f>
        <v>490043</v>
      </c>
      <c r="M596" s="97" t="s">
        <v>3812</v>
      </c>
      <c r="N596" s="17" t="str">
        <f t="shared" si="28"/>
        <v>SEKINO, Yudai</v>
      </c>
      <c r="O596" s="17" t="str">
        <f t="shared" si="29"/>
        <v>98</v>
      </c>
    </row>
    <row r="597" spans="1:15">
      <c r="A597" s="17" t="str">
        <f t="shared" si="27"/>
        <v>501000596</v>
      </c>
      <c r="B597" s="97">
        <v>596</v>
      </c>
      <c r="C597" s="97" t="s">
        <v>1392</v>
      </c>
      <c r="D597" s="97" t="s">
        <v>1393</v>
      </c>
      <c r="E597" s="312" t="s">
        <v>2806</v>
      </c>
      <c r="F597" s="312" t="s">
        <v>2486</v>
      </c>
      <c r="G597" s="97" t="s">
        <v>3188</v>
      </c>
      <c r="H597" s="97" t="s">
        <v>4024</v>
      </c>
      <c r="I597" s="97" t="s">
        <v>4039</v>
      </c>
      <c r="J597" s="97" t="s">
        <v>4065</v>
      </c>
      <c r="K597" s="17" t="str">
        <f>IFERROR(INDEX(競技会設定!$J$3:$O$47,MATCH(J597,競技会設定!$M$3:$M$47,0),5),"")</f>
        <v>名古屋大</v>
      </c>
      <c r="L597" s="17" t="str">
        <f>IFERROR(INDEX(競技会設定!$J$3:$N$47,MATCH(K597,競技会設定!$N$3:$N$47,0),2),"")</f>
        <v>490043</v>
      </c>
      <c r="M597" s="97" t="s">
        <v>3855</v>
      </c>
      <c r="N597" s="17" t="str">
        <f t="shared" si="28"/>
        <v>AMAIKE, Shunsuke</v>
      </c>
      <c r="O597" s="17" t="str">
        <f t="shared" si="29"/>
        <v>99</v>
      </c>
    </row>
    <row r="598" spans="1:15">
      <c r="A598" s="17" t="str">
        <f t="shared" si="27"/>
        <v>501000597</v>
      </c>
      <c r="B598" s="97">
        <v>597</v>
      </c>
      <c r="C598" s="97" t="s">
        <v>1394</v>
      </c>
      <c r="D598" s="97" t="s">
        <v>1395</v>
      </c>
      <c r="E598" s="312" t="s">
        <v>2807</v>
      </c>
      <c r="F598" s="312" t="s">
        <v>2808</v>
      </c>
      <c r="G598" s="97" t="s">
        <v>3546</v>
      </c>
      <c r="H598" s="97" t="s">
        <v>4025</v>
      </c>
      <c r="I598" s="97" t="s">
        <v>4039</v>
      </c>
      <c r="J598" s="97" t="s">
        <v>4065</v>
      </c>
      <c r="K598" s="17" t="str">
        <f>IFERROR(INDEX(競技会設定!$J$3:$O$47,MATCH(J598,競技会設定!$M$3:$M$47,0),5),"")</f>
        <v>名古屋大</v>
      </c>
      <c r="L598" s="17" t="str">
        <f>IFERROR(INDEX(競技会設定!$J$3:$N$47,MATCH(K598,競技会設定!$N$3:$N$47,0),2),"")</f>
        <v>490043</v>
      </c>
      <c r="M598" s="97" t="s">
        <v>3859</v>
      </c>
      <c r="N598" s="17" t="str">
        <f t="shared" si="28"/>
        <v>KAWAKAMI, Chikara</v>
      </c>
      <c r="O598" s="17" t="str">
        <f t="shared" si="29"/>
        <v>97</v>
      </c>
    </row>
    <row r="599" spans="1:15">
      <c r="A599" s="17" t="str">
        <f t="shared" si="27"/>
        <v>501000598</v>
      </c>
      <c r="B599" s="97">
        <v>598</v>
      </c>
      <c r="C599" s="97" t="s">
        <v>1396</v>
      </c>
      <c r="D599" s="97" t="s">
        <v>1397</v>
      </c>
      <c r="E599" s="312" t="s">
        <v>2809</v>
      </c>
      <c r="F599" s="312" t="s">
        <v>2091</v>
      </c>
      <c r="G599" s="97" t="s">
        <v>3150</v>
      </c>
      <c r="H599" s="97" t="s">
        <v>4026</v>
      </c>
      <c r="I599" s="97" t="s">
        <v>4039</v>
      </c>
      <c r="J599" s="97" t="s">
        <v>4065</v>
      </c>
      <c r="K599" s="17" t="str">
        <f>IFERROR(INDEX(競技会設定!$J$3:$O$47,MATCH(J599,競技会設定!$M$3:$M$47,0),5),"")</f>
        <v>名古屋大</v>
      </c>
      <c r="L599" s="17" t="str">
        <f>IFERROR(INDEX(競技会設定!$J$3:$N$47,MATCH(K599,競技会設定!$N$3:$N$47,0),2),"")</f>
        <v>490043</v>
      </c>
      <c r="M599" s="97" t="s">
        <v>3859</v>
      </c>
      <c r="N599" s="17" t="str">
        <f t="shared" si="28"/>
        <v>UMEMOTO, Takahiro</v>
      </c>
      <c r="O599" s="17" t="str">
        <f t="shared" si="29"/>
        <v>00</v>
      </c>
    </row>
    <row r="600" spans="1:15">
      <c r="A600" s="17" t="str">
        <f t="shared" si="27"/>
        <v>501000599</v>
      </c>
      <c r="B600" s="97">
        <v>599</v>
      </c>
      <c r="C600" s="97" t="s">
        <v>1398</v>
      </c>
      <c r="D600" s="97" t="s">
        <v>1399</v>
      </c>
      <c r="E600" s="312" t="s">
        <v>2306</v>
      </c>
      <c r="F600" s="312" t="s">
        <v>2810</v>
      </c>
      <c r="G600" s="97" t="s">
        <v>3489</v>
      </c>
      <c r="H600" s="97" t="s">
        <v>4025</v>
      </c>
      <c r="I600" s="97" t="s">
        <v>4039</v>
      </c>
      <c r="J600" s="97" t="s">
        <v>4065</v>
      </c>
      <c r="K600" s="17" t="str">
        <f>IFERROR(INDEX(競技会設定!$J$3:$O$47,MATCH(J600,競技会設定!$M$3:$M$47,0),5),"")</f>
        <v>名古屋大</v>
      </c>
      <c r="L600" s="17" t="str">
        <f>IFERROR(INDEX(競技会設定!$J$3:$N$47,MATCH(K600,競技会設定!$N$3:$N$47,0),2),"")</f>
        <v>490043</v>
      </c>
      <c r="M600" s="97" t="s">
        <v>3859</v>
      </c>
      <c r="N600" s="17" t="str">
        <f t="shared" si="28"/>
        <v>UCHIDA, Tomohide</v>
      </c>
      <c r="O600" s="17" t="str">
        <f t="shared" si="29"/>
        <v>99</v>
      </c>
    </row>
    <row r="601" spans="1:15">
      <c r="A601" s="17" t="str">
        <f t="shared" si="27"/>
        <v>501000600</v>
      </c>
      <c r="B601" s="97">
        <v>600</v>
      </c>
      <c r="C601" s="97" t="s">
        <v>1400</v>
      </c>
      <c r="D601" s="97" t="s">
        <v>1401</v>
      </c>
      <c r="E601" s="312" t="s">
        <v>2811</v>
      </c>
      <c r="F601" s="312" t="s">
        <v>2286</v>
      </c>
      <c r="G601" s="97" t="s">
        <v>3331</v>
      </c>
      <c r="H601" s="97" t="s">
        <v>4026</v>
      </c>
      <c r="I601" s="97" t="s">
        <v>4039</v>
      </c>
      <c r="J601" s="97" t="s">
        <v>4065</v>
      </c>
      <c r="K601" s="17" t="str">
        <f>IFERROR(INDEX(競技会設定!$J$3:$O$47,MATCH(J601,競技会設定!$M$3:$M$47,0),5),"")</f>
        <v>名古屋大</v>
      </c>
      <c r="L601" s="17" t="str">
        <f>IFERROR(INDEX(競技会設定!$J$3:$N$47,MATCH(K601,競技会設定!$N$3:$N$47,0),2),"")</f>
        <v>490043</v>
      </c>
      <c r="M601" s="97" t="s">
        <v>3857</v>
      </c>
      <c r="N601" s="17" t="str">
        <f t="shared" si="28"/>
        <v>TOMITA, Naoki</v>
      </c>
      <c r="O601" s="17" t="str">
        <f t="shared" si="29"/>
        <v>99</v>
      </c>
    </row>
    <row r="602" spans="1:15">
      <c r="A602" s="17" t="str">
        <f t="shared" si="27"/>
        <v>501000601</v>
      </c>
      <c r="B602" s="97">
        <v>601</v>
      </c>
      <c r="C602" s="97" t="s">
        <v>1402</v>
      </c>
      <c r="D602" s="97" t="s">
        <v>1403</v>
      </c>
      <c r="E602" s="312" t="s">
        <v>2812</v>
      </c>
      <c r="F602" s="312" t="s">
        <v>2108</v>
      </c>
      <c r="G602" s="97" t="s">
        <v>3383</v>
      </c>
      <c r="H602" s="97" t="s">
        <v>4025</v>
      </c>
      <c r="I602" s="97" t="s">
        <v>4039</v>
      </c>
      <c r="J602" s="97" t="s">
        <v>4065</v>
      </c>
      <c r="K602" s="17" t="str">
        <f>IFERROR(INDEX(競技会設定!$J$3:$O$47,MATCH(J602,競技会設定!$M$3:$M$47,0),5),"")</f>
        <v>名古屋大</v>
      </c>
      <c r="L602" s="17" t="str">
        <f>IFERROR(INDEX(競技会設定!$J$3:$N$47,MATCH(K602,競技会設定!$N$3:$N$47,0),2),"")</f>
        <v>490043</v>
      </c>
      <c r="M602" s="97" t="s">
        <v>3859</v>
      </c>
      <c r="N602" s="17" t="str">
        <f t="shared" si="28"/>
        <v>OKIJIMA, Yuki</v>
      </c>
      <c r="O602" s="17" t="str">
        <f t="shared" si="29"/>
        <v>98</v>
      </c>
    </row>
    <row r="603" spans="1:15">
      <c r="A603" s="17" t="str">
        <f t="shared" si="27"/>
        <v>501000602</v>
      </c>
      <c r="B603" s="97">
        <v>602</v>
      </c>
      <c r="C603" s="97" t="s">
        <v>1404</v>
      </c>
      <c r="D603" s="97" t="s">
        <v>1405</v>
      </c>
      <c r="E603" s="312" t="s">
        <v>2813</v>
      </c>
      <c r="F603" s="312" t="s">
        <v>2149</v>
      </c>
      <c r="G603" s="97" t="s">
        <v>3269</v>
      </c>
      <c r="H603" s="97" t="s">
        <v>4025</v>
      </c>
      <c r="I603" s="97" t="s">
        <v>4039</v>
      </c>
      <c r="J603" s="97" t="s">
        <v>4065</v>
      </c>
      <c r="K603" s="17" t="str">
        <f>IFERROR(INDEX(競技会設定!$J$3:$O$47,MATCH(J603,競技会設定!$M$3:$M$47,0),5),"")</f>
        <v>名古屋大</v>
      </c>
      <c r="L603" s="17" t="str">
        <f>IFERROR(INDEX(競技会設定!$J$3:$N$47,MATCH(K603,競技会設定!$N$3:$N$47,0),2),"")</f>
        <v>490043</v>
      </c>
      <c r="M603" s="97" t="s">
        <v>3859</v>
      </c>
      <c r="N603" s="17" t="str">
        <f t="shared" si="28"/>
        <v>TOMIDA, Ryo</v>
      </c>
      <c r="O603" s="17" t="str">
        <f t="shared" si="29"/>
        <v>98</v>
      </c>
    </row>
    <row r="604" spans="1:15">
      <c r="A604" s="17" t="str">
        <f t="shared" si="27"/>
        <v>501000603</v>
      </c>
      <c r="B604" s="97">
        <v>603</v>
      </c>
      <c r="C604" s="97" t="s">
        <v>1406</v>
      </c>
      <c r="D604" s="97" t="s">
        <v>1407</v>
      </c>
      <c r="E604" s="312" t="s">
        <v>2259</v>
      </c>
      <c r="F604" s="312" t="s">
        <v>2599</v>
      </c>
      <c r="G604" s="97" t="s">
        <v>3547</v>
      </c>
      <c r="H604" s="97" t="s">
        <v>4026</v>
      </c>
      <c r="I604" s="97" t="s">
        <v>4039</v>
      </c>
      <c r="J604" s="97" t="s">
        <v>4065</v>
      </c>
      <c r="K604" s="17" t="str">
        <f>IFERROR(INDEX(競技会設定!$J$3:$O$47,MATCH(J604,競技会設定!$M$3:$M$47,0),5),"")</f>
        <v>名古屋大</v>
      </c>
      <c r="L604" s="17" t="str">
        <f>IFERROR(INDEX(競技会設定!$J$3:$N$47,MATCH(K604,競技会設定!$N$3:$N$47,0),2),"")</f>
        <v>490043</v>
      </c>
      <c r="M604" s="97" t="s">
        <v>3875</v>
      </c>
      <c r="N604" s="17" t="str">
        <f t="shared" si="28"/>
        <v>YAMAMOTO, Yusei</v>
      </c>
      <c r="O604" s="17" t="str">
        <f t="shared" si="29"/>
        <v>00</v>
      </c>
    </row>
    <row r="605" spans="1:15">
      <c r="A605" s="17" t="str">
        <f t="shared" si="27"/>
        <v>501000604</v>
      </c>
      <c r="B605" s="97">
        <v>604</v>
      </c>
      <c r="C605" s="97" t="s">
        <v>1408</v>
      </c>
      <c r="D605" s="97" t="s">
        <v>1409</v>
      </c>
      <c r="E605" s="312" t="s">
        <v>2176</v>
      </c>
      <c r="F605" s="312" t="s">
        <v>2156</v>
      </c>
      <c r="G605" s="97" t="s">
        <v>3548</v>
      </c>
      <c r="H605" s="97" t="s">
        <v>4025</v>
      </c>
      <c r="I605" s="97" t="s">
        <v>4039</v>
      </c>
      <c r="J605" s="97" t="s">
        <v>4065</v>
      </c>
      <c r="K605" s="17" t="str">
        <f>IFERROR(INDEX(競技会設定!$J$3:$O$47,MATCH(J605,競技会設定!$M$3:$M$47,0),5),"")</f>
        <v>名古屋大</v>
      </c>
      <c r="L605" s="17" t="str">
        <f>IFERROR(INDEX(競技会設定!$J$3:$N$47,MATCH(K605,競技会設定!$N$3:$N$47,0),2),"")</f>
        <v>490043</v>
      </c>
      <c r="M605" s="97" t="s">
        <v>3859</v>
      </c>
      <c r="N605" s="17" t="str">
        <f t="shared" si="28"/>
        <v>NAKAMURA, Koshi</v>
      </c>
      <c r="O605" s="17" t="str">
        <f t="shared" si="29"/>
        <v>97</v>
      </c>
    </row>
    <row r="606" spans="1:15">
      <c r="A606" s="17" t="str">
        <f t="shared" si="27"/>
        <v>501000605</v>
      </c>
      <c r="B606" s="97">
        <v>605</v>
      </c>
      <c r="C606" s="97" t="s">
        <v>1410</v>
      </c>
      <c r="D606" s="97" t="s">
        <v>1411</v>
      </c>
      <c r="E606" s="312" t="s">
        <v>2814</v>
      </c>
      <c r="F606" s="312" t="s">
        <v>2815</v>
      </c>
      <c r="G606" s="97" t="s">
        <v>3130</v>
      </c>
      <c r="H606" s="97" t="s">
        <v>4026</v>
      </c>
      <c r="I606" s="97" t="s">
        <v>4039</v>
      </c>
      <c r="J606" s="97" t="s">
        <v>4065</v>
      </c>
      <c r="K606" s="17" t="str">
        <f>IFERROR(INDEX(競技会設定!$J$3:$O$47,MATCH(J606,競技会設定!$M$3:$M$47,0),5),"")</f>
        <v>名古屋大</v>
      </c>
      <c r="L606" s="17" t="str">
        <f>IFERROR(INDEX(競技会設定!$J$3:$N$47,MATCH(K606,競技会設定!$N$3:$N$47,0),2),"")</f>
        <v>490043</v>
      </c>
      <c r="M606" s="97" t="s">
        <v>3845</v>
      </c>
      <c r="N606" s="17" t="str">
        <f t="shared" si="28"/>
        <v>KANEDA, Junya</v>
      </c>
      <c r="O606" s="17" t="str">
        <f t="shared" si="29"/>
        <v>99</v>
      </c>
    </row>
    <row r="607" spans="1:15">
      <c r="A607" s="17" t="str">
        <f t="shared" si="27"/>
        <v>501000606</v>
      </c>
      <c r="B607" s="97">
        <v>606</v>
      </c>
      <c r="C607" s="97" t="s">
        <v>1412</v>
      </c>
      <c r="D607" s="97" t="s">
        <v>1413</v>
      </c>
      <c r="E607" s="312" t="s">
        <v>2233</v>
      </c>
      <c r="F607" s="312" t="s">
        <v>2122</v>
      </c>
      <c r="G607" s="97" t="s">
        <v>3191</v>
      </c>
      <c r="H607" s="97" t="s">
        <v>4024</v>
      </c>
      <c r="I607" s="97" t="s">
        <v>4039</v>
      </c>
      <c r="J607" s="97" t="s">
        <v>4065</v>
      </c>
      <c r="K607" s="17" t="str">
        <f>IFERROR(INDEX(競技会設定!$J$3:$O$47,MATCH(J607,競技会設定!$M$3:$M$47,0),5),"")</f>
        <v>名古屋大</v>
      </c>
      <c r="L607" s="17" t="str">
        <f>IFERROR(INDEX(競技会設定!$J$3:$N$47,MATCH(K607,競技会設定!$N$3:$N$47,0),2),"")</f>
        <v>490043</v>
      </c>
      <c r="M607" s="97" t="s">
        <v>3859</v>
      </c>
      <c r="N607" s="17" t="str">
        <f t="shared" si="28"/>
        <v>SUZUKI, Tomohiro</v>
      </c>
      <c r="O607" s="17" t="str">
        <f t="shared" si="29"/>
        <v>99</v>
      </c>
    </row>
    <row r="608" spans="1:15">
      <c r="A608" s="17" t="str">
        <f t="shared" si="27"/>
        <v>501000607</v>
      </c>
      <c r="B608" s="97">
        <v>607</v>
      </c>
      <c r="C608" s="97" t="s">
        <v>1414</v>
      </c>
      <c r="D608" s="97" t="s">
        <v>1415</v>
      </c>
      <c r="E608" s="312" t="s">
        <v>2816</v>
      </c>
      <c r="F608" s="312" t="s">
        <v>2307</v>
      </c>
      <c r="G608" s="97" t="s">
        <v>3364</v>
      </c>
      <c r="H608" s="97" t="s">
        <v>4025</v>
      </c>
      <c r="I608" s="97" t="s">
        <v>4039</v>
      </c>
      <c r="J608" s="97" t="s">
        <v>4065</v>
      </c>
      <c r="K608" s="17" t="str">
        <f>IFERROR(INDEX(競技会設定!$J$3:$O$47,MATCH(J608,競技会設定!$M$3:$M$47,0),5),"")</f>
        <v>名古屋大</v>
      </c>
      <c r="L608" s="17" t="str">
        <f>IFERROR(INDEX(競技会設定!$J$3:$N$47,MATCH(K608,競技会設定!$N$3:$N$47,0),2),"")</f>
        <v>490043</v>
      </c>
      <c r="M608" s="97" t="s">
        <v>3835</v>
      </c>
      <c r="N608" s="17" t="str">
        <f t="shared" si="28"/>
        <v>YAMAHARA, Kotaro</v>
      </c>
      <c r="O608" s="17" t="str">
        <f t="shared" si="29"/>
        <v>98</v>
      </c>
    </row>
    <row r="609" spans="1:15">
      <c r="A609" s="17" t="str">
        <f t="shared" si="27"/>
        <v>501000608</v>
      </c>
      <c r="B609" s="97">
        <v>608</v>
      </c>
      <c r="C609" s="97" t="s">
        <v>1416</v>
      </c>
      <c r="D609" s="97" t="s">
        <v>1417</v>
      </c>
      <c r="E609" s="312" t="s">
        <v>2773</v>
      </c>
      <c r="F609" s="312" t="s">
        <v>2817</v>
      </c>
      <c r="G609" s="97" t="s">
        <v>3549</v>
      </c>
      <c r="H609" s="97" t="s">
        <v>4030</v>
      </c>
      <c r="I609" s="97" t="s">
        <v>4039</v>
      </c>
      <c r="J609" s="97" t="s">
        <v>4065</v>
      </c>
      <c r="K609" s="17" t="str">
        <f>IFERROR(INDEX(競技会設定!$J$3:$O$47,MATCH(J609,競技会設定!$M$3:$M$47,0),5),"")</f>
        <v>名古屋大</v>
      </c>
      <c r="L609" s="17" t="str">
        <f>IFERROR(INDEX(競技会設定!$J$3:$N$47,MATCH(K609,競技会設定!$N$3:$N$47,0),2),"")</f>
        <v>490043</v>
      </c>
      <c r="M609" s="97" t="s">
        <v>3855</v>
      </c>
      <c r="N609" s="17" t="str">
        <f t="shared" si="28"/>
        <v>MORI, Nobuhito</v>
      </c>
      <c r="O609" s="17" t="str">
        <f t="shared" si="29"/>
        <v>97</v>
      </c>
    </row>
    <row r="610" spans="1:15">
      <c r="A610" s="17" t="str">
        <f t="shared" si="27"/>
        <v>501000609</v>
      </c>
      <c r="B610" s="97">
        <v>609</v>
      </c>
      <c r="C610" s="97" t="s">
        <v>1418</v>
      </c>
      <c r="D610" s="97" t="s">
        <v>1419</v>
      </c>
      <c r="E610" s="312" t="s">
        <v>2566</v>
      </c>
      <c r="F610" s="312" t="s">
        <v>2193</v>
      </c>
      <c r="G610" s="97" t="s">
        <v>3216</v>
      </c>
      <c r="H610" s="97" t="s">
        <v>4024</v>
      </c>
      <c r="I610" s="97" t="s">
        <v>4039</v>
      </c>
      <c r="J610" s="97" t="s">
        <v>4065</v>
      </c>
      <c r="K610" s="17" t="str">
        <f>IFERROR(INDEX(競技会設定!$J$3:$O$47,MATCH(J610,競技会設定!$M$3:$M$47,0),5),"")</f>
        <v>名古屋大</v>
      </c>
      <c r="L610" s="17" t="str">
        <f>IFERROR(INDEX(競技会設定!$J$3:$N$47,MATCH(K610,競技会設定!$N$3:$N$47,0),2),"")</f>
        <v>490043</v>
      </c>
      <c r="M610" s="97" t="s">
        <v>3861</v>
      </c>
      <c r="N610" s="17" t="str">
        <f t="shared" si="28"/>
        <v>SAITO, Yuta</v>
      </c>
      <c r="O610" s="17" t="str">
        <f t="shared" si="29"/>
        <v>99</v>
      </c>
    </row>
    <row r="611" spans="1:15">
      <c r="A611" s="17" t="str">
        <f t="shared" si="27"/>
        <v>501000610</v>
      </c>
      <c r="B611" s="97">
        <v>610</v>
      </c>
      <c r="C611" s="97" t="s">
        <v>1420</v>
      </c>
      <c r="D611" s="97" t="s">
        <v>1421</v>
      </c>
      <c r="E611" s="312" t="s">
        <v>2818</v>
      </c>
      <c r="F611" s="312" t="s">
        <v>2418</v>
      </c>
      <c r="G611" s="97" t="s">
        <v>3550</v>
      </c>
      <c r="H611" s="97" t="s">
        <v>4024</v>
      </c>
      <c r="I611" s="97" t="s">
        <v>4039</v>
      </c>
      <c r="J611" s="97" t="s">
        <v>4065</v>
      </c>
      <c r="K611" s="17" t="str">
        <f>IFERROR(INDEX(競技会設定!$J$3:$O$47,MATCH(J611,競技会設定!$M$3:$M$47,0),5),"")</f>
        <v>名古屋大</v>
      </c>
      <c r="L611" s="17" t="str">
        <f>IFERROR(INDEX(競技会設定!$J$3:$N$47,MATCH(K611,競技会設定!$N$3:$N$47,0),2),"")</f>
        <v>490043</v>
      </c>
      <c r="M611" s="97" t="s">
        <v>3859</v>
      </c>
      <c r="N611" s="17" t="str">
        <f t="shared" si="28"/>
        <v>AWATA, Yosuke</v>
      </c>
      <c r="O611" s="17" t="str">
        <f t="shared" si="29"/>
        <v>99</v>
      </c>
    </row>
    <row r="612" spans="1:15">
      <c r="A612" s="17" t="str">
        <f t="shared" si="27"/>
        <v>501000611</v>
      </c>
      <c r="B612" s="97">
        <v>611</v>
      </c>
      <c r="C612" s="97" t="s">
        <v>1422</v>
      </c>
      <c r="D612" s="97" t="s">
        <v>1423</v>
      </c>
      <c r="E612" s="312" t="s">
        <v>2819</v>
      </c>
      <c r="F612" s="312" t="s">
        <v>2820</v>
      </c>
      <c r="G612" s="97" t="s">
        <v>3551</v>
      </c>
      <c r="H612" s="97" t="s">
        <v>4030</v>
      </c>
      <c r="I612" s="97" t="s">
        <v>4039</v>
      </c>
      <c r="J612" s="97" t="s">
        <v>4065</v>
      </c>
      <c r="K612" s="17" t="str">
        <f>IFERROR(INDEX(競技会設定!$J$3:$O$47,MATCH(J612,競技会設定!$M$3:$M$47,0),5),"")</f>
        <v>名古屋大</v>
      </c>
      <c r="L612" s="17" t="str">
        <f>IFERROR(INDEX(競技会設定!$J$3:$N$47,MATCH(K612,競技会設定!$N$3:$N$47,0),2),"")</f>
        <v>490043</v>
      </c>
      <c r="M612" s="97" t="s">
        <v>3859</v>
      </c>
      <c r="N612" s="17" t="str">
        <f t="shared" si="28"/>
        <v>KOYAMA, Wataru</v>
      </c>
      <c r="O612" s="17" t="str">
        <f t="shared" si="29"/>
        <v>98</v>
      </c>
    </row>
    <row r="613" spans="1:15">
      <c r="A613" s="17" t="str">
        <f t="shared" si="27"/>
        <v>501000612</v>
      </c>
      <c r="B613" s="97">
        <v>612</v>
      </c>
      <c r="C613" s="97" t="s">
        <v>1424</v>
      </c>
      <c r="D613" s="97" t="s">
        <v>1425</v>
      </c>
      <c r="E613" s="312" t="s">
        <v>2687</v>
      </c>
      <c r="F613" s="312" t="s">
        <v>2535</v>
      </c>
      <c r="G613" s="97" t="s">
        <v>3552</v>
      </c>
      <c r="H613" s="97" t="s">
        <v>4026</v>
      </c>
      <c r="I613" s="97" t="s">
        <v>4039</v>
      </c>
      <c r="J613" s="97" t="s">
        <v>4065</v>
      </c>
      <c r="K613" s="17" t="str">
        <f>IFERROR(INDEX(競技会設定!$J$3:$O$47,MATCH(J613,競技会設定!$M$3:$M$47,0),5),"")</f>
        <v>名古屋大</v>
      </c>
      <c r="L613" s="17" t="str">
        <f>IFERROR(INDEX(競技会設定!$J$3:$N$47,MATCH(K613,競技会設定!$N$3:$N$47,0),2),"")</f>
        <v>490043</v>
      </c>
      <c r="M613" s="97" t="s">
        <v>3859</v>
      </c>
      <c r="N613" s="17" t="str">
        <f t="shared" si="28"/>
        <v>MATSUOKA, Mikiya</v>
      </c>
      <c r="O613" s="17" t="str">
        <f t="shared" si="29"/>
        <v>99</v>
      </c>
    </row>
    <row r="614" spans="1:15">
      <c r="A614" s="17" t="str">
        <f t="shared" si="27"/>
        <v>501000613</v>
      </c>
      <c r="B614" s="97">
        <v>613</v>
      </c>
      <c r="C614" s="97" t="s">
        <v>1426</v>
      </c>
      <c r="D614" s="97" t="s">
        <v>1427</v>
      </c>
      <c r="E614" s="312" t="s">
        <v>2821</v>
      </c>
      <c r="F614" s="312" t="s">
        <v>2822</v>
      </c>
      <c r="G614" s="97" t="s">
        <v>3553</v>
      </c>
      <c r="H614" s="97" t="s">
        <v>4026</v>
      </c>
      <c r="I614" s="97" t="s">
        <v>4039</v>
      </c>
      <c r="J614" s="97" t="s">
        <v>4065</v>
      </c>
      <c r="K614" s="17" t="str">
        <f>IFERROR(INDEX(競技会設定!$J$3:$O$47,MATCH(J614,競技会設定!$M$3:$M$47,0),5),"")</f>
        <v>名古屋大</v>
      </c>
      <c r="L614" s="17" t="str">
        <f>IFERROR(INDEX(競技会設定!$J$3:$N$47,MATCH(K614,競技会設定!$N$3:$N$47,0),2),"")</f>
        <v>490043</v>
      </c>
      <c r="M614" s="97" t="s">
        <v>3859</v>
      </c>
      <c r="N614" s="17" t="str">
        <f t="shared" si="28"/>
        <v>KOZAKAI, Katsuya</v>
      </c>
      <c r="O614" s="17" t="str">
        <f t="shared" si="29"/>
        <v>99</v>
      </c>
    </row>
    <row r="615" spans="1:15">
      <c r="A615" s="17" t="str">
        <f t="shared" si="27"/>
        <v>501000614</v>
      </c>
      <c r="B615" s="97">
        <v>614</v>
      </c>
      <c r="C615" s="97" t="s">
        <v>1428</v>
      </c>
      <c r="D615" s="97" t="s">
        <v>1429</v>
      </c>
      <c r="E615" s="312" t="s">
        <v>2823</v>
      </c>
      <c r="F615" s="312" t="s">
        <v>2234</v>
      </c>
      <c r="G615" s="97" t="s">
        <v>3554</v>
      </c>
      <c r="H615" s="97" t="s">
        <v>4026</v>
      </c>
      <c r="I615" s="97" t="s">
        <v>4039</v>
      </c>
      <c r="J615" s="97" t="s">
        <v>4065</v>
      </c>
      <c r="K615" s="17" t="str">
        <f>IFERROR(INDEX(競技会設定!$J$3:$O$47,MATCH(J615,競技会設定!$M$3:$M$47,0),5),"")</f>
        <v>名古屋大</v>
      </c>
      <c r="L615" s="17" t="str">
        <f>IFERROR(INDEX(競技会設定!$J$3:$N$47,MATCH(K615,競技会設定!$N$3:$N$47,0),2),"")</f>
        <v>490043</v>
      </c>
      <c r="M615" s="97" t="s">
        <v>3861</v>
      </c>
      <c r="N615" s="17" t="str">
        <f t="shared" si="28"/>
        <v>IMAOKA, Yuto</v>
      </c>
      <c r="O615" s="17" t="str">
        <f t="shared" si="29"/>
        <v>99</v>
      </c>
    </row>
    <row r="616" spans="1:15">
      <c r="A616" s="17" t="str">
        <f t="shared" si="27"/>
        <v>501000615</v>
      </c>
      <c r="B616" s="97">
        <v>615</v>
      </c>
      <c r="C616" s="97" t="s">
        <v>1430</v>
      </c>
      <c r="D616" s="97" t="s">
        <v>1431</v>
      </c>
      <c r="E616" s="312" t="s">
        <v>2824</v>
      </c>
      <c r="F616" s="312" t="s">
        <v>2152</v>
      </c>
      <c r="G616" s="97" t="s">
        <v>3555</v>
      </c>
      <c r="H616" s="97" t="s">
        <v>4025</v>
      </c>
      <c r="I616" s="97" t="s">
        <v>4039</v>
      </c>
      <c r="J616" s="97" t="s">
        <v>4065</v>
      </c>
      <c r="K616" s="17" t="str">
        <f>IFERROR(INDEX(競技会設定!$J$3:$O$47,MATCH(J616,競技会設定!$M$3:$M$47,0),5),"")</f>
        <v>名古屋大</v>
      </c>
      <c r="L616" s="17" t="str">
        <f>IFERROR(INDEX(競技会設定!$J$3:$N$47,MATCH(K616,競技会設定!$N$3:$N$47,0),2),"")</f>
        <v>490043</v>
      </c>
      <c r="M616" s="97" t="s">
        <v>3859</v>
      </c>
      <c r="N616" s="17" t="str">
        <f t="shared" si="28"/>
        <v>KIYOHARA, Kazuma</v>
      </c>
      <c r="O616" s="17" t="str">
        <f t="shared" si="29"/>
        <v>97</v>
      </c>
    </row>
    <row r="617" spans="1:15">
      <c r="A617" s="17" t="str">
        <f t="shared" si="27"/>
        <v>501000616</v>
      </c>
      <c r="B617" s="97">
        <v>616</v>
      </c>
      <c r="C617" s="97" t="s">
        <v>1432</v>
      </c>
      <c r="D617" s="97" t="s">
        <v>1433</v>
      </c>
      <c r="E617" s="312" t="s">
        <v>2825</v>
      </c>
      <c r="F617" s="312" t="s">
        <v>2269</v>
      </c>
      <c r="G617" s="97" t="s">
        <v>3556</v>
      </c>
      <c r="H617" s="97" t="s">
        <v>4028</v>
      </c>
      <c r="I617" s="97" t="s">
        <v>4039</v>
      </c>
      <c r="J617" s="97" t="s">
        <v>4065</v>
      </c>
      <c r="K617" s="17" t="str">
        <f>IFERROR(INDEX(競技会設定!$J$3:$O$47,MATCH(J617,競技会設定!$M$3:$M$47,0),5),"")</f>
        <v>名古屋大</v>
      </c>
      <c r="L617" s="17" t="str">
        <f>IFERROR(INDEX(競技会設定!$J$3:$N$47,MATCH(K617,競技会設定!$N$3:$N$47,0),2),"")</f>
        <v>490043</v>
      </c>
      <c r="M617" s="97" t="s">
        <v>3859</v>
      </c>
      <c r="N617" s="17" t="str">
        <f t="shared" si="28"/>
        <v>SUMIYA, Yoshiki</v>
      </c>
      <c r="O617" s="17" t="str">
        <f t="shared" si="29"/>
        <v>96</v>
      </c>
    </row>
    <row r="618" spans="1:15">
      <c r="A618" s="17" t="str">
        <f t="shared" si="27"/>
        <v>501000617</v>
      </c>
      <c r="B618" s="97">
        <v>617</v>
      </c>
      <c r="C618" s="97" t="s">
        <v>1434</v>
      </c>
      <c r="D618" s="97" t="s">
        <v>1435</v>
      </c>
      <c r="E618" s="312" t="s">
        <v>2826</v>
      </c>
      <c r="F618" s="312" t="s">
        <v>2255</v>
      </c>
      <c r="G618" s="97" t="s">
        <v>3356</v>
      </c>
      <c r="H618" s="97" t="s">
        <v>4026</v>
      </c>
      <c r="I618" s="97" t="s">
        <v>4039</v>
      </c>
      <c r="J618" s="97" t="s">
        <v>4065</v>
      </c>
      <c r="K618" s="17" t="str">
        <f>IFERROR(INDEX(競技会設定!$J$3:$O$47,MATCH(J618,競技会設定!$M$3:$M$47,0),5),"")</f>
        <v>名古屋大</v>
      </c>
      <c r="L618" s="17" t="str">
        <f>IFERROR(INDEX(競技会設定!$J$3:$N$47,MATCH(K618,競技会設定!$N$3:$N$47,0),2),"")</f>
        <v>490043</v>
      </c>
      <c r="M618" s="97" t="s">
        <v>3859</v>
      </c>
      <c r="N618" s="17" t="str">
        <f t="shared" si="28"/>
        <v>HARIU, Shohei</v>
      </c>
      <c r="O618" s="17" t="str">
        <f t="shared" si="29"/>
        <v>00</v>
      </c>
    </row>
    <row r="619" spans="1:15">
      <c r="A619" s="17" t="str">
        <f t="shared" si="27"/>
        <v>501000618</v>
      </c>
      <c r="B619" s="97">
        <v>618</v>
      </c>
      <c r="C619" s="97" t="s">
        <v>1436</v>
      </c>
      <c r="D619" s="97" t="s">
        <v>1437</v>
      </c>
      <c r="E619" s="312" t="s">
        <v>2545</v>
      </c>
      <c r="F619" s="312" t="s">
        <v>2098</v>
      </c>
      <c r="G619" s="97" t="s">
        <v>3382</v>
      </c>
      <c r="H619" s="97" t="s">
        <v>4025</v>
      </c>
      <c r="I619" s="97" t="s">
        <v>4039</v>
      </c>
      <c r="J619" s="97" t="s">
        <v>4065</v>
      </c>
      <c r="K619" s="17" t="str">
        <f>IFERROR(INDEX(競技会設定!$J$3:$O$47,MATCH(J619,競技会設定!$M$3:$M$47,0),5),"")</f>
        <v>名古屋大</v>
      </c>
      <c r="L619" s="17" t="str">
        <f>IFERROR(INDEX(競技会設定!$J$3:$N$47,MATCH(K619,競技会設定!$N$3:$N$47,0),2),"")</f>
        <v>490043</v>
      </c>
      <c r="M619" s="97" t="s">
        <v>3861</v>
      </c>
      <c r="N619" s="17" t="str">
        <f t="shared" si="28"/>
        <v>WADA, Shintaro</v>
      </c>
      <c r="O619" s="17" t="str">
        <f t="shared" si="29"/>
        <v>98</v>
      </c>
    </row>
    <row r="620" spans="1:15">
      <c r="A620" s="17" t="str">
        <f t="shared" si="27"/>
        <v>501000619</v>
      </c>
      <c r="B620" s="97">
        <v>619</v>
      </c>
      <c r="C620" s="97" t="s">
        <v>1438</v>
      </c>
      <c r="D620" s="97" t="s">
        <v>1439</v>
      </c>
      <c r="E620" s="312" t="s">
        <v>2155</v>
      </c>
      <c r="F620" s="312" t="s">
        <v>2637</v>
      </c>
      <c r="G620" s="97" t="s">
        <v>3557</v>
      </c>
      <c r="H620" s="97" t="s">
        <v>4026</v>
      </c>
      <c r="I620" s="97" t="s">
        <v>4039</v>
      </c>
      <c r="J620" s="97" t="s">
        <v>4065</v>
      </c>
      <c r="K620" s="17" t="str">
        <f>IFERROR(INDEX(競技会設定!$J$3:$O$47,MATCH(J620,競技会設定!$M$3:$M$47,0),5),"")</f>
        <v>名古屋大</v>
      </c>
      <c r="L620" s="17" t="str">
        <f>IFERROR(INDEX(競技会設定!$J$3:$N$47,MATCH(K620,競技会設定!$N$3:$N$47,0),2),"")</f>
        <v>490043</v>
      </c>
      <c r="M620" s="97" t="s">
        <v>3859</v>
      </c>
      <c r="N620" s="17" t="str">
        <f t="shared" si="28"/>
        <v>INABA, Kento</v>
      </c>
      <c r="O620" s="17" t="str">
        <f t="shared" si="29"/>
        <v>01</v>
      </c>
    </row>
    <row r="621" spans="1:15">
      <c r="A621" s="17" t="str">
        <f t="shared" si="27"/>
        <v>501000620</v>
      </c>
      <c r="B621" s="97">
        <v>620</v>
      </c>
      <c r="C621" s="97" t="s">
        <v>1440</v>
      </c>
      <c r="D621" s="97" t="s">
        <v>1441</v>
      </c>
      <c r="E621" s="312" t="s">
        <v>2824</v>
      </c>
      <c r="F621" s="312" t="s">
        <v>2189</v>
      </c>
      <c r="G621" s="97" t="s">
        <v>3558</v>
      </c>
      <c r="H621" s="97" t="s">
        <v>4026</v>
      </c>
      <c r="I621" s="97" t="s">
        <v>4039</v>
      </c>
      <c r="J621" s="97" t="s">
        <v>4065</v>
      </c>
      <c r="K621" s="17" t="str">
        <f>IFERROR(INDEX(競技会設定!$J$3:$O$47,MATCH(J621,競技会設定!$M$3:$M$47,0),5),"")</f>
        <v>名古屋大</v>
      </c>
      <c r="L621" s="17" t="str">
        <f>IFERROR(INDEX(競技会設定!$J$3:$N$47,MATCH(K621,競技会設定!$N$3:$N$47,0),2),"")</f>
        <v>490043</v>
      </c>
      <c r="M621" s="97" t="s">
        <v>3859</v>
      </c>
      <c r="N621" s="17" t="str">
        <f t="shared" si="28"/>
        <v>KIYOHARA, Keisuke</v>
      </c>
      <c r="O621" s="17" t="str">
        <f t="shared" si="29"/>
        <v>00</v>
      </c>
    </row>
    <row r="622" spans="1:15">
      <c r="A622" s="17" t="str">
        <f t="shared" si="27"/>
        <v>501000621</v>
      </c>
      <c r="B622" s="97">
        <v>621</v>
      </c>
      <c r="C622" s="97" t="s">
        <v>1442</v>
      </c>
      <c r="D622" s="97" t="s">
        <v>1443</v>
      </c>
      <c r="E622" s="312" t="s">
        <v>2827</v>
      </c>
      <c r="F622" s="312" t="s">
        <v>2116</v>
      </c>
      <c r="G622" s="97" t="s">
        <v>3559</v>
      </c>
      <c r="H622" s="97" t="s">
        <v>4028</v>
      </c>
      <c r="I622" s="97" t="s">
        <v>4039</v>
      </c>
      <c r="J622" s="97" t="s">
        <v>4065</v>
      </c>
      <c r="K622" s="17" t="str">
        <f>IFERROR(INDEX(競技会設定!$J$3:$O$47,MATCH(J622,競技会設定!$M$3:$M$47,0),5),"")</f>
        <v>名古屋大</v>
      </c>
      <c r="L622" s="17" t="str">
        <f>IFERROR(INDEX(競技会設定!$J$3:$N$47,MATCH(K622,競技会設定!$N$3:$N$47,0),2),"")</f>
        <v>490043</v>
      </c>
      <c r="M622" s="97" t="s">
        <v>3859</v>
      </c>
      <c r="N622" s="17" t="str">
        <f t="shared" si="28"/>
        <v>IWAI, Hiroki</v>
      </c>
      <c r="O622" s="17" t="str">
        <f t="shared" si="29"/>
        <v>95</v>
      </c>
    </row>
    <row r="623" spans="1:15">
      <c r="A623" s="17" t="str">
        <f t="shared" si="27"/>
        <v>501000622</v>
      </c>
      <c r="B623" s="97">
        <v>622</v>
      </c>
      <c r="C623" s="97" t="s">
        <v>1444</v>
      </c>
      <c r="D623" s="97" t="s">
        <v>1445</v>
      </c>
      <c r="E623" s="312" t="s">
        <v>2828</v>
      </c>
      <c r="F623" s="312" t="s">
        <v>2503</v>
      </c>
      <c r="G623" s="97" t="s">
        <v>3085</v>
      </c>
      <c r="H623" s="97" t="s">
        <v>4025</v>
      </c>
      <c r="I623" s="97" t="s">
        <v>4039</v>
      </c>
      <c r="J623" s="97" t="s">
        <v>4065</v>
      </c>
      <c r="K623" s="17" t="str">
        <f>IFERROR(INDEX(競技会設定!$J$3:$O$47,MATCH(J623,競技会設定!$M$3:$M$47,0),5),"")</f>
        <v>名古屋大</v>
      </c>
      <c r="L623" s="17" t="str">
        <f>IFERROR(INDEX(競技会設定!$J$3:$N$47,MATCH(K623,競技会設定!$N$3:$N$47,0),2),"")</f>
        <v>490043</v>
      </c>
      <c r="M623" s="97" t="s">
        <v>3861</v>
      </c>
      <c r="N623" s="17" t="str">
        <f t="shared" si="28"/>
        <v>YOKOI, Keiya</v>
      </c>
      <c r="O623" s="17" t="str">
        <f t="shared" si="29"/>
        <v>98</v>
      </c>
    </row>
    <row r="624" spans="1:15">
      <c r="A624" s="17" t="str">
        <f t="shared" si="27"/>
        <v>501000623</v>
      </c>
      <c r="B624" s="97">
        <v>623</v>
      </c>
      <c r="C624" s="97" t="s">
        <v>1446</v>
      </c>
      <c r="D624" s="97" t="s">
        <v>1447</v>
      </c>
      <c r="E624" s="312" t="s">
        <v>2829</v>
      </c>
      <c r="F624" s="312" t="s">
        <v>2486</v>
      </c>
      <c r="G624" s="97" t="s">
        <v>3560</v>
      </c>
      <c r="H624" s="97" t="s">
        <v>4028</v>
      </c>
      <c r="I624" s="97" t="s">
        <v>4039</v>
      </c>
      <c r="J624" s="97" t="s">
        <v>4065</v>
      </c>
      <c r="K624" s="17" t="str">
        <f>IFERROR(INDEX(競技会設定!$J$3:$O$47,MATCH(J624,競技会設定!$M$3:$M$47,0),5),"")</f>
        <v>名古屋大</v>
      </c>
      <c r="L624" s="17" t="str">
        <f>IFERROR(INDEX(競技会設定!$J$3:$N$47,MATCH(K624,競技会設定!$N$3:$N$47,0),2),"")</f>
        <v>490043</v>
      </c>
      <c r="M624" s="97" t="s">
        <v>3881</v>
      </c>
      <c r="N624" s="17" t="str">
        <f t="shared" si="28"/>
        <v>TAGA, Shunsuke</v>
      </c>
      <c r="O624" s="17" t="str">
        <f t="shared" si="29"/>
        <v>96</v>
      </c>
    </row>
    <row r="625" spans="1:15">
      <c r="A625" s="17" t="str">
        <f t="shared" si="27"/>
        <v>501000624</v>
      </c>
      <c r="B625" s="97">
        <v>624</v>
      </c>
      <c r="C625" s="97" t="s">
        <v>1448</v>
      </c>
      <c r="D625" s="97" t="s">
        <v>1449</v>
      </c>
      <c r="E625" s="312" t="s">
        <v>2447</v>
      </c>
      <c r="F625" s="312" t="s">
        <v>2830</v>
      </c>
      <c r="G625" s="97" t="s">
        <v>3093</v>
      </c>
      <c r="H625" s="97" t="s">
        <v>4024</v>
      </c>
      <c r="I625" s="97" t="s">
        <v>4039</v>
      </c>
      <c r="J625" s="97" t="s">
        <v>4065</v>
      </c>
      <c r="K625" s="17" t="str">
        <f>IFERROR(INDEX(競技会設定!$J$3:$O$47,MATCH(J625,競技会設定!$M$3:$M$47,0),5),"")</f>
        <v>名古屋大</v>
      </c>
      <c r="L625" s="17" t="str">
        <f>IFERROR(INDEX(競技会設定!$J$3:$N$47,MATCH(K625,競技会設定!$N$3:$N$47,0),2),"")</f>
        <v>490043</v>
      </c>
      <c r="M625" s="97" t="s">
        <v>3859</v>
      </c>
      <c r="N625" s="17" t="str">
        <f t="shared" si="28"/>
        <v>TACHIBANA, Yuma</v>
      </c>
      <c r="O625" s="17" t="str">
        <f t="shared" si="29"/>
        <v>98</v>
      </c>
    </row>
    <row r="626" spans="1:15">
      <c r="A626" s="17" t="str">
        <f t="shared" si="27"/>
        <v>501000625</v>
      </c>
      <c r="B626" s="97">
        <v>625</v>
      </c>
      <c r="C626" s="97" t="s">
        <v>1450</v>
      </c>
      <c r="D626" s="97" t="s">
        <v>1451</v>
      </c>
      <c r="E626" s="312" t="s">
        <v>2831</v>
      </c>
      <c r="F626" s="312" t="s">
        <v>2106</v>
      </c>
      <c r="G626" s="97" t="s">
        <v>3561</v>
      </c>
      <c r="H626" s="97" t="s">
        <v>4024</v>
      </c>
      <c r="I626" s="97" t="s">
        <v>4039</v>
      </c>
      <c r="J626" s="97" t="s">
        <v>4065</v>
      </c>
      <c r="K626" s="17" t="str">
        <f>IFERROR(INDEX(競技会設定!$J$3:$O$47,MATCH(J626,競技会設定!$M$3:$M$47,0),5),"")</f>
        <v>名古屋大</v>
      </c>
      <c r="L626" s="17" t="str">
        <f>IFERROR(INDEX(競技会設定!$J$3:$N$47,MATCH(K626,競技会設定!$N$3:$N$47,0),2),"")</f>
        <v>490043</v>
      </c>
      <c r="M626" s="97" t="s">
        <v>3865</v>
      </c>
      <c r="N626" s="17" t="str">
        <f t="shared" si="28"/>
        <v>MATANO, Yusuke</v>
      </c>
      <c r="O626" s="17" t="str">
        <f t="shared" si="29"/>
        <v>99</v>
      </c>
    </row>
    <row r="627" spans="1:15">
      <c r="A627" s="17" t="str">
        <f t="shared" si="27"/>
        <v>501000626</v>
      </c>
      <c r="B627" s="97">
        <v>626</v>
      </c>
      <c r="C627" s="97" t="s">
        <v>1452</v>
      </c>
      <c r="D627" s="97" t="s">
        <v>1453</v>
      </c>
      <c r="E627" s="312" t="s">
        <v>2832</v>
      </c>
      <c r="F627" s="312" t="s">
        <v>2833</v>
      </c>
      <c r="G627" s="97" t="s">
        <v>3329</v>
      </c>
      <c r="H627" s="97" t="s">
        <v>4026</v>
      </c>
      <c r="I627" s="97" t="s">
        <v>4039</v>
      </c>
      <c r="J627" s="97" t="s">
        <v>4065</v>
      </c>
      <c r="K627" s="17" t="str">
        <f>IFERROR(INDEX(競技会設定!$J$3:$O$47,MATCH(J627,競技会設定!$M$3:$M$47,0),5),"")</f>
        <v>名古屋大</v>
      </c>
      <c r="L627" s="17" t="str">
        <f>IFERROR(INDEX(競技会設定!$J$3:$N$47,MATCH(K627,競技会設定!$N$3:$N$47,0),2),"")</f>
        <v>490043</v>
      </c>
      <c r="M627" s="97" t="s">
        <v>3859</v>
      </c>
      <c r="N627" s="17" t="str">
        <f t="shared" si="28"/>
        <v>YAGYU, Kenshin</v>
      </c>
      <c r="O627" s="17" t="str">
        <f t="shared" si="29"/>
        <v>99</v>
      </c>
    </row>
    <row r="628" spans="1:15">
      <c r="A628" s="17" t="str">
        <f t="shared" si="27"/>
        <v>501000627</v>
      </c>
      <c r="B628" s="97">
        <v>627</v>
      </c>
      <c r="C628" s="97" t="s">
        <v>1454</v>
      </c>
      <c r="D628" s="97" t="s">
        <v>1455</v>
      </c>
      <c r="E628" s="312" t="s">
        <v>2834</v>
      </c>
      <c r="F628" s="312" t="s">
        <v>2256</v>
      </c>
      <c r="G628" s="97" t="s">
        <v>3256</v>
      </c>
      <c r="H628" s="97" t="s">
        <v>4026</v>
      </c>
      <c r="I628" s="97" t="s">
        <v>4039</v>
      </c>
      <c r="J628" s="97" t="s">
        <v>4065</v>
      </c>
      <c r="K628" s="17" t="str">
        <f>IFERROR(INDEX(競技会設定!$J$3:$O$47,MATCH(J628,競技会設定!$M$3:$M$47,0),5),"")</f>
        <v>名古屋大</v>
      </c>
      <c r="L628" s="17" t="str">
        <f>IFERROR(INDEX(競技会設定!$J$3:$N$47,MATCH(K628,競技会設定!$N$3:$N$47,0),2),"")</f>
        <v>490043</v>
      </c>
      <c r="M628" s="97" t="s">
        <v>3857</v>
      </c>
      <c r="N628" s="17" t="str">
        <f t="shared" si="28"/>
        <v>HARUKI, Taketo</v>
      </c>
      <c r="O628" s="17" t="str">
        <f t="shared" si="29"/>
        <v>00</v>
      </c>
    </row>
    <row r="629" spans="1:15">
      <c r="A629" s="17" t="str">
        <f t="shared" si="27"/>
        <v>501000628</v>
      </c>
      <c r="B629" s="97">
        <v>628</v>
      </c>
      <c r="C629" s="97" t="s">
        <v>1456</v>
      </c>
      <c r="D629" s="97" t="s">
        <v>1457</v>
      </c>
      <c r="E629" s="312" t="s">
        <v>2166</v>
      </c>
      <c r="F629" s="312" t="s">
        <v>2835</v>
      </c>
      <c r="G629" s="97" t="s">
        <v>3562</v>
      </c>
      <c r="H629" s="97" t="s">
        <v>4024</v>
      </c>
      <c r="I629" s="97" t="s">
        <v>4039</v>
      </c>
      <c r="J629" s="97" t="s">
        <v>4065</v>
      </c>
      <c r="K629" s="17" t="str">
        <f>IFERROR(INDEX(競技会設定!$J$3:$O$47,MATCH(J629,競技会設定!$M$3:$M$47,0),5),"")</f>
        <v>名古屋大</v>
      </c>
      <c r="L629" s="17" t="str">
        <f>IFERROR(INDEX(競技会設定!$J$3:$N$47,MATCH(K629,競技会設定!$N$3:$N$47,0),2),"")</f>
        <v>490043</v>
      </c>
      <c r="M629" s="97" t="s">
        <v>3826</v>
      </c>
      <c r="N629" s="17" t="str">
        <f t="shared" si="28"/>
        <v>SATO, Kei</v>
      </c>
      <c r="O629" s="17" t="str">
        <f t="shared" si="29"/>
        <v>00</v>
      </c>
    </row>
    <row r="630" spans="1:15">
      <c r="A630" s="17" t="str">
        <f t="shared" si="27"/>
        <v>501000629</v>
      </c>
      <c r="B630" s="97">
        <v>629</v>
      </c>
      <c r="C630" s="97" t="s">
        <v>1458</v>
      </c>
      <c r="D630" s="97" t="s">
        <v>1459</v>
      </c>
      <c r="E630" s="312" t="s">
        <v>2531</v>
      </c>
      <c r="F630" s="312" t="s">
        <v>2430</v>
      </c>
      <c r="G630" s="97" t="s">
        <v>3092</v>
      </c>
      <c r="H630" s="97" t="s">
        <v>4025</v>
      </c>
      <c r="I630" s="97" t="s">
        <v>4039</v>
      </c>
      <c r="J630" s="97" t="s">
        <v>4065</v>
      </c>
      <c r="K630" s="17" t="str">
        <f>IFERROR(INDEX(競技会設定!$J$3:$O$47,MATCH(J630,競技会設定!$M$3:$M$47,0),5),"")</f>
        <v>名古屋大</v>
      </c>
      <c r="L630" s="17" t="str">
        <f>IFERROR(INDEX(競技会設定!$J$3:$N$47,MATCH(K630,競技会設定!$N$3:$N$47,0),2),"")</f>
        <v>490043</v>
      </c>
      <c r="M630" s="97" t="s">
        <v>3855</v>
      </c>
      <c r="N630" s="17" t="str">
        <f t="shared" si="28"/>
        <v>ADACHI, Seiya</v>
      </c>
      <c r="O630" s="17" t="str">
        <f t="shared" si="29"/>
        <v>98</v>
      </c>
    </row>
    <row r="631" spans="1:15">
      <c r="A631" s="17" t="str">
        <f t="shared" si="27"/>
        <v>501000630</v>
      </c>
      <c r="B631" s="97">
        <v>630</v>
      </c>
      <c r="C631" s="97" t="s">
        <v>1460</v>
      </c>
      <c r="D631" s="97" t="s">
        <v>1461</v>
      </c>
      <c r="E631" s="312" t="s">
        <v>2836</v>
      </c>
      <c r="F631" s="312" t="s">
        <v>2124</v>
      </c>
      <c r="G631" s="97" t="s">
        <v>3183</v>
      </c>
      <c r="H631" s="97" t="s">
        <v>4024</v>
      </c>
      <c r="I631" s="97" t="s">
        <v>4039</v>
      </c>
      <c r="J631" s="97" t="s">
        <v>4065</v>
      </c>
      <c r="K631" s="17" t="str">
        <f>IFERROR(INDEX(競技会設定!$J$3:$O$47,MATCH(J631,競技会設定!$M$3:$M$47,0),5),"")</f>
        <v>名古屋大</v>
      </c>
      <c r="L631" s="17" t="str">
        <f>IFERROR(INDEX(競技会設定!$J$3:$N$47,MATCH(K631,競技会設定!$N$3:$N$47,0),2),"")</f>
        <v>490043</v>
      </c>
      <c r="M631" s="97" t="s">
        <v>3859</v>
      </c>
      <c r="N631" s="17" t="str">
        <f t="shared" si="28"/>
        <v>KURA, Keita</v>
      </c>
      <c r="O631" s="17" t="str">
        <f t="shared" si="29"/>
        <v>99</v>
      </c>
    </row>
    <row r="632" spans="1:15">
      <c r="A632" s="17" t="str">
        <f t="shared" si="27"/>
        <v>501000631</v>
      </c>
      <c r="B632" s="97">
        <v>631</v>
      </c>
      <c r="C632" s="97" t="s">
        <v>1462</v>
      </c>
      <c r="D632" s="97" t="s">
        <v>1463</v>
      </c>
      <c r="E632" s="312" t="s">
        <v>2837</v>
      </c>
      <c r="F632" s="312" t="s">
        <v>2838</v>
      </c>
      <c r="G632" s="97" t="s">
        <v>3548</v>
      </c>
      <c r="H632" s="97" t="s">
        <v>4025</v>
      </c>
      <c r="I632" s="97" t="s">
        <v>4039</v>
      </c>
      <c r="J632" s="97" t="s">
        <v>4065</v>
      </c>
      <c r="K632" s="17" t="str">
        <f>IFERROR(INDEX(競技会設定!$J$3:$O$47,MATCH(J632,競技会設定!$M$3:$M$47,0),5),"")</f>
        <v>名古屋大</v>
      </c>
      <c r="L632" s="17" t="str">
        <f>IFERROR(INDEX(競技会設定!$J$3:$N$47,MATCH(K632,競技会設定!$N$3:$N$47,0),2),"")</f>
        <v>490043</v>
      </c>
      <c r="M632" s="97" t="s">
        <v>3861</v>
      </c>
      <c r="N632" s="17" t="str">
        <f t="shared" si="28"/>
        <v>MACHIDA, Gen</v>
      </c>
      <c r="O632" s="17" t="str">
        <f t="shared" si="29"/>
        <v>97</v>
      </c>
    </row>
    <row r="633" spans="1:15">
      <c r="A633" s="17" t="str">
        <f t="shared" si="27"/>
        <v>501000632</v>
      </c>
      <c r="B633" s="97">
        <v>632</v>
      </c>
      <c r="C633" s="97" t="s">
        <v>1464</v>
      </c>
      <c r="D633" s="97" t="s">
        <v>1465</v>
      </c>
      <c r="E633" s="312" t="s">
        <v>2113</v>
      </c>
      <c r="F633" s="312" t="s">
        <v>2108</v>
      </c>
      <c r="G633" s="97" t="s">
        <v>3398</v>
      </c>
      <c r="H633" s="97" t="s">
        <v>4024</v>
      </c>
      <c r="I633" s="97" t="s">
        <v>4039</v>
      </c>
      <c r="J633" s="97" t="s">
        <v>4065</v>
      </c>
      <c r="K633" s="17" t="str">
        <f>IFERROR(INDEX(競技会設定!$J$3:$O$47,MATCH(J633,競技会設定!$M$3:$M$47,0),5),"")</f>
        <v>名古屋大</v>
      </c>
      <c r="L633" s="17" t="str">
        <f>IFERROR(INDEX(競技会設定!$J$3:$N$47,MATCH(K633,競技会設定!$N$3:$N$47,0),2),"")</f>
        <v>490043</v>
      </c>
      <c r="M633" s="97" t="s">
        <v>3859</v>
      </c>
      <c r="N633" s="17" t="str">
        <f t="shared" si="28"/>
        <v>MIZUNO, Yuki</v>
      </c>
      <c r="O633" s="17" t="str">
        <f t="shared" si="29"/>
        <v>98</v>
      </c>
    </row>
    <row r="634" spans="1:15">
      <c r="A634" s="17" t="str">
        <f t="shared" si="27"/>
        <v>501000633</v>
      </c>
      <c r="B634" s="97">
        <v>633</v>
      </c>
      <c r="C634" s="97" t="s">
        <v>1466</v>
      </c>
      <c r="D634" s="97" t="s">
        <v>1467</v>
      </c>
      <c r="E634" s="312" t="s">
        <v>2839</v>
      </c>
      <c r="F634" s="312" t="s">
        <v>2286</v>
      </c>
      <c r="G634" s="97" t="s">
        <v>3563</v>
      </c>
      <c r="H634" s="97" t="s">
        <v>4028</v>
      </c>
      <c r="I634" s="97" t="s">
        <v>4039</v>
      </c>
      <c r="J634" s="97" t="s">
        <v>4066</v>
      </c>
      <c r="K634" s="17" t="str">
        <f>IFERROR(INDEX(競技会設定!$J$3:$O$47,MATCH(J634,競技会設定!$M$3:$M$47,0),5),"")</f>
        <v>名城大</v>
      </c>
      <c r="L634" s="17" t="str">
        <f>IFERROR(INDEX(競技会設定!$J$3:$N$47,MATCH(K634,競技会設定!$N$3:$N$47,0),2),"")</f>
        <v>492184</v>
      </c>
      <c r="M634" s="97" t="s">
        <v>3859</v>
      </c>
      <c r="N634" s="17" t="str">
        <f t="shared" si="28"/>
        <v>FUJI, Naoki</v>
      </c>
      <c r="O634" s="17" t="str">
        <f t="shared" si="29"/>
        <v>96</v>
      </c>
    </row>
    <row r="635" spans="1:15">
      <c r="A635" s="17" t="str">
        <f t="shared" si="27"/>
        <v>501000634</v>
      </c>
      <c r="B635" s="97">
        <v>634</v>
      </c>
      <c r="C635" s="97" t="s">
        <v>1468</v>
      </c>
      <c r="D635" s="97" t="s">
        <v>1469</v>
      </c>
      <c r="E635" s="312" t="s">
        <v>2239</v>
      </c>
      <c r="F635" s="312" t="s">
        <v>2234</v>
      </c>
      <c r="G635" s="97" t="s">
        <v>3382</v>
      </c>
      <c r="H635" s="97" t="s">
        <v>4025</v>
      </c>
      <c r="I635" s="97" t="s">
        <v>4039</v>
      </c>
      <c r="J635" s="97" t="s">
        <v>4066</v>
      </c>
      <c r="K635" s="17" t="str">
        <f>IFERROR(INDEX(競技会設定!$J$3:$O$47,MATCH(J635,競技会設定!$M$3:$M$47,0),5),"")</f>
        <v>名城大</v>
      </c>
      <c r="L635" s="17" t="str">
        <f>IFERROR(INDEX(競技会設定!$J$3:$N$47,MATCH(K635,競技会設定!$N$3:$N$47,0),2),"")</f>
        <v>492184</v>
      </c>
      <c r="M635" s="97" t="s">
        <v>3859</v>
      </c>
      <c r="N635" s="17" t="str">
        <f t="shared" si="28"/>
        <v>ISOBE, Yuto</v>
      </c>
      <c r="O635" s="17" t="str">
        <f t="shared" si="29"/>
        <v>98</v>
      </c>
    </row>
    <row r="636" spans="1:15">
      <c r="A636" s="17" t="str">
        <f t="shared" si="27"/>
        <v>501000635</v>
      </c>
      <c r="B636" s="97">
        <v>635</v>
      </c>
      <c r="C636" s="97" t="s">
        <v>1470</v>
      </c>
      <c r="D636" s="97" t="s">
        <v>1471</v>
      </c>
      <c r="E636" s="312" t="s">
        <v>2515</v>
      </c>
      <c r="F636" s="312" t="s">
        <v>2529</v>
      </c>
      <c r="G636" s="97" t="s">
        <v>3564</v>
      </c>
      <c r="H636" s="97" t="s">
        <v>4025</v>
      </c>
      <c r="I636" s="97" t="s">
        <v>4039</v>
      </c>
      <c r="J636" s="97" t="s">
        <v>4066</v>
      </c>
      <c r="K636" s="17" t="str">
        <f>IFERROR(INDEX(競技会設定!$J$3:$O$47,MATCH(J636,競技会設定!$M$3:$M$47,0),5),"")</f>
        <v>名城大</v>
      </c>
      <c r="L636" s="17" t="str">
        <f>IFERROR(INDEX(競技会設定!$J$3:$N$47,MATCH(K636,競技会設定!$N$3:$N$47,0),2),"")</f>
        <v>492184</v>
      </c>
      <c r="M636" s="97" t="s">
        <v>3855</v>
      </c>
      <c r="N636" s="17" t="str">
        <f t="shared" si="28"/>
        <v>KITAGAWA, Syogo</v>
      </c>
      <c r="O636" s="17" t="str">
        <f t="shared" si="29"/>
        <v>98</v>
      </c>
    </row>
    <row r="637" spans="1:15">
      <c r="A637" s="17" t="str">
        <f t="shared" si="27"/>
        <v>501000636</v>
      </c>
      <c r="B637" s="97">
        <v>636</v>
      </c>
      <c r="C637" s="97" t="s">
        <v>1472</v>
      </c>
      <c r="D637" s="97" t="s">
        <v>1473</v>
      </c>
      <c r="E637" s="312" t="s">
        <v>2640</v>
      </c>
      <c r="F637" s="312" t="s">
        <v>2634</v>
      </c>
      <c r="G637" s="97" t="s">
        <v>3565</v>
      </c>
      <c r="H637" s="97" t="s">
        <v>4025</v>
      </c>
      <c r="I637" s="97" t="s">
        <v>4039</v>
      </c>
      <c r="J637" s="97" t="s">
        <v>4066</v>
      </c>
      <c r="K637" s="17" t="str">
        <f>IFERROR(INDEX(競技会設定!$J$3:$O$47,MATCH(J637,競技会設定!$M$3:$M$47,0),5),"")</f>
        <v>名城大</v>
      </c>
      <c r="L637" s="17" t="str">
        <f>IFERROR(INDEX(競技会設定!$J$3:$N$47,MATCH(K637,競技会設定!$N$3:$N$47,0),2),"")</f>
        <v>492184</v>
      </c>
      <c r="M637" s="97" t="s">
        <v>3861</v>
      </c>
      <c r="N637" s="17" t="str">
        <f t="shared" si="28"/>
        <v>SAKAGUCHI, Hinata</v>
      </c>
      <c r="O637" s="17" t="str">
        <f t="shared" si="29"/>
        <v>98</v>
      </c>
    </row>
    <row r="638" spans="1:15">
      <c r="A638" s="17" t="str">
        <f t="shared" si="27"/>
        <v>501000637</v>
      </c>
      <c r="B638" s="97">
        <v>637</v>
      </c>
      <c r="C638" s="97" t="s">
        <v>1474</v>
      </c>
      <c r="D638" s="97" t="s">
        <v>1475</v>
      </c>
      <c r="E638" s="312" t="s">
        <v>2840</v>
      </c>
      <c r="F638" s="312" t="s">
        <v>2841</v>
      </c>
      <c r="G638" s="97" t="s">
        <v>3566</v>
      </c>
      <c r="H638" s="97" t="s">
        <v>4025</v>
      </c>
      <c r="I638" s="97" t="s">
        <v>4039</v>
      </c>
      <c r="J638" s="97" t="s">
        <v>4066</v>
      </c>
      <c r="K638" s="17" t="str">
        <f>IFERROR(INDEX(競技会設定!$J$3:$O$47,MATCH(J638,競技会設定!$M$3:$M$47,0),5),"")</f>
        <v>名城大</v>
      </c>
      <c r="L638" s="17" t="str">
        <f>IFERROR(INDEX(競技会設定!$J$3:$N$47,MATCH(K638,競技会設定!$N$3:$N$47,0),2),"")</f>
        <v>492184</v>
      </c>
      <c r="M638" s="97" t="s">
        <v>3859</v>
      </c>
      <c r="N638" s="17" t="str">
        <f t="shared" si="28"/>
        <v>SANMA, Kyohei</v>
      </c>
      <c r="O638" s="17" t="str">
        <f t="shared" si="29"/>
        <v>98</v>
      </c>
    </row>
    <row r="639" spans="1:15">
      <c r="A639" s="17" t="str">
        <f t="shared" si="27"/>
        <v>501000638</v>
      </c>
      <c r="B639" s="97">
        <v>638</v>
      </c>
      <c r="C639" s="97" t="s">
        <v>1476</v>
      </c>
      <c r="D639" s="97" t="s">
        <v>1477</v>
      </c>
      <c r="E639" s="312" t="s">
        <v>2842</v>
      </c>
      <c r="F639" s="312" t="s">
        <v>2843</v>
      </c>
      <c r="G639" s="97" t="s">
        <v>3567</v>
      </c>
      <c r="H639" s="97" t="s">
        <v>4025</v>
      </c>
      <c r="I639" s="97" t="s">
        <v>4039</v>
      </c>
      <c r="J639" s="97" t="s">
        <v>4066</v>
      </c>
      <c r="K639" s="17" t="str">
        <f>IFERROR(INDEX(競技会設定!$J$3:$O$47,MATCH(J639,競技会設定!$M$3:$M$47,0),5),"")</f>
        <v>名城大</v>
      </c>
      <c r="L639" s="17" t="str">
        <f>IFERROR(INDEX(競技会設定!$J$3:$N$47,MATCH(K639,競技会設定!$N$3:$N$47,0),2),"")</f>
        <v>492184</v>
      </c>
      <c r="M639" s="97" t="s">
        <v>3859</v>
      </c>
      <c r="N639" s="17" t="str">
        <f t="shared" si="28"/>
        <v>SOGA, Tsukasa</v>
      </c>
      <c r="O639" s="17" t="str">
        <f t="shared" si="29"/>
        <v>97</v>
      </c>
    </row>
    <row r="640" spans="1:15">
      <c r="A640" s="17" t="str">
        <f t="shared" si="27"/>
        <v>501000639</v>
      </c>
      <c r="B640" s="97">
        <v>639</v>
      </c>
      <c r="C640" s="97" t="s">
        <v>1478</v>
      </c>
      <c r="D640" s="97" t="s">
        <v>1479</v>
      </c>
      <c r="E640" s="312" t="s">
        <v>2221</v>
      </c>
      <c r="F640" s="312" t="s">
        <v>2844</v>
      </c>
      <c r="G640" s="97" t="s">
        <v>3568</v>
      </c>
      <c r="H640" s="97" t="s">
        <v>4025</v>
      </c>
      <c r="I640" s="97" t="s">
        <v>4039</v>
      </c>
      <c r="J640" s="97" t="s">
        <v>4066</v>
      </c>
      <c r="K640" s="17" t="str">
        <f>IFERROR(INDEX(競技会設定!$J$3:$O$47,MATCH(J640,競技会設定!$M$3:$M$47,0),5),"")</f>
        <v>名城大</v>
      </c>
      <c r="L640" s="17" t="str">
        <f>IFERROR(INDEX(競技会設定!$J$3:$N$47,MATCH(K640,競技会設定!$N$3:$N$47,0),2),"")</f>
        <v>492184</v>
      </c>
      <c r="M640" s="97" t="s">
        <v>3859</v>
      </c>
      <c r="N640" s="17" t="str">
        <f t="shared" si="28"/>
        <v>TANAKA, Syoya</v>
      </c>
      <c r="O640" s="17" t="str">
        <f t="shared" si="29"/>
        <v>98</v>
      </c>
    </row>
    <row r="641" spans="1:15">
      <c r="A641" s="17" t="str">
        <f t="shared" si="27"/>
        <v>501000640</v>
      </c>
      <c r="B641" s="97">
        <v>640</v>
      </c>
      <c r="C641" s="97" t="s">
        <v>1480</v>
      </c>
      <c r="D641" s="97" t="s">
        <v>1481</v>
      </c>
      <c r="E641" s="312" t="s">
        <v>2381</v>
      </c>
      <c r="F641" s="312" t="s">
        <v>2845</v>
      </c>
      <c r="G641" s="97" t="s">
        <v>3130</v>
      </c>
      <c r="H641" s="97" t="s">
        <v>4024</v>
      </c>
      <c r="I641" s="97" t="s">
        <v>4039</v>
      </c>
      <c r="J641" s="97" t="s">
        <v>4066</v>
      </c>
      <c r="K641" s="17" t="str">
        <f>IFERROR(INDEX(競技会設定!$J$3:$O$47,MATCH(J641,競技会設定!$M$3:$M$47,0),5),"")</f>
        <v>名城大</v>
      </c>
      <c r="L641" s="17" t="str">
        <f>IFERROR(INDEX(競技会設定!$J$3:$N$47,MATCH(K641,競技会設定!$N$3:$N$47,0),2),"")</f>
        <v>492184</v>
      </c>
      <c r="M641" s="97" t="s">
        <v>3859</v>
      </c>
      <c r="N641" s="17" t="str">
        <f t="shared" si="28"/>
        <v>ASAI, Katsuki</v>
      </c>
      <c r="O641" s="17" t="str">
        <f t="shared" si="29"/>
        <v>99</v>
      </c>
    </row>
    <row r="642" spans="1:15">
      <c r="A642" s="17" t="str">
        <f t="shared" si="27"/>
        <v>501000641</v>
      </c>
      <c r="B642" s="97">
        <v>641</v>
      </c>
      <c r="C642" s="97" t="s">
        <v>1482</v>
      </c>
      <c r="D642" s="97" t="s">
        <v>1483</v>
      </c>
      <c r="E642" s="312" t="s">
        <v>2846</v>
      </c>
      <c r="F642" s="312" t="s">
        <v>2403</v>
      </c>
      <c r="G642" s="97" t="s">
        <v>3109</v>
      </c>
      <c r="H642" s="97" t="s">
        <v>4024</v>
      </c>
      <c r="I642" s="97" t="s">
        <v>4039</v>
      </c>
      <c r="J642" s="97" t="s">
        <v>4066</v>
      </c>
      <c r="K642" s="17" t="str">
        <f>IFERROR(INDEX(競技会設定!$J$3:$O$47,MATCH(J642,競技会設定!$M$3:$M$47,0),5),"")</f>
        <v>名城大</v>
      </c>
      <c r="L642" s="17" t="str">
        <f>IFERROR(INDEX(競技会設定!$J$3:$N$47,MATCH(K642,競技会設定!$N$3:$N$47,0),2),"")</f>
        <v>492184</v>
      </c>
      <c r="M642" s="97" t="s">
        <v>3855</v>
      </c>
      <c r="N642" s="17" t="str">
        <f t="shared" si="28"/>
        <v>MITSUKI, Daisuke</v>
      </c>
      <c r="O642" s="17" t="str">
        <f t="shared" si="29"/>
        <v>99</v>
      </c>
    </row>
    <row r="643" spans="1:15">
      <c r="A643" s="17" t="str">
        <f t="shared" ref="A643:A706" si="30">IF(B643="","","501"&amp;TEXT(B643,"000000"))</f>
        <v>501000642</v>
      </c>
      <c r="B643" s="97">
        <v>642</v>
      </c>
      <c r="C643" s="97" t="s">
        <v>1484</v>
      </c>
      <c r="D643" s="97" t="s">
        <v>1485</v>
      </c>
      <c r="E643" s="312" t="s">
        <v>2483</v>
      </c>
      <c r="F643" s="312" t="s">
        <v>2847</v>
      </c>
      <c r="G643" s="97" t="s">
        <v>3306</v>
      </c>
      <c r="H643" s="97" t="s">
        <v>4024</v>
      </c>
      <c r="I643" s="97" t="s">
        <v>4039</v>
      </c>
      <c r="J643" s="97" t="s">
        <v>4066</v>
      </c>
      <c r="K643" s="17" t="str">
        <f>IFERROR(INDEX(競技会設定!$J$3:$O$47,MATCH(J643,競技会設定!$M$3:$M$47,0),5),"")</f>
        <v>名城大</v>
      </c>
      <c r="L643" s="17" t="str">
        <f>IFERROR(INDEX(競技会設定!$J$3:$N$47,MATCH(K643,競技会設定!$N$3:$N$47,0),2),"")</f>
        <v>492184</v>
      </c>
      <c r="M643" s="97" t="s">
        <v>3855</v>
      </c>
      <c r="N643" s="17" t="str">
        <f t="shared" ref="N643:N706" si="31">IF(E643="","",E643&amp;", "&amp;F643)</f>
        <v>YAMAZAKI, Keiryu</v>
      </c>
      <c r="O643" s="17" t="str">
        <f t="shared" ref="O643:O706" si="32">IFERROR(TEXT(INT(LEFT(G643,2)),"00"),"")</f>
        <v>99</v>
      </c>
    </row>
    <row r="644" spans="1:15">
      <c r="A644" s="17" t="str">
        <f t="shared" si="30"/>
        <v>501000643</v>
      </c>
      <c r="B644" s="97">
        <v>643</v>
      </c>
      <c r="C644" s="97" t="s">
        <v>1486</v>
      </c>
      <c r="D644" s="97" t="s">
        <v>1487</v>
      </c>
      <c r="E644" s="312" t="s">
        <v>2848</v>
      </c>
      <c r="F644" s="312" t="s">
        <v>2849</v>
      </c>
      <c r="G644" s="97" t="s">
        <v>3569</v>
      </c>
      <c r="H644" s="97" t="s">
        <v>4026</v>
      </c>
      <c r="I644" s="97" t="s">
        <v>4039</v>
      </c>
      <c r="J644" s="97" t="s">
        <v>4066</v>
      </c>
      <c r="K644" s="17" t="str">
        <f>IFERROR(INDEX(競技会設定!$J$3:$O$47,MATCH(J644,競技会設定!$M$3:$M$47,0),5),"")</f>
        <v>名城大</v>
      </c>
      <c r="L644" s="17" t="str">
        <f>IFERROR(INDEX(競技会設定!$J$3:$N$47,MATCH(K644,競技会設定!$N$3:$N$47,0),2),"")</f>
        <v>492184</v>
      </c>
      <c r="M644" s="97" t="s">
        <v>3859</v>
      </c>
      <c r="N644" s="17" t="str">
        <f t="shared" si="31"/>
        <v>ICHIRYU, Rin</v>
      </c>
      <c r="O644" s="17" t="str">
        <f t="shared" si="32"/>
        <v>00</v>
      </c>
    </row>
    <row r="645" spans="1:15">
      <c r="A645" s="17" t="str">
        <f t="shared" si="30"/>
        <v>501000644</v>
      </c>
      <c r="B645" s="97">
        <v>644</v>
      </c>
      <c r="C645" s="97" t="s">
        <v>1488</v>
      </c>
      <c r="D645" s="97" t="s">
        <v>1489</v>
      </c>
      <c r="E645" s="312" t="s">
        <v>2082</v>
      </c>
      <c r="F645" s="312" t="s">
        <v>2253</v>
      </c>
      <c r="G645" s="97" t="s">
        <v>3163</v>
      </c>
      <c r="H645" s="97" t="s">
        <v>4026</v>
      </c>
      <c r="I645" s="97" t="s">
        <v>4039</v>
      </c>
      <c r="J645" s="97" t="s">
        <v>4066</v>
      </c>
      <c r="K645" s="17" t="str">
        <f>IFERROR(INDEX(競技会設定!$J$3:$O$47,MATCH(J645,競技会設定!$M$3:$M$47,0),5),"")</f>
        <v>名城大</v>
      </c>
      <c r="L645" s="17" t="str">
        <f>IFERROR(INDEX(競技会設定!$J$3:$N$47,MATCH(K645,競技会設定!$N$3:$N$47,0),2),"")</f>
        <v>492184</v>
      </c>
      <c r="M645" s="97" t="s">
        <v>3859</v>
      </c>
      <c r="N645" s="17" t="str">
        <f t="shared" si="31"/>
        <v>ITO, Kentaro</v>
      </c>
      <c r="O645" s="17" t="str">
        <f t="shared" si="32"/>
        <v>00</v>
      </c>
    </row>
    <row r="646" spans="1:15">
      <c r="A646" s="17" t="str">
        <f t="shared" si="30"/>
        <v>501000645</v>
      </c>
      <c r="B646" s="97">
        <v>645</v>
      </c>
      <c r="C646" s="97" t="s">
        <v>1490</v>
      </c>
      <c r="D646" s="97" t="s">
        <v>1491</v>
      </c>
      <c r="E646" s="312" t="s">
        <v>2850</v>
      </c>
      <c r="F646" s="312" t="s">
        <v>2141</v>
      </c>
      <c r="G646" s="97" t="s">
        <v>3427</v>
      </c>
      <c r="H646" s="97" t="s">
        <v>4026</v>
      </c>
      <c r="I646" s="97" t="s">
        <v>4039</v>
      </c>
      <c r="J646" s="97" t="s">
        <v>4066</v>
      </c>
      <c r="K646" s="17" t="str">
        <f>IFERROR(INDEX(競技会設定!$J$3:$O$47,MATCH(J646,競技会設定!$M$3:$M$47,0),5),"")</f>
        <v>名城大</v>
      </c>
      <c r="L646" s="17" t="str">
        <f>IFERROR(INDEX(競技会設定!$J$3:$N$47,MATCH(K646,競技会設定!$N$3:$N$47,0),2),"")</f>
        <v>492184</v>
      </c>
      <c r="M646" s="97" t="s">
        <v>3861</v>
      </c>
      <c r="N646" s="17" t="str">
        <f t="shared" si="31"/>
        <v>KONISHI, Tomoya</v>
      </c>
      <c r="O646" s="17" t="str">
        <f t="shared" si="32"/>
        <v>00</v>
      </c>
    </row>
    <row r="647" spans="1:15">
      <c r="A647" s="17" t="str">
        <f t="shared" si="30"/>
        <v>501000646</v>
      </c>
      <c r="B647" s="97">
        <v>646</v>
      </c>
      <c r="C647" s="97" t="s">
        <v>1492</v>
      </c>
      <c r="D647" s="97" t="s">
        <v>1493</v>
      </c>
      <c r="E647" s="312" t="s">
        <v>2851</v>
      </c>
      <c r="F647" s="312" t="s">
        <v>2852</v>
      </c>
      <c r="G647" s="97" t="s">
        <v>3570</v>
      </c>
      <c r="H647" s="97" t="s">
        <v>4026</v>
      </c>
      <c r="I647" s="97" t="s">
        <v>6659</v>
      </c>
      <c r="J647" s="97" t="s">
        <v>4066</v>
      </c>
      <c r="K647" s="17" t="str">
        <f>IFERROR(INDEX(競技会設定!$J$3:$O$47,MATCH(J647,競技会設定!$M$3:$M$47,0),5),"")</f>
        <v>名城大</v>
      </c>
      <c r="L647" s="17" t="str">
        <f>IFERROR(INDEX(競技会設定!$J$3:$N$47,MATCH(K647,競技会設定!$N$3:$N$47,0),2),"")</f>
        <v>492184</v>
      </c>
      <c r="M647" s="97" t="s">
        <v>3859</v>
      </c>
      <c r="N647" s="17" t="str">
        <f t="shared" si="31"/>
        <v>TAMI, Satoru</v>
      </c>
      <c r="O647" s="17" t="str">
        <f t="shared" si="32"/>
        <v>99</v>
      </c>
    </row>
    <row r="648" spans="1:15">
      <c r="A648" s="17" t="str">
        <f t="shared" si="30"/>
        <v>501000647</v>
      </c>
      <c r="B648" s="97">
        <v>647</v>
      </c>
      <c r="C648" s="97" t="s">
        <v>1494</v>
      </c>
      <c r="D648" s="97" t="s">
        <v>1495</v>
      </c>
      <c r="E648" s="312" t="s">
        <v>2853</v>
      </c>
      <c r="F648" s="312" t="s">
        <v>2854</v>
      </c>
      <c r="G648" s="97" t="s">
        <v>3157</v>
      </c>
      <c r="H648" s="97" t="s">
        <v>4026</v>
      </c>
      <c r="I648" s="97" t="s">
        <v>4039</v>
      </c>
      <c r="J648" s="97" t="s">
        <v>4066</v>
      </c>
      <c r="K648" s="17" t="str">
        <f>IFERROR(INDEX(競技会設定!$J$3:$O$47,MATCH(J648,競技会設定!$M$3:$M$47,0),5),"")</f>
        <v>名城大</v>
      </c>
      <c r="L648" s="17" t="str">
        <f>IFERROR(INDEX(競技会設定!$J$3:$N$47,MATCH(K648,競技会設定!$N$3:$N$47,0),2),"")</f>
        <v>492184</v>
      </c>
      <c r="M648" s="97" t="s">
        <v>3861</v>
      </c>
      <c r="N648" s="17" t="str">
        <f t="shared" si="31"/>
        <v>NAKAGAWA, Sorachi</v>
      </c>
      <c r="O648" s="17" t="str">
        <f t="shared" si="32"/>
        <v>00</v>
      </c>
    </row>
    <row r="649" spans="1:15">
      <c r="A649" s="17" t="str">
        <f t="shared" si="30"/>
        <v>501000648</v>
      </c>
      <c r="B649" s="97">
        <v>648</v>
      </c>
      <c r="C649" s="97" t="s">
        <v>1496</v>
      </c>
      <c r="D649" s="97" t="s">
        <v>7614</v>
      </c>
      <c r="E649" s="312" t="s">
        <v>2855</v>
      </c>
      <c r="F649" s="312" t="s">
        <v>2486</v>
      </c>
      <c r="G649" s="97" t="s">
        <v>3252</v>
      </c>
      <c r="H649" s="97" t="s">
        <v>4026</v>
      </c>
      <c r="I649" s="97" t="s">
        <v>4039</v>
      </c>
      <c r="J649" s="97" t="s">
        <v>4066</v>
      </c>
      <c r="K649" s="17" t="str">
        <f>IFERROR(INDEX(競技会設定!$J$3:$O$47,MATCH(J649,競技会設定!$M$3:$M$47,0),5),"")</f>
        <v>名城大</v>
      </c>
      <c r="L649" s="17" t="str">
        <f>IFERROR(INDEX(競技会設定!$J$3:$N$47,MATCH(K649,競技会設定!$N$3:$N$47,0),2),"")</f>
        <v>492184</v>
      </c>
      <c r="M649" s="97" t="s">
        <v>3859</v>
      </c>
      <c r="N649" s="17" t="str">
        <f t="shared" si="31"/>
        <v>HOSOKI, Shunsuke</v>
      </c>
      <c r="O649" s="17" t="str">
        <f t="shared" si="32"/>
        <v>01</v>
      </c>
    </row>
    <row r="650" spans="1:15">
      <c r="A650" s="17" t="str">
        <f t="shared" si="30"/>
        <v>501000649</v>
      </c>
      <c r="B650" s="97">
        <v>649</v>
      </c>
      <c r="C650" s="97" t="s">
        <v>1497</v>
      </c>
      <c r="D650" s="97" t="s">
        <v>1498</v>
      </c>
      <c r="E650" s="312" t="s">
        <v>2221</v>
      </c>
      <c r="F650" s="312" t="s">
        <v>2145</v>
      </c>
      <c r="G650" s="97" t="s">
        <v>3571</v>
      </c>
      <c r="H650" s="97" t="s">
        <v>4029</v>
      </c>
      <c r="I650" s="97" t="s">
        <v>4039</v>
      </c>
      <c r="J650" s="97" t="s">
        <v>4066</v>
      </c>
      <c r="K650" s="17" t="str">
        <f>IFERROR(INDEX(競技会設定!$J$3:$O$47,MATCH(J650,競技会設定!$M$3:$M$47,0),5),"")</f>
        <v>名城大</v>
      </c>
      <c r="L650" s="17" t="str">
        <f>IFERROR(INDEX(競技会設定!$J$3:$N$47,MATCH(K650,競技会設定!$N$3:$N$47,0),2),"")</f>
        <v>492184</v>
      </c>
      <c r="M650" s="97" t="s">
        <v>3855</v>
      </c>
      <c r="N650" s="17" t="str">
        <f t="shared" si="31"/>
        <v>TANAKA, Koji</v>
      </c>
      <c r="O650" s="17" t="str">
        <f t="shared" si="32"/>
        <v>01</v>
      </c>
    </row>
    <row r="651" spans="1:15">
      <c r="A651" s="17" t="str">
        <f t="shared" si="30"/>
        <v>501000650</v>
      </c>
      <c r="B651" s="97">
        <v>650</v>
      </c>
      <c r="C651" s="97" t="s">
        <v>1499</v>
      </c>
      <c r="D651" s="97" t="s">
        <v>1500</v>
      </c>
      <c r="E651" s="312" t="s">
        <v>2856</v>
      </c>
      <c r="F651" s="312" t="s">
        <v>2108</v>
      </c>
      <c r="G651" s="97" t="s">
        <v>3572</v>
      </c>
      <c r="H651" s="97" t="s">
        <v>3761</v>
      </c>
      <c r="I651" s="97" t="s">
        <v>4039</v>
      </c>
      <c r="J651" s="97" t="s">
        <v>4067</v>
      </c>
      <c r="K651" s="17" t="str">
        <f>IFERROR(INDEX(競技会設定!$J$3:$O$47,MATCH(J651,競技会設定!$M$3:$M$47,0),5),"")</f>
        <v>鈴鹿工業高専</v>
      </c>
      <c r="L651" s="17" t="str">
        <f>IFERROR(INDEX(競技会設定!$J$3:$N$47,MATCH(K651,競技会設定!$N$3:$N$47,0),2),"")</f>
        <v>496026</v>
      </c>
      <c r="M651" s="97" t="s">
        <v>3861</v>
      </c>
      <c r="N651" s="17" t="str">
        <f t="shared" si="31"/>
        <v>FUJIYA, Yuki</v>
      </c>
      <c r="O651" s="17" t="str">
        <f t="shared" si="32"/>
        <v>98</v>
      </c>
    </row>
    <row r="652" spans="1:15">
      <c r="A652" s="17" t="str">
        <f t="shared" si="30"/>
        <v>501000651</v>
      </c>
      <c r="B652" s="97">
        <v>651</v>
      </c>
      <c r="C652" s="97" t="s">
        <v>1501</v>
      </c>
      <c r="D652" s="97" t="s">
        <v>1502</v>
      </c>
      <c r="E652" s="312" t="s">
        <v>2436</v>
      </c>
      <c r="F652" s="312" t="s">
        <v>2137</v>
      </c>
      <c r="G652" s="97" t="s">
        <v>3573</v>
      </c>
      <c r="H652" s="97" t="s">
        <v>4025</v>
      </c>
      <c r="I652" s="97" t="s">
        <v>4039</v>
      </c>
      <c r="J652" s="97" t="s">
        <v>4067</v>
      </c>
      <c r="K652" s="17" t="str">
        <f>IFERROR(INDEX(競技会設定!$J$3:$O$47,MATCH(J652,競技会設定!$M$3:$M$47,0),5),"")</f>
        <v>鈴鹿工業高専</v>
      </c>
      <c r="L652" s="17" t="str">
        <f>IFERROR(INDEX(競技会設定!$J$3:$N$47,MATCH(K652,競技会設定!$N$3:$N$47,0),2),"")</f>
        <v>496026</v>
      </c>
      <c r="M652" s="97" t="s">
        <v>3861</v>
      </c>
      <c r="N652" s="17" t="str">
        <f t="shared" si="31"/>
        <v>OKAZAKI, Ryota</v>
      </c>
      <c r="O652" s="17" t="str">
        <f t="shared" si="32"/>
        <v>00</v>
      </c>
    </row>
    <row r="653" spans="1:15">
      <c r="A653" s="17" t="str">
        <f t="shared" si="30"/>
        <v>501000652</v>
      </c>
      <c r="B653" s="97">
        <v>652</v>
      </c>
      <c r="C653" s="97" t="s">
        <v>1503</v>
      </c>
      <c r="D653" s="97" t="s">
        <v>1504</v>
      </c>
      <c r="E653" s="312" t="s">
        <v>2273</v>
      </c>
      <c r="F653" s="312" t="s">
        <v>2100</v>
      </c>
      <c r="G653" s="97" t="s">
        <v>3574</v>
      </c>
      <c r="H653" s="97" t="s">
        <v>4025</v>
      </c>
      <c r="I653" s="97" t="s">
        <v>4039</v>
      </c>
      <c r="J653" s="97" t="s">
        <v>4067</v>
      </c>
      <c r="K653" s="17" t="str">
        <f>IFERROR(INDEX(競技会設定!$J$3:$O$47,MATCH(J653,競技会設定!$M$3:$M$47,0),5),"")</f>
        <v>鈴鹿工業高専</v>
      </c>
      <c r="L653" s="17" t="str">
        <f>IFERROR(INDEX(競技会設定!$J$3:$N$47,MATCH(K653,競技会設定!$N$3:$N$47,0),2),"")</f>
        <v>496026</v>
      </c>
      <c r="M653" s="97" t="s">
        <v>3861</v>
      </c>
      <c r="N653" s="17" t="str">
        <f t="shared" si="31"/>
        <v>TAKAMATSU, Kaito</v>
      </c>
      <c r="O653" s="17" t="str">
        <f t="shared" si="32"/>
        <v>02</v>
      </c>
    </row>
    <row r="654" spans="1:15">
      <c r="A654" s="17" t="str">
        <f t="shared" si="30"/>
        <v>501000653</v>
      </c>
      <c r="B654" s="97">
        <v>653</v>
      </c>
      <c r="C654" s="97" t="s">
        <v>1505</v>
      </c>
      <c r="D654" s="97" t="s">
        <v>1506</v>
      </c>
      <c r="E654" s="312" t="s">
        <v>2857</v>
      </c>
      <c r="F654" s="312" t="s">
        <v>2835</v>
      </c>
      <c r="G654" s="97" t="s">
        <v>3415</v>
      </c>
      <c r="H654" s="97" t="s">
        <v>4025</v>
      </c>
      <c r="I654" s="97" t="s">
        <v>4039</v>
      </c>
      <c r="J654" s="97" t="s">
        <v>4067</v>
      </c>
      <c r="K654" s="17" t="str">
        <f>IFERROR(INDEX(競技会設定!$J$3:$O$47,MATCH(J654,競技会設定!$M$3:$M$47,0),5),"")</f>
        <v>鈴鹿工業高専</v>
      </c>
      <c r="L654" s="17" t="str">
        <f>IFERROR(INDEX(競技会設定!$J$3:$N$47,MATCH(K654,競技会設定!$N$3:$N$47,0),2),"")</f>
        <v>496026</v>
      </c>
      <c r="M654" s="97" t="s">
        <v>3861</v>
      </c>
      <c r="N654" s="17" t="str">
        <f t="shared" si="31"/>
        <v>KYODO, Kei</v>
      </c>
      <c r="O654" s="17" t="str">
        <f t="shared" si="32"/>
        <v>00</v>
      </c>
    </row>
    <row r="655" spans="1:15">
      <c r="A655" s="17" t="str">
        <f t="shared" si="30"/>
        <v>501000654</v>
      </c>
      <c r="B655" s="97">
        <v>654</v>
      </c>
      <c r="C655" s="97" t="s">
        <v>1507</v>
      </c>
      <c r="D655" s="97" t="s">
        <v>1508</v>
      </c>
      <c r="E655" s="312" t="s">
        <v>2173</v>
      </c>
      <c r="F655" s="312" t="s">
        <v>2293</v>
      </c>
      <c r="G655" s="97" t="s">
        <v>3575</v>
      </c>
      <c r="H655" s="97" t="s">
        <v>4024</v>
      </c>
      <c r="I655" s="97" t="s">
        <v>4039</v>
      </c>
      <c r="J655" s="97" t="s">
        <v>4044</v>
      </c>
      <c r="K655" s="17" t="str">
        <f>IFERROR(INDEX(競技会設定!$J$3:$O$47,MATCH(J655,競技会設定!$M$3:$M$47,0),5),"")</f>
        <v>愛知工業大</v>
      </c>
      <c r="L655" s="17" t="str">
        <f>IFERROR(INDEX(競技会設定!$J$3:$N$47,MATCH(K655,競技会設定!$N$3:$N$47,0),2),"")</f>
        <v>492168</v>
      </c>
      <c r="M655" s="97" t="s">
        <v>3859</v>
      </c>
      <c r="N655" s="17" t="str">
        <f t="shared" si="31"/>
        <v>TAKAHASHI, Koki</v>
      </c>
      <c r="O655" s="17" t="str">
        <f t="shared" si="32"/>
        <v>99</v>
      </c>
    </row>
    <row r="656" spans="1:15">
      <c r="A656" s="17" t="str">
        <f t="shared" si="30"/>
        <v>501000655</v>
      </c>
      <c r="B656" s="97">
        <v>655</v>
      </c>
      <c r="C656" s="97" t="s">
        <v>1509</v>
      </c>
      <c r="D656" s="97" t="s">
        <v>1510</v>
      </c>
      <c r="E656" s="312" t="s">
        <v>2858</v>
      </c>
      <c r="F656" s="312" t="s">
        <v>2193</v>
      </c>
      <c r="G656" s="97" t="s">
        <v>3324</v>
      </c>
      <c r="H656" s="97" t="s">
        <v>4025</v>
      </c>
      <c r="I656" s="97" t="s">
        <v>4039</v>
      </c>
      <c r="J656" s="97" t="s">
        <v>4044</v>
      </c>
      <c r="K656" s="17" t="str">
        <f>IFERROR(INDEX(競技会設定!$J$3:$O$47,MATCH(J656,競技会設定!$M$3:$M$47,0),5),"")</f>
        <v>愛知工業大</v>
      </c>
      <c r="L656" s="17" t="str">
        <f>IFERROR(INDEX(競技会設定!$J$3:$N$47,MATCH(K656,競技会設定!$N$3:$N$47,0),2),"")</f>
        <v>492168</v>
      </c>
      <c r="M656" s="97" t="s">
        <v>3859</v>
      </c>
      <c r="N656" s="17" t="str">
        <f t="shared" si="31"/>
        <v>NOSE, Yuta</v>
      </c>
      <c r="O656" s="17" t="str">
        <f t="shared" si="32"/>
        <v>98</v>
      </c>
    </row>
    <row r="657" spans="1:15">
      <c r="A657" s="17" t="str">
        <f t="shared" si="30"/>
        <v>501000656</v>
      </c>
      <c r="B657" s="97">
        <v>656</v>
      </c>
      <c r="C657" s="97" t="s">
        <v>1511</v>
      </c>
      <c r="D657" s="97" t="s">
        <v>1512</v>
      </c>
      <c r="E657" s="312" t="s">
        <v>2176</v>
      </c>
      <c r="F657" s="312" t="s">
        <v>2859</v>
      </c>
      <c r="G657" s="97" t="s">
        <v>3576</v>
      </c>
      <c r="H657" s="97" t="s">
        <v>4024</v>
      </c>
      <c r="I657" s="97" t="s">
        <v>4039</v>
      </c>
      <c r="J657" s="97" t="s">
        <v>4044</v>
      </c>
      <c r="K657" s="17" t="str">
        <f>IFERROR(INDEX(競技会設定!$J$3:$O$47,MATCH(J657,競技会設定!$M$3:$M$47,0),5),"")</f>
        <v>愛知工業大</v>
      </c>
      <c r="L657" s="17" t="str">
        <f>IFERROR(INDEX(競技会設定!$J$3:$N$47,MATCH(K657,競技会設定!$N$3:$N$47,0),2),"")</f>
        <v>492168</v>
      </c>
      <c r="M657" s="97" t="s">
        <v>3857</v>
      </c>
      <c r="N657" s="17" t="str">
        <f t="shared" si="31"/>
        <v>NAKAMURA, Toshihiro</v>
      </c>
      <c r="O657" s="17" t="str">
        <f t="shared" si="32"/>
        <v>99</v>
      </c>
    </row>
    <row r="658" spans="1:15">
      <c r="A658" s="17" t="str">
        <f t="shared" si="30"/>
        <v>501000657</v>
      </c>
      <c r="B658" s="97">
        <v>657</v>
      </c>
      <c r="C658" s="97" t="s">
        <v>1513</v>
      </c>
      <c r="D658" s="97" t="s">
        <v>1514</v>
      </c>
      <c r="E658" s="312" t="s">
        <v>2860</v>
      </c>
      <c r="F658" s="312" t="s">
        <v>2091</v>
      </c>
      <c r="G658" s="97" t="s">
        <v>3305</v>
      </c>
      <c r="H658" s="97" t="s">
        <v>4024</v>
      </c>
      <c r="I658" s="97" t="s">
        <v>4039</v>
      </c>
      <c r="J658" s="97" t="s">
        <v>4044</v>
      </c>
      <c r="K658" s="17" t="str">
        <f>IFERROR(INDEX(競技会設定!$J$3:$O$47,MATCH(J658,競技会設定!$M$3:$M$47,0),5),"")</f>
        <v>愛知工業大</v>
      </c>
      <c r="L658" s="17" t="str">
        <f>IFERROR(INDEX(競技会設定!$J$3:$N$47,MATCH(K658,競技会設定!$N$3:$N$47,0),2),"")</f>
        <v>492168</v>
      </c>
      <c r="M658" s="97" t="s">
        <v>3859</v>
      </c>
      <c r="N658" s="17" t="str">
        <f t="shared" si="31"/>
        <v>ANDO, Takahiro</v>
      </c>
      <c r="O658" s="17" t="str">
        <f t="shared" si="32"/>
        <v>99</v>
      </c>
    </row>
    <row r="659" spans="1:15">
      <c r="A659" s="17" t="str">
        <f t="shared" si="30"/>
        <v>501000658</v>
      </c>
      <c r="B659" s="97">
        <v>658</v>
      </c>
      <c r="C659" s="97" t="s">
        <v>1515</v>
      </c>
      <c r="D659" s="97" t="s">
        <v>1516</v>
      </c>
      <c r="E659" s="312" t="s">
        <v>2556</v>
      </c>
      <c r="F659" s="312" t="s">
        <v>2861</v>
      </c>
      <c r="G659" s="97" t="s">
        <v>3577</v>
      </c>
      <c r="H659" s="97" t="s">
        <v>4024</v>
      </c>
      <c r="I659" s="97" t="s">
        <v>4039</v>
      </c>
      <c r="J659" s="97" t="s">
        <v>4044</v>
      </c>
      <c r="K659" s="17" t="str">
        <f>IFERROR(INDEX(競技会設定!$J$3:$O$47,MATCH(J659,競技会設定!$M$3:$M$47,0),5),"")</f>
        <v>愛知工業大</v>
      </c>
      <c r="L659" s="17" t="str">
        <f>IFERROR(INDEX(競技会設定!$J$3:$N$47,MATCH(K659,競技会設定!$N$3:$N$47,0),2),"")</f>
        <v>492168</v>
      </c>
      <c r="M659" s="97" t="s">
        <v>3859</v>
      </c>
      <c r="N659" s="17" t="str">
        <f t="shared" si="31"/>
        <v>OKANO, Hideaki</v>
      </c>
      <c r="O659" s="17" t="str">
        <f t="shared" si="32"/>
        <v>99</v>
      </c>
    </row>
    <row r="660" spans="1:15">
      <c r="A660" s="17" t="str">
        <f t="shared" si="30"/>
        <v>501000659</v>
      </c>
      <c r="B660" s="97">
        <v>659</v>
      </c>
      <c r="C660" s="97" t="s">
        <v>1517</v>
      </c>
      <c r="D660" s="97" t="s">
        <v>1518</v>
      </c>
      <c r="E660" s="312" t="s">
        <v>2541</v>
      </c>
      <c r="F660" s="312" t="s">
        <v>2137</v>
      </c>
      <c r="G660" s="97" t="s">
        <v>3578</v>
      </c>
      <c r="H660" s="97" t="s">
        <v>4026</v>
      </c>
      <c r="I660" s="97" t="s">
        <v>4039</v>
      </c>
      <c r="J660" s="97" t="s">
        <v>4044</v>
      </c>
      <c r="K660" s="17" t="str">
        <f>IFERROR(INDEX(競技会設定!$J$3:$O$47,MATCH(J660,競技会設定!$M$3:$M$47,0),5),"")</f>
        <v>愛知工業大</v>
      </c>
      <c r="L660" s="17" t="str">
        <f>IFERROR(INDEX(競技会設定!$J$3:$N$47,MATCH(K660,競技会設定!$N$3:$N$47,0),2),"")</f>
        <v>492168</v>
      </c>
      <c r="M660" s="97" t="s">
        <v>3859</v>
      </c>
      <c r="N660" s="17" t="str">
        <f t="shared" si="31"/>
        <v>OGAWA, Ryota</v>
      </c>
      <c r="O660" s="17" t="str">
        <f t="shared" si="32"/>
        <v>00</v>
      </c>
    </row>
    <row r="661" spans="1:15">
      <c r="A661" s="17" t="str">
        <f t="shared" si="30"/>
        <v>501000660</v>
      </c>
      <c r="B661" s="97">
        <v>660</v>
      </c>
      <c r="C661" s="97" t="s">
        <v>1519</v>
      </c>
      <c r="D661" s="97" t="s">
        <v>1520</v>
      </c>
      <c r="E661" s="312" t="s">
        <v>2862</v>
      </c>
      <c r="F661" s="312" t="s">
        <v>2594</v>
      </c>
      <c r="G661" s="97" t="s">
        <v>3579</v>
      </c>
      <c r="H661" s="97" t="s">
        <v>4025</v>
      </c>
      <c r="I661" s="97" t="s">
        <v>4039</v>
      </c>
      <c r="J661" s="97" t="s">
        <v>4044</v>
      </c>
      <c r="K661" s="17" t="str">
        <f>IFERROR(INDEX(競技会設定!$J$3:$O$47,MATCH(J661,競技会設定!$M$3:$M$47,0),5),"")</f>
        <v>愛知工業大</v>
      </c>
      <c r="L661" s="17" t="str">
        <f>IFERROR(INDEX(競技会設定!$J$3:$N$47,MATCH(K661,競技会設定!$N$3:$N$47,0),2),"")</f>
        <v>492168</v>
      </c>
      <c r="M661" s="97" t="s">
        <v>3859</v>
      </c>
      <c r="N661" s="17" t="str">
        <f t="shared" si="31"/>
        <v>AMANO, Kaisei</v>
      </c>
      <c r="O661" s="17" t="str">
        <f t="shared" si="32"/>
        <v>98</v>
      </c>
    </row>
    <row r="662" spans="1:15">
      <c r="A662" s="17" t="str">
        <f t="shared" si="30"/>
        <v>501000661</v>
      </c>
      <c r="B662" s="97">
        <v>661</v>
      </c>
      <c r="C662" s="97" t="s">
        <v>1521</v>
      </c>
      <c r="D662" s="97" t="s">
        <v>1522</v>
      </c>
      <c r="E662" s="312" t="s">
        <v>2259</v>
      </c>
      <c r="F662" s="312" t="s">
        <v>2767</v>
      </c>
      <c r="G662" s="97" t="s">
        <v>3122</v>
      </c>
      <c r="H662" s="97" t="s">
        <v>4024</v>
      </c>
      <c r="I662" s="97" t="s">
        <v>4039</v>
      </c>
      <c r="J662" s="97" t="s">
        <v>4044</v>
      </c>
      <c r="K662" s="17" t="str">
        <f>IFERROR(INDEX(競技会設定!$J$3:$O$47,MATCH(J662,競技会設定!$M$3:$M$47,0),5),"")</f>
        <v>愛知工業大</v>
      </c>
      <c r="L662" s="17" t="str">
        <f>IFERROR(INDEX(競技会設定!$J$3:$N$47,MATCH(K662,競技会設定!$N$3:$N$47,0),2),"")</f>
        <v>492168</v>
      </c>
      <c r="M662" s="97" t="s">
        <v>3859</v>
      </c>
      <c r="N662" s="17" t="str">
        <f t="shared" si="31"/>
        <v>YAMAMOTO, Haruhi</v>
      </c>
      <c r="O662" s="17" t="str">
        <f t="shared" si="32"/>
        <v>99</v>
      </c>
    </row>
    <row r="663" spans="1:15">
      <c r="A663" s="17" t="str">
        <f t="shared" si="30"/>
        <v>501000662</v>
      </c>
      <c r="B663" s="97">
        <v>662</v>
      </c>
      <c r="C663" s="97" t="s">
        <v>1523</v>
      </c>
      <c r="D663" s="97" t="s">
        <v>1524</v>
      </c>
      <c r="E663" s="312" t="s">
        <v>2146</v>
      </c>
      <c r="F663" s="312" t="s">
        <v>2863</v>
      </c>
      <c r="G663" s="97" t="s">
        <v>3279</v>
      </c>
      <c r="H663" s="97" t="s">
        <v>4025</v>
      </c>
      <c r="I663" s="97" t="s">
        <v>4039</v>
      </c>
      <c r="J663" s="97" t="s">
        <v>4068</v>
      </c>
      <c r="K663" s="17" t="str">
        <f>IFERROR(INDEX(競技会設定!$J$3:$O$47,MATCH(J663,競技会設定!$M$3:$M$47,0),5),"")</f>
        <v>愛知東邦大</v>
      </c>
      <c r="L663" s="17" t="str">
        <f>IFERROR(INDEX(競技会設定!$J$3:$N$47,MATCH(K663,競技会設定!$N$3:$N$47,0),2),"")</f>
        <v>492491</v>
      </c>
      <c r="M663" s="97" t="s">
        <v>3859</v>
      </c>
      <c r="N663" s="17" t="str">
        <f t="shared" si="31"/>
        <v>HATTORI, Shosei</v>
      </c>
      <c r="O663" s="17" t="str">
        <f t="shared" si="32"/>
        <v>98</v>
      </c>
    </row>
    <row r="664" spans="1:15">
      <c r="A664" s="17" t="str">
        <f t="shared" si="30"/>
        <v>501000663</v>
      </c>
      <c r="B664" s="97">
        <v>663</v>
      </c>
      <c r="C664" s="97" t="s">
        <v>1525</v>
      </c>
      <c r="D664" s="97" t="s">
        <v>1526</v>
      </c>
      <c r="E664" s="312" t="s">
        <v>2285</v>
      </c>
      <c r="F664" s="312" t="s">
        <v>2252</v>
      </c>
      <c r="G664" s="97" t="s">
        <v>3304</v>
      </c>
      <c r="H664" s="97" t="s">
        <v>4024</v>
      </c>
      <c r="I664" s="97" t="s">
        <v>4039</v>
      </c>
      <c r="J664" s="97" t="s">
        <v>4068</v>
      </c>
      <c r="K664" s="17" t="str">
        <f>IFERROR(INDEX(競技会設定!$J$3:$O$47,MATCH(J664,競技会設定!$M$3:$M$47,0),5),"")</f>
        <v>愛知東邦大</v>
      </c>
      <c r="L664" s="17" t="str">
        <f>IFERROR(INDEX(競技会設定!$J$3:$N$47,MATCH(K664,競技会設定!$N$3:$N$47,0),2),"")</f>
        <v>492491</v>
      </c>
      <c r="M664" s="97" t="s">
        <v>3859</v>
      </c>
      <c r="N664" s="17" t="str">
        <f t="shared" si="31"/>
        <v>SAKURAI, Hayate</v>
      </c>
      <c r="O664" s="17" t="str">
        <f t="shared" si="32"/>
        <v>00</v>
      </c>
    </row>
    <row r="665" spans="1:15">
      <c r="A665" s="17" t="str">
        <f t="shared" si="30"/>
        <v>501000664</v>
      </c>
      <c r="B665" s="97">
        <v>664</v>
      </c>
      <c r="C665" s="97" t="s">
        <v>1527</v>
      </c>
      <c r="D665" s="97" t="s">
        <v>1528</v>
      </c>
      <c r="E665" s="312" t="s">
        <v>2221</v>
      </c>
      <c r="F665" s="312" t="s">
        <v>2268</v>
      </c>
      <c r="G665" s="97" t="s">
        <v>3580</v>
      </c>
      <c r="H665" s="97" t="s">
        <v>4024</v>
      </c>
      <c r="I665" s="97" t="s">
        <v>4039</v>
      </c>
      <c r="J665" s="97" t="s">
        <v>4068</v>
      </c>
      <c r="K665" s="17" t="str">
        <f>IFERROR(INDEX(競技会設定!$J$3:$O$47,MATCH(J665,競技会設定!$M$3:$M$47,0),5),"")</f>
        <v>愛知東邦大</v>
      </c>
      <c r="L665" s="17" t="str">
        <f>IFERROR(INDEX(競技会設定!$J$3:$N$47,MATCH(K665,競技会設定!$N$3:$N$47,0),2),"")</f>
        <v>492491</v>
      </c>
      <c r="M665" s="97" t="s">
        <v>3861</v>
      </c>
      <c r="N665" s="17" t="str">
        <f t="shared" si="31"/>
        <v>TANAKA, Makoto</v>
      </c>
      <c r="O665" s="17" t="str">
        <f t="shared" si="32"/>
        <v>99</v>
      </c>
    </row>
    <row r="666" spans="1:15">
      <c r="A666" s="17" t="str">
        <f t="shared" si="30"/>
        <v>501000665</v>
      </c>
      <c r="B666" s="97">
        <v>665</v>
      </c>
      <c r="C666" s="97" t="s">
        <v>1529</v>
      </c>
      <c r="D666" s="97" t="s">
        <v>1530</v>
      </c>
      <c r="E666" s="312" t="s">
        <v>2864</v>
      </c>
      <c r="F666" s="312" t="s">
        <v>2497</v>
      </c>
      <c r="G666" s="97" t="s">
        <v>3456</v>
      </c>
      <c r="H666" s="97" t="s">
        <v>4026</v>
      </c>
      <c r="I666" s="97" t="s">
        <v>4039</v>
      </c>
      <c r="J666" s="97" t="s">
        <v>4054</v>
      </c>
      <c r="K666" s="17" t="str">
        <f>IFERROR(INDEX(競技会設定!$J$3:$O$47,MATCH(J666,競技会設定!$M$3:$M$47,0),5),"")</f>
        <v>三重大</v>
      </c>
      <c r="L666" s="17" t="str">
        <f>IFERROR(INDEX(競技会設定!$J$3:$N$47,MATCH(K666,競技会設定!$N$3:$N$47,0),2),"")</f>
        <v>490046</v>
      </c>
      <c r="M666" s="97" t="s">
        <v>3859</v>
      </c>
      <c r="N666" s="17" t="str">
        <f t="shared" si="31"/>
        <v>TANDA, Shoya</v>
      </c>
      <c r="O666" s="17" t="str">
        <f t="shared" si="32"/>
        <v>01</v>
      </c>
    </row>
    <row r="667" spans="1:15">
      <c r="A667" s="17" t="str">
        <f t="shared" si="30"/>
        <v>501000666</v>
      </c>
      <c r="B667" s="97">
        <v>666</v>
      </c>
      <c r="C667" s="97" t="s">
        <v>1531</v>
      </c>
      <c r="D667" s="97" t="s">
        <v>1532</v>
      </c>
      <c r="E667" s="312" t="s">
        <v>2865</v>
      </c>
      <c r="F667" s="312" t="s">
        <v>2866</v>
      </c>
      <c r="G667" s="97" t="s">
        <v>3581</v>
      </c>
      <c r="H667" s="97" t="s">
        <v>4024</v>
      </c>
      <c r="I667" s="97" t="s">
        <v>4039</v>
      </c>
      <c r="J667" s="97" t="s">
        <v>4054</v>
      </c>
      <c r="K667" s="17" t="str">
        <f>IFERROR(INDEX(競技会設定!$J$3:$O$47,MATCH(J667,競技会設定!$M$3:$M$47,0),5),"")</f>
        <v>三重大</v>
      </c>
      <c r="L667" s="17" t="str">
        <f>IFERROR(INDEX(競技会設定!$J$3:$N$47,MATCH(K667,競技会設定!$N$3:$N$47,0),2),"")</f>
        <v>490046</v>
      </c>
      <c r="M667" s="97" t="s">
        <v>3861</v>
      </c>
      <c r="N667" s="17" t="str">
        <f t="shared" si="31"/>
        <v>KUNO, Gakuto</v>
      </c>
      <c r="O667" s="17" t="str">
        <f t="shared" si="32"/>
        <v>99</v>
      </c>
    </row>
    <row r="668" spans="1:15">
      <c r="A668" s="17" t="str">
        <f t="shared" si="30"/>
        <v>501000667</v>
      </c>
      <c r="B668" s="97">
        <v>667</v>
      </c>
      <c r="C668" s="97" t="s">
        <v>1533</v>
      </c>
      <c r="D668" s="97" t="s">
        <v>1534</v>
      </c>
      <c r="E668" s="312" t="s">
        <v>2867</v>
      </c>
      <c r="F668" s="312" t="s">
        <v>2124</v>
      </c>
      <c r="G668" s="97" t="s">
        <v>3582</v>
      </c>
      <c r="H668" s="97" t="s">
        <v>4025</v>
      </c>
      <c r="I668" s="97" t="s">
        <v>4039</v>
      </c>
      <c r="J668" s="97" t="s">
        <v>4069</v>
      </c>
      <c r="K668" s="17" t="str">
        <f>IFERROR(INDEX(競技会設定!$J$3:$O$47,MATCH(J668,競技会設定!$M$3:$M$47,0),5),"")</f>
        <v>静岡産業大</v>
      </c>
      <c r="L668" s="17" t="str">
        <f>IFERROR(INDEX(競技会設定!$J$3:$N$47,MATCH(K668,競技会設定!$N$3:$N$47,0),2),"")</f>
        <v>492398</v>
      </c>
      <c r="M668" s="97" t="s">
        <v>3857</v>
      </c>
      <c r="N668" s="17" t="str">
        <f t="shared" si="31"/>
        <v>KOMATSU, Keita</v>
      </c>
      <c r="O668" s="17" t="str">
        <f t="shared" si="32"/>
        <v>98</v>
      </c>
    </row>
    <row r="669" spans="1:15">
      <c r="A669" s="17" t="str">
        <f t="shared" si="30"/>
        <v>501000668</v>
      </c>
      <c r="B669" s="97">
        <v>668</v>
      </c>
      <c r="C669" s="97" t="s">
        <v>1535</v>
      </c>
      <c r="D669" s="97" t="s">
        <v>1536</v>
      </c>
      <c r="E669" s="312" t="s">
        <v>2082</v>
      </c>
      <c r="F669" s="312" t="s">
        <v>2868</v>
      </c>
      <c r="G669" s="97" t="s">
        <v>3583</v>
      </c>
      <c r="H669" s="97" t="s">
        <v>4025</v>
      </c>
      <c r="I669" s="97" t="s">
        <v>4039</v>
      </c>
      <c r="J669" s="97" t="s">
        <v>4069</v>
      </c>
      <c r="K669" s="17" t="str">
        <f>IFERROR(INDEX(競技会設定!$J$3:$O$47,MATCH(J669,競技会設定!$M$3:$M$47,0),5),"")</f>
        <v>静岡産業大</v>
      </c>
      <c r="L669" s="17" t="str">
        <f>IFERROR(INDEX(競技会設定!$J$3:$N$47,MATCH(K669,競技会設定!$N$3:$N$47,0),2),"")</f>
        <v>492398</v>
      </c>
      <c r="M669" s="97" t="s">
        <v>3857</v>
      </c>
      <c r="N669" s="17" t="str">
        <f t="shared" si="31"/>
        <v>ITO, Tosiki</v>
      </c>
      <c r="O669" s="17" t="str">
        <f t="shared" si="32"/>
        <v>98</v>
      </c>
    </row>
    <row r="670" spans="1:15">
      <c r="A670" s="17" t="str">
        <f t="shared" si="30"/>
        <v>501000669</v>
      </c>
      <c r="B670" s="97">
        <v>669</v>
      </c>
      <c r="C670" s="97" t="s">
        <v>1537</v>
      </c>
      <c r="D670" s="97" t="s">
        <v>1538</v>
      </c>
      <c r="E670" s="312" t="s">
        <v>2869</v>
      </c>
      <c r="F670" s="312" t="s">
        <v>2870</v>
      </c>
      <c r="G670" s="97" t="s">
        <v>3584</v>
      </c>
      <c r="H670" s="97" t="s">
        <v>4025</v>
      </c>
      <c r="I670" s="97" t="s">
        <v>4039</v>
      </c>
      <c r="J670" s="97" t="s">
        <v>4069</v>
      </c>
      <c r="K670" s="17" t="str">
        <f>IFERROR(INDEX(競技会設定!$J$3:$O$47,MATCH(J670,競技会設定!$M$3:$M$47,0),5),"")</f>
        <v>静岡産業大</v>
      </c>
      <c r="L670" s="17" t="str">
        <f>IFERROR(INDEX(競技会設定!$J$3:$N$47,MATCH(K670,競技会設定!$N$3:$N$47,0),2),"")</f>
        <v>492398</v>
      </c>
      <c r="M670" s="97" t="s">
        <v>3857</v>
      </c>
      <c r="N670" s="17" t="str">
        <f t="shared" si="31"/>
        <v>KOUDUKA, Kazuaki</v>
      </c>
      <c r="O670" s="17" t="str">
        <f t="shared" si="32"/>
        <v>98</v>
      </c>
    </row>
    <row r="671" spans="1:15">
      <c r="A671" s="17" t="str">
        <f t="shared" si="30"/>
        <v>501000670</v>
      </c>
      <c r="B671" s="97">
        <v>670</v>
      </c>
      <c r="C671" s="97" t="s">
        <v>1539</v>
      </c>
      <c r="D671" s="97" t="s">
        <v>1540</v>
      </c>
      <c r="E671" s="312" t="s">
        <v>2233</v>
      </c>
      <c r="F671" s="312" t="s">
        <v>2871</v>
      </c>
      <c r="G671" s="97" t="s">
        <v>3122</v>
      </c>
      <c r="H671" s="97" t="s">
        <v>4024</v>
      </c>
      <c r="I671" s="97" t="s">
        <v>4039</v>
      </c>
      <c r="J671" s="97" t="s">
        <v>4069</v>
      </c>
      <c r="K671" s="17" t="str">
        <f>IFERROR(INDEX(競技会設定!$J$3:$O$47,MATCH(J671,競技会設定!$M$3:$M$47,0),5),"")</f>
        <v>静岡産業大</v>
      </c>
      <c r="L671" s="17" t="str">
        <f>IFERROR(INDEX(競技会設定!$J$3:$N$47,MATCH(K671,競技会設定!$N$3:$N$47,0),2),"")</f>
        <v>492398</v>
      </c>
      <c r="M671" s="97" t="s">
        <v>3857</v>
      </c>
      <c r="N671" s="17" t="str">
        <f t="shared" si="31"/>
        <v>SUZUKI, Ayato</v>
      </c>
      <c r="O671" s="17" t="str">
        <f t="shared" si="32"/>
        <v>99</v>
      </c>
    </row>
    <row r="672" spans="1:15">
      <c r="A672" s="17" t="str">
        <f t="shared" si="30"/>
        <v>501000671</v>
      </c>
      <c r="B672" s="97">
        <v>671</v>
      </c>
      <c r="C672" s="97" t="s">
        <v>1541</v>
      </c>
      <c r="D672" s="97" t="s">
        <v>1542</v>
      </c>
      <c r="E672" s="312" t="s">
        <v>2496</v>
      </c>
      <c r="F672" s="312" t="s">
        <v>2830</v>
      </c>
      <c r="G672" s="97" t="s">
        <v>3418</v>
      </c>
      <c r="H672" s="97" t="s">
        <v>4026</v>
      </c>
      <c r="I672" s="97" t="s">
        <v>4039</v>
      </c>
      <c r="J672" s="97" t="s">
        <v>4069</v>
      </c>
      <c r="K672" s="17" t="str">
        <f>IFERROR(INDEX(競技会設定!$J$3:$O$47,MATCH(J672,競技会設定!$M$3:$M$47,0),5),"")</f>
        <v>静岡産業大</v>
      </c>
      <c r="L672" s="17" t="str">
        <f>IFERROR(INDEX(競技会設定!$J$3:$N$47,MATCH(K672,競技会設定!$N$3:$N$47,0),2),"")</f>
        <v>492398</v>
      </c>
      <c r="M672" s="97" t="s">
        <v>3857</v>
      </c>
      <c r="N672" s="17" t="str">
        <f t="shared" si="31"/>
        <v>NISHIMURA, Yuma</v>
      </c>
      <c r="O672" s="17" t="str">
        <f t="shared" si="32"/>
        <v>00</v>
      </c>
    </row>
    <row r="673" spans="1:15">
      <c r="A673" s="17" t="str">
        <f t="shared" si="30"/>
        <v>501000672</v>
      </c>
      <c r="B673" s="97">
        <v>672</v>
      </c>
      <c r="C673" s="97" t="s">
        <v>1543</v>
      </c>
      <c r="D673" s="97" t="s">
        <v>1544</v>
      </c>
      <c r="E673" s="312" t="s">
        <v>2872</v>
      </c>
      <c r="F673" s="312" t="s">
        <v>2637</v>
      </c>
      <c r="G673" s="97" t="s">
        <v>3465</v>
      </c>
      <c r="H673" s="97" t="s">
        <v>4026</v>
      </c>
      <c r="I673" s="97" t="s">
        <v>4039</v>
      </c>
      <c r="J673" s="97" t="s">
        <v>4069</v>
      </c>
      <c r="K673" s="17" t="str">
        <f>IFERROR(INDEX(競技会設定!$J$3:$O$47,MATCH(J673,競技会設定!$M$3:$M$47,0),5),"")</f>
        <v>静岡産業大</v>
      </c>
      <c r="L673" s="17" t="str">
        <f>IFERROR(INDEX(競技会設定!$J$3:$N$47,MATCH(K673,競技会設定!$N$3:$N$47,0),2),"")</f>
        <v>492398</v>
      </c>
      <c r="M673" s="97" t="s">
        <v>3857</v>
      </c>
      <c r="N673" s="17" t="str">
        <f t="shared" si="31"/>
        <v>KONO, Kento</v>
      </c>
      <c r="O673" s="17" t="str">
        <f t="shared" si="32"/>
        <v>00</v>
      </c>
    </row>
    <row r="674" spans="1:15">
      <c r="A674" s="17" t="str">
        <f t="shared" si="30"/>
        <v>501000673</v>
      </c>
      <c r="B674" s="97">
        <v>673</v>
      </c>
      <c r="C674" s="97" t="s">
        <v>1545</v>
      </c>
      <c r="D674" s="97" t="s">
        <v>1546</v>
      </c>
      <c r="E674" s="312" t="s">
        <v>2873</v>
      </c>
      <c r="F674" s="312" t="s">
        <v>2356</v>
      </c>
      <c r="G674" s="97" t="s">
        <v>3216</v>
      </c>
      <c r="H674" s="97" t="s">
        <v>4026</v>
      </c>
      <c r="I674" s="97" t="s">
        <v>4039</v>
      </c>
      <c r="J674" s="97" t="s">
        <v>4069</v>
      </c>
      <c r="K674" s="17" t="str">
        <f>IFERROR(INDEX(競技会設定!$J$3:$O$47,MATCH(J674,競技会設定!$M$3:$M$47,0),5),"")</f>
        <v>静岡産業大</v>
      </c>
      <c r="L674" s="17" t="str">
        <f>IFERROR(INDEX(競技会設定!$J$3:$N$47,MATCH(K674,競技会設定!$N$3:$N$47,0),2),"")</f>
        <v>492398</v>
      </c>
      <c r="M674" s="97" t="s">
        <v>3857</v>
      </c>
      <c r="N674" s="17" t="str">
        <f t="shared" si="31"/>
        <v>TAKAI, Shun</v>
      </c>
      <c r="O674" s="17" t="str">
        <f t="shared" si="32"/>
        <v>99</v>
      </c>
    </row>
    <row r="675" spans="1:15">
      <c r="A675" s="17" t="str">
        <f t="shared" si="30"/>
        <v>501000674</v>
      </c>
      <c r="B675" s="97">
        <v>674</v>
      </c>
      <c r="C675" s="97" t="s">
        <v>1547</v>
      </c>
      <c r="D675" s="97" t="s">
        <v>1548</v>
      </c>
      <c r="E675" s="312" t="s">
        <v>2410</v>
      </c>
      <c r="F675" s="312" t="s">
        <v>2234</v>
      </c>
      <c r="G675" s="97" t="s">
        <v>3585</v>
      </c>
      <c r="H675" s="97" t="s">
        <v>4029</v>
      </c>
      <c r="I675" s="97" t="s">
        <v>4039</v>
      </c>
      <c r="J675" s="97" t="s">
        <v>4069</v>
      </c>
      <c r="K675" s="17" t="str">
        <f>IFERROR(INDEX(競技会設定!$J$3:$O$47,MATCH(J675,競技会設定!$M$3:$M$47,0),5),"")</f>
        <v>静岡産業大</v>
      </c>
      <c r="L675" s="17" t="str">
        <f>IFERROR(INDEX(競技会設定!$J$3:$N$47,MATCH(K675,競技会設定!$N$3:$N$47,0),2),"")</f>
        <v>492398</v>
      </c>
      <c r="M675" s="97" t="s">
        <v>3857</v>
      </c>
      <c r="N675" s="17" t="str">
        <f t="shared" si="31"/>
        <v>SUGIYAMA, Yuto</v>
      </c>
      <c r="O675" s="17" t="str">
        <f t="shared" si="32"/>
        <v>01</v>
      </c>
    </row>
    <row r="676" spans="1:15">
      <c r="A676" s="17" t="str">
        <f t="shared" si="30"/>
        <v>501000675</v>
      </c>
      <c r="B676" s="97">
        <v>675</v>
      </c>
      <c r="C676" s="97" t="s">
        <v>1549</v>
      </c>
      <c r="D676" s="97" t="s">
        <v>1550</v>
      </c>
      <c r="E676" s="312" t="s">
        <v>2874</v>
      </c>
      <c r="F676" s="312" t="s">
        <v>2875</v>
      </c>
      <c r="G676" s="97" t="s">
        <v>3586</v>
      </c>
      <c r="H676" s="97" t="s">
        <v>4031</v>
      </c>
      <c r="I676" s="97" t="s">
        <v>4039</v>
      </c>
      <c r="J676" s="97" t="s">
        <v>4070</v>
      </c>
      <c r="K676" s="17" t="str">
        <f>IFERROR(INDEX(競技会設定!$J$3:$O$47,MATCH(J676,競技会設定!$M$3:$M$47,0),5),"")</f>
        <v>藤田医科大</v>
      </c>
      <c r="L676" s="17" t="str">
        <f>IFERROR(INDEX(競技会設定!$J$3:$N$47,MATCH(K676,競技会設定!$N$3:$N$47,0),2),"")</f>
        <v>492181</v>
      </c>
      <c r="M676" s="97" t="s">
        <v>3859</v>
      </c>
      <c r="N676" s="17" t="str">
        <f t="shared" si="31"/>
        <v>MOTOMURA, Jun</v>
      </c>
      <c r="O676" s="17" t="str">
        <f t="shared" si="32"/>
        <v>94</v>
      </c>
    </row>
    <row r="677" spans="1:15">
      <c r="A677" s="17" t="str">
        <f t="shared" si="30"/>
        <v>501000676</v>
      </c>
      <c r="B677" s="97">
        <v>676</v>
      </c>
      <c r="C677" s="97" t="s">
        <v>1551</v>
      </c>
      <c r="D677" s="97" t="s">
        <v>1552</v>
      </c>
      <c r="E677" s="312" t="s">
        <v>2876</v>
      </c>
      <c r="F677" s="312" t="s">
        <v>2286</v>
      </c>
      <c r="G677" s="97" t="s">
        <v>3380</v>
      </c>
      <c r="H677" s="97" t="s">
        <v>4026</v>
      </c>
      <c r="I677" s="97" t="s">
        <v>4039</v>
      </c>
      <c r="J677" s="97" t="s">
        <v>4070</v>
      </c>
      <c r="K677" s="17" t="str">
        <f>IFERROR(INDEX(競技会設定!$J$3:$O$47,MATCH(J677,競技会設定!$M$3:$M$47,0),5),"")</f>
        <v>藤田医科大</v>
      </c>
      <c r="L677" s="17" t="str">
        <f>IFERROR(INDEX(競技会設定!$J$3:$N$47,MATCH(K677,競技会設定!$N$3:$N$47,0),2),"")</f>
        <v>492181</v>
      </c>
      <c r="M677" s="97" t="s">
        <v>3859</v>
      </c>
      <c r="N677" s="17" t="str">
        <f t="shared" si="31"/>
        <v>KAMIHATA, Naoki</v>
      </c>
      <c r="O677" s="17" t="str">
        <f t="shared" si="32"/>
        <v>98</v>
      </c>
    </row>
    <row r="678" spans="1:15">
      <c r="A678" s="17" t="str">
        <f t="shared" si="30"/>
        <v>501000677</v>
      </c>
      <c r="B678" s="97">
        <v>677</v>
      </c>
      <c r="C678" s="97" t="s">
        <v>1553</v>
      </c>
      <c r="D678" s="97" t="s">
        <v>1554</v>
      </c>
      <c r="E678" s="312" t="s">
        <v>2382</v>
      </c>
      <c r="F678" s="312" t="s">
        <v>2841</v>
      </c>
      <c r="G678" s="97" t="s">
        <v>3587</v>
      </c>
      <c r="H678" s="97" t="s">
        <v>4025</v>
      </c>
      <c r="I678" s="97" t="s">
        <v>4039</v>
      </c>
      <c r="J678" s="97" t="s">
        <v>4071</v>
      </c>
      <c r="K678" s="17" t="str">
        <f>IFERROR(INDEX(競技会設定!$J$3:$O$47,MATCH(J678,競技会設定!$M$3:$M$47,0),5),"")</f>
        <v>名古屋学院大</v>
      </c>
      <c r="L678" s="17" t="str">
        <f>IFERROR(INDEX(競技会設定!$J$3:$N$47,MATCH(K678,競技会設定!$N$3:$N$47,0),2),"")</f>
        <v>492177</v>
      </c>
      <c r="M678" s="97" t="s">
        <v>3877</v>
      </c>
      <c r="N678" s="17" t="str">
        <f t="shared" si="31"/>
        <v>IWAMOTO, Kyohei</v>
      </c>
      <c r="O678" s="17" t="str">
        <f t="shared" si="32"/>
        <v>98</v>
      </c>
    </row>
    <row r="679" spans="1:15">
      <c r="A679" s="17" t="str">
        <f t="shared" si="30"/>
        <v>501000678</v>
      </c>
      <c r="B679" s="97">
        <v>678</v>
      </c>
      <c r="C679" s="97" t="s">
        <v>1555</v>
      </c>
      <c r="D679" s="97" t="s">
        <v>1556</v>
      </c>
      <c r="E679" s="312" t="s">
        <v>2339</v>
      </c>
      <c r="F679" s="312" t="s">
        <v>2877</v>
      </c>
      <c r="G679" s="97" t="s">
        <v>3074</v>
      </c>
      <c r="H679" s="97" t="s">
        <v>4025</v>
      </c>
      <c r="I679" s="97" t="s">
        <v>4039</v>
      </c>
      <c r="J679" s="97" t="s">
        <v>4071</v>
      </c>
      <c r="K679" s="17" t="str">
        <f>IFERROR(INDEX(競技会設定!$J$3:$O$47,MATCH(J679,競技会設定!$M$3:$M$47,0),5),"")</f>
        <v>名古屋学院大</v>
      </c>
      <c r="L679" s="17" t="str">
        <f>IFERROR(INDEX(競技会設定!$J$3:$N$47,MATCH(K679,競技会設定!$N$3:$N$47,0),2),"")</f>
        <v>492177</v>
      </c>
      <c r="M679" s="97" t="s">
        <v>3859</v>
      </c>
      <c r="N679" s="17" t="str">
        <f t="shared" si="31"/>
        <v>NAKAYAMA, Takato</v>
      </c>
      <c r="O679" s="17" t="str">
        <f t="shared" si="32"/>
        <v>98</v>
      </c>
    </row>
    <row r="680" spans="1:15">
      <c r="A680" s="17" t="str">
        <f t="shared" si="30"/>
        <v>501000679</v>
      </c>
      <c r="B680" s="97">
        <v>679</v>
      </c>
      <c r="C680" s="97" t="s">
        <v>1557</v>
      </c>
      <c r="D680" s="97" t="s">
        <v>1558</v>
      </c>
      <c r="E680" s="312" t="s">
        <v>2649</v>
      </c>
      <c r="F680" s="312" t="s">
        <v>2236</v>
      </c>
      <c r="G680" s="97" t="s">
        <v>3442</v>
      </c>
      <c r="H680" s="97" t="s">
        <v>4025</v>
      </c>
      <c r="I680" s="97" t="s">
        <v>4039</v>
      </c>
      <c r="J680" s="97" t="s">
        <v>4071</v>
      </c>
      <c r="K680" s="17" t="str">
        <f>IFERROR(INDEX(競技会設定!$J$3:$O$47,MATCH(J680,競技会設定!$M$3:$M$47,0),5),"")</f>
        <v>名古屋学院大</v>
      </c>
      <c r="L680" s="17" t="str">
        <f>IFERROR(INDEX(競技会設定!$J$3:$N$47,MATCH(K680,競技会設定!$N$3:$N$47,0),2),"")</f>
        <v>492177</v>
      </c>
      <c r="M680" s="97" t="s">
        <v>3861</v>
      </c>
      <c r="N680" s="17" t="str">
        <f t="shared" si="31"/>
        <v>FUNAHASHI, Kosuke</v>
      </c>
      <c r="O680" s="17" t="str">
        <f t="shared" si="32"/>
        <v>99</v>
      </c>
    </row>
    <row r="681" spans="1:15">
      <c r="A681" s="17" t="str">
        <f t="shared" si="30"/>
        <v>501000680</v>
      </c>
      <c r="B681" s="97">
        <v>680</v>
      </c>
      <c r="C681" s="97" t="s">
        <v>1559</v>
      </c>
      <c r="D681" s="97" t="s">
        <v>1560</v>
      </c>
      <c r="E681" s="312" t="s">
        <v>2259</v>
      </c>
      <c r="F681" s="312" t="s">
        <v>2878</v>
      </c>
      <c r="G681" s="97" t="s">
        <v>3472</v>
      </c>
      <c r="H681" s="97" t="s">
        <v>4025</v>
      </c>
      <c r="I681" s="97" t="s">
        <v>4039</v>
      </c>
      <c r="J681" s="97" t="s">
        <v>4071</v>
      </c>
      <c r="K681" s="17" t="str">
        <f>IFERROR(INDEX(競技会設定!$J$3:$O$47,MATCH(J681,競技会設定!$M$3:$M$47,0),5),"")</f>
        <v>名古屋学院大</v>
      </c>
      <c r="L681" s="17" t="str">
        <f>IFERROR(INDEX(競技会設定!$J$3:$N$47,MATCH(K681,競技会設定!$N$3:$N$47,0),2),"")</f>
        <v>492177</v>
      </c>
      <c r="M681" s="97" t="s">
        <v>3861</v>
      </c>
      <c r="N681" s="17" t="str">
        <f t="shared" si="31"/>
        <v>YAMAMOTO, Seiki</v>
      </c>
      <c r="O681" s="17" t="str">
        <f t="shared" si="32"/>
        <v>98</v>
      </c>
    </row>
    <row r="682" spans="1:15">
      <c r="A682" s="17" t="str">
        <f t="shared" si="30"/>
        <v>501000681</v>
      </c>
      <c r="B682" s="97">
        <v>681</v>
      </c>
      <c r="C682" s="97" t="s">
        <v>1561</v>
      </c>
      <c r="D682" s="97" t="s">
        <v>1562</v>
      </c>
      <c r="E682" s="312" t="s">
        <v>2879</v>
      </c>
      <c r="F682" s="312" t="s">
        <v>2880</v>
      </c>
      <c r="G682" s="97" t="s">
        <v>3218</v>
      </c>
      <c r="H682" s="97" t="s">
        <v>4024</v>
      </c>
      <c r="I682" s="97" t="s">
        <v>4039</v>
      </c>
      <c r="J682" s="97" t="s">
        <v>4071</v>
      </c>
      <c r="K682" s="17" t="str">
        <f>IFERROR(INDEX(競技会設定!$J$3:$O$47,MATCH(J682,競技会設定!$M$3:$M$47,0),5),"")</f>
        <v>名古屋学院大</v>
      </c>
      <c r="L682" s="17" t="str">
        <f>IFERROR(INDEX(競技会設定!$J$3:$N$47,MATCH(K682,競技会設定!$N$3:$N$47,0),2),"")</f>
        <v>492177</v>
      </c>
      <c r="M682" s="97" t="s">
        <v>3855</v>
      </c>
      <c r="N682" s="17" t="str">
        <f t="shared" si="31"/>
        <v>ISOGAWA , Ao</v>
      </c>
      <c r="O682" s="17" t="str">
        <f t="shared" si="32"/>
        <v>99</v>
      </c>
    </row>
    <row r="683" spans="1:15">
      <c r="A683" s="17" t="str">
        <f t="shared" si="30"/>
        <v>501000682</v>
      </c>
      <c r="B683" s="97">
        <v>682</v>
      </c>
      <c r="C683" s="97" t="s">
        <v>1563</v>
      </c>
      <c r="D683" s="97" t="s">
        <v>1564</v>
      </c>
      <c r="E683" s="312" t="s">
        <v>2881</v>
      </c>
      <c r="F683" s="312" t="s">
        <v>2100</v>
      </c>
      <c r="G683" s="97" t="s">
        <v>3450</v>
      </c>
      <c r="H683" s="97" t="s">
        <v>4024</v>
      </c>
      <c r="I683" s="97" t="s">
        <v>4039</v>
      </c>
      <c r="J683" s="97" t="s">
        <v>4071</v>
      </c>
      <c r="K683" s="17" t="str">
        <f>IFERROR(INDEX(競技会設定!$J$3:$O$47,MATCH(J683,競技会設定!$M$3:$M$47,0),5),"")</f>
        <v>名古屋学院大</v>
      </c>
      <c r="L683" s="17" t="str">
        <f>IFERROR(INDEX(競技会設定!$J$3:$N$47,MATCH(K683,競技会設定!$N$3:$N$47,0),2),"")</f>
        <v>492177</v>
      </c>
      <c r="M683" s="97" t="s">
        <v>3859</v>
      </c>
      <c r="N683" s="17" t="str">
        <f t="shared" si="31"/>
        <v>UMEMURA, Kaito</v>
      </c>
      <c r="O683" s="17" t="str">
        <f t="shared" si="32"/>
        <v>99</v>
      </c>
    </row>
    <row r="684" spans="1:15">
      <c r="A684" s="17" t="str">
        <f t="shared" si="30"/>
        <v>501000683</v>
      </c>
      <c r="B684" s="97">
        <v>683</v>
      </c>
      <c r="C684" s="97" t="s">
        <v>1565</v>
      </c>
      <c r="D684" s="97" t="s">
        <v>1566</v>
      </c>
      <c r="E684" s="312" t="s">
        <v>2882</v>
      </c>
      <c r="F684" s="312" t="s">
        <v>2551</v>
      </c>
      <c r="G684" s="97" t="s">
        <v>3588</v>
      </c>
      <c r="H684" s="97" t="s">
        <v>4024</v>
      </c>
      <c r="I684" s="97" t="s">
        <v>4039</v>
      </c>
      <c r="J684" s="97" t="s">
        <v>4071</v>
      </c>
      <c r="K684" s="17" t="str">
        <f>IFERROR(INDEX(競技会設定!$J$3:$O$47,MATCH(J684,競技会設定!$M$3:$M$47,0),5),"")</f>
        <v>名古屋学院大</v>
      </c>
      <c r="L684" s="17" t="str">
        <f>IFERROR(INDEX(競技会設定!$J$3:$N$47,MATCH(K684,競技会設定!$N$3:$N$47,0),2),"")</f>
        <v>492177</v>
      </c>
      <c r="M684" s="97" t="s">
        <v>3859</v>
      </c>
      <c r="N684" s="17" t="str">
        <f t="shared" si="31"/>
        <v>OSAWA, Yu</v>
      </c>
      <c r="O684" s="17" t="str">
        <f t="shared" si="32"/>
        <v>00</v>
      </c>
    </row>
    <row r="685" spans="1:15">
      <c r="A685" s="17" t="str">
        <f t="shared" si="30"/>
        <v>501000684</v>
      </c>
      <c r="B685" s="97">
        <v>684</v>
      </c>
      <c r="C685" s="97" t="s">
        <v>1567</v>
      </c>
      <c r="D685" s="97" t="s">
        <v>1568</v>
      </c>
      <c r="E685" s="312" t="s">
        <v>2434</v>
      </c>
      <c r="F685" s="312" t="s">
        <v>2883</v>
      </c>
      <c r="G685" s="97" t="s">
        <v>3589</v>
      </c>
      <c r="H685" s="97" t="s">
        <v>4024</v>
      </c>
      <c r="I685" s="97" t="s">
        <v>4039</v>
      </c>
      <c r="J685" s="97" t="s">
        <v>4071</v>
      </c>
      <c r="K685" s="17" t="str">
        <f>IFERROR(INDEX(競技会設定!$J$3:$O$47,MATCH(J685,競技会設定!$M$3:$M$47,0),5),"")</f>
        <v>名古屋学院大</v>
      </c>
      <c r="L685" s="17" t="str">
        <f>IFERROR(INDEX(競技会設定!$J$3:$N$47,MATCH(K685,競技会設定!$N$3:$N$47,0),2),"")</f>
        <v>492177</v>
      </c>
      <c r="M685" s="97" t="s">
        <v>3859</v>
      </c>
      <c r="N685" s="17" t="str">
        <f t="shared" si="31"/>
        <v>OSHIMA, Kengo</v>
      </c>
      <c r="O685" s="17" t="str">
        <f t="shared" si="32"/>
        <v>00</v>
      </c>
    </row>
    <row r="686" spans="1:15">
      <c r="A686" s="17" t="str">
        <f t="shared" si="30"/>
        <v>501000685</v>
      </c>
      <c r="B686" s="97">
        <v>685</v>
      </c>
      <c r="C686" s="97" t="s">
        <v>1569</v>
      </c>
      <c r="D686" s="97" t="s">
        <v>1570</v>
      </c>
      <c r="E686" s="312" t="s">
        <v>2884</v>
      </c>
      <c r="F686" s="312" t="s">
        <v>2193</v>
      </c>
      <c r="G686" s="97" t="s">
        <v>3193</v>
      </c>
      <c r="H686" s="97" t="s">
        <v>4024</v>
      </c>
      <c r="I686" s="97" t="s">
        <v>4039</v>
      </c>
      <c r="J686" s="97" t="s">
        <v>4071</v>
      </c>
      <c r="K686" s="17" t="str">
        <f>IFERROR(INDEX(競技会設定!$J$3:$O$47,MATCH(J686,競技会設定!$M$3:$M$47,0),5),"")</f>
        <v>名古屋学院大</v>
      </c>
      <c r="L686" s="17" t="str">
        <f>IFERROR(INDEX(競技会設定!$J$3:$N$47,MATCH(K686,競技会設定!$N$3:$N$47,0),2),"")</f>
        <v>492177</v>
      </c>
      <c r="M686" s="97" t="s">
        <v>3859</v>
      </c>
      <c r="N686" s="17" t="str">
        <f t="shared" si="31"/>
        <v>KAWATSU, Yuta</v>
      </c>
      <c r="O686" s="17" t="str">
        <f t="shared" si="32"/>
        <v>99</v>
      </c>
    </row>
    <row r="687" spans="1:15">
      <c r="A687" s="17" t="str">
        <f t="shared" si="30"/>
        <v>501000686</v>
      </c>
      <c r="B687" s="97">
        <v>686</v>
      </c>
      <c r="C687" s="97" t="s">
        <v>1571</v>
      </c>
      <c r="D687" s="97" t="s">
        <v>1572</v>
      </c>
      <c r="E687" s="312" t="s">
        <v>2885</v>
      </c>
      <c r="F687" s="312" t="s">
        <v>2170</v>
      </c>
      <c r="G687" s="97" t="s">
        <v>3590</v>
      </c>
      <c r="H687" s="97" t="s">
        <v>4024</v>
      </c>
      <c r="I687" s="97" t="s">
        <v>4039</v>
      </c>
      <c r="J687" s="97" t="s">
        <v>4071</v>
      </c>
      <c r="K687" s="17" t="str">
        <f>IFERROR(INDEX(競技会設定!$J$3:$O$47,MATCH(J687,競技会設定!$M$3:$M$47,0),5),"")</f>
        <v>名古屋学院大</v>
      </c>
      <c r="L687" s="17" t="str">
        <f>IFERROR(INDEX(競技会設定!$J$3:$N$47,MATCH(K687,競技会設定!$N$3:$N$47,0),2),"")</f>
        <v>492177</v>
      </c>
      <c r="M687" s="97" t="s">
        <v>3861</v>
      </c>
      <c r="N687" s="17" t="str">
        <f t="shared" si="31"/>
        <v>NABESHIMA, Daiki</v>
      </c>
      <c r="O687" s="17" t="str">
        <f t="shared" si="32"/>
        <v>97</v>
      </c>
    </row>
    <row r="688" spans="1:15">
      <c r="A688" s="17" t="str">
        <f t="shared" si="30"/>
        <v>501000687</v>
      </c>
      <c r="B688" s="97">
        <v>687</v>
      </c>
      <c r="C688" s="97" t="s">
        <v>1573</v>
      </c>
      <c r="D688" s="97" t="s">
        <v>1574</v>
      </c>
      <c r="E688" s="312" t="s">
        <v>2146</v>
      </c>
      <c r="F688" s="312" t="s">
        <v>2456</v>
      </c>
      <c r="G688" s="97" t="s">
        <v>3591</v>
      </c>
      <c r="H688" s="97" t="s">
        <v>4024</v>
      </c>
      <c r="I688" s="97" t="s">
        <v>4039</v>
      </c>
      <c r="J688" s="97" t="s">
        <v>4071</v>
      </c>
      <c r="K688" s="17" t="str">
        <f>IFERROR(INDEX(競技会設定!$J$3:$O$47,MATCH(J688,競技会設定!$M$3:$M$47,0),5),"")</f>
        <v>名古屋学院大</v>
      </c>
      <c r="L688" s="17" t="str">
        <f>IFERROR(INDEX(競技会設定!$J$3:$N$47,MATCH(K688,競技会設定!$N$3:$N$47,0),2),"")</f>
        <v>492177</v>
      </c>
      <c r="M688" s="97" t="s">
        <v>3859</v>
      </c>
      <c r="N688" s="17" t="str">
        <f t="shared" si="31"/>
        <v>HATTORI, Takamasa</v>
      </c>
      <c r="O688" s="17" t="str">
        <f t="shared" si="32"/>
        <v>99</v>
      </c>
    </row>
    <row r="689" spans="1:15">
      <c r="A689" s="17" t="str">
        <f t="shared" si="30"/>
        <v>501000688</v>
      </c>
      <c r="B689" s="97">
        <v>688</v>
      </c>
      <c r="C689" s="97" t="s">
        <v>1575</v>
      </c>
      <c r="D689" s="97" t="s">
        <v>1576</v>
      </c>
      <c r="E689" s="312" t="s">
        <v>2886</v>
      </c>
      <c r="F689" s="312" t="s">
        <v>2193</v>
      </c>
      <c r="G689" s="97" t="s">
        <v>3305</v>
      </c>
      <c r="H689" s="97" t="s">
        <v>4024</v>
      </c>
      <c r="I689" s="97" t="s">
        <v>4039</v>
      </c>
      <c r="J689" s="97" t="s">
        <v>4071</v>
      </c>
      <c r="K689" s="17" t="str">
        <f>IFERROR(INDEX(競技会設定!$J$3:$O$47,MATCH(J689,競技会設定!$M$3:$M$47,0),5),"")</f>
        <v>名古屋学院大</v>
      </c>
      <c r="L689" s="17" t="str">
        <f>IFERROR(INDEX(競技会設定!$J$3:$N$47,MATCH(K689,競技会設定!$N$3:$N$47,0),2),"")</f>
        <v>492177</v>
      </c>
      <c r="M689" s="97" t="s">
        <v>3857</v>
      </c>
      <c r="N689" s="17" t="str">
        <f t="shared" si="31"/>
        <v>HOSOYA, Yuta</v>
      </c>
      <c r="O689" s="17" t="str">
        <f t="shared" si="32"/>
        <v>99</v>
      </c>
    </row>
    <row r="690" spans="1:15">
      <c r="A690" s="17" t="str">
        <f t="shared" si="30"/>
        <v>501000689</v>
      </c>
      <c r="B690" s="97">
        <v>689</v>
      </c>
      <c r="C690" s="97" t="s">
        <v>1577</v>
      </c>
      <c r="D690" s="97" t="s">
        <v>1578</v>
      </c>
      <c r="E690" s="312" t="s">
        <v>2887</v>
      </c>
      <c r="F690" s="312" t="s">
        <v>2888</v>
      </c>
      <c r="G690" s="97" t="s">
        <v>3592</v>
      </c>
      <c r="H690" s="97" t="s">
        <v>4024</v>
      </c>
      <c r="I690" s="97" t="s">
        <v>4039</v>
      </c>
      <c r="J690" s="97" t="s">
        <v>4071</v>
      </c>
      <c r="K690" s="17" t="str">
        <f>IFERROR(INDEX(競技会設定!$J$3:$O$47,MATCH(J690,競技会設定!$M$3:$M$47,0),5),"")</f>
        <v>名古屋学院大</v>
      </c>
      <c r="L690" s="17" t="str">
        <f>IFERROR(INDEX(競技会設定!$J$3:$N$47,MATCH(K690,競技会設定!$N$3:$N$47,0),2),"")</f>
        <v>492177</v>
      </c>
      <c r="M690" s="97" t="s">
        <v>3855</v>
      </c>
      <c r="N690" s="17" t="str">
        <f t="shared" si="31"/>
        <v>MURAYAMA, Tomonori</v>
      </c>
      <c r="O690" s="17" t="str">
        <f t="shared" si="32"/>
        <v>99</v>
      </c>
    </row>
    <row r="691" spans="1:15">
      <c r="A691" s="17" t="str">
        <f t="shared" si="30"/>
        <v>501000690</v>
      </c>
      <c r="B691" s="97">
        <v>690</v>
      </c>
      <c r="C691" s="97" t="s">
        <v>1579</v>
      </c>
      <c r="D691" s="97" t="s">
        <v>1580</v>
      </c>
      <c r="E691" s="312" t="s">
        <v>2889</v>
      </c>
      <c r="F691" s="312" t="s">
        <v>2890</v>
      </c>
      <c r="G691" s="97" t="s">
        <v>3593</v>
      </c>
      <c r="H691" s="97" t="s">
        <v>4026</v>
      </c>
      <c r="I691" s="97" t="s">
        <v>4039</v>
      </c>
      <c r="J691" s="97" t="s">
        <v>4071</v>
      </c>
      <c r="K691" s="17" t="str">
        <f>IFERROR(INDEX(競技会設定!$J$3:$O$47,MATCH(J691,競技会設定!$M$3:$M$47,0),5),"")</f>
        <v>名古屋学院大</v>
      </c>
      <c r="L691" s="17" t="str">
        <f>IFERROR(INDEX(競技会設定!$J$3:$N$47,MATCH(K691,競技会設定!$N$3:$N$47,0),2),"")</f>
        <v>492177</v>
      </c>
      <c r="M691" s="97" t="s">
        <v>3857</v>
      </c>
      <c r="N691" s="17" t="str">
        <f t="shared" si="31"/>
        <v>KOIKE, Daiji</v>
      </c>
      <c r="O691" s="17" t="str">
        <f t="shared" si="32"/>
        <v>00</v>
      </c>
    </row>
    <row r="692" spans="1:15">
      <c r="A692" s="17" t="str">
        <f t="shared" si="30"/>
        <v>501000691</v>
      </c>
      <c r="B692" s="97">
        <v>691</v>
      </c>
      <c r="C692" s="97" t="s">
        <v>1581</v>
      </c>
      <c r="D692" s="97" t="s">
        <v>1582</v>
      </c>
      <c r="E692" s="312" t="s">
        <v>2401</v>
      </c>
      <c r="F692" s="312" t="s">
        <v>2618</v>
      </c>
      <c r="G692" s="97" t="s">
        <v>3593</v>
      </c>
      <c r="H692" s="97" t="s">
        <v>4026</v>
      </c>
      <c r="I692" s="97" t="s">
        <v>4039</v>
      </c>
      <c r="J692" s="97" t="s">
        <v>4071</v>
      </c>
      <c r="K692" s="17" t="str">
        <f>IFERROR(INDEX(競技会設定!$J$3:$O$47,MATCH(J692,競技会設定!$M$3:$M$47,0),5),"")</f>
        <v>名古屋学院大</v>
      </c>
      <c r="L692" s="17" t="str">
        <f>IFERROR(INDEX(競技会設定!$J$3:$N$47,MATCH(K692,競技会設定!$N$3:$N$47,0),2),"")</f>
        <v>492177</v>
      </c>
      <c r="M692" s="97" t="s">
        <v>3859</v>
      </c>
      <c r="N692" s="17" t="str">
        <f t="shared" si="31"/>
        <v>SUGIURA, Ryuichi</v>
      </c>
      <c r="O692" s="17" t="str">
        <f t="shared" si="32"/>
        <v>00</v>
      </c>
    </row>
    <row r="693" spans="1:15">
      <c r="A693" s="17" t="str">
        <f t="shared" si="30"/>
        <v>501000692</v>
      </c>
      <c r="B693" s="97">
        <v>692</v>
      </c>
      <c r="C693" s="97" t="s">
        <v>1583</v>
      </c>
      <c r="D693" s="97" t="s">
        <v>1584</v>
      </c>
      <c r="E693" s="312" t="s">
        <v>2375</v>
      </c>
      <c r="F693" s="312" t="s">
        <v>2891</v>
      </c>
      <c r="G693" s="97" t="s">
        <v>3594</v>
      </c>
      <c r="H693" s="97" t="s">
        <v>4026</v>
      </c>
      <c r="I693" s="97" t="s">
        <v>4039</v>
      </c>
      <c r="J693" s="97" t="s">
        <v>4071</v>
      </c>
      <c r="K693" s="17" t="str">
        <f>IFERROR(INDEX(競技会設定!$J$3:$O$47,MATCH(J693,競技会設定!$M$3:$M$47,0),5),"")</f>
        <v>名古屋学院大</v>
      </c>
      <c r="L693" s="17" t="str">
        <f>IFERROR(INDEX(競技会設定!$J$3:$N$47,MATCH(K693,競技会設定!$N$3:$N$47,0),2),"")</f>
        <v>492177</v>
      </c>
      <c r="M693" s="97" t="s">
        <v>3855</v>
      </c>
      <c r="N693" s="17" t="str">
        <f t="shared" si="31"/>
        <v>NARUSE, Nobutoyo</v>
      </c>
      <c r="O693" s="17" t="str">
        <f t="shared" si="32"/>
        <v>00</v>
      </c>
    </row>
    <row r="694" spans="1:15">
      <c r="A694" s="17" t="str">
        <f t="shared" si="30"/>
        <v>501000693</v>
      </c>
      <c r="B694" s="97">
        <v>693</v>
      </c>
      <c r="C694" s="97" t="s">
        <v>1585</v>
      </c>
      <c r="D694" s="97" t="s">
        <v>1586</v>
      </c>
      <c r="E694" s="312" t="s">
        <v>2308</v>
      </c>
      <c r="F694" s="312" t="s">
        <v>2220</v>
      </c>
      <c r="G694" s="97" t="s">
        <v>3557</v>
      </c>
      <c r="H694" s="97" t="s">
        <v>4026</v>
      </c>
      <c r="I694" s="97" t="s">
        <v>4039</v>
      </c>
      <c r="J694" s="97" t="s">
        <v>4071</v>
      </c>
      <c r="K694" s="17" t="str">
        <f>IFERROR(INDEX(競技会設定!$J$3:$O$47,MATCH(J694,競技会設定!$M$3:$M$47,0),5),"")</f>
        <v>名古屋学院大</v>
      </c>
      <c r="L694" s="17" t="str">
        <f>IFERROR(INDEX(競技会設定!$J$3:$N$47,MATCH(K694,競技会設定!$N$3:$N$47,0),2),"")</f>
        <v>492177</v>
      </c>
      <c r="M694" s="97" t="s">
        <v>3891</v>
      </c>
      <c r="N694" s="17" t="str">
        <f t="shared" si="31"/>
        <v>YAMAGUCHI, Ryusei</v>
      </c>
      <c r="O694" s="17" t="str">
        <f t="shared" si="32"/>
        <v>01</v>
      </c>
    </row>
    <row r="695" spans="1:15">
      <c r="A695" s="17" t="str">
        <f t="shared" si="30"/>
        <v>501000694</v>
      </c>
      <c r="B695" s="97">
        <v>694</v>
      </c>
      <c r="C695" s="97" t="s">
        <v>1587</v>
      </c>
      <c r="D695" s="97" t="s">
        <v>1588</v>
      </c>
      <c r="E695" s="312" t="s">
        <v>2426</v>
      </c>
      <c r="F695" s="312" t="s">
        <v>2093</v>
      </c>
      <c r="G695" s="97" t="s">
        <v>3154</v>
      </c>
      <c r="H695" s="97" t="s">
        <v>4026</v>
      </c>
      <c r="I695" s="97" t="s">
        <v>4039</v>
      </c>
      <c r="J695" s="97" t="s">
        <v>4072</v>
      </c>
      <c r="K695" s="17" t="str">
        <f>IFERROR(INDEX(競技会設定!$J$3:$O$47,MATCH(J695,競技会設定!$M$3:$M$47,0),5),"")</f>
        <v>名古屋工業大</v>
      </c>
      <c r="L695" s="17" t="str">
        <f>IFERROR(INDEX(競技会設定!$J$3:$N$47,MATCH(K695,競技会設定!$N$3:$N$47,0),2),"")</f>
        <v>490045</v>
      </c>
      <c r="M695" s="97" t="s">
        <v>3859</v>
      </c>
      <c r="N695" s="17" t="str">
        <f t="shared" si="31"/>
        <v>YAMAUCHI, Naoya</v>
      </c>
      <c r="O695" s="17" t="str">
        <f t="shared" si="32"/>
        <v>00</v>
      </c>
    </row>
    <row r="696" spans="1:15">
      <c r="A696" s="17" t="str">
        <f t="shared" si="30"/>
        <v>501000695</v>
      </c>
      <c r="B696" s="97">
        <v>695</v>
      </c>
      <c r="C696" s="97" t="s">
        <v>1589</v>
      </c>
      <c r="D696" s="97" t="s">
        <v>1590</v>
      </c>
      <c r="E696" s="312" t="s">
        <v>2107</v>
      </c>
      <c r="F696" s="312" t="s">
        <v>2335</v>
      </c>
      <c r="G696" s="97" t="s">
        <v>3595</v>
      </c>
      <c r="H696" s="97" t="s">
        <v>4025</v>
      </c>
      <c r="I696" s="97" t="s">
        <v>4039</v>
      </c>
      <c r="J696" s="97" t="s">
        <v>4072</v>
      </c>
      <c r="K696" s="17" t="str">
        <f>IFERROR(INDEX(競技会設定!$J$3:$O$47,MATCH(J696,競技会設定!$M$3:$M$47,0),5),"")</f>
        <v>名古屋工業大</v>
      </c>
      <c r="L696" s="17" t="str">
        <f>IFERROR(INDEX(競技会設定!$J$3:$N$47,MATCH(K696,競技会設定!$N$3:$N$47,0),2),"")</f>
        <v>490045</v>
      </c>
      <c r="M696" s="97" t="s">
        <v>3859</v>
      </c>
      <c r="N696" s="17" t="str">
        <f t="shared" si="31"/>
        <v>NOMURA, Takaki</v>
      </c>
      <c r="O696" s="17" t="str">
        <f t="shared" si="32"/>
        <v>98</v>
      </c>
    </row>
    <row r="697" spans="1:15">
      <c r="A697" s="17" t="str">
        <f t="shared" si="30"/>
        <v>501000696</v>
      </c>
      <c r="B697" s="97">
        <v>696</v>
      </c>
      <c r="C697" s="97" t="s">
        <v>1591</v>
      </c>
      <c r="D697" s="97" t="s">
        <v>1592</v>
      </c>
      <c r="E697" s="312" t="s">
        <v>2159</v>
      </c>
      <c r="F697" s="312" t="s">
        <v>2892</v>
      </c>
      <c r="G697" s="97" t="s">
        <v>3596</v>
      </c>
      <c r="H697" s="97" t="s">
        <v>4025</v>
      </c>
      <c r="I697" s="97" t="s">
        <v>4039</v>
      </c>
      <c r="J697" s="97" t="s">
        <v>4072</v>
      </c>
      <c r="K697" s="17" t="str">
        <f>IFERROR(INDEX(競技会設定!$J$3:$O$47,MATCH(J697,競技会設定!$M$3:$M$47,0),5),"")</f>
        <v>名古屋工業大</v>
      </c>
      <c r="L697" s="17" t="str">
        <f>IFERROR(INDEX(競技会設定!$J$3:$N$47,MATCH(K697,競技会設定!$N$3:$N$47,0),2),"")</f>
        <v>490045</v>
      </c>
      <c r="M697" s="97" t="s">
        <v>3859</v>
      </c>
      <c r="N697" s="17" t="str">
        <f t="shared" si="31"/>
        <v>OHARA, Takuto</v>
      </c>
      <c r="O697" s="17" t="str">
        <f t="shared" si="32"/>
        <v>98</v>
      </c>
    </row>
    <row r="698" spans="1:15">
      <c r="A698" s="17" t="str">
        <f t="shared" si="30"/>
        <v>501000697</v>
      </c>
      <c r="B698" s="97">
        <v>697</v>
      </c>
      <c r="C698" s="97" t="s">
        <v>1593</v>
      </c>
      <c r="D698" s="97" t="s">
        <v>1594</v>
      </c>
      <c r="E698" s="312" t="s">
        <v>2893</v>
      </c>
      <c r="F698" s="312" t="s">
        <v>2131</v>
      </c>
      <c r="G698" s="97" t="s">
        <v>3597</v>
      </c>
      <c r="H698" s="97" t="s">
        <v>4025</v>
      </c>
      <c r="I698" s="97" t="s">
        <v>4039</v>
      </c>
      <c r="J698" s="97" t="s">
        <v>4072</v>
      </c>
      <c r="K698" s="17" t="str">
        <f>IFERROR(INDEX(競技会設定!$J$3:$O$47,MATCH(J698,競技会設定!$M$3:$M$47,0),5),"")</f>
        <v>名古屋工業大</v>
      </c>
      <c r="L698" s="17" t="str">
        <f>IFERROR(INDEX(競技会設定!$J$3:$N$47,MATCH(K698,競技会設定!$N$3:$N$47,0),2),"")</f>
        <v>490045</v>
      </c>
      <c r="M698" s="97" t="s">
        <v>3859</v>
      </c>
      <c r="N698" s="17" t="str">
        <f t="shared" si="31"/>
        <v>HIRAI, Haruki</v>
      </c>
      <c r="O698" s="17" t="str">
        <f t="shared" si="32"/>
        <v>98</v>
      </c>
    </row>
    <row r="699" spans="1:15">
      <c r="A699" s="17" t="str">
        <f t="shared" si="30"/>
        <v>501000698</v>
      </c>
      <c r="B699" s="97">
        <v>698</v>
      </c>
      <c r="C699" s="97" t="s">
        <v>1595</v>
      </c>
      <c r="D699" s="97" t="s">
        <v>1596</v>
      </c>
      <c r="E699" s="312" t="s">
        <v>2894</v>
      </c>
      <c r="F699" s="312" t="s">
        <v>2530</v>
      </c>
      <c r="G699" s="97" t="s">
        <v>3191</v>
      </c>
      <c r="H699" s="97" t="s">
        <v>4026</v>
      </c>
      <c r="I699" s="97" t="s">
        <v>4039</v>
      </c>
      <c r="J699" s="97" t="s">
        <v>4072</v>
      </c>
      <c r="K699" s="17" t="str">
        <f>IFERROR(INDEX(競技会設定!$J$3:$O$47,MATCH(J699,競技会設定!$M$3:$M$47,0),5),"")</f>
        <v>名古屋工業大</v>
      </c>
      <c r="L699" s="17" t="str">
        <f>IFERROR(INDEX(競技会設定!$J$3:$N$47,MATCH(K699,競技会設定!$N$3:$N$47,0),2),"")</f>
        <v>490045</v>
      </c>
      <c r="M699" s="97" t="s">
        <v>3859</v>
      </c>
      <c r="N699" s="17" t="str">
        <f t="shared" si="31"/>
        <v>KATAGIRI, Kensuke</v>
      </c>
      <c r="O699" s="17" t="str">
        <f t="shared" si="32"/>
        <v>99</v>
      </c>
    </row>
    <row r="700" spans="1:15">
      <c r="A700" s="17" t="str">
        <f t="shared" si="30"/>
        <v>501000699</v>
      </c>
      <c r="B700" s="97">
        <v>699</v>
      </c>
      <c r="C700" s="97" t="s">
        <v>1597</v>
      </c>
      <c r="D700" s="97" t="s">
        <v>1598</v>
      </c>
      <c r="E700" s="312" t="s">
        <v>2895</v>
      </c>
      <c r="F700" s="312" t="s">
        <v>2087</v>
      </c>
      <c r="G700" s="97" t="s">
        <v>3598</v>
      </c>
      <c r="H700" s="97" t="s">
        <v>4026</v>
      </c>
      <c r="I700" s="97" t="s">
        <v>4039</v>
      </c>
      <c r="J700" s="97" t="s">
        <v>4072</v>
      </c>
      <c r="K700" s="17" t="str">
        <f>IFERROR(INDEX(競技会設定!$J$3:$O$47,MATCH(J700,競技会設定!$M$3:$M$47,0),5),"")</f>
        <v>名古屋工業大</v>
      </c>
      <c r="L700" s="17" t="str">
        <f>IFERROR(INDEX(競技会設定!$J$3:$N$47,MATCH(K700,競技会設定!$N$3:$N$47,0),2),"")</f>
        <v>490045</v>
      </c>
      <c r="M700" s="97" t="s">
        <v>3859</v>
      </c>
      <c r="N700" s="17" t="str">
        <f t="shared" si="31"/>
        <v>ITAKURA, Shota</v>
      </c>
      <c r="O700" s="17" t="str">
        <f t="shared" si="32"/>
        <v>00</v>
      </c>
    </row>
    <row r="701" spans="1:15">
      <c r="A701" s="17" t="str">
        <f t="shared" si="30"/>
        <v>501000700</v>
      </c>
      <c r="B701" s="97">
        <v>700</v>
      </c>
      <c r="C701" s="97" t="s">
        <v>1599</v>
      </c>
      <c r="D701" s="97" t="s">
        <v>1600</v>
      </c>
      <c r="E701" s="312" t="s">
        <v>2896</v>
      </c>
      <c r="F701" s="312" t="s">
        <v>2170</v>
      </c>
      <c r="G701" s="97" t="s">
        <v>3220</v>
      </c>
      <c r="H701" s="97" t="s">
        <v>4026</v>
      </c>
      <c r="I701" s="97" t="s">
        <v>4039</v>
      </c>
      <c r="J701" s="97" t="s">
        <v>4072</v>
      </c>
      <c r="K701" s="17" t="str">
        <f>IFERROR(INDEX(競技会設定!$J$3:$O$47,MATCH(J701,競技会設定!$M$3:$M$47,0),5),"")</f>
        <v>名古屋工業大</v>
      </c>
      <c r="L701" s="17" t="str">
        <f>IFERROR(INDEX(競技会設定!$J$3:$N$47,MATCH(K701,競技会設定!$N$3:$N$47,0),2),"")</f>
        <v>490045</v>
      </c>
      <c r="M701" s="97" t="s">
        <v>3859</v>
      </c>
      <c r="N701" s="17" t="str">
        <f t="shared" si="31"/>
        <v>IDE, Daiki</v>
      </c>
      <c r="O701" s="17" t="str">
        <f t="shared" si="32"/>
        <v>00</v>
      </c>
    </row>
    <row r="702" spans="1:15">
      <c r="A702" s="17" t="str">
        <f t="shared" si="30"/>
        <v>501000701</v>
      </c>
      <c r="B702" s="97">
        <v>701</v>
      </c>
      <c r="C702" s="97" t="s">
        <v>1601</v>
      </c>
      <c r="D702" s="97" t="s">
        <v>1602</v>
      </c>
      <c r="E702" s="312" t="s">
        <v>2233</v>
      </c>
      <c r="F702" s="312" t="s">
        <v>2489</v>
      </c>
      <c r="G702" s="97" t="s">
        <v>3599</v>
      </c>
      <c r="H702" s="97" t="s">
        <v>4024</v>
      </c>
      <c r="I702" s="97" t="s">
        <v>4039</v>
      </c>
      <c r="J702" s="97" t="s">
        <v>4072</v>
      </c>
      <c r="K702" s="17" t="str">
        <f>IFERROR(INDEX(競技会設定!$J$3:$O$47,MATCH(J702,競技会設定!$M$3:$M$47,0),5),"")</f>
        <v>名古屋工業大</v>
      </c>
      <c r="L702" s="17" t="str">
        <f>IFERROR(INDEX(競技会設定!$J$3:$N$47,MATCH(K702,競技会設定!$N$3:$N$47,0),2),"")</f>
        <v>490045</v>
      </c>
      <c r="M702" s="97" t="s">
        <v>3859</v>
      </c>
      <c r="N702" s="17" t="str">
        <f t="shared" si="31"/>
        <v>SUZUKI, Shu</v>
      </c>
      <c r="O702" s="17" t="str">
        <f t="shared" si="32"/>
        <v>98</v>
      </c>
    </row>
    <row r="703" spans="1:15">
      <c r="A703" s="17" t="str">
        <f t="shared" si="30"/>
        <v>501000702</v>
      </c>
      <c r="B703" s="97">
        <v>702</v>
      </c>
      <c r="C703" s="97" t="s">
        <v>1603</v>
      </c>
      <c r="D703" s="97" t="s">
        <v>1604</v>
      </c>
      <c r="E703" s="312" t="s">
        <v>2897</v>
      </c>
      <c r="F703" s="312" t="s">
        <v>2112</v>
      </c>
      <c r="G703" s="97" t="s">
        <v>3202</v>
      </c>
      <c r="H703" s="97" t="s">
        <v>4028</v>
      </c>
      <c r="I703" s="97" t="s">
        <v>4039</v>
      </c>
      <c r="J703" s="97" t="s">
        <v>4072</v>
      </c>
      <c r="K703" s="17" t="str">
        <f>IFERROR(INDEX(競技会設定!$J$3:$O$47,MATCH(J703,競技会設定!$M$3:$M$47,0),5),"")</f>
        <v>名古屋工業大</v>
      </c>
      <c r="L703" s="17" t="str">
        <f>IFERROR(INDEX(競技会設定!$J$3:$N$47,MATCH(K703,競技会設定!$N$3:$N$47,0),2),"")</f>
        <v>490045</v>
      </c>
      <c r="M703" s="97" t="s">
        <v>3859</v>
      </c>
      <c r="N703" s="17" t="str">
        <f t="shared" si="31"/>
        <v>OWAKI, Masashi</v>
      </c>
      <c r="O703" s="17" t="str">
        <f t="shared" si="32"/>
        <v>96</v>
      </c>
    </row>
    <row r="704" spans="1:15">
      <c r="A704" s="17" t="str">
        <f t="shared" si="30"/>
        <v>501000703</v>
      </c>
      <c r="B704" s="97">
        <v>703</v>
      </c>
      <c r="C704" s="97" t="s">
        <v>1605</v>
      </c>
      <c r="D704" s="97" t="s">
        <v>1606</v>
      </c>
      <c r="E704" s="312" t="s">
        <v>2898</v>
      </c>
      <c r="F704" s="312" t="s">
        <v>2516</v>
      </c>
      <c r="G704" s="97" t="s">
        <v>3600</v>
      </c>
      <c r="H704" s="97" t="s">
        <v>4024</v>
      </c>
      <c r="I704" s="97" t="s">
        <v>4039</v>
      </c>
      <c r="J704" s="97" t="s">
        <v>4072</v>
      </c>
      <c r="K704" s="17" t="str">
        <f>IFERROR(INDEX(競技会設定!$J$3:$O$47,MATCH(J704,競技会設定!$M$3:$M$47,0),5),"")</f>
        <v>名古屋工業大</v>
      </c>
      <c r="L704" s="17" t="str">
        <f>IFERROR(INDEX(競技会設定!$J$3:$N$47,MATCH(K704,競技会設定!$N$3:$N$47,0),2),"")</f>
        <v>490045</v>
      </c>
      <c r="M704" s="97" t="s">
        <v>3859</v>
      </c>
      <c r="N704" s="17" t="str">
        <f t="shared" si="31"/>
        <v>ISHIZU, Naoto</v>
      </c>
      <c r="O704" s="17" t="str">
        <f t="shared" si="32"/>
        <v>98</v>
      </c>
    </row>
    <row r="705" spans="1:15">
      <c r="A705" s="17" t="str">
        <f t="shared" si="30"/>
        <v>501000704</v>
      </c>
      <c r="B705" s="97">
        <v>704</v>
      </c>
      <c r="C705" s="97" t="s">
        <v>1607</v>
      </c>
      <c r="D705" s="97" t="s">
        <v>1608</v>
      </c>
      <c r="E705" s="312" t="s">
        <v>2620</v>
      </c>
      <c r="F705" s="312" t="s">
        <v>2501</v>
      </c>
      <c r="G705" s="97" t="s">
        <v>3601</v>
      </c>
      <c r="H705" s="97" t="s">
        <v>4026</v>
      </c>
      <c r="I705" s="97" t="s">
        <v>4039</v>
      </c>
      <c r="J705" s="97" t="s">
        <v>4072</v>
      </c>
      <c r="K705" s="17" t="str">
        <f>IFERROR(INDEX(競技会設定!$J$3:$O$47,MATCH(J705,競技会設定!$M$3:$M$47,0),5),"")</f>
        <v>名古屋工業大</v>
      </c>
      <c r="L705" s="17" t="str">
        <f>IFERROR(INDEX(競技会設定!$J$3:$N$47,MATCH(K705,競技会設定!$N$3:$N$47,0),2),"")</f>
        <v>490045</v>
      </c>
      <c r="M705" s="97" t="s">
        <v>3859</v>
      </c>
      <c r="N705" s="17" t="str">
        <f t="shared" si="31"/>
        <v>TAKEUCHI, Yudai</v>
      </c>
      <c r="O705" s="17" t="str">
        <f t="shared" si="32"/>
        <v>01</v>
      </c>
    </row>
    <row r="706" spans="1:15">
      <c r="A706" s="17" t="str">
        <f t="shared" si="30"/>
        <v>501000705</v>
      </c>
      <c r="B706" s="97">
        <v>705</v>
      </c>
      <c r="C706" s="97" t="s">
        <v>1609</v>
      </c>
      <c r="D706" s="97" t="s">
        <v>1610</v>
      </c>
      <c r="E706" s="312" t="s">
        <v>2899</v>
      </c>
      <c r="F706" s="312" t="s">
        <v>2900</v>
      </c>
      <c r="G706" s="97" t="s">
        <v>3270</v>
      </c>
      <c r="H706" s="97" t="s">
        <v>4025</v>
      </c>
      <c r="I706" s="97" t="s">
        <v>4039</v>
      </c>
      <c r="J706" s="97" t="s">
        <v>4072</v>
      </c>
      <c r="K706" s="17" t="str">
        <f>IFERROR(INDEX(競技会設定!$J$3:$O$47,MATCH(J706,競技会設定!$M$3:$M$47,0),5),"")</f>
        <v>名古屋工業大</v>
      </c>
      <c r="L706" s="17" t="str">
        <f>IFERROR(INDEX(競技会設定!$J$3:$N$47,MATCH(K706,競技会設定!$N$3:$N$47,0),2),"")</f>
        <v>490045</v>
      </c>
      <c r="M706" s="97" t="s">
        <v>3859</v>
      </c>
      <c r="N706" s="17" t="str">
        <f t="shared" si="31"/>
        <v>MORIOKA, Takafumi</v>
      </c>
      <c r="O706" s="17" t="str">
        <f t="shared" si="32"/>
        <v>98</v>
      </c>
    </row>
    <row r="707" spans="1:15">
      <c r="A707" s="17" t="str">
        <f t="shared" ref="A707:A770" si="33">IF(B707="","","501"&amp;TEXT(B707,"000000"))</f>
        <v>501000706</v>
      </c>
      <c r="B707" s="97">
        <v>706</v>
      </c>
      <c r="C707" s="97" t="s">
        <v>1611</v>
      </c>
      <c r="D707" s="97" t="s">
        <v>1612</v>
      </c>
      <c r="E707" s="312" t="s">
        <v>2901</v>
      </c>
      <c r="F707" s="312" t="s">
        <v>2902</v>
      </c>
      <c r="G707" s="97" t="s">
        <v>3602</v>
      </c>
      <c r="H707" s="97" t="s">
        <v>4024</v>
      </c>
      <c r="I707" s="97" t="s">
        <v>4039</v>
      </c>
      <c r="J707" s="97" t="s">
        <v>4072</v>
      </c>
      <c r="K707" s="17" t="str">
        <f>IFERROR(INDEX(競技会設定!$J$3:$O$47,MATCH(J707,競技会設定!$M$3:$M$47,0),5),"")</f>
        <v>名古屋工業大</v>
      </c>
      <c r="L707" s="17" t="str">
        <f>IFERROR(INDEX(競技会設定!$J$3:$N$47,MATCH(K707,競技会設定!$N$3:$N$47,0),2),"")</f>
        <v>490045</v>
      </c>
      <c r="M707" s="97" t="s">
        <v>3859</v>
      </c>
      <c r="N707" s="17" t="str">
        <f t="shared" ref="N707:N770" si="34">IF(E707="","",E707&amp;", "&amp;F707)</f>
        <v>MITSUI, Leo</v>
      </c>
      <c r="O707" s="17" t="str">
        <f t="shared" ref="O707:O770" si="35">IFERROR(TEXT(INT(LEFT(G707,2)),"00"),"")</f>
        <v>98</v>
      </c>
    </row>
    <row r="708" spans="1:15">
      <c r="A708" s="17" t="str">
        <f t="shared" si="33"/>
        <v>501000707</v>
      </c>
      <c r="B708" s="97">
        <v>707</v>
      </c>
      <c r="C708" s="97" t="s">
        <v>1613</v>
      </c>
      <c r="D708" s="97" t="s">
        <v>1614</v>
      </c>
      <c r="E708" s="312" t="s">
        <v>2903</v>
      </c>
      <c r="F708" s="312" t="s">
        <v>2904</v>
      </c>
      <c r="G708" s="97" t="s">
        <v>3603</v>
      </c>
      <c r="H708" s="97" t="s">
        <v>4026</v>
      </c>
      <c r="I708" s="97" t="s">
        <v>4039</v>
      </c>
      <c r="J708" s="97" t="s">
        <v>4072</v>
      </c>
      <c r="K708" s="17" t="str">
        <f>IFERROR(INDEX(競技会設定!$J$3:$O$47,MATCH(J708,競技会設定!$M$3:$M$47,0),5),"")</f>
        <v>名古屋工業大</v>
      </c>
      <c r="L708" s="17" t="str">
        <f>IFERROR(INDEX(競技会設定!$J$3:$N$47,MATCH(K708,競技会設定!$N$3:$N$47,0),2),"")</f>
        <v>490045</v>
      </c>
      <c r="M708" s="97" t="s">
        <v>3859</v>
      </c>
      <c r="N708" s="17" t="str">
        <f t="shared" si="34"/>
        <v>ISHIHARA, Teruchika</v>
      </c>
      <c r="O708" s="17" t="str">
        <f t="shared" si="35"/>
        <v>00</v>
      </c>
    </row>
    <row r="709" spans="1:15">
      <c r="A709" s="17" t="str">
        <f t="shared" si="33"/>
        <v>501000708</v>
      </c>
      <c r="B709" s="97">
        <v>708</v>
      </c>
      <c r="C709" s="97" t="s">
        <v>1615</v>
      </c>
      <c r="D709" s="97" t="s">
        <v>1616</v>
      </c>
      <c r="E709" s="312" t="s">
        <v>2905</v>
      </c>
      <c r="F709" s="312" t="s">
        <v>2538</v>
      </c>
      <c r="G709" s="97" t="s">
        <v>3604</v>
      </c>
      <c r="H709" s="97" t="s">
        <v>4026</v>
      </c>
      <c r="I709" s="97" t="s">
        <v>4039</v>
      </c>
      <c r="J709" s="97" t="s">
        <v>4072</v>
      </c>
      <c r="K709" s="17" t="str">
        <f>IFERROR(INDEX(競技会設定!$J$3:$O$47,MATCH(J709,競技会設定!$M$3:$M$47,0),5),"")</f>
        <v>名古屋工業大</v>
      </c>
      <c r="L709" s="17" t="str">
        <f>IFERROR(INDEX(競技会設定!$J$3:$N$47,MATCH(K709,競技会設定!$N$3:$N$47,0),2),"")</f>
        <v>490045</v>
      </c>
      <c r="M709" s="97" t="s">
        <v>3859</v>
      </c>
      <c r="N709" s="17" t="str">
        <f t="shared" si="34"/>
        <v>NAKADA, Ryunosuke</v>
      </c>
      <c r="O709" s="17" t="str">
        <f t="shared" si="35"/>
        <v>00</v>
      </c>
    </row>
    <row r="710" spans="1:15">
      <c r="A710" s="17" t="str">
        <f t="shared" si="33"/>
        <v>501000709</v>
      </c>
      <c r="B710" s="97">
        <v>709</v>
      </c>
      <c r="C710" s="97" t="s">
        <v>1617</v>
      </c>
      <c r="D710" s="97" t="s">
        <v>1618</v>
      </c>
      <c r="E710" s="312" t="s">
        <v>2775</v>
      </c>
      <c r="F710" s="312" t="s">
        <v>2234</v>
      </c>
      <c r="G710" s="97" t="s">
        <v>3605</v>
      </c>
      <c r="H710" s="97" t="s">
        <v>4024</v>
      </c>
      <c r="I710" s="97" t="s">
        <v>4039</v>
      </c>
      <c r="J710" s="97" t="s">
        <v>4072</v>
      </c>
      <c r="K710" s="17" t="str">
        <f>IFERROR(INDEX(競技会設定!$J$3:$O$47,MATCH(J710,競技会設定!$M$3:$M$47,0),5),"")</f>
        <v>名古屋工業大</v>
      </c>
      <c r="L710" s="17" t="str">
        <f>IFERROR(INDEX(競技会設定!$J$3:$N$47,MATCH(K710,競技会設定!$N$3:$N$47,0),2),"")</f>
        <v>490045</v>
      </c>
      <c r="M710" s="97" t="s">
        <v>3859</v>
      </c>
      <c r="N710" s="17" t="str">
        <f t="shared" si="34"/>
        <v>YASUI, Yuto</v>
      </c>
      <c r="O710" s="17" t="str">
        <f t="shared" si="35"/>
        <v>99</v>
      </c>
    </row>
    <row r="711" spans="1:15">
      <c r="A711" s="17" t="str">
        <f t="shared" si="33"/>
        <v>501000710</v>
      </c>
      <c r="B711" s="97">
        <v>710</v>
      </c>
      <c r="C711" s="97" t="s">
        <v>1619</v>
      </c>
      <c r="D711" s="97" t="s">
        <v>1620</v>
      </c>
      <c r="E711" s="312" t="s">
        <v>2906</v>
      </c>
      <c r="F711" s="312" t="s">
        <v>2830</v>
      </c>
      <c r="G711" s="97" t="s">
        <v>3496</v>
      </c>
      <c r="H711" s="97" t="s">
        <v>4025</v>
      </c>
      <c r="I711" s="97" t="s">
        <v>4039</v>
      </c>
      <c r="J711" s="97" t="s">
        <v>4072</v>
      </c>
      <c r="K711" s="17" t="str">
        <f>IFERROR(INDEX(競技会設定!$J$3:$O$47,MATCH(J711,競技会設定!$M$3:$M$47,0),5),"")</f>
        <v>名古屋工業大</v>
      </c>
      <c r="L711" s="17" t="str">
        <f>IFERROR(INDEX(競技会設定!$J$3:$N$47,MATCH(K711,競技会設定!$N$3:$N$47,0),2),"")</f>
        <v>490045</v>
      </c>
      <c r="M711" s="97" t="s">
        <v>3859</v>
      </c>
      <c r="N711" s="17" t="str">
        <f t="shared" si="34"/>
        <v>FUJITA, Yuma</v>
      </c>
      <c r="O711" s="17" t="str">
        <f t="shared" si="35"/>
        <v>98</v>
      </c>
    </row>
    <row r="712" spans="1:15">
      <c r="A712" s="17" t="str">
        <f t="shared" si="33"/>
        <v>501000711</v>
      </c>
      <c r="B712" s="97">
        <v>711</v>
      </c>
      <c r="C712" s="97" t="s">
        <v>1621</v>
      </c>
      <c r="D712" s="97" t="s">
        <v>1622</v>
      </c>
      <c r="E712" s="312" t="s">
        <v>2907</v>
      </c>
      <c r="F712" s="312" t="s">
        <v>2908</v>
      </c>
      <c r="G712" s="97" t="s">
        <v>3606</v>
      </c>
      <c r="H712" s="97" t="s">
        <v>4030</v>
      </c>
      <c r="I712" s="97" t="s">
        <v>4039</v>
      </c>
      <c r="J712" s="97" t="s">
        <v>4072</v>
      </c>
      <c r="K712" s="17" t="str">
        <f>IFERROR(INDEX(競技会設定!$J$3:$O$47,MATCH(J712,競技会設定!$M$3:$M$47,0),5),"")</f>
        <v>名古屋工業大</v>
      </c>
      <c r="L712" s="17" t="str">
        <f>IFERROR(INDEX(競技会設定!$J$3:$N$47,MATCH(K712,競技会設定!$N$3:$N$47,0),2),"")</f>
        <v>490045</v>
      </c>
      <c r="M712" s="97" t="s">
        <v>3859</v>
      </c>
      <c r="N712" s="17" t="str">
        <f t="shared" si="34"/>
        <v>SHINGU, Yoshihiro</v>
      </c>
      <c r="O712" s="17" t="str">
        <f t="shared" si="35"/>
        <v>96</v>
      </c>
    </row>
    <row r="713" spans="1:15">
      <c r="A713" s="17" t="str">
        <f t="shared" si="33"/>
        <v>501000712</v>
      </c>
      <c r="B713" s="97">
        <v>712</v>
      </c>
      <c r="C713" s="97" t="s">
        <v>1623</v>
      </c>
      <c r="D713" s="97" t="s">
        <v>1624</v>
      </c>
      <c r="E713" s="312" t="s">
        <v>2909</v>
      </c>
      <c r="F713" s="312" t="s">
        <v>2165</v>
      </c>
      <c r="G713" s="97" t="s">
        <v>3607</v>
      </c>
      <c r="H713" s="97" t="s">
        <v>4026</v>
      </c>
      <c r="I713" s="97" t="s">
        <v>4039</v>
      </c>
      <c r="J713" s="97" t="s">
        <v>4072</v>
      </c>
      <c r="K713" s="17" t="str">
        <f>IFERROR(INDEX(競技会設定!$J$3:$O$47,MATCH(J713,競技会設定!$M$3:$M$47,0),5),"")</f>
        <v>名古屋工業大</v>
      </c>
      <c r="L713" s="17" t="str">
        <f>IFERROR(INDEX(競技会設定!$J$3:$N$47,MATCH(K713,競技会設定!$N$3:$N$47,0),2),"")</f>
        <v>490045</v>
      </c>
      <c r="M713" s="97" t="s">
        <v>3859</v>
      </c>
      <c r="N713" s="17" t="str">
        <f t="shared" si="34"/>
        <v>SHIMIZU, Riku</v>
      </c>
      <c r="O713" s="17" t="str">
        <f t="shared" si="35"/>
        <v>00</v>
      </c>
    </row>
    <row r="714" spans="1:15">
      <c r="A714" s="17" t="str">
        <f t="shared" si="33"/>
        <v>501000713</v>
      </c>
      <c r="B714" s="97">
        <v>713</v>
      </c>
      <c r="C714" s="97" t="s">
        <v>1625</v>
      </c>
      <c r="D714" s="97" t="s">
        <v>1626</v>
      </c>
      <c r="E714" s="312" t="s">
        <v>2132</v>
      </c>
      <c r="F714" s="312" t="s">
        <v>2240</v>
      </c>
      <c r="G714" s="97" t="s">
        <v>3097</v>
      </c>
      <c r="H714" s="97" t="s">
        <v>4025</v>
      </c>
      <c r="I714" s="97" t="s">
        <v>4039</v>
      </c>
      <c r="J714" s="97" t="s">
        <v>4072</v>
      </c>
      <c r="K714" s="17" t="str">
        <f>IFERROR(INDEX(競技会設定!$J$3:$O$47,MATCH(J714,競技会設定!$M$3:$M$47,0),5),"")</f>
        <v>名古屋工業大</v>
      </c>
      <c r="L714" s="17" t="str">
        <f>IFERROR(INDEX(競技会設定!$J$3:$N$47,MATCH(K714,競技会設定!$N$3:$N$47,0),2),"")</f>
        <v>490045</v>
      </c>
      <c r="M714" s="97" t="s">
        <v>3859</v>
      </c>
      <c r="N714" s="17" t="str">
        <f t="shared" si="34"/>
        <v>FUKUOKA, Taichi</v>
      </c>
      <c r="O714" s="17" t="str">
        <f t="shared" si="35"/>
        <v>98</v>
      </c>
    </row>
    <row r="715" spans="1:15">
      <c r="A715" s="17" t="str">
        <f t="shared" si="33"/>
        <v>501000714</v>
      </c>
      <c r="B715" s="97">
        <v>714</v>
      </c>
      <c r="C715" s="97" t="s">
        <v>1627</v>
      </c>
      <c r="D715" s="97" t="s">
        <v>1628</v>
      </c>
      <c r="E715" s="312" t="s">
        <v>2533</v>
      </c>
      <c r="F715" s="312" t="s">
        <v>2910</v>
      </c>
      <c r="G715" s="97" t="s">
        <v>3608</v>
      </c>
      <c r="H715" s="97" t="s">
        <v>4030</v>
      </c>
      <c r="I715" s="97" t="s">
        <v>4039</v>
      </c>
      <c r="J715" s="97" t="s">
        <v>4072</v>
      </c>
      <c r="K715" s="17" t="str">
        <f>IFERROR(INDEX(競技会設定!$J$3:$O$47,MATCH(J715,競技会設定!$M$3:$M$47,0),5),"")</f>
        <v>名古屋工業大</v>
      </c>
      <c r="L715" s="17" t="str">
        <f>IFERROR(INDEX(競技会設定!$J$3:$N$47,MATCH(K715,競技会設定!$N$3:$N$47,0),2),"")</f>
        <v>490045</v>
      </c>
      <c r="M715" s="97" t="s">
        <v>3859</v>
      </c>
      <c r="N715" s="17" t="str">
        <f t="shared" si="34"/>
        <v>KASAI, Kenichiro</v>
      </c>
      <c r="O715" s="17" t="str">
        <f t="shared" si="35"/>
        <v>97</v>
      </c>
    </row>
    <row r="716" spans="1:15">
      <c r="A716" s="17" t="str">
        <f t="shared" si="33"/>
        <v>501000715</v>
      </c>
      <c r="B716" s="97">
        <v>715</v>
      </c>
      <c r="C716" s="97" t="s">
        <v>1629</v>
      </c>
      <c r="D716" s="97" t="s">
        <v>1630</v>
      </c>
      <c r="E716" s="312" t="s">
        <v>2169</v>
      </c>
      <c r="F716" s="312" t="s">
        <v>2152</v>
      </c>
      <c r="G716" s="97" t="s">
        <v>3609</v>
      </c>
      <c r="H716" s="97" t="s">
        <v>4026</v>
      </c>
      <c r="I716" s="97" t="s">
        <v>4039</v>
      </c>
      <c r="J716" s="97" t="s">
        <v>4072</v>
      </c>
      <c r="K716" s="17" t="str">
        <f>IFERROR(INDEX(競技会設定!$J$3:$O$47,MATCH(J716,競技会設定!$M$3:$M$47,0),5),"")</f>
        <v>名古屋工業大</v>
      </c>
      <c r="L716" s="17" t="str">
        <f>IFERROR(INDEX(競技会設定!$J$3:$N$47,MATCH(K716,競技会設定!$N$3:$N$47,0),2),"")</f>
        <v>490045</v>
      </c>
      <c r="M716" s="97" t="s">
        <v>3859</v>
      </c>
      <c r="N716" s="17" t="str">
        <f t="shared" si="34"/>
        <v>SUGIMOTO, Kazuma</v>
      </c>
      <c r="O716" s="17" t="str">
        <f t="shared" si="35"/>
        <v>00</v>
      </c>
    </row>
    <row r="717" spans="1:15">
      <c r="A717" s="17" t="str">
        <f t="shared" si="33"/>
        <v>501000716</v>
      </c>
      <c r="B717" s="97">
        <v>716</v>
      </c>
      <c r="C717" s="97" t="s">
        <v>1631</v>
      </c>
      <c r="D717" s="97" t="s">
        <v>1632</v>
      </c>
      <c r="E717" s="312" t="s">
        <v>2288</v>
      </c>
      <c r="F717" s="312" t="s">
        <v>2852</v>
      </c>
      <c r="G717" s="97" t="s">
        <v>3610</v>
      </c>
      <c r="H717" s="97" t="s">
        <v>4026</v>
      </c>
      <c r="I717" s="97" t="s">
        <v>4039</v>
      </c>
      <c r="J717" s="97" t="s">
        <v>4072</v>
      </c>
      <c r="K717" s="17" t="str">
        <f>IFERROR(INDEX(競技会設定!$J$3:$O$47,MATCH(J717,競技会設定!$M$3:$M$47,0),5),"")</f>
        <v>名古屋工業大</v>
      </c>
      <c r="L717" s="17" t="str">
        <f>IFERROR(INDEX(競技会設定!$J$3:$N$47,MATCH(K717,競技会設定!$N$3:$N$47,0),2),"")</f>
        <v>490045</v>
      </c>
      <c r="M717" s="97" t="s">
        <v>3859</v>
      </c>
      <c r="N717" s="17" t="str">
        <f t="shared" si="34"/>
        <v>ISHIDA, Satoru</v>
      </c>
      <c r="O717" s="17" t="str">
        <f t="shared" si="35"/>
        <v>99</v>
      </c>
    </row>
    <row r="718" spans="1:15">
      <c r="A718" s="17" t="str">
        <f t="shared" si="33"/>
        <v>501000717</v>
      </c>
      <c r="B718" s="97">
        <v>717</v>
      </c>
      <c r="C718" s="97" t="s">
        <v>1633</v>
      </c>
      <c r="D718" s="97" t="s">
        <v>1634</v>
      </c>
      <c r="E718" s="312" t="s">
        <v>2911</v>
      </c>
      <c r="F718" s="312" t="s">
        <v>2912</v>
      </c>
      <c r="G718" s="97" t="s">
        <v>3611</v>
      </c>
      <c r="H718" s="97" t="s">
        <v>4025</v>
      </c>
      <c r="I718" s="97" t="s">
        <v>4039</v>
      </c>
      <c r="J718" s="97" t="s">
        <v>4072</v>
      </c>
      <c r="K718" s="17" t="str">
        <f>IFERROR(INDEX(競技会設定!$J$3:$O$47,MATCH(J718,競技会設定!$M$3:$M$47,0),5),"")</f>
        <v>名古屋工業大</v>
      </c>
      <c r="L718" s="17" t="str">
        <f>IFERROR(INDEX(競技会設定!$J$3:$N$47,MATCH(K718,競技会設定!$N$3:$N$47,0),2),"")</f>
        <v>490045</v>
      </c>
      <c r="M718" s="97" t="s">
        <v>3859</v>
      </c>
      <c r="N718" s="17" t="str">
        <f t="shared" si="34"/>
        <v>MIZUKOSI, Asahi</v>
      </c>
      <c r="O718" s="17" t="str">
        <f t="shared" si="35"/>
        <v>97</v>
      </c>
    </row>
    <row r="719" spans="1:15">
      <c r="A719" s="17" t="str">
        <f t="shared" si="33"/>
        <v>501000718</v>
      </c>
      <c r="B719" s="97">
        <v>718</v>
      </c>
      <c r="C719" s="97" t="s">
        <v>1635</v>
      </c>
      <c r="D719" s="97" t="s">
        <v>1636</v>
      </c>
      <c r="E719" s="312" t="s">
        <v>2913</v>
      </c>
      <c r="F719" s="312" t="s">
        <v>2108</v>
      </c>
      <c r="G719" s="97" t="s">
        <v>3438</v>
      </c>
      <c r="H719" s="97" t="s">
        <v>4025</v>
      </c>
      <c r="I719" s="97" t="s">
        <v>4039</v>
      </c>
      <c r="J719" s="97" t="s">
        <v>4047</v>
      </c>
      <c r="K719" s="17" t="str">
        <f>IFERROR(INDEX(競技会設定!$J$3:$O$47,MATCH(J719,競技会設定!$M$3:$M$47,0),5),"")</f>
        <v>岐阜協立大</v>
      </c>
      <c r="L719" s="17" t="str">
        <f>IFERROR(INDEX(競技会設定!$J$3:$N$47,MATCH(K719,競技会設定!$N$3:$N$47,0),2),"")</f>
        <v>492161</v>
      </c>
      <c r="M719" s="97" t="s">
        <v>3845</v>
      </c>
      <c r="N719" s="17" t="str">
        <f t="shared" si="34"/>
        <v>UOURA, Yuki</v>
      </c>
      <c r="O719" s="17" t="str">
        <f t="shared" si="35"/>
        <v>98</v>
      </c>
    </row>
    <row r="720" spans="1:15">
      <c r="A720" s="17" t="str">
        <f t="shared" si="33"/>
        <v>501000719</v>
      </c>
      <c r="B720" s="97">
        <v>719</v>
      </c>
      <c r="C720" s="97" t="s">
        <v>1637</v>
      </c>
      <c r="D720" s="97" t="s">
        <v>1638</v>
      </c>
      <c r="E720" s="312" t="s">
        <v>2349</v>
      </c>
      <c r="F720" s="312" t="s">
        <v>2914</v>
      </c>
      <c r="G720" s="97" t="s">
        <v>3092</v>
      </c>
      <c r="H720" s="97" t="s">
        <v>4025</v>
      </c>
      <c r="I720" s="97" t="s">
        <v>4039</v>
      </c>
      <c r="J720" s="97" t="s">
        <v>4047</v>
      </c>
      <c r="K720" s="17" t="str">
        <f>IFERROR(INDEX(競技会設定!$J$3:$O$47,MATCH(J720,競技会設定!$M$3:$M$47,0),5),"")</f>
        <v>岐阜協立大</v>
      </c>
      <c r="L720" s="17" t="str">
        <f>IFERROR(INDEX(競技会設定!$J$3:$N$47,MATCH(K720,競技会設定!$N$3:$N$47,0),2),"")</f>
        <v>492161</v>
      </c>
      <c r="M720" s="97" t="s">
        <v>3812</v>
      </c>
      <c r="N720" s="17" t="str">
        <f t="shared" si="34"/>
        <v>KOBAYASHI, Junomarde</v>
      </c>
      <c r="O720" s="17" t="str">
        <f t="shared" si="35"/>
        <v>98</v>
      </c>
    </row>
    <row r="721" spans="1:15">
      <c r="A721" s="17" t="str">
        <f t="shared" si="33"/>
        <v>501000720</v>
      </c>
      <c r="B721" s="97">
        <v>720</v>
      </c>
      <c r="C721" s="97" t="s">
        <v>1639</v>
      </c>
      <c r="D721" s="97" t="s">
        <v>1640</v>
      </c>
      <c r="E721" s="312" t="s">
        <v>2173</v>
      </c>
      <c r="F721" s="312" t="s">
        <v>2915</v>
      </c>
      <c r="G721" s="97" t="s">
        <v>3270</v>
      </c>
      <c r="H721" s="97" t="s">
        <v>4025</v>
      </c>
      <c r="I721" s="97" t="s">
        <v>4039</v>
      </c>
      <c r="J721" s="97" t="s">
        <v>4047</v>
      </c>
      <c r="K721" s="17" t="str">
        <f>IFERROR(INDEX(競技会設定!$J$3:$O$47,MATCH(J721,競技会設定!$M$3:$M$47,0),5),"")</f>
        <v>岐阜協立大</v>
      </c>
      <c r="L721" s="17" t="str">
        <f>IFERROR(INDEX(競技会設定!$J$3:$N$47,MATCH(K721,競技会設定!$N$3:$N$47,0),2),"")</f>
        <v>492161</v>
      </c>
      <c r="M721" s="97" t="s">
        <v>3855</v>
      </c>
      <c r="N721" s="17" t="str">
        <f t="shared" si="34"/>
        <v>TAKAHASHI, Rai</v>
      </c>
      <c r="O721" s="17" t="str">
        <f t="shared" si="35"/>
        <v>98</v>
      </c>
    </row>
    <row r="722" spans="1:15">
      <c r="A722" s="17" t="str">
        <f t="shared" si="33"/>
        <v>501000721</v>
      </c>
      <c r="B722" s="97">
        <v>721</v>
      </c>
      <c r="C722" s="97" t="s">
        <v>1641</v>
      </c>
      <c r="D722" s="97" t="s">
        <v>1642</v>
      </c>
      <c r="E722" s="312" t="s">
        <v>2916</v>
      </c>
      <c r="F722" s="312" t="s">
        <v>2509</v>
      </c>
      <c r="G722" s="97" t="s">
        <v>3612</v>
      </c>
      <c r="H722" s="97" t="s">
        <v>4025</v>
      </c>
      <c r="I722" s="97" t="s">
        <v>4039</v>
      </c>
      <c r="J722" s="97" t="s">
        <v>4047</v>
      </c>
      <c r="K722" s="17" t="str">
        <f>IFERROR(INDEX(競技会設定!$J$3:$O$47,MATCH(J722,競技会設定!$M$3:$M$47,0),5),"")</f>
        <v>岐阜協立大</v>
      </c>
      <c r="L722" s="17" t="str">
        <f>IFERROR(INDEX(競技会設定!$J$3:$N$47,MATCH(K722,競技会設定!$N$3:$N$47,0),2),"")</f>
        <v>492161</v>
      </c>
      <c r="M722" s="97" t="s">
        <v>3855</v>
      </c>
      <c r="N722" s="17" t="str">
        <f t="shared" si="34"/>
        <v>TAHARA, Ren</v>
      </c>
      <c r="O722" s="17" t="str">
        <f t="shared" si="35"/>
        <v>98</v>
      </c>
    </row>
    <row r="723" spans="1:15">
      <c r="A723" s="17" t="str">
        <f t="shared" si="33"/>
        <v>501000722</v>
      </c>
      <c r="B723" s="97">
        <v>722</v>
      </c>
      <c r="C723" s="97" t="s">
        <v>1643</v>
      </c>
      <c r="D723" s="97" t="s">
        <v>1644</v>
      </c>
      <c r="E723" s="312" t="s">
        <v>2917</v>
      </c>
      <c r="F723" s="312" t="s">
        <v>2538</v>
      </c>
      <c r="G723" s="97" t="s">
        <v>3613</v>
      </c>
      <c r="H723" s="97" t="s">
        <v>4025</v>
      </c>
      <c r="I723" s="97" t="s">
        <v>4039</v>
      </c>
      <c r="J723" s="97" t="s">
        <v>4047</v>
      </c>
      <c r="K723" s="17" t="str">
        <f>IFERROR(INDEX(競技会設定!$J$3:$O$47,MATCH(J723,競技会設定!$M$3:$M$47,0),5),"")</f>
        <v>岐阜協立大</v>
      </c>
      <c r="L723" s="17" t="str">
        <f>IFERROR(INDEX(競技会設定!$J$3:$N$47,MATCH(K723,競技会設定!$N$3:$N$47,0),2),"")</f>
        <v>492161</v>
      </c>
      <c r="M723" s="97" t="s">
        <v>3857</v>
      </c>
      <c r="N723" s="17" t="str">
        <f t="shared" si="34"/>
        <v>FURUKAWA, Ryunosuke</v>
      </c>
      <c r="O723" s="17" t="str">
        <f t="shared" si="35"/>
        <v>98</v>
      </c>
    </row>
    <row r="724" spans="1:15">
      <c r="A724" s="17" t="str">
        <f t="shared" si="33"/>
        <v>501000723</v>
      </c>
      <c r="B724" s="97">
        <v>723</v>
      </c>
      <c r="C724" s="97" t="s">
        <v>1645</v>
      </c>
      <c r="D724" s="97" t="s">
        <v>1646</v>
      </c>
      <c r="E724" s="312" t="s">
        <v>2918</v>
      </c>
      <c r="F724" s="312" t="s">
        <v>2919</v>
      </c>
      <c r="G724" s="97" t="s">
        <v>3307</v>
      </c>
      <c r="H724" s="97" t="s">
        <v>4024</v>
      </c>
      <c r="I724" s="97" t="s">
        <v>4039</v>
      </c>
      <c r="J724" s="97" t="s">
        <v>4047</v>
      </c>
      <c r="K724" s="17" t="str">
        <f>IFERROR(INDEX(競技会設定!$J$3:$O$47,MATCH(J724,競技会設定!$M$3:$M$47,0),5),"")</f>
        <v>岐阜協立大</v>
      </c>
      <c r="L724" s="17" t="str">
        <f>IFERROR(INDEX(競技会設定!$J$3:$N$47,MATCH(K724,競技会設定!$N$3:$N$47,0),2),"")</f>
        <v>492161</v>
      </c>
      <c r="M724" s="97" t="s">
        <v>3855</v>
      </c>
      <c r="N724" s="17" t="str">
        <f t="shared" si="34"/>
        <v>CHINEN, Saeru</v>
      </c>
      <c r="O724" s="17" t="str">
        <f t="shared" si="35"/>
        <v>99</v>
      </c>
    </row>
    <row r="725" spans="1:15">
      <c r="A725" s="17" t="str">
        <f t="shared" si="33"/>
        <v>501000724</v>
      </c>
      <c r="B725" s="97">
        <v>724</v>
      </c>
      <c r="C725" s="97" t="s">
        <v>1647</v>
      </c>
      <c r="D725" s="97" t="s">
        <v>1648</v>
      </c>
      <c r="E725" s="312" t="s">
        <v>2261</v>
      </c>
      <c r="F725" s="312" t="s">
        <v>2920</v>
      </c>
      <c r="G725" s="97" t="s">
        <v>3614</v>
      </c>
      <c r="H725" s="97" t="s">
        <v>4029</v>
      </c>
      <c r="I725" s="97" t="s">
        <v>4039</v>
      </c>
      <c r="J725" s="97" t="s">
        <v>4047</v>
      </c>
      <c r="K725" s="17" t="str">
        <f>IFERROR(INDEX(競技会設定!$J$3:$O$47,MATCH(J725,競技会設定!$M$3:$M$47,0),5),"")</f>
        <v>岐阜協立大</v>
      </c>
      <c r="L725" s="17" t="str">
        <f>IFERROR(INDEX(競技会設定!$J$3:$N$47,MATCH(K725,競技会設定!$N$3:$N$47,0),2),"")</f>
        <v>492161</v>
      </c>
      <c r="M725" s="97" t="s">
        <v>3895</v>
      </c>
      <c r="N725" s="17" t="str">
        <f t="shared" si="34"/>
        <v>ABE, Hidetaro</v>
      </c>
      <c r="O725" s="17" t="str">
        <f t="shared" si="35"/>
        <v>01</v>
      </c>
    </row>
    <row r="726" spans="1:15">
      <c r="A726" s="17" t="str">
        <f t="shared" si="33"/>
        <v>501000725</v>
      </c>
      <c r="B726" s="97">
        <v>725</v>
      </c>
      <c r="C726" s="97" t="s">
        <v>1649</v>
      </c>
      <c r="D726" s="97" t="s">
        <v>1650</v>
      </c>
      <c r="E726" s="312" t="s">
        <v>2921</v>
      </c>
      <c r="F726" s="312" t="s">
        <v>2443</v>
      </c>
      <c r="G726" s="97" t="s">
        <v>3615</v>
      </c>
      <c r="H726" s="97" t="s">
        <v>4029</v>
      </c>
      <c r="I726" s="97" t="s">
        <v>4039</v>
      </c>
      <c r="J726" s="97" t="s">
        <v>4047</v>
      </c>
      <c r="K726" s="17" t="str">
        <f>IFERROR(INDEX(競技会設定!$J$3:$O$47,MATCH(J726,競技会設定!$M$3:$M$47,0),5),"")</f>
        <v>岐阜協立大</v>
      </c>
      <c r="L726" s="17" t="str">
        <f>IFERROR(INDEX(競技会設定!$J$3:$N$47,MATCH(K726,競技会設定!$N$3:$N$47,0),2),"")</f>
        <v>492161</v>
      </c>
      <c r="M726" s="97" t="s">
        <v>3859</v>
      </c>
      <c r="N726" s="17" t="str">
        <f t="shared" si="34"/>
        <v>UWATOKO, Ryuta</v>
      </c>
      <c r="O726" s="17" t="str">
        <f t="shared" si="35"/>
        <v>01</v>
      </c>
    </row>
    <row r="727" spans="1:15">
      <c r="A727" s="17" t="str">
        <f t="shared" si="33"/>
        <v>501000726</v>
      </c>
      <c r="B727" s="97">
        <v>726</v>
      </c>
      <c r="C727" s="97" t="s">
        <v>1651</v>
      </c>
      <c r="D727" s="97" t="s">
        <v>1652</v>
      </c>
      <c r="E727" s="312" t="s">
        <v>2922</v>
      </c>
      <c r="F727" s="312" t="s">
        <v>2923</v>
      </c>
      <c r="G727" s="97" t="s">
        <v>3176</v>
      </c>
      <c r="H727" s="97" t="s">
        <v>4029</v>
      </c>
      <c r="I727" s="97" t="s">
        <v>6659</v>
      </c>
      <c r="J727" s="97" t="s">
        <v>4047</v>
      </c>
      <c r="K727" s="17" t="str">
        <f>IFERROR(INDEX(競技会設定!$J$3:$O$47,MATCH(J727,競技会設定!$M$3:$M$47,0),5),"")</f>
        <v>岐阜協立大</v>
      </c>
      <c r="L727" s="17" t="str">
        <f>IFERROR(INDEX(競技会設定!$J$3:$N$47,MATCH(K727,競技会設定!$N$3:$N$47,0),2),"")</f>
        <v>492161</v>
      </c>
      <c r="M727" s="97" t="s">
        <v>3861</v>
      </c>
      <c r="N727" s="17" t="str">
        <f t="shared" si="34"/>
        <v>OGAWA , Henrique</v>
      </c>
      <c r="O727" s="17" t="str">
        <f t="shared" si="35"/>
        <v>01</v>
      </c>
    </row>
    <row r="728" spans="1:15">
      <c r="A728" s="17" t="str">
        <f t="shared" si="33"/>
        <v>501000727</v>
      </c>
      <c r="B728" s="97">
        <v>727</v>
      </c>
      <c r="C728" s="97" t="s">
        <v>1653</v>
      </c>
      <c r="D728" s="97" t="s">
        <v>1654</v>
      </c>
      <c r="E728" s="312" t="s">
        <v>2369</v>
      </c>
      <c r="F728" s="312" t="s">
        <v>2331</v>
      </c>
      <c r="G728" s="97" t="s">
        <v>3616</v>
      </c>
      <c r="H728" s="97" t="s">
        <v>4029</v>
      </c>
      <c r="I728" s="97" t="s">
        <v>4039</v>
      </c>
      <c r="J728" s="97" t="s">
        <v>4047</v>
      </c>
      <c r="K728" s="17" t="str">
        <f>IFERROR(INDEX(競技会設定!$J$3:$O$47,MATCH(J728,競技会設定!$M$3:$M$47,0),5),"")</f>
        <v>岐阜協立大</v>
      </c>
      <c r="L728" s="17" t="str">
        <f>IFERROR(INDEX(競技会設定!$J$3:$N$47,MATCH(K728,競技会設定!$N$3:$N$47,0),2),"")</f>
        <v>492161</v>
      </c>
      <c r="M728" s="97" t="s">
        <v>3855</v>
      </c>
      <c r="N728" s="17" t="str">
        <f t="shared" si="34"/>
        <v>KATO, Shin</v>
      </c>
      <c r="O728" s="17" t="str">
        <f t="shared" si="35"/>
        <v>01</v>
      </c>
    </row>
    <row r="729" spans="1:15">
      <c r="A729" s="17" t="str">
        <f t="shared" si="33"/>
        <v>501000728</v>
      </c>
      <c r="B729" s="97">
        <v>728</v>
      </c>
      <c r="C729" s="97" t="s">
        <v>1655</v>
      </c>
      <c r="D729" s="97" t="s">
        <v>1656</v>
      </c>
      <c r="E729" s="312" t="s">
        <v>2438</v>
      </c>
      <c r="F729" s="312" t="s">
        <v>2924</v>
      </c>
      <c r="G729" s="97" t="s">
        <v>3617</v>
      </c>
      <c r="H729" s="97" t="s">
        <v>4029</v>
      </c>
      <c r="I729" s="97" t="s">
        <v>4039</v>
      </c>
      <c r="J729" s="97" t="s">
        <v>4047</v>
      </c>
      <c r="K729" s="17" t="str">
        <f>IFERROR(INDEX(競技会設定!$J$3:$O$47,MATCH(J729,競技会設定!$M$3:$M$47,0),5),"")</f>
        <v>岐阜協立大</v>
      </c>
      <c r="L729" s="17" t="str">
        <f>IFERROR(INDEX(競技会設定!$J$3:$N$47,MATCH(K729,競技会設定!$N$3:$N$47,0),2),"")</f>
        <v>492161</v>
      </c>
      <c r="M729" s="97" t="s">
        <v>3855</v>
      </c>
      <c r="N729" s="17" t="str">
        <f t="shared" si="34"/>
        <v>KAWAMURA, Shoei</v>
      </c>
      <c r="O729" s="17" t="str">
        <f t="shared" si="35"/>
        <v>02</v>
      </c>
    </row>
    <row r="730" spans="1:15">
      <c r="A730" s="17" t="str">
        <f t="shared" si="33"/>
        <v>501000729</v>
      </c>
      <c r="B730" s="97">
        <v>729</v>
      </c>
      <c r="C730" s="97" t="s">
        <v>1657</v>
      </c>
      <c r="D730" s="97" t="s">
        <v>1658</v>
      </c>
      <c r="E730" s="312" t="s">
        <v>2314</v>
      </c>
      <c r="F730" s="312" t="s">
        <v>2293</v>
      </c>
      <c r="G730" s="97" t="s">
        <v>3618</v>
      </c>
      <c r="H730" s="97" t="s">
        <v>4029</v>
      </c>
      <c r="I730" s="97" t="s">
        <v>4039</v>
      </c>
      <c r="J730" s="97" t="s">
        <v>4047</v>
      </c>
      <c r="K730" s="17" t="str">
        <f>IFERROR(INDEX(競技会設定!$J$3:$O$47,MATCH(J730,競技会設定!$M$3:$M$47,0),5),"")</f>
        <v>岐阜協立大</v>
      </c>
      <c r="L730" s="17" t="str">
        <f>IFERROR(INDEX(競技会設定!$J$3:$N$47,MATCH(K730,競技会設定!$N$3:$N$47,0),2),"")</f>
        <v>492161</v>
      </c>
      <c r="M730" s="97" t="s">
        <v>3855</v>
      </c>
      <c r="N730" s="17" t="str">
        <f t="shared" si="34"/>
        <v>KONDO, Koki</v>
      </c>
      <c r="O730" s="17" t="str">
        <f t="shared" si="35"/>
        <v>01</v>
      </c>
    </row>
    <row r="731" spans="1:15">
      <c r="A731" s="17" t="str">
        <f t="shared" si="33"/>
        <v>501000730</v>
      </c>
      <c r="B731" s="97">
        <v>730</v>
      </c>
      <c r="C731" s="97" t="s">
        <v>1659</v>
      </c>
      <c r="D731" s="97" t="s">
        <v>1660</v>
      </c>
      <c r="E731" s="312" t="s">
        <v>2925</v>
      </c>
      <c r="F731" s="312" t="s">
        <v>2163</v>
      </c>
      <c r="G731" s="97" t="s">
        <v>3619</v>
      </c>
      <c r="H731" s="97" t="s">
        <v>4029</v>
      </c>
      <c r="I731" s="97" t="s">
        <v>4039</v>
      </c>
      <c r="J731" s="97" t="s">
        <v>4047</v>
      </c>
      <c r="K731" s="17" t="str">
        <f>IFERROR(INDEX(競技会設定!$J$3:$O$47,MATCH(J731,競技会設定!$M$3:$M$47,0),5),"")</f>
        <v>岐阜協立大</v>
      </c>
      <c r="L731" s="17" t="str">
        <f>IFERROR(INDEX(競技会設定!$J$3:$N$47,MATCH(K731,競技会設定!$N$3:$N$47,0),2),"")</f>
        <v>492161</v>
      </c>
      <c r="M731" s="97" t="s">
        <v>3855</v>
      </c>
      <c r="N731" s="17" t="str">
        <f t="shared" si="34"/>
        <v>SANO, Fumiya</v>
      </c>
      <c r="O731" s="17" t="str">
        <f t="shared" si="35"/>
        <v>01</v>
      </c>
    </row>
    <row r="732" spans="1:15">
      <c r="A732" s="17" t="str">
        <f t="shared" si="33"/>
        <v>501000731</v>
      </c>
      <c r="B732" s="97">
        <v>731</v>
      </c>
      <c r="C732" s="97" t="s">
        <v>1661</v>
      </c>
      <c r="D732" s="97" t="s">
        <v>1662</v>
      </c>
      <c r="E732" s="312" t="s">
        <v>2241</v>
      </c>
      <c r="F732" s="312" t="s">
        <v>2269</v>
      </c>
      <c r="G732" s="97" t="s">
        <v>3620</v>
      </c>
      <c r="H732" s="97" t="s">
        <v>4029</v>
      </c>
      <c r="I732" s="97" t="s">
        <v>4039</v>
      </c>
      <c r="J732" s="97" t="s">
        <v>4047</v>
      </c>
      <c r="K732" s="17" t="str">
        <f>IFERROR(INDEX(競技会設定!$J$3:$O$47,MATCH(J732,競技会設定!$M$3:$M$47,0),5),"")</f>
        <v>岐阜協立大</v>
      </c>
      <c r="L732" s="17" t="str">
        <f>IFERROR(INDEX(競技会設定!$J$3:$N$47,MATCH(K732,競技会設定!$N$3:$N$47,0),2),"")</f>
        <v>492161</v>
      </c>
      <c r="M732" s="97" t="s">
        <v>3859</v>
      </c>
      <c r="N732" s="17" t="str">
        <f t="shared" si="34"/>
        <v>SAWADA, Yoshiki</v>
      </c>
      <c r="O732" s="17" t="str">
        <f t="shared" si="35"/>
        <v>01</v>
      </c>
    </row>
    <row r="733" spans="1:15">
      <c r="A733" s="17" t="str">
        <f t="shared" si="33"/>
        <v>501000732</v>
      </c>
      <c r="B733" s="97">
        <v>732</v>
      </c>
      <c r="C733" s="97" t="s">
        <v>1663</v>
      </c>
      <c r="D733" s="97" t="s">
        <v>1664</v>
      </c>
      <c r="E733" s="312" t="s">
        <v>2233</v>
      </c>
      <c r="F733" s="312" t="s">
        <v>2926</v>
      </c>
      <c r="G733" s="97" t="s">
        <v>3621</v>
      </c>
      <c r="H733" s="97" t="s">
        <v>4029</v>
      </c>
      <c r="I733" s="97" t="s">
        <v>4039</v>
      </c>
      <c r="J733" s="97" t="s">
        <v>4047</v>
      </c>
      <c r="K733" s="17" t="str">
        <f>IFERROR(INDEX(競技会設定!$J$3:$O$47,MATCH(J733,競技会設定!$M$3:$M$47,0),5),"")</f>
        <v>岐阜協立大</v>
      </c>
      <c r="L733" s="17" t="str">
        <f>IFERROR(INDEX(競技会設定!$J$3:$N$47,MATCH(K733,競技会設定!$N$3:$N$47,0),2),"")</f>
        <v>492161</v>
      </c>
      <c r="M733" s="97" t="s">
        <v>3859</v>
      </c>
      <c r="N733" s="17" t="str">
        <f t="shared" si="34"/>
        <v>SUZUKI, Reimu</v>
      </c>
      <c r="O733" s="17" t="str">
        <f t="shared" si="35"/>
        <v>01</v>
      </c>
    </row>
    <row r="734" spans="1:15">
      <c r="A734" s="17" t="str">
        <f t="shared" si="33"/>
        <v>501000733</v>
      </c>
      <c r="B734" s="97">
        <v>733</v>
      </c>
      <c r="C734" s="97" t="s">
        <v>1665</v>
      </c>
      <c r="D734" s="97" t="s">
        <v>1666</v>
      </c>
      <c r="E734" s="312" t="s">
        <v>2927</v>
      </c>
      <c r="F734" s="312" t="s">
        <v>2675</v>
      </c>
      <c r="G734" s="97" t="s">
        <v>3622</v>
      </c>
      <c r="H734" s="97" t="s">
        <v>4029</v>
      </c>
      <c r="I734" s="97" t="s">
        <v>4039</v>
      </c>
      <c r="J734" s="97" t="s">
        <v>4047</v>
      </c>
      <c r="K734" s="17" t="str">
        <f>IFERROR(INDEX(競技会設定!$J$3:$O$47,MATCH(J734,競技会設定!$M$3:$M$47,0),5),"")</f>
        <v>岐阜協立大</v>
      </c>
      <c r="L734" s="17" t="str">
        <f>IFERROR(INDEX(競技会設定!$J$3:$N$47,MATCH(K734,競技会設定!$N$3:$N$47,0),2),"")</f>
        <v>492161</v>
      </c>
      <c r="M734" s="97" t="s">
        <v>3855</v>
      </c>
      <c r="N734" s="17" t="str">
        <f t="shared" si="34"/>
        <v>TAMIYA, Shogo</v>
      </c>
      <c r="O734" s="17" t="str">
        <f t="shared" si="35"/>
        <v>02</v>
      </c>
    </row>
    <row r="735" spans="1:15">
      <c r="A735" s="17" t="str">
        <f t="shared" si="33"/>
        <v>501000734</v>
      </c>
      <c r="B735" s="97">
        <v>734</v>
      </c>
      <c r="C735" s="97" t="s">
        <v>1667</v>
      </c>
      <c r="D735" s="97" t="s">
        <v>1668</v>
      </c>
      <c r="E735" s="312" t="s">
        <v>2928</v>
      </c>
      <c r="F735" s="312" t="s">
        <v>2929</v>
      </c>
      <c r="G735" s="97" t="s">
        <v>3623</v>
      </c>
      <c r="H735" s="97" t="s">
        <v>4029</v>
      </c>
      <c r="I735" s="97" t="s">
        <v>4039</v>
      </c>
      <c r="J735" s="97" t="s">
        <v>4047</v>
      </c>
      <c r="K735" s="17" t="str">
        <f>IFERROR(INDEX(競技会設定!$J$3:$O$47,MATCH(J735,競技会設定!$M$3:$M$47,0),5),"")</f>
        <v>岐阜協立大</v>
      </c>
      <c r="L735" s="17" t="str">
        <f>IFERROR(INDEX(競技会設定!$J$3:$N$47,MATCH(K735,競技会設定!$N$3:$N$47,0),2),"")</f>
        <v>492161</v>
      </c>
      <c r="M735" s="97" t="s">
        <v>3855</v>
      </c>
      <c r="N735" s="17" t="str">
        <f t="shared" si="34"/>
        <v>TSUKAHARA, Sera</v>
      </c>
      <c r="O735" s="17" t="str">
        <f t="shared" si="35"/>
        <v>02</v>
      </c>
    </row>
    <row r="736" spans="1:15">
      <c r="A736" s="17" t="str">
        <f t="shared" si="33"/>
        <v>501000735</v>
      </c>
      <c r="B736" s="97">
        <v>735</v>
      </c>
      <c r="C736" s="97" t="s">
        <v>1669</v>
      </c>
      <c r="D736" s="97" t="s">
        <v>1670</v>
      </c>
      <c r="E736" s="312" t="s">
        <v>2630</v>
      </c>
      <c r="F736" s="312" t="s">
        <v>2930</v>
      </c>
      <c r="G736" s="97" t="s">
        <v>3624</v>
      </c>
      <c r="H736" s="97" t="s">
        <v>4029</v>
      </c>
      <c r="I736" s="97" t="s">
        <v>4039</v>
      </c>
      <c r="J736" s="97" t="s">
        <v>4047</v>
      </c>
      <c r="K736" s="17" t="str">
        <f>IFERROR(INDEX(競技会設定!$J$3:$O$47,MATCH(J736,競技会設定!$M$3:$M$47,0),5),"")</f>
        <v>岐阜協立大</v>
      </c>
      <c r="L736" s="17" t="str">
        <f>IFERROR(INDEX(競技会設定!$J$3:$N$47,MATCH(K736,競技会設定!$N$3:$N$47,0),2),"")</f>
        <v>492161</v>
      </c>
      <c r="M736" s="97" t="s">
        <v>3855</v>
      </c>
      <c r="N736" s="17" t="str">
        <f t="shared" si="34"/>
        <v>TSUTSUI, Shigetora</v>
      </c>
      <c r="O736" s="17" t="str">
        <f t="shared" si="35"/>
        <v>01</v>
      </c>
    </row>
    <row r="737" spans="1:15">
      <c r="A737" s="17" t="str">
        <f t="shared" si="33"/>
        <v>501000736</v>
      </c>
      <c r="B737" s="97">
        <v>736</v>
      </c>
      <c r="C737" s="97" t="s">
        <v>1671</v>
      </c>
      <c r="D737" s="97" t="s">
        <v>1672</v>
      </c>
      <c r="E737" s="312" t="s">
        <v>2931</v>
      </c>
      <c r="F737" s="312" t="s">
        <v>2307</v>
      </c>
      <c r="G737" s="97" t="s">
        <v>3625</v>
      </c>
      <c r="H737" s="97" t="s">
        <v>4029</v>
      </c>
      <c r="I737" s="97" t="s">
        <v>4039</v>
      </c>
      <c r="J737" s="97" t="s">
        <v>4047</v>
      </c>
      <c r="K737" s="17" t="str">
        <f>IFERROR(INDEX(競技会設定!$J$3:$O$47,MATCH(J737,競技会設定!$M$3:$M$47,0),5),"")</f>
        <v>岐阜協立大</v>
      </c>
      <c r="L737" s="17" t="str">
        <f>IFERROR(INDEX(競技会設定!$J$3:$N$47,MATCH(K737,競技会設定!$N$3:$N$47,0),2),"")</f>
        <v>492161</v>
      </c>
      <c r="M737" s="97" t="s">
        <v>3855</v>
      </c>
      <c r="N737" s="17" t="str">
        <f t="shared" si="34"/>
        <v>TOISAKA, Kotaro</v>
      </c>
      <c r="O737" s="17" t="str">
        <f t="shared" si="35"/>
        <v>01</v>
      </c>
    </row>
    <row r="738" spans="1:15">
      <c r="A738" s="17" t="str">
        <f t="shared" si="33"/>
        <v>501000737</v>
      </c>
      <c r="B738" s="97">
        <v>737</v>
      </c>
      <c r="C738" s="97" t="s">
        <v>1673</v>
      </c>
      <c r="D738" s="97" t="s">
        <v>1674</v>
      </c>
      <c r="E738" s="312" t="s">
        <v>2932</v>
      </c>
      <c r="F738" s="312" t="s">
        <v>2437</v>
      </c>
      <c r="G738" s="97" t="s">
        <v>3618</v>
      </c>
      <c r="H738" s="97" t="s">
        <v>4029</v>
      </c>
      <c r="I738" s="97" t="s">
        <v>4039</v>
      </c>
      <c r="J738" s="97" t="s">
        <v>4047</v>
      </c>
      <c r="K738" s="17" t="str">
        <f>IFERROR(INDEX(競技会設定!$J$3:$O$47,MATCH(J738,競技会設定!$M$3:$M$47,0),5),"")</f>
        <v>岐阜協立大</v>
      </c>
      <c r="L738" s="17" t="str">
        <f>IFERROR(INDEX(競技会設定!$J$3:$N$47,MATCH(K738,競技会設定!$N$3:$N$47,0),2),"")</f>
        <v>492161</v>
      </c>
      <c r="M738" s="97" t="s">
        <v>3861</v>
      </c>
      <c r="N738" s="17" t="str">
        <f t="shared" si="34"/>
        <v>NAKAGITA, Taiga</v>
      </c>
      <c r="O738" s="17" t="str">
        <f t="shared" si="35"/>
        <v>01</v>
      </c>
    </row>
    <row r="739" spans="1:15">
      <c r="A739" s="17" t="str">
        <f t="shared" si="33"/>
        <v>501000738</v>
      </c>
      <c r="B739" s="97">
        <v>738</v>
      </c>
      <c r="C739" s="97" t="s">
        <v>1675</v>
      </c>
      <c r="D739" s="97" t="s">
        <v>1676</v>
      </c>
      <c r="E739" s="312" t="s">
        <v>2386</v>
      </c>
      <c r="F739" s="312" t="s">
        <v>2841</v>
      </c>
      <c r="G739" s="97" t="s">
        <v>3622</v>
      </c>
      <c r="H739" s="97" t="s">
        <v>4029</v>
      </c>
      <c r="I739" s="97" t="s">
        <v>4039</v>
      </c>
      <c r="J739" s="97" t="s">
        <v>4047</v>
      </c>
      <c r="K739" s="17" t="str">
        <f>IFERROR(INDEX(競技会設定!$J$3:$O$47,MATCH(J739,競技会設定!$M$3:$M$47,0),5),"")</f>
        <v>岐阜協立大</v>
      </c>
      <c r="L739" s="17" t="str">
        <f>IFERROR(INDEX(競技会設定!$J$3:$N$47,MATCH(K739,競技会設定!$N$3:$N$47,0),2),"")</f>
        <v>492161</v>
      </c>
      <c r="M739" s="97" t="s">
        <v>3861</v>
      </c>
      <c r="N739" s="17" t="str">
        <f t="shared" si="34"/>
        <v>HAYAKAWA, Kyohei</v>
      </c>
      <c r="O739" s="17" t="str">
        <f t="shared" si="35"/>
        <v>02</v>
      </c>
    </row>
    <row r="740" spans="1:15">
      <c r="A740" s="17" t="str">
        <f t="shared" si="33"/>
        <v>501000739</v>
      </c>
      <c r="B740" s="97">
        <v>739</v>
      </c>
      <c r="C740" s="97" t="s">
        <v>1677</v>
      </c>
      <c r="D740" s="97" t="s">
        <v>1678</v>
      </c>
      <c r="E740" s="312" t="s">
        <v>2933</v>
      </c>
      <c r="F740" s="312" t="s">
        <v>2934</v>
      </c>
      <c r="G740" s="97" t="s">
        <v>3626</v>
      </c>
      <c r="H740" s="97" t="s">
        <v>4029</v>
      </c>
      <c r="I740" s="97" t="s">
        <v>4039</v>
      </c>
      <c r="J740" s="97" t="s">
        <v>4047</v>
      </c>
      <c r="K740" s="17" t="str">
        <f>IFERROR(INDEX(競技会設定!$J$3:$O$47,MATCH(J740,競技会設定!$M$3:$M$47,0),5),"")</f>
        <v>岐阜協立大</v>
      </c>
      <c r="L740" s="17" t="str">
        <f>IFERROR(INDEX(競技会設定!$J$3:$N$47,MATCH(K740,競技会設定!$N$3:$N$47,0),2),"")</f>
        <v>492161</v>
      </c>
      <c r="M740" s="97" t="s">
        <v>3855</v>
      </c>
      <c r="N740" s="17" t="str">
        <f t="shared" si="34"/>
        <v>HAYASHI, Natsuya</v>
      </c>
      <c r="O740" s="17" t="str">
        <f t="shared" si="35"/>
        <v>01</v>
      </c>
    </row>
    <row r="741" spans="1:15">
      <c r="A741" s="17" t="str">
        <f t="shared" si="33"/>
        <v>501000740</v>
      </c>
      <c r="B741" s="97">
        <v>740</v>
      </c>
      <c r="C741" s="97" t="s">
        <v>1679</v>
      </c>
      <c r="D741" s="97" t="s">
        <v>1680</v>
      </c>
      <c r="E741" s="312" t="s">
        <v>2906</v>
      </c>
      <c r="F741" s="312" t="s">
        <v>2318</v>
      </c>
      <c r="G741" s="97" t="s">
        <v>3627</v>
      </c>
      <c r="H741" s="97" t="s">
        <v>4029</v>
      </c>
      <c r="I741" s="97" t="s">
        <v>4039</v>
      </c>
      <c r="J741" s="97" t="s">
        <v>4047</v>
      </c>
      <c r="K741" s="17" t="str">
        <f>IFERROR(INDEX(競技会設定!$J$3:$O$47,MATCH(J741,競技会設定!$M$3:$M$47,0),5),"")</f>
        <v>岐阜協立大</v>
      </c>
      <c r="L741" s="17" t="str">
        <f>IFERROR(INDEX(競技会設定!$J$3:$N$47,MATCH(K741,競技会設定!$N$3:$N$47,0),2),"")</f>
        <v>492161</v>
      </c>
      <c r="M741" s="97" t="s">
        <v>3861</v>
      </c>
      <c r="N741" s="17" t="str">
        <f t="shared" si="34"/>
        <v>FUJITA, Tomokazu</v>
      </c>
      <c r="O741" s="17" t="str">
        <f t="shared" si="35"/>
        <v>01</v>
      </c>
    </row>
    <row r="742" spans="1:15">
      <c r="A742" s="17" t="str">
        <f t="shared" si="33"/>
        <v>501000741</v>
      </c>
      <c r="B742" s="97">
        <v>741</v>
      </c>
      <c r="C742" s="97" t="s">
        <v>1681</v>
      </c>
      <c r="D742" s="97" t="s">
        <v>1682</v>
      </c>
      <c r="E742" s="312" t="s">
        <v>2935</v>
      </c>
      <c r="F742" s="312" t="s">
        <v>2486</v>
      </c>
      <c r="G742" s="97" t="s">
        <v>3244</v>
      </c>
      <c r="H742" s="97" t="s">
        <v>4029</v>
      </c>
      <c r="I742" s="97" t="s">
        <v>4039</v>
      </c>
      <c r="J742" s="97" t="s">
        <v>4047</v>
      </c>
      <c r="K742" s="17" t="str">
        <f>IFERROR(INDEX(競技会設定!$J$3:$O$47,MATCH(J742,競技会設定!$M$3:$M$47,0),5),"")</f>
        <v>岐阜協立大</v>
      </c>
      <c r="L742" s="17" t="str">
        <f>IFERROR(INDEX(競技会設定!$J$3:$N$47,MATCH(K742,競技会設定!$N$3:$N$47,0),2),"")</f>
        <v>492161</v>
      </c>
      <c r="M742" s="97" t="s">
        <v>3855</v>
      </c>
      <c r="N742" s="17" t="str">
        <f t="shared" si="34"/>
        <v>HOSHI, Shunsuke</v>
      </c>
      <c r="O742" s="17" t="str">
        <f t="shared" si="35"/>
        <v>00</v>
      </c>
    </row>
    <row r="743" spans="1:15">
      <c r="A743" s="17" t="str">
        <f t="shared" si="33"/>
        <v>501000742</v>
      </c>
      <c r="B743" s="97">
        <v>742</v>
      </c>
      <c r="C743" s="97" t="s">
        <v>1683</v>
      </c>
      <c r="D743" s="97" t="s">
        <v>1684</v>
      </c>
      <c r="E743" s="312" t="s">
        <v>2936</v>
      </c>
      <c r="F743" s="312" t="s">
        <v>2937</v>
      </c>
      <c r="G743" s="97" t="s">
        <v>3585</v>
      </c>
      <c r="H743" s="97" t="s">
        <v>4029</v>
      </c>
      <c r="I743" s="97" t="s">
        <v>4039</v>
      </c>
      <c r="J743" s="97" t="s">
        <v>4047</v>
      </c>
      <c r="K743" s="17" t="str">
        <f>IFERROR(INDEX(競技会設定!$J$3:$O$47,MATCH(J743,競技会設定!$M$3:$M$47,0),5),"")</f>
        <v>岐阜協立大</v>
      </c>
      <c r="L743" s="17" t="str">
        <f>IFERROR(INDEX(競技会設定!$J$3:$N$47,MATCH(K743,競技会設定!$N$3:$N$47,0),2),"")</f>
        <v>492161</v>
      </c>
      <c r="M743" s="97" t="s">
        <v>3867</v>
      </c>
      <c r="N743" s="17" t="str">
        <f t="shared" si="34"/>
        <v>MATSUO, Seito</v>
      </c>
      <c r="O743" s="17" t="str">
        <f t="shared" si="35"/>
        <v>01</v>
      </c>
    </row>
    <row r="744" spans="1:15">
      <c r="A744" s="17" t="str">
        <f t="shared" si="33"/>
        <v>501000743</v>
      </c>
      <c r="B744" s="97">
        <v>743</v>
      </c>
      <c r="C744" s="97" t="s">
        <v>1685</v>
      </c>
      <c r="D744" s="97" t="s">
        <v>1686</v>
      </c>
      <c r="E744" s="312" t="s">
        <v>2424</v>
      </c>
      <c r="F744" s="312" t="s">
        <v>2234</v>
      </c>
      <c r="G744" s="97" t="s">
        <v>3628</v>
      </c>
      <c r="H744" s="97" t="s">
        <v>4029</v>
      </c>
      <c r="I744" s="97" t="s">
        <v>4039</v>
      </c>
      <c r="J744" s="97" t="s">
        <v>4047</v>
      </c>
      <c r="K744" s="17" t="str">
        <f>IFERROR(INDEX(競技会設定!$J$3:$O$47,MATCH(J744,競技会設定!$M$3:$M$47,0),5),"")</f>
        <v>岐阜協立大</v>
      </c>
      <c r="L744" s="17" t="str">
        <f>IFERROR(INDEX(競技会設定!$J$3:$N$47,MATCH(K744,競技会設定!$N$3:$N$47,0),2),"")</f>
        <v>492161</v>
      </c>
      <c r="M744" s="97" t="s">
        <v>3859</v>
      </c>
      <c r="N744" s="17" t="str">
        <f t="shared" si="34"/>
        <v>MATSUMOTO, Yuto</v>
      </c>
      <c r="O744" s="17" t="str">
        <f t="shared" si="35"/>
        <v>01</v>
      </c>
    </row>
    <row r="745" spans="1:15">
      <c r="A745" s="17" t="str">
        <f t="shared" si="33"/>
        <v>501000744</v>
      </c>
      <c r="B745" s="97">
        <v>744</v>
      </c>
      <c r="C745" s="97" t="s">
        <v>1687</v>
      </c>
      <c r="D745" s="97" t="s">
        <v>1688</v>
      </c>
      <c r="E745" s="312" t="s">
        <v>2938</v>
      </c>
      <c r="F745" s="312" t="s">
        <v>2723</v>
      </c>
      <c r="G745" s="97" t="s">
        <v>3629</v>
      </c>
      <c r="H745" s="97" t="s">
        <v>4029</v>
      </c>
      <c r="I745" s="97" t="s">
        <v>4039</v>
      </c>
      <c r="J745" s="97" t="s">
        <v>4047</v>
      </c>
      <c r="K745" s="17" t="str">
        <f>IFERROR(INDEX(競技会設定!$J$3:$O$47,MATCH(J745,競技会設定!$M$3:$M$47,0),5),"")</f>
        <v>岐阜協立大</v>
      </c>
      <c r="L745" s="17" t="str">
        <f>IFERROR(INDEX(競技会設定!$J$3:$N$47,MATCH(K745,競技会設定!$N$3:$N$47,0),2),"")</f>
        <v>492161</v>
      </c>
      <c r="M745" s="97" t="s">
        <v>3867</v>
      </c>
      <c r="N745" s="17" t="str">
        <f t="shared" si="34"/>
        <v>YAMAMURA, Toshiya</v>
      </c>
      <c r="O745" s="17" t="str">
        <f t="shared" si="35"/>
        <v>01</v>
      </c>
    </row>
    <row r="746" spans="1:15">
      <c r="A746" s="17" t="str">
        <f t="shared" si="33"/>
        <v>501000745</v>
      </c>
      <c r="B746" s="97">
        <v>745</v>
      </c>
      <c r="C746" s="97" t="s">
        <v>1689</v>
      </c>
      <c r="D746" s="97" t="s">
        <v>1690</v>
      </c>
      <c r="E746" s="312" t="s">
        <v>2259</v>
      </c>
      <c r="F746" s="312" t="s">
        <v>2939</v>
      </c>
      <c r="G746" s="97" t="s">
        <v>3630</v>
      </c>
      <c r="H746" s="97" t="s">
        <v>4029</v>
      </c>
      <c r="I746" s="97" t="s">
        <v>4039</v>
      </c>
      <c r="J746" s="97" t="s">
        <v>4047</v>
      </c>
      <c r="K746" s="17" t="str">
        <f>IFERROR(INDEX(競技会設定!$J$3:$O$47,MATCH(J746,競技会設定!$M$3:$M$47,0),5),"")</f>
        <v>岐阜協立大</v>
      </c>
      <c r="L746" s="17" t="str">
        <f>IFERROR(INDEX(競技会設定!$J$3:$N$47,MATCH(K746,競技会設定!$N$3:$N$47,0),2),"")</f>
        <v>492161</v>
      </c>
      <c r="M746" s="97" t="s">
        <v>3859</v>
      </c>
      <c r="N746" s="17" t="str">
        <f t="shared" si="34"/>
        <v>YAMAMOTO, Raita</v>
      </c>
      <c r="O746" s="17" t="str">
        <f t="shared" si="35"/>
        <v>01</v>
      </c>
    </row>
    <row r="747" spans="1:15">
      <c r="A747" s="17" t="str">
        <f t="shared" si="33"/>
        <v>501000746</v>
      </c>
      <c r="B747" s="97">
        <v>746</v>
      </c>
      <c r="C747" s="97" t="s">
        <v>1691</v>
      </c>
      <c r="D747" s="97" t="s">
        <v>1692</v>
      </c>
      <c r="E747" s="312" t="s">
        <v>2940</v>
      </c>
      <c r="F747" s="312" t="s">
        <v>2291</v>
      </c>
      <c r="G747" s="97" t="s">
        <v>3454</v>
      </c>
      <c r="H747" s="97" t="s">
        <v>4026</v>
      </c>
      <c r="I747" s="97" t="s">
        <v>4039</v>
      </c>
      <c r="J747" s="97" t="s">
        <v>4049</v>
      </c>
      <c r="K747" s="17" t="str">
        <f>IFERROR(INDEX(競技会設定!$J$3:$O$47,MATCH(J747,競技会設定!$M$3:$M$47,0),5),"")</f>
        <v>岐阜聖徳学園大</v>
      </c>
      <c r="L747" s="17" t="str">
        <f>IFERROR(INDEX(競技会設定!$J$3:$N$47,MATCH(K747,競技会設定!$N$3:$N$47,0),2),"")</f>
        <v>492164</v>
      </c>
      <c r="M747" s="97" t="s">
        <v>3855</v>
      </c>
      <c r="N747" s="17" t="str">
        <f t="shared" si="34"/>
        <v>SAOTOME, Kakeru</v>
      </c>
      <c r="O747" s="17" t="str">
        <f t="shared" si="35"/>
        <v>00</v>
      </c>
    </row>
    <row r="748" spans="1:15">
      <c r="A748" s="17" t="str">
        <f t="shared" si="33"/>
        <v>501000747</v>
      </c>
      <c r="B748" s="97">
        <v>747</v>
      </c>
      <c r="C748" s="97" t="s">
        <v>1693</v>
      </c>
      <c r="D748" s="97" t="s">
        <v>1694</v>
      </c>
      <c r="E748" s="312" t="s">
        <v>2632</v>
      </c>
      <c r="F748" s="312" t="s">
        <v>2081</v>
      </c>
      <c r="G748" s="97" t="s">
        <v>3631</v>
      </c>
      <c r="H748" s="97" t="s">
        <v>4024</v>
      </c>
      <c r="I748" s="97" t="s">
        <v>4039</v>
      </c>
      <c r="J748" s="97" t="s">
        <v>4073</v>
      </c>
      <c r="K748" s="17" t="str">
        <f>IFERROR(INDEX(競技会設定!$J$3:$O$47,MATCH(J748,競技会設定!$M$3:$M$47,0),5),"")</f>
        <v>岐阜薬科大</v>
      </c>
      <c r="L748" s="17" t="str">
        <f>IFERROR(INDEX(競技会設定!$J$3:$N$47,MATCH(K748,競技会設定!$N$3:$N$47,0),2),"")</f>
        <v>491008</v>
      </c>
      <c r="M748" s="97" t="s">
        <v>3855</v>
      </c>
      <c r="N748" s="17" t="str">
        <f t="shared" si="34"/>
        <v>YAMANAKA, Tomoki</v>
      </c>
      <c r="O748" s="17" t="str">
        <f t="shared" si="35"/>
        <v>99</v>
      </c>
    </row>
    <row r="749" spans="1:15">
      <c r="A749" s="17" t="str">
        <f t="shared" si="33"/>
        <v>501000748</v>
      </c>
      <c r="B749" s="97">
        <v>748</v>
      </c>
      <c r="C749" s="97" t="s">
        <v>1695</v>
      </c>
      <c r="D749" s="97" t="s">
        <v>1696</v>
      </c>
      <c r="E749" s="312" t="s">
        <v>2630</v>
      </c>
      <c r="F749" s="312" t="s">
        <v>2941</v>
      </c>
      <c r="G749" s="97" t="s">
        <v>3632</v>
      </c>
      <c r="H749" s="97" t="s">
        <v>4024</v>
      </c>
      <c r="I749" s="97" t="s">
        <v>4039</v>
      </c>
      <c r="J749" s="97" t="s">
        <v>4073</v>
      </c>
      <c r="K749" s="17" t="str">
        <f>IFERROR(INDEX(競技会設定!$J$3:$O$47,MATCH(J749,競技会設定!$M$3:$M$47,0),5),"")</f>
        <v>岐阜薬科大</v>
      </c>
      <c r="L749" s="17" t="str">
        <f>IFERROR(INDEX(競技会設定!$J$3:$N$47,MATCH(K749,競技会設定!$N$3:$N$47,0),2),"")</f>
        <v>491008</v>
      </c>
      <c r="M749" s="97" t="s">
        <v>3855</v>
      </c>
      <c r="N749" s="17" t="str">
        <f t="shared" si="34"/>
        <v>TSUTSUI, Ryoichi</v>
      </c>
      <c r="O749" s="17" t="str">
        <f t="shared" si="35"/>
        <v>91</v>
      </c>
    </row>
    <row r="750" spans="1:15">
      <c r="A750" s="17" t="str">
        <f t="shared" si="33"/>
        <v>501000749</v>
      </c>
      <c r="B750" s="97">
        <v>749</v>
      </c>
      <c r="C750" s="97" t="s">
        <v>1697</v>
      </c>
      <c r="D750" s="97" t="s">
        <v>1698</v>
      </c>
      <c r="E750" s="312" t="s">
        <v>2773</v>
      </c>
      <c r="F750" s="312" t="s">
        <v>2193</v>
      </c>
      <c r="G750" s="97" t="s">
        <v>3277</v>
      </c>
      <c r="H750" s="97" t="s">
        <v>4026</v>
      </c>
      <c r="I750" s="97" t="s">
        <v>4039</v>
      </c>
      <c r="J750" s="97" t="s">
        <v>4073</v>
      </c>
      <c r="K750" s="17" t="str">
        <f>IFERROR(INDEX(競技会設定!$J$3:$O$47,MATCH(J750,競技会設定!$M$3:$M$47,0),5),"")</f>
        <v>岐阜薬科大</v>
      </c>
      <c r="L750" s="17" t="str">
        <f>IFERROR(INDEX(競技会設定!$J$3:$N$47,MATCH(K750,競技会設定!$N$3:$N$47,0),2),"")</f>
        <v>491008</v>
      </c>
      <c r="M750" s="97" t="s">
        <v>3855</v>
      </c>
      <c r="N750" s="17" t="str">
        <f t="shared" si="34"/>
        <v>MORI, Yuta</v>
      </c>
      <c r="O750" s="17" t="str">
        <f t="shared" si="35"/>
        <v>98</v>
      </c>
    </row>
    <row r="751" spans="1:15">
      <c r="A751" s="17" t="str">
        <f t="shared" si="33"/>
        <v>501000750</v>
      </c>
      <c r="B751" s="97">
        <v>750</v>
      </c>
      <c r="C751" s="97" t="s">
        <v>1699</v>
      </c>
      <c r="D751" s="97" t="s">
        <v>1700</v>
      </c>
      <c r="E751" s="312" t="s">
        <v>2259</v>
      </c>
      <c r="F751" s="312" t="s">
        <v>2822</v>
      </c>
      <c r="G751" s="97" t="s">
        <v>3513</v>
      </c>
      <c r="H751" s="97" t="s">
        <v>4034</v>
      </c>
      <c r="I751" s="97" t="s">
        <v>4039</v>
      </c>
      <c r="J751" s="97" t="s">
        <v>4073</v>
      </c>
      <c r="K751" s="17" t="str">
        <f>IFERROR(INDEX(競技会設定!$J$3:$O$47,MATCH(J751,競技会設定!$M$3:$M$47,0),5),"")</f>
        <v>岐阜薬科大</v>
      </c>
      <c r="L751" s="17" t="str">
        <f>IFERROR(INDEX(競技会設定!$J$3:$N$47,MATCH(K751,競技会設定!$N$3:$N$47,0),2),"")</f>
        <v>491008</v>
      </c>
      <c r="M751" s="97" t="s">
        <v>3855</v>
      </c>
      <c r="N751" s="17" t="str">
        <f t="shared" si="34"/>
        <v>YAMAMOTO, Katsuya</v>
      </c>
      <c r="O751" s="17" t="str">
        <f t="shared" si="35"/>
        <v>96</v>
      </c>
    </row>
    <row r="752" spans="1:15">
      <c r="A752" s="17" t="str">
        <f t="shared" si="33"/>
        <v>501000751</v>
      </c>
      <c r="B752" s="97">
        <v>751</v>
      </c>
      <c r="C752" s="97" t="s">
        <v>1701</v>
      </c>
      <c r="D752" s="97" t="s">
        <v>1702</v>
      </c>
      <c r="E752" s="312" t="s">
        <v>2328</v>
      </c>
      <c r="F752" s="312" t="s">
        <v>2942</v>
      </c>
      <c r="G752" s="97" t="s">
        <v>3633</v>
      </c>
      <c r="H752" s="97" t="s">
        <v>4025</v>
      </c>
      <c r="I752" s="97" t="s">
        <v>4039</v>
      </c>
      <c r="J752" s="97" t="s">
        <v>4073</v>
      </c>
      <c r="K752" s="17" t="str">
        <f>IFERROR(INDEX(競技会設定!$J$3:$O$47,MATCH(J752,競技会設定!$M$3:$M$47,0),5),"")</f>
        <v>岐阜薬科大</v>
      </c>
      <c r="L752" s="17" t="str">
        <f>IFERROR(INDEX(競技会設定!$J$3:$N$47,MATCH(K752,競技会設定!$N$3:$N$47,0),2),"")</f>
        <v>491008</v>
      </c>
      <c r="M752" s="97" t="s">
        <v>3855</v>
      </c>
      <c r="N752" s="17" t="str">
        <f t="shared" si="34"/>
        <v>YAMADA, Yutaro</v>
      </c>
      <c r="O752" s="17" t="str">
        <f t="shared" si="35"/>
        <v>97</v>
      </c>
    </row>
    <row r="753" spans="1:15">
      <c r="A753" s="17" t="str">
        <f t="shared" si="33"/>
        <v>501000752</v>
      </c>
      <c r="B753" s="97">
        <v>752</v>
      </c>
      <c r="C753" s="97" t="s">
        <v>1703</v>
      </c>
      <c r="D753" s="97" t="s">
        <v>1704</v>
      </c>
      <c r="E753" s="312" t="s">
        <v>2943</v>
      </c>
      <c r="F753" s="312" t="s">
        <v>2215</v>
      </c>
      <c r="G753" s="97" t="s">
        <v>3366</v>
      </c>
      <c r="H753" s="97" t="s">
        <v>4025</v>
      </c>
      <c r="I753" s="97" t="s">
        <v>4039</v>
      </c>
      <c r="J753" s="97" t="s">
        <v>4073</v>
      </c>
      <c r="K753" s="17" t="str">
        <f>IFERROR(INDEX(競技会設定!$J$3:$O$47,MATCH(J753,競技会設定!$M$3:$M$47,0),5),"")</f>
        <v>岐阜薬科大</v>
      </c>
      <c r="L753" s="17" t="str">
        <f>IFERROR(INDEX(競技会設定!$J$3:$N$47,MATCH(K753,競技会設定!$N$3:$N$47,0),2),"")</f>
        <v>491008</v>
      </c>
      <c r="M753" s="97" t="s">
        <v>3855</v>
      </c>
      <c r="N753" s="17" t="str">
        <f t="shared" si="34"/>
        <v>YASUDA, Hiroto</v>
      </c>
      <c r="O753" s="17" t="str">
        <f t="shared" si="35"/>
        <v>98</v>
      </c>
    </row>
    <row r="754" spans="1:15">
      <c r="A754" s="17" t="str">
        <f t="shared" si="33"/>
        <v>501000753</v>
      </c>
      <c r="B754" s="97">
        <v>753</v>
      </c>
      <c r="C754" s="97" t="s">
        <v>1705</v>
      </c>
      <c r="D754" s="97" t="s">
        <v>1706</v>
      </c>
      <c r="E754" s="312" t="s">
        <v>2644</v>
      </c>
      <c r="F754" s="312" t="s">
        <v>2944</v>
      </c>
      <c r="G754" s="97" t="s">
        <v>3634</v>
      </c>
      <c r="H754" s="97" t="s">
        <v>4026</v>
      </c>
      <c r="I754" s="97" t="s">
        <v>4039</v>
      </c>
      <c r="J754" s="97" t="s">
        <v>4073</v>
      </c>
      <c r="K754" s="17" t="str">
        <f>IFERROR(INDEX(競技会設定!$J$3:$O$47,MATCH(J754,競技会設定!$M$3:$M$47,0),5),"")</f>
        <v>岐阜薬科大</v>
      </c>
      <c r="L754" s="17" t="str">
        <f>IFERROR(INDEX(競技会設定!$J$3:$N$47,MATCH(K754,競技会設定!$N$3:$N$47,0),2),"")</f>
        <v>491008</v>
      </c>
      <c r="M754" s="97" t="s">
        <v>3855</v>
      </c>
      <c r="N754" s="17" t="str">
        <f t="shared" si="34"/>
        <v>SAKAMOTO, Sora</v>
      </c>
      <c r="O754" s="17" t="str">
        <f t="shared" si="35"/>
        <v>00</v>
      </c>
    </row>
    <row r="755" spans="1:15">
      <c r="A755" s="17" t="str">
        <f t="shared" si="33"/>
        <v>501000754</v>
      </c>
      <c r="B755" s="97">
        <v>754</v>
      </c>
      <c r="C755" s="97" t="s">
        <v>1707</v>
      </c>
      <c r="D755" s="97" t="s">
        <v>1708</v>
      </c>
      <c r="E755" s="312" t="s">
        <v>2126</v>
      </c>
      <c r="F755" s="312" t="s">
        <v>2293</v>
      </c>
      <c r="G755" s="97" t="s">
        <v>3581</v>
      </c>
      <c r="H755" s="97" t="s">
        <v>4026</v>
      </c>
      <c r="I755" s="97" t="s">
        <v>4039</v>
      </c>
      <c r="J755" s="97" t="s">
        <v>4073</v>
      </c>
      <c r="K755" s="17" t="str">
        <f>IFERROR(INDEX(競技会設定!$J$3:$O$47,MATCH(J755,競技会設定!$M$3:$M$47,0),5),"")</f>
        <v>岐阜薬科大</v>
      </c>
      <c r="L755" s="17" t="str">
        <f>IFERROR(INDEX(競技会設定!$J$3:$N$47,MATCH(K755,競技会設定!$N$3:$N$47,0),2),"")</f>
        <v>491008</v>
      </c>
      <c r="M755" s="97" t="s">
        <v>3855</v>
      </c>
      <c r="N755" s="17" t="str">
        <f t="shared" si="34"/>
        <v>NAKAJIMA, Koki</v>
      </c>
      <c r="O755" s="17" t="str">
        <f t="shared" si="35"/>
        <v>99</v>
      </c>
    </row>
    <row r="756" spans="1:15">
      <c r="A756" s="17" t="str">
        <f t="shared" si="33"/>
        <v>501000755</v>
      </c>
      <c r="B756" s="97">
        <v>755</v>
      </c>
      <c r="C756" s="97" t="s">
        <v>1709</v>
      </c>
      <c r="D756" s="97" t="s">
        <v>1710</v>
      </c>
      <c r="E756" s="312" t="s">
        <v>2945</v>
      </c>
      <c r="F756" s="312" t="s">
        <v>2191</v>
      </c>
      <c r="G756" s="97" t="s">
        <v>3398</v>
      </c>
      <c r="H756" s="97" t="s">
        <v>4025</v>
      </c>
      <c r="I756" s="97" t="s">
        <v>4039</v>
      </c>
      <c r="J756" s="97" t="s">
        <v>4056</v>
      </c>
      <c r="K756" s="17" t="str">
        <f>IFERROR(INDEX(競技会設定!$J$3:$O$47,MATCH(J756,競技会設定!$M$3:$M$47,0),5),"")</f>
        <v>至学館大</v>
      </c>
      <c r="L756" s="17" t="str">
        <f>IFERROR(INDEX(競技会設定!$J$3:$N$47,MATCH(K756,競技会設定!$N$3:$N$47,0),2),"")</f>
        <v>492174</v>
      </c>
      <c r="M756" s="97" t="s">
        <v>3859</v>
      </c>
      <c r="N756" s="17" t="str">
        <f t="shared" si="34"/>
        <v>ISHIGURO, Kenta</v>
      </c>
      <c r="O756" s="17" t="str">
        <f t="shared" si="35"/>
        <v>98</v>
      </c>
    </row>
    <row r="757" spans="1:15">
      <c r="A757" s="17" t="str">
        <f t="shared" si="33"/>
        <v>501000756</v>
      </c>
      <c r="B757" s="97">
        <v>756</v>
      </c>
      <c r="C757" s="97" t="s">
        <v>1711</v>
      </c>
      <c r="D757" s="97" t="s">
        <v>1712</v>
      </c>
      <c r="E757" s="312" t="s">
        <v>2753</v>
      </c>
      <c r="F757" s="312" t="s">
        <v>2272</v>
      </c>
      <c r="G757" s="97" t="s">
        <v>3393</v>
      </c>
      <c r="H757" s="97" t="s">
        <v>4025</v>
      </c>
      <c r="I757" s="97" t="s">
        <v>4039</v>
      </c>
      <c r="J757" s="97" t="s">
        <v>4056</v>
      </c>
      <c r="K757" s="17" t="str">
        <f>IFERROR(INDEX(競技会設定!$J$3:$O$47,MATCH(J757,競技会設定!$M$3:$M$47,0),5),"")</f>
        <v>至学館大</v>
      </c>
      <c r="L757" s="17" t="str">
        <f>IFERROR(INDEX(競技会設定!$J$3:$N$47,MATCH(K757,競技会設定!$N$3:$N$47,0),2),"")</f>
        <v>492174</v>
      </c>
      <c r="M757" s="97" t="s">
        <v>3855</v>
      </c>
      <c r="N757" s="17" t="str">
        <f t="shared" si="34"/>
        <v>OZEKI, Takumi</v>
      </c>
      <c r="O757" s="17" t="str">
        <f t="shared" si="35"/>
        <v>98</v>
      </c>
    </row>
    <row r="758" spans="1:15">
      <c r="A758" s="17" t="str">
        <f t="shared" si="33"/>
        <v>501000757</v>
      </c>
      <c r="B758" s="97">
        <v>757</v>
      </c>
      <c r="C758" s="97" t="s">
        <v>1713</v>
      </c>
      <c r="D758" s="97" t="s">
        <v>1714</v>
      </c>
      <c r="E758" s="312" t="s">
        <v>2946</v>
      </c>
      <c r="F758" s="312" t="s">
        <v>2723</v>
      </c>
      <c r="G758" s="97" t="s">
        <v>3635</v>
      </c>
      <c r="H758" s="97" t="s">
        <v>4025</v>
      </c>
      <c r="I758" s="97" t="s">
        <v>4039</v>
      </c>
      <c r="J758" s="97" t="s">
        <v>4056</v>
      </c>
      <c r="K758" s="17" t="str">
        <f>IFERROR(INDEX(競技会設定!$J$3:$O$47,MATCH(J758,競技会設定!$M$3:$M$47,0),5),"")</f>
        <v>至学館大</v>
      </c>
      <c r="L758" s="17" t="str">
        <f>IFERROR(INDEX(競技会設定!$J$3:$N$47,MATCH(K758,競技会設定!$N$3:$N$47,0),2),"")</f>
        <v>492174</v>
      </c>
      <c r="M758" s="97" t="s">
        <v>3855</v>
      </c>
      <c r="N758" s="17" t="str">
        <f t="shared" si="34"/>
        <v>KABAZAWA, Toshiya</v>
      </c>
      <c r="O758" s="17" t="str">
        <f t="shared" si="35"/>
        <v>98</v>
      </c>
    </row>
    <row r="759" spans="1:15">
      <c r="A759" s="17" t="str">
        <f t="shared" si="33"/>
        <v>501000758</v>
      </c>
      <c r="B759" s="97">
        <v>758</v>
      </c>
      <c r="C759" s="97" t="s">
        <v>1715</v>
      </c>
      <c r="D759" s="97" t="s">
        <v>1716</v>
      </c>
      <c r="E759" s="312" t="s">
        <v>2525</v>
      </c>
      <c r="F759" s="312" t="s">
        <v>2094</v>
      </c>
      <c r="G759" s="97" t="s">
        <v>3613</v>
      </c>
      <c r="H759" s="97" t="s">
        <v>4025</v>
      </c>
      <c r="I759" s="97" t="s">
        <v>4039</v>
      </c>
      <c r="J759" s="97" t="s">
        <v>4056</v>
      </c>
      <c r="K759" s="17" t="str">
        <f>IFERROR(INDEX(競技会設定!$J$3:$O$47,MATCH(J759,競技会設定!$M$3:$M$47,0),5),"")</f>
        <v>至学館大</v>
      </c>
      <c r="L759" s="17" t="str">
        <f>IFERROR(INDEX(競技会設定!$J$3:$N$47,MATCH(K759,競技会設定!$N$3:$N$47,0),2),"")</f>
        <v>492174</v>
      </c>
      <c r="M759" s="97" t="s">
        <v>3859</v>
      </c>
      <c r="N759" s="17" t="str">
        <f t="shared" si="34"/>
        <v>KAWASHIMA, Sota</v>
      </c>
      <c r="O759" s="17" t="str">
        <f t="shared" si="35"/>
        <v>98</v>
      </c>
    </row>
    <row r="760" spans="1:15">
      <c r="A760" s="17" t="str">
        <f t="shared" si="33"/>
        <v>501000759</v>
      </c>
      <c r="B760" s="97">
        <v>759</v>
      </c>
      <c r="C760" s="97" t="s">
        <v>1717</v>
      </c>
      <c r="D760" s="97" t="s">
        <v>1718</v>
      </c>
      <c r="E760" s="312" t="s">
        <v>2947</v>
      </c>
      <c r="F760" s="312" t="s">
        <v>2240</v>
      </c>
      <c r="G760" s="97" t="s">
        <v>3636</v>
      </c>
      <c r="H760" s="97" t="s">
        <v>4025</v>
      </c>
      <c r="I760" s="97" t="s">
        <v>4039</v>
      </c>
      <c r="J760" s="97" t="s">
        <v>4056</v>
      </c>
      <c r="K760" s="17" t="str">
        <f>IFERROR(INDEX(競技会設定!$J$3:$O$47,MATCH(J760,競技会設定!$M$3:$M$47,0),5),"")</f>
        <v>至学館大</v>
      </c>
      <c r="L760" s="17" t="str">
        <f>IFERROR(INDEX(競技会設定!$J$3:$N$47,MATCH(K760,競技会設定!$N$3:$N$47,0),2),"")</f>
        <v>492174</v>
      </c>
      <c r="M760" s="97" t="s">
        <v>3870</v>
      </c>
      <c r="N760" s="17" t="str">
        <f t="shared" si="34"/>
        <v>KENMOTSU, Taichi</v>
      </c>
      <c r="O760" s="17" t="str">
        <f t="shared" si="35"/>
        <v>99</v>
      </c>
    </row>
    <row r="761" spans="1:15">
      <c r="A761" s="17" t="str">
        <f t="shared" si="33"/>
        <v>501000760</v>
      </c>
      <c r="B761" s="97">
        <v>760</v>
      </c>
      <c r="C761" s="97" t="s">
        <v>1719</v>
      </c>
      <c r="D761" s="97" t="s">
        <v>1720</v>
      </c>
      <c r="E761" s="312" t="s">
        <v>2925</v>
      </c>
      <c r="F761" s="312" t="s">
        <v>2948</v>
      </c>
      <c r="G761" s="97" t="s">
        <v>3637</v>
      </c>
      <c r="H761" s="97" t="s">
        <v>4025</v>
      </c>
      <c r="I761" s="97" t="s">
        <v>4039</v>
      </c>
      <c r="J761" s="97" t="s">
        <v>4056</v>
      </c>
      <c r="K761" s="17" t="str">
        <f>IFERROR(INDEX(競技会設定!$J$3:$O$47,MATCH(J761,競技会設定!$M$3:$M$47,0),5),"")</f>
        <v>至学館大</v>
      </c>
      <c r="L761" s="17" t="str">
        <f>IFERROR(INDEX(競技会設定!$J$3:$N$47,MATCH(K761,競技会設定!$N$3:$N$47,0),2),"")</f>
        <v>492174</v>
      </c>
      <c r="M761" s="97" t="s">
        <v>3859</v>
      </c>
      <c r="N761" s="17" t="str">
        <f t="shared" si="34"/>
        <v>SANO, Towa</v>
      </c>
      <c r="O761" s="17" t="str">
        <f t="shared" si="35"/>
        <v>99</v>
      </c>
    </row>
    <row r="762" spans="1:15">
      <c r="A762" s="17" t="str">
        <f t="shared" si="33"/>
        <v>501000761</v>
      </c>
      <c r="B762" s="97">
        <v>761</v>
      </c>
      <c r="C762" s="97" t="s">
        <v>1721</v>
      </c>
      <c r="D762" s="97" t="s">
        <v>1722</v>
      </c>
      <c r="E762" s="312" t="s">
        <v>2949</v>
      </c>
      <c r="F762" s="312" t="s">
        <v>2486</v>
      </c>
      <c r="G762" s="97" t="s">
        <v>3638</v>
      </c>
      <c r="H762" s="97" t="s">
        <v>4025</v>
      </c>
      <c r="I762" s="97" t="s">
        <v>4039</v>
      </c>
      <c r="J762" s="97" t="s">
        <v>4056</v>
      </c>
      <c r="K762" s="17" t="str">
        <f>IFERROR(INDEX(競技会設定!$J$3:$O$47,MATCH(J762,競技会設定!$M$3:$M$47,0),5),"")</f>
        <v>至学館大</v>
      </c>
      <c r="L762" s="17" t="str">
        <f>IFERROR(INDEX(競技会設定!$J$3:$N$47,MATCH(K762,競技会設定!$N$3:$N$47,0),2),"")</f>
        <v>492174</v>
      </c>
      <c r="M762" s="97" t="s">
        <v>3859</v>
      </c>
      <c r="N762" s="17" t="str">
        <f t="shared" si="34"/>
        <v>TSUJIMURA, Shunsuke</v>
      </c>
      <c r="O762" s="17" t="str">
        <f t="shared" si="35"/>
        <v>98</v>
      </c>
    </row>
    <row r="763" spans="1:15">
      <c r="A763" s="17" t="str">
        <f t="shared" si="33"/>
        <v>501000762</v>
      </c>
      <c r="B763" s="97">
        <v>762</v>
      </c>
      <c r="C763" s="97" t="s">
        <v>1723</v>
      </c>
      <c r="D763" s="97" t="s">
        <v>1724</v>
      </c>
      <c r="E763" s="312" t="s">
        <v>2950</v>
      </c>
      <c r="F763" s="312" t="s">
        <v>2342</v>
      </c>
      <c r="G763" s="97" t="s">
        <v>3639</v>
      </c>
      <c r="H763" s="97" t="s">
        <v>4025</v>
      </c>
      <c r="I763" s="97" t="s">
        <v>4039</v>
      </c>
      <c r="J763" s="97" t="s">
        <v>4056</v>
      </c>
      <c r="K763" s="17" t="str">
        <f>IFERROR(INDEX(競技会設定!$J$3:$O$47,MATCH(J763,競技会設定!$M$3:$M$47,0),5),"")</f>
        <v>至学館大</v>
      </c>
      <c r="L763" s="17" t="str">
        <f>IFERROR(INDEX(競技会設定!$J$3:$N$47,MATCH(K763,競技会設定!$N$3:$N$47,0),2),"")</f>
        <v>492174</v>
      </c>
      <c r="M763" s="97" t="s">
        <v>3893</v>
      </c>
      <c r="N763" s="17" t="str">
        <f t="shared" si="34"/>
        <v>TOKIMITSU, Shuhei</v>
      </c>
      <c r="O763" s="17" t="str">
        <f t="shared" si="35"/>
        <v>98</v>
      </c>
    </row>
    <row r="764" spans="1:15">
      <c r="A764" s="17" t="str">
        <f t="shared" si="33"/>
        <v>501000763</v>
      </c>
      <c r="B764" s="97">
        <v>763</v>
      </c>
      <c r="C764" s="97" t="s">
        <v>1725</v>
      </c>
      <c r="D764" s="97" t="s">
        <v>1726</v>
      </c>
      <c r="E764" s="312" t="s">
        <v>2951</v>
      </c>
      <c r="F764" s="312" t="s">
        <v>2952</v>
      </c>
      <c r="G764" s="97" t="s">
        <v>3640</v>
      </c>
      <c r="H764" s="97" t="s">
        <v>4025</v>
      </c>
      <c r="I764" s="97" t="s">
        <v>4039</v>
      </c>
      <c r="J764" s="97" t="s">
        <v>4056</v>
      </c>
      <c r="K764" s="17" t="str">
        <f>IFERROR(INDEX(競技会設定!$J$3:$O$47,MATCH(J764,競技会設定!$M$3:$M$47,0),5),"")</f>
        <v>至学館大</v>
      </c>
      <c r="L764" s="17" t="str">
        <f>IFERROR(INDEX(競技会設定!$J$3:$N$47,MATCH(K764,競技会設定!$N$3:$N$47,0),2),"")</f>
        <v>492174</v>
      </c>
      <c r="M764" s="97" t="s">
        <v>3859</v>
      </c>
      <c r="N764" s="17" t="str">
        <f t="shared" si="34"/>
        <v>MURASE, Koyu</v>
      </c>
      <c r="O764" s="17" t="str">
        <f t="shared" si="35"/>
        <v>98</v>
      </c>
    </row>
    <row r="765" spans="1:15">
      <c r="A765" s="17" t="str">
        <f t="shared" si="33"/>
        <v>501000764</v>
      </c>
      <c r="B765" s="97">
        <v>764</v>
      </c>
      <c r="C765" s="97" t="s">
        <v>1727</v>
      </c>
      <c r="D765" s="97" t="s">
        <v>1728</v>
      </c>
      <c r="E765" s="312" t="s">
        <v>2483</v>
      </c>
      <c r="F765" s="312" t="s">
        <v>2953</v>
      </c>
      <c r="G765" s="97" t="s">
        <v>3641</v>
      </c>
      <c r="H765" s="97" t="s">
        <v>4025</v>
      </c>
      <c r="I765" s="97" t="s">
        <v>4039</v>
      </c>
      <c r="J765" s="97" t="s">
        <v>4056</v>
      </c>
      <c r="K765" s="17" t="str">
        <f>IFERROR(INDEX(競技会設定!$J$3:$O$47,MATCH(J765,競技会設定!$M$3:$M$47,0),5),"")</f>
        <v>至学館大</v>
      </c>
      <c r="L765" s="17" t="str">
        <f>IFERROR(INDEX(競技会設定!$J$3:$N$47,MATCH(K765,競技会設定!$N$3:$N$47,0),2),"")</f>
        <v>492174</v>
      </c>
      <c r="M765" s="97" t="s">
        <v>3857</v>
      </c>
      <c r="N765" s="17" t="str">
        <f t="shared" si="34"/>
        <v>YAMAZAKI, Hiromu</v>
      </c>
      <c r="O765" s="17" t="str">
        <f t="shared" si="35"/>
        <v>98</v>
      </c>
    </row>
    <row r="766" spans="1:15">
      <c r="A766" s="17" t="str">
        <f t="shared" si="33"/>
        <v>501000765</v>
      </c>
      <c r="B766" s="97">
        <v>765</v>
      </c>
      <c r="C766" s="97" t="s">
        <v>1729</v>
      </c>
      <c r="D766" s="97" t="s">
        <v>1730</v>
      </c>
      <c r="E766" s="312" t="s">
        <v>2954</v>
      </c>
      <c r="F766" s="312" t="s">
        <v>2955</v>
      </c>
      <c r="G766" s="97" t="s">
        <v>3188</v>
      </c>
      <c r="H766" s="97" t="s">
        <v>4024</v>
      </c>
      <c r="I766" s="97" t="s">
        <v>4039</v>
      </c>
      <c r="J766" s="97" t="s">
        <v>4056</v>
      </c>
      <c r="K766" s="17" t="str">
        <f>IFERROR(INDEX(競技会設定!$J$3:$O$47,MATCH(J766,競技会設定!$M$3:$M$47,0),5),"")</f>
        <v>至学館大</v>
      </c>
      <c r="L766" s="17" t="str">
        <f>IFERROR(INDEX(競技会設定!$J$3:$N$47,MATCH(K766,競技会設定!$N$3:$N$47,0),2),"")</f>
        <v>492174</v>
      </c>
      <c r="M766" s="97" t="s">
        <v>3859</v>
      </c>
      <c r="N766" s="17" t="str">
        <f t="shared" si="34"/>
        <v>SUGAYA, Hiroshi</v>
      </c>
      <c r="O766" s="17" t="str">
        <f t="shared" si="35"/>
        <v>99</v>
      </c>
    </row>
    <row r="767" spans="1:15">
      <c r="A767" s="17" t="str">
        <f t="shared" si="33"/>
        <v>501000766</v>
      </c>
      <c r="B767" s="97">
        <v>766</v>
      </c>
      <c r="C767" s="97" t="s">
        <v>1731</v>
      </c>
      <c r="D767" s="97" t="s">
        <v>1732</v>
      </c>
      <c r="E767" s="312" t="s">
        <v>2956</v>
      </c>
      <c r="F767" s="312" t="s">
        <v>2924</v>
      </c>
      <c r="G767" s="97" t="s">
        <v>3642</v>
      </c>
      <c r="H767" s="97" t="s">
        <v>4026</v>
      </c>
      <c r="I767" s="97" t="s">
        <v>4039</v>
      </c>
      <c r="J767" s="97" t="s">
        <v>4056</v>
      </c>
      <c r="K767" s="17" t="str">
        <f>IFERROR(INDEX(競技会設定!$J$3:$O$47,MATCH(J767,競技会設定!$M$3:$M$47,0),5),"")</f>
        <v>至学館大</v>
      </c>
      <c r="L767" s="17" t="str">
        <f>IFERROR(INDEX(競技会設定!$J$3:$N$47,MATCH(K767,競技会設定!$N$3:$N$47,0),2),"")</f>
        <v>492174</v>
      </c>
      <c r="M767" s="97" t="s">
        <v>3859</v>
      </c>
      <c r="N767" s="17" t="str">
        <f t="shared" si="34"/>
        <v>AZUMA , Shoei</v>
      </c>
      <c r="O767" s="17" t="str">
        <f t="shared" si="35"/>
        <v>00</v>
      </c>
    </row>
    <row r="768" spans="1:15">
      <c r="A768" s="17" t="str">
        <f t="shared" si="33"/>
        <v>501000767</v>
      </c>
      <c r="B768" s="97">
        <v>767</v>
      </c>
      <c r="C768" s="97" t="s">
        <v>1733</v>
      </c>
      <c r="D768" s="97" t="s">
        <v>1734</v>
      </c>
      <c r="E768" s="312" t="s">
        <v>2957</v>
      </c>
      <c r="F768" s="312" t="s">
        <v>2085</v>
      </c>
      <c r="G768" s="97" t="s">
        <v>3340</v>
      </c>
      <c r="H768" s="97" t="s">
        <v>4026</v>
      </c>
      <c r="I768" s="97" t="s">
        <v>4039</v>
      </c>
      <c r="J768" s="97" t="s">
        <v>4056</v>
      </c>
      <c r="K768" s="17" t="str">
        <f>IFERROR(INDEX(競技会設定!$J$3:$O$47,MATCH(J768,競技会設定!$M$3:$M$47,0),5),"")</f>
        <v>至学館大</v>
      </c>
      <c r="L768" s="17" t="str">
        <f>IFERROR(INDEX(競技会設定!$J$3:$N$47,MATCH(K768,競技会設定!$N$3:$N$47,0),2),"")</f>
        <v>492174</v>
      </c>
      <c r="M768" s="97" t="s">
        <v>3855</v>
      </c>
      <c r="N768" s="17" t="str">
        <f t="shared" si="34"/>
        <v>ISA, Takuma</v>
      </c>
      <c r="O768" s="17" t="str">
        <f t="shared" si="35"/>
        <v>00</v>
      </c>
    </row>
    <row r="769" spans="1:15">
      <c r="A769" s="17" t="str">
        <f t="shared" si="33"/>
        <v>501000768</v>
      </c>
      <c r="B769" s="97">
        <v>768</v>
      </c>
      <c r="C769" s="97" t="s">
        <v>1735</v>
      </c>
      <c r="D769" s="97" t="s">
        <v>1736</v>
      </c>
      <c r="E769" s="312" t="s">
        <v>2958</v>
      </c>
      <c r="F769" s="312" t="s">
        <v>2959</v>
      </c>
      <c r="G769" s="97" t="s">
        <v>3601</v>
      </c>
      <c r="H769" s="97" t="s">
        <v>4026</v>
      </c>
      <c r="I769" s="97" t="s">
        <v>4039</v>
      </c>
      <c r="J769" s="97" t="s">
        <v>4056</v>
      </c>
      <c r="K769" s="17" t="str">
        <f>IFERROR(INDEX(競技会設定!$J$3:$O$47,MATCH(J769,競技会設定!$M$3:$M$47,0),5),"")</f>
        <v>至学館大</v>
      </c>
      <c r="L769" s="17" t="str">
        <f>IFERROR(INDEX(競技会設定!$J$3:$N$47,MATCH(K769,競技会設定!$N$3:$N$47,0),2),"")</f>
        <v>492174</v>
      </c>
      <c r="M769" s="97" t="s">
        <v>3883</v>
      </c>
      <c r="N769" s="17" t="str">
        <f t="shared" si="34"/>
        <v>KURODA, Haruto</v>
      </c>
      <c r="O769" s="17" t="str">
        <f t="shared" si="35"/>
        <v>01</v>
      </c>
    </row>
    <row r="770" spans="1:15">
      <c r="A770" s="17" t="str">
        <f t="shared" si="33"/>
        <v>501000769</v>
      </c>
      <c r="B770" s="97">
        <v>769</v>
      </c>
      <c r="C770" s="97" t="s">
        <v>1737</v>
      </c>
      <c r="D770" s="97" t="s">
        <v>1738</v>
      </c>
      <c r="E770" s="312" t="s">
        <v>2162</v>
      </c>
      <c r="F770" s="312" t="s">
        <v>2198</v>
      </c>
      <c r="G770" s="97" t="s">
        <v>3236</v>
      </c>
      <c r="H770" s="97" t="s">
        <v>4026</v>
      </c>
      <c r="I770" s="97" t="s">
        <v>4039</v>
      </c>
      <c r="J770" s="97" t="s">
        <v>4056</v>
      </c>
      <c r="K770" s="17" t="str">
        <f>IFERROR(INDEX(競技会設定!$J$3:$O$47,MATCH(J770,競技会設定!$M$3:$M$47,0),5),"")</f>
        <v>至学館大</v>
      </c>
      <c r="L770" s="17" t="str">
        <f>IFERROR(INDEX(競技会設定!$J$3:$N$47,MATCH(K770,競技会設定!$N$3:$N$47,0),2),"")</f>
        <v>492174</v>
      </c>
      <c r="M770" s="97" t="s">
        <v>3859</v>
      </c>
      <c r="N770" s="17" t="str">
        <f t="shared" si="34"/>
        <v>KOIDE, Hikaru</v>
      </c>
      <c r="O770" s="17" t="str">
        <f t="shared" si="35"/>
        <v>00</v>
      </c>
    </row>
    <row r="771" spans="1:15">
      <c r="A771" s="17" t="str">
        <f t="shared" ref="A771:A834" si="36">IF(B771="","","501"&amp;TEXT(B771,"000000"))</f>
        <v>501000770</v>
      </c>
      <c r="B771" s="97">
        <v>770</v>
      </c>
      <c r="C771" s="97" t="s">
        <v>1739</v>
      </c>
      <c r="D771" s="97" t="s">
        <v>1740</v>
      </c>
      <c r="E771" s="312" t="s">
        <v>2355</v>
      </c>
      <c r="F771" s="312" t="s">
        <v>2952</v>
      </c>
      <c r="G771" s="97" t="s">
        <v>3643</v>
      </c>
      <c r="H771" s="97" t="s">
        <v>4026</v>
      </c>
      <c r="I771" s="97" t="s">
        <v>4039</v>
      </c>
      <c r="J771" s="97" t="s">
        <v>4056</v>
      </c>
      <c r="K771" s="17" t="str">
        <f>IFERROR(INDEX(競技会設定!$J$3:$O$47,MATCH(J771,競技会設定!$M$3:$M$47,0),5),"")</f>
        <v>至学館大</v>
      </c>
      <c r="L771" s="17" t="str">
        <f>IFERROR(INDEX(競技会設定!$J$3:$N$47,MATCH(K771,競技会設定!$N$3:$N$47,0),2),"")</f>
        <v>492174</v>
      </c>
      <c r="M771" s="97" t="s">
        <v>3859</v>
      </c>
      <c r="N771" s="17" t="str">
        <f t="shared" ref="N771:N834" si="37">IF(E771="","",E771&amp;", "&amp;F771)</f>
        <v>MIURA, Koyu</v>
      </c>
      <c r="O771" s="17" t="str">
        <f t="shared" ref="O771:O834" si="38">IFERROR(TEXT(INT(LEFT(G771,2)),"00"),"")</f>
        <v>00</v>
      </c>
    </row>
    <row r="772" spans="1:15">
      <c r="A772" s="17" t="str">
        <f t="shared" si="36"/>
        <v>501000771</v>
      </c>
      <c r="B772" s="97">
        <v>771</v>
      </c>
      <c r="C772" s="97" t="s">
        <v>1741</v>
      </c>
      <c r="D772" s="97" t="s">
        <v>1742</v>
      </c>
      <c r="E772" s="312" t="s">
        <v>2082</v>
      </c>
      <c r="F772" s="312" t="s">
        <v>2960</v>
      </c>
      <c r="G772" s="97" t="s">
        <v>3644</v>
      </c>
      <c r="H772" s="97" t="s">
        <v>4029</v>
      </c>
      <c r="I772" s="97" t="s">
        <v>4039</v>
      </c>
      <c r="J772" s="97" t="s">
        <v>4056</v>
      </c>
      <c r="K772" s="17" t="str">
        <f>IFERROR(INDEX(競技会設定!$J$3:$O$47,MATCH(J772,競技会設定!$M$3:$M$47,0),5),"")</f>
        <v>至学館大</v>
      </c>
      <c r="L772" s="17" t="str">
        <f>IFERROR(INDEX(競技会設定!$J$3:$N$47,MATCH(K772,競技会設定!$N$3:$N$47,0),2),"")</f>
        <v>492174</v>
      </c>
      <c r="M772" s="97" t="s">
        <v>3859</v>
      </c>
      <c r="N772" s="17" t="str">
        <f t="shared" si="37"/>
        <v>ITO, Masakazu</v>
      </c>
      <c r="O772" s="17" t="str">
        <f t="shared" si="38"/>
        <v>02</v>
      </c>
    </row>
    <row r="773" spans="1:15">
      <c r="A773" s="17" t="str">
        <f t="shared" si="36"/>
        <v>501000772</v>
      </c>
      <c r="B773" s="97">
        <v>772</v>
      </c>
      <c r="C773" s="97" t="s">
        <v>1743</v>
      </c>
      <c r="D773" s="97" t="s">
        <v>1744</v>
      </c>
      <c r="E773" s="312" t="s">
        <v>2961</v>
      </c>
      <c r="F773" s="312" t="s">
        <v>2272</v>
      </c>
      <c r="G773" s="97" t="s">
        <v>3645</v>
      </c>
      <c r="H773" s="97" t="s">
        <v>4029</v>
      </c>
      <c r="I773" s="97" t="s">
        <v>4039</v>
      </c>
      <c r="J773" s="97" t="s">
        <v>4056</v>
      </c>
      <c r="K773" s="17" t="str">
        <f>IFERROR(INDEX(競技会設定!$J$3:$O$47,MATCH(J773,競技会設定!$M$3:$M$47,0),5),"")</f>
        <v>至学館大</v>
      </c>
      <c r="L773" s="17" t="str">
        <f>IFERROR(INDEX(競技会設定!$J$3:$N$47,MATCH(K773,競技会設定!$N$3:$N$47,0),2),"")</f>
        <v>492174</v>
      </c>
      <c r="M773" s="97" t="s">
        <v>3859</v>
      </c>
      <c r="N773" s="17" t="str">
        <f t="shared" si="37"/>
        <v>OKUBO, Takumi</v>
      </c>
      <c r="O773" s="17" t="str">
        <f t="shared" si="38"/>
        <v>01</v>
      </c>
    </row>
    <row r="774" spans="1:15">
      <c r="A774" s="17" t="str">
        <f t="shared" si="36"/>
        <v>501000773</v>
      </c>
      <c r="B774" s="97">
        <v>773</v>
      </c>
      <c r="C774" s="97" t="s">
        <v>1745</v>
      </c>
      <c r="D774" s="97" t="s">
        <v>1746</v>
      </c>
      <c r="E774" s="312" t="s">
        <v>2244</v>
      </c>
      <c r="F774" s="312" t="s">
        <v>2962</v>
      </c>
      <c r="G774" s="97" t="s">
        <v>3646</v>
      </c>
      <c r="H774" s="97" t="s">
        <v>4029</v>
      </c>
      <c r="I774" s="97" t="s">
        <v>4039</v>
      </c>
      <c r="J774" s="97" t="s">
        <v>4056</v>
      </c>
      <c r="K774" s="17" t="str">
        <f>IFERROR(INDEX(競技会設定!$J$3:$O$47,MATCH(J774,競技会設定!$M$3:$M$47,0),5),"")</f>
        <v>至学館大</v>
      </c>
      <c r="L774" s="17" t="str">
        <f>IFERROR(INDEX(競技会設定!$J$3:$N$47,MATCH(K774,競技会設定!$N$3:$N$47,0),2),"")</f>
        <v>492174</v>
      </c>
      <c r="M774" s="97" t="s">
        <v>3859</v>
      </c>
      <c r="N774" s="17" t="str">
        <f t="shared" si="37"/>
        <v>KAWAI, Kikyo</v>
      </c>
      <c r="O774" s="17" t="str">
        <f t="shared" si="38"/>
        <v>01</v>
      </c>
    </row>
    <row r="775" spans="1:15">
      <c r="A775" s="17" t="str">
        <f t="shared" si="36"/>
        <v>501000774</v>
      </c>
      <c r="B775" s="97">
        <v>774</v>
      </c>
      <c r="C775" s="97" t="s">
        <v>1747</v>
      </c>
      <c r="D775" s="97" t="s">
        <v>1748</v>
      </c>
      <c r="E775" s="312" t="s">
        <v>2363</v>
      </c>
      <c r="F775" s="312" t="s">
        <v>2118</v>
      </c>
      <c r="G775" s="97" t="s">
        <v>3647</v>
      </c>
      <c r="H775" s="97" t="s">
        <v>4029</v>
      </c>
      <c r="I775" s="97" t="s">
        <v>4039</v>
      </c>
      <c r="J775" s="97" t="s">
        <v>4056</v>
      </c>
      <c r="K775" s="17" t="str">
        <f>IFERROR(INDEX(競技会設定!$J$3:$O$47,MATCH(J775,競技会設定!$M$3:$M$47,0),5),"")</f>
        <v>至学館大</v>
      </c>
      <c r="L775" s="17" t="str">
        <f>IFERROR(INDEX(競技会設定!$J$3:$N$47,MATCH(K775,競技会設定!$N$3:$N$47,0),2),"")</f>
        <v>492174</v>
      </c>
      <c r="M775" s="97" t="s">
        <v>3859</v>
      </c>
      <c r="N775" s="17" t="str">
        <f t="shared" si="37"/>
        <v>SAKAKIBARA, Kazuki</v>
      </c>
      <c r="O775" s="17" t="str">
        <f t="shared" si="38"/>
        <v>01</v>
      </c>
    </row>
    <row r="776" spans="1:15">
      <c r="A776" s="17" t="str">
        <f t="shared" si="36"/>
        <v>501000775</v>
      </c>
      <c r="B776" s="97">
        <v>775</v>
      </c>
      <c r="C776" s="97" t="s">
        <v>1749</v>
      </c>
      <c r="D776" s="97" t="s">
        <v>1750</v>
      </c>
      <c r="E776" s="312" t="s">
        <v>2842</v>
      </c>
      <c r="F776" s="312" t="s">
        <v>2085</v>
      </c>
      <c r="G776" s="97" t="s">
        <v>3648</v>
      </c>
      <c r="H776" s="97" t="s">
        <v>4029</v>
      </c>
      <c r="I776" s="97" t="s">
        <v>4039</v>
      </c>
      <c r="J776" s="97" t="s">
        <v>4056</v>
      </c>
      <c r="K776" s="17" t="str">
        <f>IFERROR(INDEX(競技会設定!$J$3:$O$47,MATCH(J776,競技会設定!$M$3:$M$47,0),5),"")</f>
        <v>至学館大</v>
      </c>
      <c r="L776" s="17" t="str">
        <f>IFERROR(INDEX(競技会設定!$J$3:$N$47,MATCH(K776,競技会設定!$N$3:$N$47,0),2),"")</f>
        <v>492174</v>
      </c>
      <c r="M776" s="97" t="s">
        <v>3855</v>
      </c>
      <c r="N776" s="17" t="str">
        <f t="shared" si="37"/>
        <v>SOGA, Takuma</v>
      </c>
      <c r="O776" s="17" t="str">
        <f t="shared" si="38"/>
        <v>02</v>
      </c>
    </row>
    <row r="777" spans="1:15">
      <c r="A777" s="17" t="str">
        <f t="shared" si="36"/>
        <v>501000776</v>
      </c>
      <c r="B777" s="97">
        <v>776</v>
      </c>
      <c r="C777" s="97" t="s">
        <v>1751</v>
      </c>
      <c r="D777" s="97" t="s">
        <v>1752</v>
      </c>
      <c r="E777" s="312" t="s">
        <v>2963</v>
      </c>
      <c r="F777" s="312" t="s">
        <v>2350</v>
      </c>
      <c r="G777" s="97" t="s">
        <v>3649</v>
      </c>
      <c r="H777" s="97" t="s">
        <v>4029</v>
      </c>
      <c r="I777" s="97" t="s">
        <v>4039</v>
      </c>
      <c r="J777" s="97" t="s">
        <v>4056</v>
      </c>
      <c r="K777" s="17" t="str">
        <f>IFERROR(INDEX(競技会設定!$J$3:$O$47,MATCH(J777,競技会設定!$M$3:$M$47,0),5),"")</f>
        <v>至学館大</v>
      </c>
      <c r="L777" s="17" t="str">
        <f>IFERROR(INDEX(競技会設定!$J$3:$N$47,MATCH(K777,競技会設定!$N$3:$N$47,0),2),"")</f>
        <v>492174</v>
      </c>
      <c r="M777" s="97" t="s">
        <v>3859</v>
      </c>
      <c r="N777" s="17" t="str">
        <f t="shared" si="37"/>
        <v>TORIYAMA, Kanta</v>
      </c>
      <c r="O777" s="17" t="str">
        <f t="shared" si="38"/>
        <v>01</v>
      </c>
    </row>
    <row r="778" spans="1:15">
      <c r="A778" s="17" t="str">
        <f t="shared" si="36"/>
        <v>501000777</v>
      </c>
      <c r="B778" s="97">
        <v>777</v>
      </c>
      <c r="C778" s="97" t="s">
        <v>1753</v>
      </c>
      <c r="D778" s="97" t="s">
        <v>1754</v>
      </c>
      <c r="E778" s="312" t="s">
        <v>2964</v>
      </c>
      <c r="F778" s="312" t="s">
        <v>2669</v>
      </c>
      <c r="G778" s="97" t="s">
        <v>3650</v>
      </c>
      <c r="H778" s="97" t="s">
        <v>4029</v>
      </c>
      <c r="I778" s="97" t="s">
        <v>4039</v>
      </c>
      <c r="J778" s="97" t="s">
        <v>4056</v>
      </c>
      <c r="K778" s="17" t="str">
        <f>IFERROR(INDEX(競技会設定!$J$3:$O$47,MATCH(J778,競技会設定!$M$3:$M$47,0),5),"")</f>
        <v>至学館大</v>
      </c>
      <c r="L778" s="17" t="str">
        <f>IFERROR(INDEX(競技会設定!$J$3:$N$47,MATCH(K778,競技会設定!$N$3:$N$47,0),2),"")</f>
        <v>492174</v>
      </c>
      <c r="M778" s="97" t="s">
        <v>3859</v>
      </c>
      <c r="N778" s="17" t="str">
        <f t="shared" si="37"/>
        <v>NISHIOKA, Daishi</v>
      </c>
      <c r="O778" s="17" t="str">
        <f t="shared" si="38"/>
        <v>01</v>
      </c>
    </row>
    <row r="779" spans="1:15">
      <c r="A779" s="17" t="str">
        <f t="shared" si="36"/>
        <v>501000778</v>
      </c>
      <c r="B779" s="97">
        <v>778</v>
      </c>
      <c r="C779" s="97" t="s">
        <v>1755</v>
      </c>
      <c r="D779" s="97" t="s">
        <v>1756</v>
      </c>
      <c r="E779" s="312" t="s">
        <v>2965</v>
      </c>
      <c r="F779" s="312" t="s">
        <v>2966</v>
      </c>
      <c r="G779" s="97" t="s">
        <v>3651</v>
      </c>
      <c r="H779" s="97" t="s">
        <v>4029</v>
      </c>
      <c r="I779" s="97" t="s">
        <v>7496</v>
      </c>
      <c r="J779" s="97" t="s">
        <v>4056</v>
      </c>
      <c r="K779" s="17" t="str">
        <f>IFERROR(INDEX(競技会設定!$J$3:$O$47,MATCH(J779,競技会設定!$M$3:$M$47,0),5),"")</f>
        <v>至学館大</v>
      </c>
      <c r="L779" s="17" t="str">
        <f>IFERROR(INDEX(競技会設定!$J$3:$N$47,MATCH(K779,競技会設定!$N$3:$N$47,0),2),"")</f>
        <v>492174</v>
      </c>
      <c r="M779" s="97" t="s">
        <v>3861</v>
      </c>
      <c r="N779" s="17" t="str">
        <f t="shared" si="37"/>
        <v>MEDINA, Samiru</v>
      </c>
      <c r="O779" s="17" t="str">
        <f t="shared" si="38"/>
        <v>01</v>
      </c>
    </row>
    <row r="780" spans="1:15">
      <c r="A780" s="17" t="str">
        <f t="shared" si="36"/>
        <v>501000779</v>
      </c>
      <c r="B780" s="97">
        <v>779</v>
      </c>
      <c r="C780" s="97" t="s">
        <v>1757</v>
      </c>
      <c r="D780" s="97" t="s">
        <v>1758</v>
      </c>
      <c r="E780" s="312" t="s">
        <v>2862</v>
      </c>
      <c r="F780" s="312" t="s">
        <v>2081</v>
      </c>
      <c r="G780" s="97" t="s">
        <v>3393</v>
      </c>
      <c r="H780" s="97" t="s">
        <v>4025</v>
      </c>
      <c r="I780" s="97" t="s">
        <v>4039</v>
      </c>
      <c r="J780" s="97" t="s">
        <v>4074</v>
      </c>
      <c r="K780" s="17" t="str">
        <f>IFERROR(INDEX(競技会設定!$J$3:$O$47,MATCH(J780,競技会設定!$M$3:$M$47,0),5),"")</f>
        <v>東海学園大</v>
      </c>
      <c r="L780" s="17" t="str">
        <f>IFERROR(INDEX(競技会設定!$J$3:$N$47,MATCH(K780,競技会設定!$N$3:$N$47,0),2),"")</f>
        <v>492412</v>
      </c>
      <c r="M780" s="97" t="s">
        <v>3859</v>
      </c>
      <c r="N780" s="17" t="str">
        <f t="shared" si="37"/>
        <v>AMANO, Tomoki</v>
      </c>
      <c r="O780" s="17" t="str">
        <f t="shared" si="38"/>
        <v>98</v>
      </c>
    </row>
    <row r="781" spans="1:15">
      <c r="A781" s="17" t="str">
        <f t="shared" si="36"/>
        <v>501000780</v>
      </c>
      <c r="B781" s="97">
        <v>780</v>
      </c>
      <c r="C781" s="97" t="s">
        <v>1759</v>
      </c>
      <c r="D781" s="97" t="s">
        <v>1760</v>
      </c>
      <c r="E781" s="312" t="s">
        <v>2967</v>
      </c>
      <c r="F781" s="312" t="s">
        <v>2427</v>
      </c>
      <c r="G781" s="97" t="s">
        <v>3652</v>
      </c>
      <c r="H781" s="97" t="s">
        <v>4025</v>
      </c>
      <c r="I781" s="97" t="s">
        <v>4039</v>
      </c>
      <c r="J781" s="97" t="s">
        <v>4074</v>
      </c>
      <c r="K781" s="17" t="str">
        <f>IFERROR(INDEX(競技会設定!$J$3:$O$47,MATCH(J781,競技会設定!$M$3:$M$47,0),5),"")</f>
        <v>東海学園大</v>
      </c>
      <c r="L781" s="17" t="str">
        <f>IFERROR(INDEX(競技会設定!$J$3:$N$47,MATCH(K781,競技会設定!$N$3:$N$47,0),2),"")</f>
        <v>492412</v>
      </c>
      <c r="M781" s="97" t="s">
        <v>3861</v>
      </c>
      <c r="N781" s="17" t="str">
        <f t="shared" si="37"/>
        <v>TOMATSU, Kenya</v>
      </c>
      <c r="O781" s="17" t="str">
        <f t="shared" si="38"/>
        <v>98</v>
      </c>
    </row>
    <row r="782" spans="1:15">
      <c r="A782" s="17" t="str">
        <f t="shared" si="36"/>
        <v>501000781</v>
      </c>
      <c r="B782" s="97">
        <v>781</v>
      </c>
      <c r="C782" s="97" t="s">
        <v>1761</v>
      </c>
      <c r="D782" s="97" t="s">
        <v>1762</v>
      </c>
      <c r="E782" s="312" t="s">
        <v>2968</v>
      </c>
      <c r="F782" s="312" t="s">
        <v>2112</v>
      </c>
      <c r="G782" s="97" t="s">
        <v>3276</v>
      </c>
      <c r="H782" s="97" t="s">
        <v>4025</v>
      </c>
      <c r="I782" s="97" t="s">
        <v>4039</v>
      </c>
      <c r="J782" s="97" t="s">
        <v>4074</v>
      </c>
      <c r="K782" s="17" t="str">
        <f>IFERROR(INDEX(競技会設定!$J$3:$O$47,MATCH(J782,競技会設定!$M$3:$M$47,0),5),"")</f>
        <v>東海学園大</v>
      </c>
      <c r="L782" s="17" t="str">
        <f>IFERROR(INDEX(競技会設定!$J$3:$N$47,MATCH(K782,競技会設定!$N$3:$N$47,0),2),"")</f>
        <v>492412</v>
      </c>
      <c r="M782" s="97" t="s">
        <v>3859</v>
      </c>
      <c r="N782" s="17" t="str">
        <f t="shared" si="37"/>
        <v>TOYODA, Masashi</v>
      </c>
      <c r="O782" s="17" t="str">
        <f t="shared" si="38"/>
        <v>98</v>
      </c>
    </row>
    <row r="783" spans="1:15">
      <c r="A783" s="17" t="str">
        <f t="shared" si="36"/>
        <v>501000782</v>
      </c>
      <c r="B783" s="97">
        <v>782</v>
      </c>
      <c r="C783" s="97" t="s">
        <v>1763</v>
      </c>
      <c r="D783" s="97" t="s">
        <v>1764</v>
      </c>
      <c r="E783" s="312" t="s">
        <v>2969</v>
      </c>
      <c r="F783" s="312" t="s">
        <v>2234</v>
      </c>
      <c r="G783" s="97" t="s">
        <v>3653</v>
      </c>
      <c r="H783" s="97" t="s">
        <v>4025</v>
      </c>
      <c r="I783" s="97" t="s">
        <v>4039</v>
      </c>
      <c r="J783" s="97" t="s">
        <v>4074</v>
      </c>
      <c r="K783" s="17" t="str">
        <f>IFERROR(INDEX(競技会設定!$J$3:$O$47,MATCH(J783,競技会設定!$M$3:$M$47,0),5),"")</f>
        <v>東海学園大</v>
      </c>
      <c r="L783" s="17" t="str">
        <f>IFERROR(INDEX(競技会設定!$J$3:$N$47,MATCH(K783,競技会設定!$N$3:$N$47,0),2),"")</f>
        <v>492412</v>
      </c>
      <c r="M783" s="97" t="s">
        <v>3859</v>
      </c>
      <c r="N783" s="17" t="str">
        <f t="shared" si="37"/>
        <v>NISHIKAWA , Yuto</v>
      </c>
      <c r="O783" s="17" t="str">
        <f t="shared" si="38"/>
        <v>99</v>
      </c>
    </row>
    <row r="784" spans="1:15">
      <c r="A784" s="17" t="str">
        <f t="shared" si="36"/>
        <v>501000783</v>
      </c>
      <c r="B784" s="97">
        <v>783</v>
      </c>
      <c r="C784" s="97" t="s">
        <v>1765</v>
      </c>
      <c r="D784" s="97" t="s">
        <v>1766</v>
      </c>
      <c r="E784" s="312" t="s">
        <v>2970</v>
      </c>
      <c r="F784" s="312" t="s">
        <v>2559</v>
      </c>
      <c r="G784" s="97" t="s">
        <v>3232</v>
      </c>
      <c r="H784" s="97" t="s">
        <v>4025</v>
      </c>
      <c r="I784" s="97" t="s">
        <v>4039</v>
      </c>
      <c r="J784" s="97" t="s">
        <v>4074</v>
      </c>
      <c r="K784" s="17" t="str">
        <f>IFERROR(INDEX(競技会設定!$J$3:$O$47,MATCH(J784,競技会設定!$M$3:$M$47,0),5),"")</f>
        <v>東海学園大</v>
      </c>
      <c r="L784" s="17" t="str">
        <f>IFERROR(INDEX(競技会設定!$J$3:$N$47,MATCH(K784,競技会設定!$N$3:$N$47,0),2),"")</f>
        <v>492412</v>
      </c>
      <c r="M784" s="97" t="s">
        <v>3859</v>
      </c>
      <c r="N784" s="17" t="str">
        <f t="shared" si="37"/>
        <v>NODA, Masahiro</v>
      </c>
      <c r="O784" s="17" t="str">
        <f t="shared" si="38"/>
        <v>98</v>
      </c>
    </row>
    <row r="785" spans="1:15">
      <c r="A785" s="17" t="str">
        <f t="shared" si="36"/>
        <v>501000784</v>
      </c>
      <c r="B785" s="97">
        <v>784</v>
      </c>
      <c r="C785" s="97" t="s">
        <v>1767</v>
      </c>
      <c r="D785" s="97" t="s">
        <v>1768</v>
      </c>
      <c r="E785" s="312" t="s">
        <v>2933</v>
      </c>
      <c r="F785" s="312" t="s">
        <v>2091</v>
      </c>
      <c r="G785" s="97" t="s">
        <v>3654</v>
      </c>
      <c r="H785" s="97" t="s">
        <v>4025</v>
      </c>
      <c r="I785" s="97" t="s">
        <v>4039</v>
      </c>
      <c r="J785" s="97" t="s">
        <v>4074</v>
      </c>
      <c r="K785" s="17" t="str">
        <f>IFERROR(INDEX(競技会設定!$J$3:$O$47,MATCH(J785,競技会設定!$M$3:$M$47,0),5),"")</f>
        <v>東海学園大</v>
      </c>
      <c r="L785" s="17" t="str">
        <f>IFERROR(INDEX(競技会設定!$J$3:$N$47,MATCH(K785,競技会設定!$N$3:$N$47,0),2),"")</f>
        <v>492412</v>
      </c>
      <c r="M785" s="97" t="s">
        <v>3859</v>
      </c>
      <c r="N785" s="17" t="str">
        <f t="shared" si="37"/>
        <v>HAYASHI, Takahiro</v>
      </c>
      <c r="O785" s="17" t="str">
        <f t="shared" si="38"/>
        <v>98</v>
      </c>
    </row>
    <row r="786" spans="1:15">
      <c r="A786" s="17" t="str">
        <f t="shared" si="36"/>
        <v>501000785</v>
      </c>
      <c r="B786" s="97">
        <v>785</v>
      </c>
      <c r="C786" s="97" t="s">
        <v>1769</v>
      </c>
      <c r="D786" s="97" t="s">
        <v>1770</v>
      </c>
      <c r="E786" s="312" t="s">
        <v>2132</v>
      </c>
      <c r="F786" s="312" t="s">
        <v>2971</v>
      </c>
      <c r="G786" s="97" t="s">
        <v>3655</v>
      </c>
      <c r="H786" s="97" t="s">
        <v>4025</v>
      </c>
      <c r="I786" s="97" t="s">
        <v>4039</v>
      </c>
      <c r="J786" s="97" t="s">
        <v>4074</v>
      </c>
      <c r="K786" s="17" t="str">
        <f>IFERROR(INDEX(競技会設定!$J$3:$O$47,MATCH(J786,競技会設定!$M$3:$M$47,0),5),"")</f>
        <v>東海学園大</v>
      </c>
      <c r="L786" s="17" t="str">
        <f>IFERROR(INDEX(競技会設定!$J$3:$N$47,MATCH(K786,競技会設定!$N$3:$N$47,0),2),"")</f>
        <v>492412</v>
      </c>
      <c r="M786" s="97" t="s">
        <v>3859</v>
      </c>
      <c r="N786" s="17" t="str">
        <f t="shared" si="37"/>
        <v>FUKUOKA, Ryosei</v>
      </c>
      <c r="O786" s="17" t="str">
        <f t="shared" si="38"/>
        <v>98</v>
      </c>
    </row>
    <row r="787" spans="1:15">
      <c r="A787" s="17" t="str">
        <f t="shared" si="36"/>
        <v>501000786</v>
      </c>
      <c r="B787" s="97">
        <v>786</v>
      </c>
      <c r="C787" s="97" t="s">
        <v>1771</v>
      </c>
      <c r="D787" s="97" t="s">
        <v>1772</v>
      </c>
      <c r="E787" s="312" t="s">
        <v>2348</v>
      </c>
      <c r="F787" s="312" t="s">
        <v>2972</v>
      </c>
      <c r="G787" s="97" t="s">
        <v>3656</v>
      </c>
      <c r="H787" s="97" t="s">
        <v>4025</v>
      </c>
      <c r="I787" s="97" t="s">
        <v>4039</v>
      </c>
      <c r="J787" s="97" t="s">
        <v>4074</v>
      </c>
      <c r="K787" s="17" t="str">
        <f>IFERROR(INDEX(競技会設定!$J$3:$O$47,MATCH(J787,競技会設定!$M$3:$M$47,0),5),"")</f>
        <v>東海学園大</v>
      </c>
      <c r="L787" s="17" t="str">
        <f>IFERROR(INDEX(競技会設定!$J$3:$N$47,MATCH(K787,競技会設定!$N$3:$N$47,0),2),"")</f>
        <v>492412</v>
      </c>
      <c r="M787" s="97" t="s">
        <v>3859</v>
      </c>
      <c r="N787" s="17" t="str">
        <f t="shared" si="37"/>
        <v>MAEDA, Toki</v>
      </c>
      <c r="O787" s="17" t="str">
        <f t="shared" si="38"/>
        <v>99</v>
      </c>
    </row>
    <row r="788" spans="1:15">
      <c r="A788" s="17" t="str">
        <f t="shared" si="36"/>
        <v>501000787</v>
      </c>
      <c r="B788" s="97">
        <v>787</v>
      </c>
      <c r="C788" s="97" t="s">
        <v>1773</v>
      </c>
      <c r="D788" s="97" t="s">
        <v>1774</v>
      </c>
      <c r="E788" s="312" t="s">
        <v>2229</v>
      </c>
      <c r="F788" s="312" t="s">
        <v>2575</v>
      </c>
      <c r="G788" s="97" t="s">
        <v>3657</v>
      </c>
      <c r="H788" s="97" t="s">
        <v>4025</v>
      </c>
      <c r="I788" s="97" t="s">
        <v>4039</v>
      </c>
      <c r="J788" s="97" t="s">
        <v>4074</v>
      </c>
      <c r="K788" s="17" t="str">
        <f>IFERROR(INDEX(競技会設定!$J$3:$O$47,MATCH(J788,競技会設定!$M$3:$M$47,0),5),"")</f>
        <v>東海学園大</v>
      </c>
      <c r="L788" s="17" t="str">
        <f>IFERROR(INDEX(競技会設定!$J$3:$N$47,MATCH(K788,競技会設定!$N$3:$N$47,0),2),"")</f>
        <v>492412</v>
      </c>
      <c r="M788" s="97" t="s">
        <v>3859</v>
      </c>
      <c r="N788" s="17" t="str">
        <f t="shared" si="37"/>
        <v>MURAKAMI, Yutaka</v>
      </c>
      <c r="O788" s="17" t="str">
        <f t="shared" si="38"/>
        <v>98</v>
      </c>
    </row>
    <row r="789" spans="1:15">
      <c r="A789" s="17" t="str">
        <f t="shared" si="36"/>
        <v>501000788</v>
      </c>
      <c r="B789" s="97">
        <v>788</v>
      </c>
      <c r="C789" s="97" t="s">
        <v>1775</v>
      </c>
      <c r="D789" s="97" t="s">
        <v>537</v>
      </c>
      <c r="E789" s="312" t="s">
        <v>2328</v>
      </c>
      <c r="F789" s="312" t="s">
        <v>2106</v>
      </c>
      <c r="G789" s="97" t="s">
        <v>3635</v>
      </c>
      <c r="H789" s="97" t="s">
        <v>4025</v>
      </c>
      <c r="I789" s="97" t="s">
        <v>4039</v>
      </c>
      <c r="J789" s="97" t="s">
        <v>4074</v>
      </c>
      <c r="K789" s="17" t="str">
        <f>IFERROR(INDEX(競技会設定!$J$3:$O$47,MATCH(J789,競技会設定!$M$3:$M$47,0),5),"")</f>
        <v>東海学園大</v>
      </c>
      <c r="L789" s="17" t="str">
        <f>IFERROR(INDEX(競技会設定!$J$3:$N$47,MATCH(K789,競技会設定!$N$3:$N$47,0),2),"")</f>
        <v>492412</v>
      </c>
      <c r="M789" s="97" t="s">
        <v>3859</v>
      </c>
      <c r="N789" s="17" t="str">
        <f t="shared" si="37"/>
        <v>YAMADA, Yusuke</v>
      </c>
      <c r="O789" s="17" t="str">
        <f t="shared" si="38"/>
        <v>98</v>
      </c>
    </row>
    <row r="790" spans="1:15">
      <c r="A790" s="17" t="str">
        <f t="shared" si="36"/>
        <v>501000789</v>
      </c>
      <c r="B790" s="97">
        <v>789</v>
      </c>
      <c r="C790" s="97" t="s">
        <v>1776</v>
      </c>
      <c r="D790" s="97" t="s">
        <v>1777</v>
      </c>
      <c r="E790" s="312" t="s">
        <v>2973</v>
      </c>
      <c r="F790" s="312" t="s">
        <v>2974</v>
      </c>
      <c r="G790" s="97" t="s">
        <v>3658</v>
      </c>
      <c r="H790" s="97" t="s">
        <v>4025</v>
      </c>
      <c r="I790" s="97" t="s">
        <v>4039</v>
      </c>
      <c r="J790" s="97" t="s">
        <v>4074</v>
      </c>
      <c r="K790" s="17" t="str">
        <f>IFERROR(INDEX(競技会設定!$J$3:$O$47,MATCH(J790,競技会設定!$M$3:$M$47,0),5),"")</f>
        <v>東海学園大</v>
      </c>
      <c r="L790" s="17" t="str">
        <f>IFERROR(INDEX(競技会設定!$J$3:$N$47,MATCH(K790,競技会設定!$N$3:$N$47,0),2),"")</f>
        <v>492412</v>
      </c>
      <c r="M790" s="97" t="s">
        <v>3855</v>
      </c>
      <c r="N790" s="17" t="str">
        <f t="shared" si="37"/>
        <v>WANI, Koga</v>
      </c>
      <c r="O790" s="17" t="str">
        <f t="shared" si="38"/>
        <v>99</v>
      </c>
    </row>
    <row r="791" spans="1:15">
      <c r="A791" s="17" t="str">
        <f t="shared" si="36"/>
        <v>501000790</v>
      </c>
      <c r="B791" s="97">
        <v>790</v>
      </c>
      <c r="C791" s="97" t="s">
        <v>1778</v>
      </c>
      <c r="D791" s="97" t="s">
        <v>1779</v>
      </c>
      <c r="E791" s="312" t="s">
        <v>2903</v>
      </c>
      <c r="F791" s="312" t="s">
        <v>2462</v>
      </c>
      <c r="G791" s="97" t="s">
        <v>3605</v>
      </c>
      <c r="H791" s="97" t="s">
        <v>4024</v>
      </c>
      <c r="I791" s="97" t="s">
        <v>4039</v>
      </c>
      <c r="J791" s="97" t="s">
        <v>4074</v>
      </c>
      <c r="K791" s="17" t="str">
        <f>IFERROR(INDEX(競技会設定!$J$3:$O$47,MATCH(J791,競技会設定!$M$3:$M$47,0),5),"")</f>
        <v>東海学園大</v>
      </c>
      <c r="L791" s="17" t="str">
        <f>IFERROR(INDEX(競技会設定!$J$3:$N$47,MATCH(K791,競技会設定!$N$3:$N$47,0),2),"")</f>
        <v>492412</v>
      </c>
      <c r="M791" s="97" t="s">
        <v>3859</v>
      </c>
      <c r="N791" s="17" t="str">
        <f t="shared" si="37"/>
        <v>ISHIHARA, Sho</v>
      </c>
      <c r="O791" s="17" t="str">
        <f t="shared" si="38"/>
        <v>99</v>
      </c>
    </row>
    <row r="792" spans="1:15">
      <c r="A792" s="17" t="str">
        <f t="shared" si="36"/>
        <v>501000791</v>
      </c>
      <c r="B792" s="97">
        <v>791</v>
      </c>
      <c r="C792" s="97" t="s">
        <v>1780</v>
      </c>
      <c r="D792" s="97" t="s">
        <v>1781</v>
      </c>
      <c r="E792" s="312" t="s">
        <v>2684</v>
      </c>
      <c r="F792" s="312" t="s">
        <v>2975</v>
      </c>
      <c r="G792" s="97" t="s">
        <v>3659</v>
      </c>
      <c r="H792" s="97" t="s">
        <v>4024</v>
      </c>
      <c r="I792" s="97" t="s">
        <v>4039</v>
      </c>
      <c r="J792" s="97" t="s">
        <v>4074</v>
      </c>
      <c r="K792" s="17" t="str">
        <f>IFERROR(INDEX(競技会設定!$J$3:$O$47,MATCH(J792,競技会設定!$M$3:$M$47,0),5),"")</f>
        <v>東海学園大</v>
      </c>
      <c r="L792" s="17" t="str">
        <f>IFERROR(INDEX(競技会設定!$J$3:$N$47,MATCH(K792,競技会設定!$N$3:$N$47,0),2),"")</f>
        <v>492412</v>
      </c>
      <c r="M792" s="97" t="s">
        <v>3859</v>
      </c>
      <c r="N792" s="17" t="str">
        <f t="shared" si="37"/>
        <v>OBATA, Masaki</v>
      </c>
      <c r="O792" s="17" t="str">
        <f t="shared" si="38"/>
        <v>99</v>
      </c>
    </row>
    <row r="793" spans="1:15">
      <c r="A793" s="17" t="str">
        <f t="shared" si="36"/>
        <v>501000792</v>
      </c>
      <c r="B793" s="97">
        <v>792</v>
      </c>
      <c r="C793" s="97" t="s">
        <v>1782</v>
      </c>
      <c r="D793" s="97" t="s">
        <v>1783</v>
      </c>
      <c r="E793" s="312" t="s">
        <v>2976</v>
      </c>
      <c r="F793" s="312" t="s">
        <v>2830</v>
      </c>
      <c r="G793" s="97" t="s">
        <v>3193</v>
      </c>
      <c r="H793" s="97" t="s">
        <v>4024</v>
      </c>
      <c r="I793" s="97" t="s">
        <v>4039</v>
      </c>
      <c r="J793" s="97" t="s">
        <v>4074</v>
      </c>
      <c r="K793" s="17" t="str">
        <f>IFERROR(INDEX(競技会設定!$J$3:$O$47,MATCH(J793,競技会設定!$M$3:$M$47,0),5),"")</f>
        <v>東海学園大</v>
      </c>
      <c r="L793" s="17" t="str">
        <f>IFERROR(INDEX(競技会設定!$J$3:$N$47,MATCH(K793,競技会設定!$N$3:$N$47,0),2),"")</f>
        <v>492412</v>
      </c>
      <c r="M793" s="97" t="s">
        <v>3859</v>
      </c>
      <c r="N793" s="17" t="str">
        <f t="shared" si="37"/>
        <v>KURUMAMOTO, Yuma</v>
      </c>
      <c r="O793" s="17" t="str">
        <f t="shared" si="38"/>
        <v>99</v>
      </c>
    </row>
    <row r="794" spans="1:15">
      <c r="A794" s="17" t="str">
        <f t="shared" si="36"/>
        <v>501000793</v>
      </c>
      <c r="B794" s="97">
        <v>793</v>
      </c>
      <c r="C794" s="97" t="s">
        <v>1784</v>
      </c>
      <c r="D794" s="97" t="s">
        <v>1785</v>
      </c>
      <c r="E794" s="312" t="s">
        <v>2349</v>
      </c>
      <c r="F794" s="312" t="s">
        <v>2242</v>
      </c>
      <c r="G794" s="97" t="s">
        <v>3660</v>
      </c>
      <c r="H794" s="97" t="s">
        <v>4024</v>
      </c>
      <c r="I794" s="97" t="s">
        <v>4039</v>
      </c>
      <c r="J794" s="97" t="s">
        <v>4074</v>
      </c>
      <c r="K794" s="17" t="str">
        <f>IFERROR(INDEX(競技会設定!$J$3:$O$47,MATCH(J794,競技会設定!$M$3:$M$47,0),5),"")</f>
        <v>東海学園大</v>
      </c>
      <c r="L794" s="17" t="str">
        <f>IFERROR(INDEX(競技会設定!$J$3:$N$47,MATCH(K794,競技会設定!$N$3:$N$47,0),2),"")</f>
        <v>492412</v>
      </c>
      <c r="M794" s="97" t="s">
        <v>3859</v>
      </c>
      <c r="N794" s="17" t="str">
        <f t="shared" si="37"/>
        <v>KOBAYASHI, Hayato</v>
      </c>
      <c r="O794" s="17" t="str">
        <f t="shared" si="38"/>
        <v>99</v>
      </c>
    </row>
    <row r="795" spans="1:15">
      <c r="A795" s="17" t="str">
        <f t="shared" si="36"/>
        <v>501000794</v>
      </c>
      <c r="B795" s="97">
        <v>794</v>
      </c>
      <c r="C795" s="97" t="s">
        <v>1786</v>
      </c>
      <c r="D795" s="97" t="s">
        <v>1787</v>
      </c>
      <c r="E795" s="312" t="s">
        <v>2909</v>
      </c>
      <c r="F795" s="312" t="s">
        <v>2977</v>
      </c>
      <c r="G795" s="97" t="s">
        <v>3474</v>
      </c>
      <c r="H795" s="97" t="s">
        <v>4024</v>
      </c>
      <c r="I795" s="97" t="s">
        <v>4039</v>
      </c>
      <c r="J795" s="97" t="s">
        <v>4074</v>
      </c>
      <c r="K795" s="17" t="str">
        <f>IFERROR(INDEX(競技会設定!$J$3:$O$47,MATCH(J795,競技会設定!$M$3:$M$47,0),5),"")</f>
        <v>東海学園大</v>
      </c>
      <c r="L795" s="17" t="str">
        <f>IFERROR(INDEX(競技会設定!$J$3:$N$47,MATCH(K795,競技会設定!$N$3:$N$47,0),2),"")</f>
        <v>492412</v>
      </c>
      <c r="M795" s="97" t="s">
        <v>3859</v>
      </c>
      <c r="N795" s="17" t="str">
        <f t="shared" si="37"/>
        <v>SHIMIZU, Togo</v>
      </c>
      <c r="O795" s="17" t="str">
        <f t="shared" si="38"/>
        <v>99</v>
      </c>
    </row>
    <row r="796" spans="1:15">
      <c r="A796" s="17" t="str">
        <f t="shared" si="36"/>
        <v>501000795</v>
      </c>
      <c r="B796" s="97">
        <v>795</v>
      </c>
      <c r="C796" s="97" t="s">
        <v>1788</v>
      </c>
      <c r="D796" s="97" t="s">
        <v>1789</v>
      </c>
      <c r="E796" s="312" t="s">
        <v>2978</v>
      </c>
      <c r="F796" s="312" t="s">
        <v>2124</v>
      </c>
      <c r="G796" s="97" t="s">
        <v>3661</v>
      </c>
      <c r="H796" s="97" t="s">
        <v>4024</v>
      </c>
      <c r="I796" s="97" t="s">
        <v>4039</v>
      </c>
      <c r="J796" s="97" t="s">
        <v>4074</v>
      </c>
      <c r="K796" s="17" t="str">
        <f>IFERROR(INDEX(競技会設定!$J$3:$O$47,MATCH(J796,競技会設定!$M$3:$M$47,0),5),"")</f>
        <v>東海学園大</v>
      </c>
      <c r="L796" s="17" t="str">
        <f>IFERROR(INDEX(競技会設定!$J$3:$N$47,MATCH(K796,競技会設定!$N$3:$N$47,0),2),"")</f>
        <v>492412</v>
      </c>
      <c r="M796" s="97" t="s">
        <v>3859</v>
      </c>
      <c r="N796" s="17" t="str">
        <f t="shared" si="37"/>
        <v>NAGAYANAGI, Keita</v>
      </c>
      <c r="O796" s="17" t="str">
        <f t="shared" si="38"/>
        <v>00</v>
      </c>
    </row>
    <row r="797" spans="1:15">
      <c r="A797" s="17" t="str">
        <f t="shared" si="36"/>
        <v>501000796</v>
      </c>
      <c r="B797" s="97">
        <v>796</v>
      </c>
      <c r="C797" s="97" t="s">
        <v>1790</v>
      </c>
      <c r="D797" s="97" t="s">
        <v>1791</v>
      </c>
      <c r="E797" s="312" t="s">
        <v>2979</v>
      </c>
      <c r="F797" s="312" t="s">
        <v>2675</v>
      </c>
      <c r="G797" s="97" t="s">
        <v>3662</v>
      </c>
      <c r="H797" s="97" t="s">
        <v>4024</v>
      </c>
      <c r="I797" s="97" t="s">
        <v>4039</v>
      </c>
      <c r="J797" s="97" t="s">
        <v>4074</v>
      </c>
      <c r="K797" s="17" t="str">
        <f>IFERROR(INDEX(競技会設定!$J$3:$O$47,MATCH(J797,競技会設定!$M$3:$M$47,0),5),"")</f>
        <v>東海学園大</v>
      </c>
      <c r="L797" s="17" t="str">
        <f>IFERROR(INDEX(競技会設定!$J$3:$N$47,MATCH(K797,競技会設定!$N$3:$N$47,0),2),"")</f>
        <v>492412</v>
      </c>
      <c r="M797" s="97" t="s">
        <v>3859</v>
      </c>
      <c r="N797" s="17" t="str">
        <f t="shared" si="37"/>
        <v>HIRATA, Shogo</v>
      </c>
      <c r="O797" s="17" t="str">
        <f t="shared" si="38"/>
        <v>00</v>
      </c>
    </row>
    <row r="798" spans="1:15">
      <c r="A798" s="17" t="str">
        <f t="shared" si="36"/>
        <v>501000797</v>
      </c>
      <c r="B798" s="97">
        <v>797</v>
      </c>
      <c r="C798" s="97" t="s">
        <v>1792</v>
      </c>
      <c r="D798" s="97" t="s">
        <v>1793</v>
      </c>
      <c r="E798" s="312" t="s">
        <v>2980</v>
      </c>
      <c r="F798" s="312" t="s">
        <v>2106</v>
      </c>
      <c r="G798" s="97" t="s">
        <v>3663</v>
      </c>
      <c r="H798" s="97" t="s">
        <v>4024</v>
      </c>
      <c r="I798" s="97" t="s">
        <v>4039</v>
      </c>
      <c r="J798" s="97" t="s">
        <v>4074</v>
      </c>
      <c r="K798" s="17" t="str">
        <f>IFERROR(INDEX(競技会設定!$J$3:$O$47,MATCH(J798,競技会設定!$M$3:$M$47,0),5),"")</f>
        <v>東海学園大</v>
      </c>
      <c r="L798" s="17" t="str">
        <f>IFERROR(INDEX(競技会設定!$J$3:$N$47,MATCH(K798,競技会設定!$N$3:$N$47,0),2),"")</f>
        <v>492412</v>
      </c>
      <c r="M798" s="97" t="s">
        <v>3859</v>
      </c>
      <c r="N798" s="17" t="str">
        <f t="shared" si="37"/>
        <v>FUKUDA, Yusuke</v>
      </c>
      <c r="O798" s="17" t="str">
        <f t="shared" si="38"/>
        <v>99</v>
      </c>
    </row>
    <row r="799" spans="1:15">
      <c r="A799" s="17" t="str">
        <f t="shared" si="36"/>
        <v>501000798</v>
      </c>
      <c r="B799" s="97">
        <v>798</v>
      </c>
      <c r="C799" s="97" t="s">
        <v>1794</v>
      </c>
      <c r="D799" s="97" t="s">
        <v>1795</v>
      </c>
      <c r="E799" s="312" t="s">
        <v>2839</v>
      </c>
      <c r="F799" s="312" t="s">
        <v>2153</v>
      </c>
      <c r="G799" s="97" t="s">
        <v>3660</v>
      </c>
      <c r="H799" s="97" t="s">
        <v>4024</v>
      </c>
      <c r="I799" s="97" t="s">
        <v>4039</v>
      </c>
      <c r="J799" s="97" t="s">
        <v>4074</v>
      </c>
      <c r="K799" s="17" t="str">
        <f>IFERROR(INDEX(競技会設定!$J$3:$O$47,MATCH(J799,競技会設定!$M$3:$M$47,0),5),"")</f>
        <v>東海学園大</v>
      </c>
      <c r="L799" s="17" t="str">
        <f>IFERROR(INDEX(競技会設定!$J$3:$N$47,MATCH(K799,競技会設定!$N$3:$N$47,0),2),"")</f>
        <v>492412</v>
      </c>
      <c r="M799" s="97" t="s">
        <v>3855</v>
      </c>
      <c r="N799" s="17" t="str">
        <f t="shared" si="37"/>
        <v>FUJI, Kota</v>
      </c>
      <c r="O799" s="17" t="str">
        <f t="shared" si="38"/>
        <v>99</v>
      </c>
    </row>
    <row r="800" spans="1:15">
      <c r="A800" s="17" t="str">
        <f t="shared" si="36"/>
        <v>501000799</v>
      </c>
      <c r="B800" s="97">
        <v>799</v>
      </c>
      <c r="C800" s="97" t="s">
        <v>1796</v>
      </c>
      <c r="D800" s="97" t="s">
        <v>1797</v>
      </c>
      <c r="E800" s="312" t="s">
        <v>2424</v>
      </c>
      <c r="F800" s="312" t="s">
        <v>2981</v>
      </c>
      <c r="G800" s="97" t="s">
        <v>3664</v>
      </c>
      <c r="H800" s="97" t="s">
        <v>4024</v>
      </c>
      <c r="I800" s="97" t="s">
        <v>4039</v>
      </c>
      <c r="J800" s="97" t="s">
        <v>4074</v>
      </c>
      <c r="K800" s="17" t="str">
        <f>IFERROR(INDEX(競技会設定!$J$3:$O$47,MATCH(J800,競技会設定!$M$3:$M$47,0),5),"")</f>
        <v>東海学園大</v>
      </c>
      <c r="L800" s="17" t="str">
        <f>IFERROR(INDEX(競技会設定!$J$3:$N$47,MATCH(K800,競技会設定!$N$3:$N$47,0),2),"")</f>
        <v>492412</v>
      </c>
      <c r="M800" s="97" t="s">
        <v>3859</v>
      </c>
      <c r="N800" s="17" t="str">
        <f t="shared" si="37"/>
        <v>MATSUMOTO, Junichi</v>
      </c>
      <c r="O800" s="17" t="str">
        <f t="shared" si="38"/>
        <v>99</v>
      </c>
    </row>
    <row r="801" spans="1:15">
      <c r="A801" s="17" t="str">
        <f t="shared" si="36"/>
        <v>501000800</v>
      </c>
      <c r="B801" s="97">
        <v>800</v>
      </c>
      <c r="C801" s="97" t="s">
        <v>1798</v>
      </c>
      <c r="D801" s="97" t="s">
        <v>1799</v>
      </c>
      <c r="E801" s="312" t="s">
        <v>2982</v>
      </c>
      <c r="F801" s="312" t="s">
        <v>2983</v>
      </c>
      <c r="G801" s="97" t="s">
        <v>3588</v>
      </c>
      <c r="H801" s="97" t="s">
        <v>4024</v>
      </c>
      <c r="I801" s="97" t="s">
        <v>4039</v>
      </c>
      <c r="J801" s="97" t="s">
        <v>4074</v>
      </c>
      <c r="K801" s="17" t="str">
        <f>IFERROR(INDEX(競技会設定!$J$3:$O$47,MATCH(J801,競技会設定!$M$3:$M$47,0),5),"")</f>
        <v>東海学園大</v>
      </c>
      <c r="L801" s="17" t="str">
        <f>IFERROR(INDEX(競技会設定!$J$3:$N$47,MATCH(K801,競技会設定!$N$3:$N$47,0),2),"")</f>
        <v>492412</v>
      </c>
      <c r="M801" s="97" t="s">
        <v>3859</v>
      </c>
      <c r="N801" s="17" t="str">
        <f t="shared" si="37"/>
        <v>MIZOGUCHI, Hironao</v>
      </c>
      <c r="O801" s="17" t="str">
        <f t="shared" si="38"/>
        <v>00</v>
      </c>
    </row>
    <row r="802" spans="1:15">
      <c r="A802" s="17" t="str">
        <f t="shared" si="36"/>
        <v>501000801</v>
      </c>
      <c r="B802" s="97">
        <v>801</v>
      </c>
      <c r="C802" s="97" t="s">
        <v>1800</v>
      </c>
      <c r="D802" s="97" t="s">
        <v>1801</v>
      </c>
      <c r="E802" s="312" t="s">
        <v>2206</v>
      </c>
      <c r="F802" s="312" t="s">
        <v>2141</v>
      </c>
      <c r="G802" s="97" t="s">
        <v>3120</v>
      </c>
      <c r="H802" s="97" t="s">
        <v>4024</v>
      </c>
      <c r="I802" s="97" t="s">
        <v>4039</v>
      </c>
      <c r="J802" s="97" t="s">
        <v>4074</v>
      </c>
      <c r="K802" s="17" t="str">
        <f>IFERROR(INDEX(競技会設定!$J$3:$O$47,MATCH(J802,競技会設定!$M$3:$M$47,0),5),"")</f>
        <v>東海学園大</v>
      </c>
      <c r="L802" s="17" t="str">
        <f>IFERROR(INDEX(競技会設定!$J$3:$N$47,MATCH(K802,競技会設定!$N$3:$N$47,0),2),"")</f>
        <v>492412</v>
      </c>
      <c r="M802" s="97" t="s">
        <v>3859</v>
      </c>
      <c r="N802" s="17" t="str">
        <f t="shared" si="37"/>
        <v>MIYAZAKI, Tomoya</v>
      </c>
      <c r="O802" s="17" t="str">
        <f t="shared" si="38"/>
        <v>99</v>
      </c>
    </row>
    <row r="803" spans="1:15">
      <c r="A803" s="17" t="str">
        <f t="shared" si="36"/>
        <v>501000802</v>
      </c>
      <c r="B803" s="97">
        <v>802</v>
      </c>
      <c r="C803" s="97" t="s">
        <v>1802</v>
      </c>
      <c r="D803" s="97" t="s">
        <v>1803</v>
      </c>
      <c r="E803" s="312" t="s">
        <v>2328</v>
      </c>
      <c r="F803" s="312" t="s">
        <v>2191</v>
      </c>
      <c r="G803" s="97" t="s">
        <v>3108</v>
      </c>
      <c r="H803" s="97" t="s">
        <v>4024</v>
      </c>
      <c r="I803" s="97" t="s">
        <v>4039</v>
      </c>
      <c r="J803" s="97" t="s">
        <v>4074</v>
      </c>
      <c r="K803" s="17" t="str">
        <f>IFERROR(INDEX(競技会設定!$J$3:$O$47,MATCH(J803,競技会設定!$M$3:$M$47,0),5),"")</f>
        <v>東海学園大</v>
      </c>
      <c r="L803" s="17" t="str">
        <f>IFERROR(INDEX(競技会設定!$J$3:$N$47,MATCH(K803,競技会設定!$N$3:$N$47,0),2),"")</f>
        <v>492412</v>
      </c>
      <c r="M803" s="97" t="s">
        <v>3859</v>
      </c>
      <c r="N803" s="17" t="str">
        <f t="shared" si="37"/>
        <v>YAMADA, Kenta</v>
      </c>
      <c r="O803" s="17" t="str">
        <f t="shared" si="38"/>
        <v>99</v>
      </c>
    </row>
    <row r="804" spans="1:15">
      <c r="A804" s="17" t="str">
        <f t="shared" si="36"/>
        <v>501000803</v>
      </c>
      <c r="B804" s="97">
        <v>803</v>
      </c>
      <c r="C804" s="97" t="s">
        <v>1804</v>
      </c>
      <c r="D804" s="97" t="s">
        <v>1805</v>
      </c>
      <c r="E804" s="312" t="s">
        <v>2984</v>
      </c>
      <c r="F804" s="312" t="s">
        <v>2959</v>
      </c>
      <c r="G804" s="97" t="s">
        <v>3665</v>
      </c>
      <c r="H804" s="97" t="s">
        <v>4026</v>
      </c>
      <c r="I804" s="97" t="s">
        <v>4039</v>
      </c>
      <c r="J804" s="97" t="s">
        <v>4074</v>
      </c>
      <c r="K804" s="17" t="str">
        <f>IFERROR(INDEX(競技会設定!$J$3:$O$47,MATCH(J804,競技会設定!$M$3:$M$47,0),5),"")</f>
        <v>東海学園大</v>
      </c>
      <c r="L804" s="17" t="str">
        <f>IFERROR(INDEX(競技会設定!$J$3:$N$47,MATCH(K804,競技会設定!$N$3:$N$47,0),2),"")</f>
        <v>492412</v>
      </c>
      <c r="M804" s="97" t="s">
        <v>3859</v>
      </c>
      <c r="N804" s="17" t="str">
        <f t="shared" si="37"/>
        <v>IKUMA, Haruto</v>
      </c>
      <c r="O804" s="17" t="str">
        <f t="shared" si="38"/>
        <v>01</v>
      </c>
    </row>
    <row r="805" spans="1:15">
      <c r="A805" s="17" t="str">
        <f t="shared" si="36"/>
        <v>501000804</v>
      </c>
      <c r="B805" s="97">
        <v>804</v>
      </c>
      <c r="C805" s="97" t="s">
        <v>1806</v>
      </c>
      <c r="D805" s="97" t="s">
        <v>1807</v>
      </c>
      <c r="E805" s="312" t="s">
        <v>2082</v>
      </c>
      <c r="F805" s="312" t="s">
        <v>2835</v>
      </c>
      <c r="G805" s="97" t="s">
        <v>3421</v>
      </c>
      <c r="H805" s="97" t="s">
        <v>4026</v>
      </c>
      <c r="I805" s="97" t="s">
        <v>4039</v>
      </c>
      <c r="J805" s="97" t="s">
        <v>4074</v>
      </c>
      <c r="K805" s="17" t="str">
        <f>IFERROR(INDEX(競技会設定!$J$3:$O$47,MATCH(J805,競技会設定!$M$3:$M$47,0),5),"")</f>
        <v>東海学園大</v>
      </c>
      <c r="L805" s="17" t="str">
        <f>IFERROR(INDEX(競技会設定!$J$3:$N$47,MATCH(K805,競技会設定!$N$3:$N$47,0),2),"")</f>
        <v>492412</v>
      </c>
      <c r="M805" s="97" t="s">
        <v>3859</v>
      </c>
      <c r="N805" s="17" t="str">
        <f t="shared" si="37"/>
        <v>ITO, Kei</v>
      </c>
      <c r="O805" s="17" t="str">
        <f t="shared" si="38"/>
        <v>00</v>
      </c>
    </row>
    <row r="806" spans="1:15">
      <c r="A806" s="17" t="str">
        <f t="shared" si="36"/>
        <v>501000805</v>
      </c>
      <c r="B806" s="97">
        <v>805</v>
      </c>
      <c r="C806" s="97" t="s">
        <v>1808</v>
      </c>
      <c r="D806" s="97" t="s">
        <v>1809</v>
      </c>
      <c r="E806" s="312" t="s">
        <v>2985</v>
      </c>
      <c r="F806" s="312" t="s">
        <v>2170</v>
      </c>
      <c r="G806" s="97" t="s">
        <v>3339</v>
      </c>
      <c r="H806" s="97" t="s">
        <v>4026</v>
      </c>
      <c r="I806" s="97" t="s">
        <v>4039</v>
      </c>
      <c r="J806" s="97" t="s">
        <v>4074</v>
      </c>
      <c r="K806" s="17" t="str">
        <f>IFERROR(INDEX(競技会設定!$J$3:$O$47,MATCH(J806,競技会設定!$M$3:$M$47,0),5),"")</f>
        <v>東海学園大</v>
      </c>
      <c r="L806" s="17" t="str">
        <f>IFERROR(INDEX(競技会設定!$J$3:$N$47,MATCH(K806,競技会設定!$N$3:$N$47,0),2),"")</f>
        <v>492412</v>
      </c>
      <c r="M806" s="97" t="s">
        <v>3859</v>
      </c>
      <c r="N806" s="17" t="str">
        <f t="shared" si="37"/>
        <v>KISHI, Daiki</v>
      </c>
      <c r="O806" s="17" t="str">
        <f t="shared" si="38"/>
        <v>01</v>
      </c>
    </row>
    <row r="807" spans="1:15">
      <c r="A807" s="17" t="str">
        <f t="shared" si="36"/>
        <v>501000806</v>
      </c>
      <c r="B807" s="97">
        <v>806</v>
      </c>
      <c r="C807" s="97" t="s">
        <v>1810</v>
      </c>
      <c r="D807" s="97" t="s">
        <v>1811</v>
      </c>
      <c r="E807" s="312" t="s">
        <v>2635</v>
      </c>
      <c r="F807" s="312" t="s">
        <v>2532</v>
      </c>
      <c r="G807" s="97" t="s">
        <v>3416</v>
      </c>
      <c r="H807" s="97" t="s">
        <v>4026</v>
      </c>
      <c r="I807" s="97" t="s">
        <v>4039</v>
      </c>
      <c r="J807" s="97" t="s">
        <v>4074</v>
      </c>
      <c r="K807" s="17" t="str">
        <f>IFERROR(INDEX(競技会設定!$J$3:$O$47,MATCH(J807,競技会設定!$M$3:$M$47,0),5),"")</f>
        <v>東海学園大</v>
      </c>
      <c r="L807" s="17" t="str">
        <f>IFERROR(INDEX(競技会設定!$J$3:$N$47,MATCH(K807,競技会設定!$N$3:$N$47,0),2),"")</f>
        <v>492412</v>
      </c>
      <c r="M807" s="97" t="s">
        <v>3859</v>
      </c>
      <c r="N807" s="17" t="str">
        <f t="shared" si="37"/>
        <v>KURACHI, Takaya</v>
      </c>
      <c r="O807" s="17" t="str">
        <f t="shared" si="38"/>
        <v>00</v>
      </c>
    </row>
    <row r="808" spans="1:15">
      <c r="A808" s="17" t="str">
        <f t="shared" si="36"/>
        <v>501000807</v>
      </c>
      <c r="B808" s="97">
        <v>807</v>
      </c>
      <c r="C808" s="97" t="s">
        <v>1812</v>
      </c>
      <c r="D808" s="97" t="s">
        <v>1813</v>
      </c>
      <c r="E808" s="312" t="s">
        <v>2772</v>
      </c>
      <c r="F808" s="312" t="s">
        <v>2986</v>
      </c>
      <c r="G808" s="97" t="s">
        <v>3406</v>
      </c>
      <c r="H808" s="97" t="s">
        <v>4026</v>
      </c>
      <c r="I808" s="97" t="s">
        <v>4039</v>
      </c>
      <c r="J808" s="97" t="s">
        <v>4074</v>
      </c>
      <c r="K808" s="17" t="str">
        <f>IFERROR(INDEX(競技会設定!$J$3:$O$47,MATCH(J808,競技会設定!$M$3:$M$47,0),5),"")</f>
        <v>東海学園大</v>
      </c>
      <c r="L808" s="17" t="str">
        <f>IFERROR(INDEX(競技会設定!$J$3:$N$47,MATCH(K808,競技会設定!$N$3:$N$47,0),2),"")</f>
        <v>492412</v>
      </c>
      <c r="M808" s="97" t="s">
        <v>3859</v>
      </c>
      <c r="N808" s="17" t="str">
        <f t="shared" si="37"/>
        <v>GOTO, Reo</v>
      </c>
      <c r="O808" s="17" t="str">
        <f t="shared" si="38"/>
        <v>00</v>
      </c>
    </row>
    <row r="809" spans="1:15">
      <c r="A809" s="17" t="str">
        <f t="shared" si="36"/>
        <v>501000808</v>
      </c>
      <c r="B809" s="97">
        <v>808</v>
      </c>
      <c r="C809" s="97" t="s">
        <v>1814</v>
      </c>
      <c r="D809" s="97" t="s">
        <v>1815</v>
      </c>
      <c r="E809" s="312" t="s">
        <v>2349</v>
      </c>
      <c r="F809" s="312" t="s">
        <v>2987</v>
      </c>
      <c r="G809" s="97" t="s">
        <v>3200</v>
      </c>
      <c r="H809" s="97" t="s">
        <v>4026</v>
      </c>
      <c r="I809" s="97" t="s">
        <v>4039</v>
      </c>
      <c r="J809" s="97" t="s">
        <v>4074</v>
      </c>
      <c r="K809" s="17" t="str">
        <f>IFERROR(INDEX(競技会設定!$J$3:$O$47,MATCH(J809,競技会設定!$M$3:$M$47,0),5),"")</f>
        <v>東海学園大</v>
      </c>
      <c r="L809" s="17" t="str">
        <f>IFERROR(INDEX(競技会設定!$J$3:$N$47,MATCH(K809,競技会設定!$N$3:$N$47,0),2),"")</f>
        <v>492412</v>
      </c>
      <c r="M809" s="97" t="s">
        <v>3855</v>
      </c>
      <c r="N809" s="17" t="str">
        <f t="shared" si="37"/>
        <v>KOBAYASHI, Toshiki</v>
      </c>
      <c r="O809" s="17" t="str">
        <f t="shared" si="38"/>
        <v>00</v>
      </c>
    </row>
    <row r="810" spans="1:15">
      <c r="A810" s="17" t="str">
        <f t="shared" si="36"/>
        <v>501000809</v>
      </c>
      <c r="B810" s="97">
        <v>809</v>
      </c>
      <c r="C810" s="97" t="s">
        <v>1816</v>
      </c>
      <c r="D810" s="97" t="s">
        <v>1817</v>
      </c>
      <c r="E810" s="312" t="s">
        <v>2314</v>
      </c>
      <c r="F810" s="312" t="s">
        <v>2988</v>
      </c>
      <c r="G810" s="97" t="s">
        <v>3666</v>
      </c>
      <c r="H810" s="97" t="s">
        <v>4026</v>
      </c>
      <c r="I810" s="97" t="s">
        <v>4039</v>
      </c>
      <c r="J810" s="97" t="s">
        <v>4074</v>
      </c>
      <c r="K810" s="17" t="str">
        <f>IFERROR(INDEX(競技会設定!$J$3:$O$47,MATCH(J810,競技会設定!$M$3:$M$47,0),5),"")</f>
        <v>東海学園大</v>
      </c>
      <c r="L810" s="17" t="str">
        <f>IFERROR(INDEX(競技会設定!$J$3:$N$47,MATCH(K810,競技会設定!$N$3:$N$47,0),2),"")</f>
        <v>492412</v>
      </c>
      <c r="M810" s="97" t="s">
        <v>3859</v>
      </c>
      <c r="N810" s="17" t="str">
        <f t="shared" si="37"/>
        <v>KONDO, Taro</v>
      </c>
      <c r="O810" s="17" t="str">
        <f t="shared" si="38"/>
        <v>00</v>
      </c>
    </row>
    <row r="811" spans="1:15">
      <c r="A811" s="17" t="str">
        <f t="shared" si="36"/>
        <v>501000810</v>
      </c>
      <c r="B811" s="97">
        <v>810</v>
      </c>
      <c r="C811" s="97" t="s">
        <v>1818</v>
      </c>
      <c r="D811" s="97" t="s">
        <v>1819</v>
      </c>
      <c r="E811" s="312" t="s">
        <v>2166</v>
      </c>
      <c r="F811" s="312" t="s">
        <v>2091</v>
      </c>
      <c r="G811" s="97" t="s">
        <v>3667</v>
      </c>
      <c r="H811" s="97" t="s">
        <v>4026</v>
      </c>
      <c r="I811" s="97" t="s">
        <v>4039</v>
      </c>
      <c r="J811" s="97" t="s">
        <v>4074</v>
      </c>
      <c r="K811" s="17" t="str">
        <f>IFERROR(INDEX(競技会設定!$J$3:$O$47,MATCH(J811,競技会設定!$M$3:$M$47,0),5),"")</f>
        <v>東海学園大</v>
      </c>
      <c r="L811" s="17" t="str">
        <f>IFERROR(INDEX(競技会設定!$J$3:$N$47,MATCH(K811,競技会設定!$N$3:$N$47,0),2),"")</f>
        <v>492412</v>
      </c>
      <c r="M811" s="97" t="s">
        <v>3859</v>
      </c>
      <c r="N811" s="17" t="str">
        <f t="shared" si="37"/>
        <v>SATO, Takahiro</v>
      </c>
      <c r="O811" s="17" t="str">
        <f t="shared" si="38"/>
        <v>00</v>
      </c>
    </row>
    <row r="812" spans="1:15">
      <c r="A812" s="17" t="str">
        <f t="shared" si="36"/>
        <v>501000811</v>
      </c>
      <c r="B812" s="97">
        <v>811</v>
      </c>
      <c r="C812" s="97" t="s">
        <v>1820</v>
      </c>
      <c r="D812" s="97" t="s">
        <v>1821</v>
      </c>
      <c r="E812" s="312" t="s">
        <v>2233</v>
      </c>
      <c r="F812" s="312" t="s">
        <v>2403</v>
      </c>
      <c r="G812" s="97" t="s">
        <v>3668</v>
      </c>
      <c r="H812" s="97" t="s">
        <v>4026</v>
      </c>
      <c r="I812" s="97" t="s">
        <v>4039</v>
      </c>
      <c r="J812" s="97" t="s">
        <v>4074</v>
      </c>
      <c r="K812" s="17" t="str">
        <f>IFERROR(INDEX(競技会設定!$J$3:$O$47,MATCH(J812,競技会設定!$M$3:$M$47,0),5),"")</f>
        <v>東海学園大</v>
      </c>
      <c r="L812" s="17" t="str">
        <f>IFERROR(INDEX(競技会設定!$J$3:$N$47,MATCH(K812,競技会設定!$N$3:$N$47,0),2),"")</f>
        <v>492412</v>
      </c>
      <c r="M812" s="97" t="s">
        <v>3859</v>
      </c>
      <c r="N812" s="17" t="str">
        <f t="shared" si="37"/>
        <v>SUZUKI, Daisuke</v>
      </c>
      <c r="O812" s="17" t="str">
        <f t="shared" si="38"/>
        <v>01</v>
      </c>
    </row>
    <row r="813" spans="1:15">
      <c r="A813" s="17" t="str">
        <f t="shared" si="36"/>
        <v>501000812</v>
      </c>
      <c r="B813" s="97">
        <v>812</v>
      </c>
      <c r="C813" s="97" t="s">
        <v>1822</v>
      </c>
      <c r="D813" s="97" t="s">
        <v>1823</v>
      </c>
      <c r="E813" s="312" t="s">
        <v>2989</v>
      </c>
      <c r="F813" s="312" t="s">
        <v>2990</v>
      </c>
      <c r="G813" s="97" t="s">
        <v>3669</v>
      </c>
      <c r="H813" s="97" t="s">
        <v>4026</v>
      </c>
      <c r="I813" s="97" t="s">
        <v>4039</v>
      </c>
      <c r="J813" s="97" t="s">
        <v>4074</v>
      </c>
      <c r="K813" s="17" t="str">
        <f>IFERROR(INDEX(競技会設定!$J$3:$O$47,MATCH(J813,競技会設定!$M$3:$M$47,0),5),"")</f>
        <v>東海学園大</v>
      </c>
      <c r="L813" s="17" t="str">
        <f>IFERROR(INDEX(競技会設定!$J$3:$N$47,MATCH(K813,競技会設定!$N$3:$N$47,0),2),"")</f>
        <v>492412</v>
      </c>
      <c r="M813" s="97" t="s">
        <v>3859</v>
      </c>
      <c r="N813" s="17" t="str">
        <f t="shared" si="37"/>
        <v>MATSUEDA, Hisashi</v>
      </c>
      <c r="O813" s="17" t="str">
        <f t="shared" si="38"/>
        <v>00</v>
      </c>
    </row>
    <row r="814" spans="1:15">
      <c r="A814" s="17" t="str">
        <f t="shared" si="36"/>
        <v>501000813</v>
      </c>
      <c r="B814" s="97">
        <v>813</v>
      </c>
      <c r="C814" s="97" t="s">
        <v>1824</v>
      </c>
      <c r="D814" s="97" t="s">
        <v>1825</v>
      </c>
      <c r="E814" s="312" t="s">
        <v>2259</v>
      </c>
      <c r="F814" s="312" t="s">
        <v>2087</v>
      </c>
      <c r="G814" s="97" t="s">
        <v>3428</v>
      </c>
      <c r="H814" s="97" t="s">
        <v>4026</v>
      </c>
      <c r="I814" s="97" t="s">
        <v>4039</v>
      </c>
      <c r="J814" s="97" t="s">
        <v>4074</v>
      </c>
      <c r="K814" s="17" t="str">
        <f>IFERROR(INDEX(競技会設定!$J$3:$O$47,MATCH(J814,競技会設定!$M$3:$M$47,0),5),"")</f>
        <v>東海学園大</v>
      </c>
      <c r="L814" s="17" t="str">
        <f>IFERROR(INDEX(競技会設定!$J$3:$N$47,MATCH(K814,競技会設定!$N$3:$N$47,0),2),"")</f>
        <v>492412</v>
      </c>
      <c r="M814" s="97" t="s">
        <v>3859</v>
      </c>
      <c r="N814" s="17" t="str">
        <f t="shared" si="37"/>
        <v>YAMAMOTO, Shota</v>
      </c>
      <c r="O814" s="17" t="str">
        <f t="shared" si="38"/>
        <v>00</v>
      </c>
    </row>
    <row r="815" spans="1:15">
      <c r="A815" s="17" t="str">
        <f t="shared" si="36"/>
        <v>501000814</v>
      </c>
      <c r="B815" s="97">
        <v>814</v>
      </c>
      <c r="C815" s="97" t="s">
        <v>1826</v>
      </c>
      <c r="D815" s="97" t="s">
        <v>1827</v>
      </c>
      <c r="E815" s="312" t="s">
        <v>2991</v>
      </c>
      <c r="F815" s="312" t="s">
        <v>2236</v>
      </c>
      <c r="G815" s="97" t="s">
        <v>3670</v>
      </c>
      <c r="H815" s="97" t="s">
        <v>4025</v>
      </c>
      <c r="I815" s="97" t="s">
        <v>4039</v>
      </c>
      <c r="J815" s="97" t="s">
        <v>4074</v>
      </c>
      <c r="K815" s="17" t="str">
        <f>IFERROR(INDEX(競技会設定!$J$3:$O$47,MATCH(J815,競技会設定!$M$3:$M$47,0),5),"")</f>
        <v>東海学園大</v>
      </c>
      <c r="L815" s="17" t="str">
        <f>IFERROR(INDEX(競技会設定!$J$3:$N$47,MATCH(K815,競技会設定!$N$3:$N$47,0),2),"")</f>
        <v>492412</v>
      </c>
      <c r="M815" s="97" t="s">
        <v>3859</v>
      </c>
      <c r="N815" s="17" t="str">
        <f t="shared" si="37"/>
        <v>OKUBO , Kosuke</v>
      </c>
      <c r="O815" s="17" t="str">
        <f t="shared" si="38"/>
        <v>98</v>
      </c>
    </row>
    <row r="816" spans="1:15">
      <c r="A816" s="17" t="str">
        <f t="shared" si="36"/>
        <v>501000815</v>
      </c>
      <c r="B816" s="97">
        <v>815</v>
      </c>
      <c r="C816" s="97" t="s">
        <v>1828</v>
      </c>
      <c r="D816" s="97" t="s">
        <v>1829</v>
      </c>
      <c r="E816" s="312" t="s">
        <v>2992</v>
      </c>
      <c r="F816" s="312" t="s">
        <v>2108</v>
      </c>
      <c r="G816" s="97" t="s">
        <v>3088</v>
      </c>
      <c r="H816" s="97" t="s">
        <v>4025</v>
      </c>
      <c r="I816" s="97" t="s">
        <v>4039</v>
      </c>
      <c r="J816" s="97" t="s">
        <v>4074</v>
      </c>
      <c r="K816" s="17" t="str">
        <f>IFERROR(INDEX(競技会設定!$J$3:$O$47,MATCH(J816,競技会設定!$M$3:$M$47,0),5),"")</f>
        <v>東海学園大</v>
      </c>
      <c r="L816" s="17" t="str">
        <f>IFERROR(INDEX(競技会設定!$J$3:$N$47,MATCH(K816,競技会設定!$N$3:$N$47,0),2),"")</f>
        <v>492412</v>
      </c>
      <c r="M816" s="97" t="s">
        <v>3859</v>
      </c>
      <c r="N816" s="17" t="str">
        <f t="shared" si="37"/>
        <v>MAEHATA, Yuki</v>
      </c>
      <c r="O816" s="17" t="str">
        <f t="shared" si="38"/>
        <v>98</v>
      </c>
    </row>
    <row r="817" spans="1:15">
      <c r="A817" s="17" t="str">
        <f t="shared" si="36"/>
        <v>501000816</v>
      </c>
      <c r="B817" s="97">
        <v>816</v>
      </c>
      <c r="C817" s="97" t="s">
        <v>1830</v>
      </c>
      <c r="D817" s="97" t="s">
        <v>1831</v>
      </c>
      <c r="E817" s="312" t="s">
        <v>2980</v>
      </c>
      <c r="F817" s="312" t="s">
        <v>2993</v>
      </c>
      <c r="G817" s="97" t="s">
        <v>3079</v>
      </c>
      <c r="H817" s="97" t="s">
        <v>4025</v>
      </c>
      <c r="I817" s="97" t="s">
        <v>4039</v>
      </c>
      <c r="J817" s="97" t="s">
        <v>4074</v>
      </c>
      <c r="K817" s="17" t="str">
        <f>IFERROR(INDEX(競技会設定!$J$3:$O$47,MATCH(J817,競技会設定!$M$3:$M$47,0),5),"")</f>
        <v>東海学園大</v>
      </c>
      <c r="L817" s="17" t="str">
        <f>IFERROR(INDEX(競技会設定!$J$3:$N$47,MATCH(K817,競技会設定!$N$3:$N$47,0),2),"")</f>
        <v>492412</v>
      </c>
      <c r="M817" s="97" t="s">
        <v>3859</v>
      </c>
      <c r="N817" s="17" t="str">
        <f t="shared" si="37"/>
        <v>FUKUDA, Atsuhiro</v>
      </c>
      <c r="O817" s="17" t="str">
        <f t="shared" si="38"/>
        <v>98</v>
      </c>
    </row>
    <row r="818" spans="1:15">
      <c r="A818" s="17" t="str">
        <f t="shared" si="36"/>
        <v>501000817</v>
      </c>
      <c r="B818" s="97">
        <v>817</v>
      </c>
      <c r="C818" s="97" t="s">
        <v>1832</v>
      </c>
      <c r="D818" s="97" t="s">
        <v>1833</v>
      </c>
      <c r="E818" s="312" t="s">
        <v>2994</v>
      </c>
      <c r="F818" s="312" t="s">
        <v>2944</v>
      </c>
      <c r="G818" s="97" t="s">
        <v>3172</v>
      </c>
      <c r="H818" s="97" t="s">
        <v>4029</v>
      </c>
      <c r="I818" s="97" t="s">
        <v>4039</v>
      </c>
      <c r="J818" s="97" t="s">
        <v>4074</v>
      </c>
      <c r="K818" s="17" t="str">
        <f>IFERROR(INDEX(競技会設定!$J$3:$O$47,MATCH(J818,競技会設定!$M$3:$M$47,0),5),"")</f>
        <v>東海学園大</v>
      </c>
      <c r="L818" s="17" t="str">
        <f>IFERROR(INDEX(競技会設定!$J$3:$N$47,MATCH(K818,競技会設定!$N$3:$N$47,0),2),"")</f>
        <v>492412</v>
      </c>
      <c r="M818" s="97" t="s">
        <v>3859</v>
      </c>
      <c r="N818" s="17" t="str">
        <f t="shared" si="37"/>
        <v>INADA, Sora</v>
      </c>
      <c r="O818" s="17" t="str">
        <f t="shared" si="38"/>
        <v>01</v>
      </c>
    </row>
    <row r="819" spans="1:15">
      <c r="A819" s="17" t="str">
        <f t="shared" si="36"/>
        <v>501000818</v>
      </c>
      <c r="B819" s="97">
        <v>818</v>
      </c>
      <c r="C819" s="97" t="s">
        <v>1834</v>
      </c>
      <c r="D819" s="97" t="s">
        <v>7615</v>
      </c>
      <c r="E819" s="312" t="s">
        <v>2995</v>
      </c>
      <c r="F819" s="312" t="s">
        <v>2252</v>
      </c>
      <c r="G819" s="97" t="s">
        <v>3570</v>
      </c>
      <c r="H819" s="97" t="s">
        <v>4024</v>
      </c>
      <c r="I819" s="97" t="s">
        <v>4039</v>
      </c>
      <c r="J819" s="97" t="s">
        <v>4074</v>
      </c>
      <c r="K819" s="17" t="str">
        <f>IFERROR(INDEX(競技会設定!$J$3:$O$47,MATCH(J819,競技会設定!$M$3:$M$47,0),5),"")</f>
        <v>東海学園大</v>
      </c>
      <c r="L819" s="17" t="str">
        <f>IFERROR(INDEX(競技会設定!$J$3:$N$47,MATCH(K819,競技会設定!$N$3:$N$47,0),2),"")</f>
        <v>492412</v>
      </c>
      <c r="M819" s="97" t="s">
        <v>3859</v>
      </c>
      <c r="N819" s="17" t="str">
        <f t="shared" si="37"/>
        <v>HAKOYAMA, Hayate</v>
      </c>
      <c r="O819" s="17" t="str">
        <f t="shared" si="38"/>
        <v>99</v>
      </c>
    </row>
    <row r="820" spans="1:15">
      <c r="A820" s="17" t="str">
        <f t="shared" si="36"/>
        <v>501000819</v>
      </c>
      <c r="B820" s="97">
        <v>819</v>
      </c>
      <c r="C820" s="97" t="s">
        <v>1835</v>
      </c>
      <c r="D820" s="97" t="s">
        <v>1836</v>
      </c>
      <c r="E820" s="312" t="s">
        <v>2996</v>
      </c>
      <c r="F820" s="312" t="s">
        <v>2739</v>
      </c>
      <c r="G820" s="97" t="s">
        <v>3671</v>
      </c>
      <c r="H820" s="97" t="s">
        <v>4025</v>
      </c>
      <c r="I820" s="97" t="s">
        <v>4039</v>
      </c>
      <c r="J820" s="97" t="s">
        <v>4075</v>
      </c>
      <c r="K820" s="17" t="str">
        <f>IFERROR(INDEX(競技会設定!$J$3:$O$47,MATCH(J820,競技会設定!$M$3:$M$47,0),5),"")</f>
        <v>東海大東海</v>
      </c>
      <c r="L820" s="17" t="str">
        <f>IFERROR(INDEX(競技会設定!$J$3:$N$47,MATCH(K820,競技会設定!$N$3:$N$47,0),2),"")</f>
        <v>499501</v>
      </c>
      <c r="M820" s="97" t="s">
        <v>3857</v>
      </c>
      <c r="N820" s="17" t="str">
        <f t="shared" si="37"/>
        <v>TAIRA, Genki</v>
      </c>
      <c r="O820" s="17" t="str">
        <f t="shared" si="38"/>
        <v>98</v>
      </c>
    </row>
    <row r="821" spans="1:15">
      <c r="A821" s="17" t="str">
        <f t="shared" si="36"/>
        <v>501000820</v>
      </c>
      <c r="B821" s="97">
        <v>820</v>
      </c>
      <c r="C821" s="97" t="s">
        <v>1837</v>
      </c>
      <c r="D821" s="97" t="s">
        <v>1838</v>
      </c>
      <c r="E821" s="312" t="s">
        <v>2997</v>
      </c>
      <c r="F821" s="312" t="s">
        <v>2507</v>
      </c>
      <c r="G821" s="97" t="s">
        <v>3672</v>
      </c>
      <c r="H821" s="97" t="s">
        <v>4024</v>
      </c>
      <c r="I821" s="97" t="s">
        <v>4039</v>
      </c>
      <c r="J821" s="97" t="s">
        <v>4075</v>
      </c>
      <c r="K821" s="17" t="str">
        <f>IFERROR(INDEX(競技会設定!$J$3:$O$47,MATCH(J821,競技会設定!$M$3:$M$47,0),5),"")</f>
        <v>東海大東海</v>
      </c>
      <c r="L821" s="17" t="str">
        <f>IFERROR(INDEX(競技会設定!$J$3:$N$47,MATCH(K821,競技会設定!$N$3:$N$47,0),2),"")</f>
        <v>499501</v>
      </c>
      <c r="M821" s="97" t="s">
        <v>3857</v>
      </c>
      <c r="N821" s="17" t="str">
        <f t="shared" si="37"/>
        <v>YOKOKAWA, Aoi</v>
      </c>
      <c r="O821" s="17" t="str">
        <f t="shared" si="38"/>
        <v>99</v>
      </c>
    </row>
    <row r="822" spans="1:15">
      <c r="A822" s="17" t="str">
        <f t="shared" si="36"/>
        <v>501000821</v>
      </c>
      <c r="B822" s="97">
        <v>821</v>
      </c>
      <c r="C822" s="97" t="s">
        <v>1839</v>
      </c>
      <c r="D822" s="97" t="s">
        <v>1840</v>
      </c>
      <c r="E822" s="312" t="s">
        <v>2860</v>
      </c>
      <c r="F822" s="312" t="s">
        <v>2507</v>
      </c>
      <c r="G822" s="97" t="s">
        <v>3403</v>
      </c>
      <c r="H822" s="97" t="s">
        <v>4026</v>
      </c>
      <c r="I822" s="97" t="s">
        <v>4039</v>
      </c>
      <c r="J822" s="97" t="s">
        <v>4075</v>
      </c>
      <c r="K822" s="17" t="str">
        <f>IFERROR(INDEX(競技会設定!$J$3:$O$47,MATCH(J822,競技会設定!$M$3:$M$47,0),5),"")</f>
        <v>東海大東海</v>
      </c>
      <c r="L822" s="17" t="str">
        <f>IFERROR(INDEX(競技会設定!$J$3:$N$47,MATCH(K822,競技会設定!$N$3:$N$47,0),2),"")</f>
        <v>499501</v>
      </c>
      <c r="M822" s="97" t="s">
        <v>3857</v>
      </c>
      <c r="N822" s="17" t="str">
        <f t="shared" si="37"/>
        <v>ANDO, Aoi</v>
      </c>
      <c r="O822" s="17" t="str">
        <f t="shared" si="38"/>
        <v>00</v>
      </c>
    </row>
    <row r="823" spans="1:15">
      <c r="A823" s="17" t="str">
        <f t="shared" si="36"/>
        <v>501000822</v>
      </c>
      <c r="B823" s="97">
        <v>822</v>
      </c>
      <c r="C823" s="97" t="s">
        <v>1841</v>
      </c>
      <c r="D823" s="97" t="s">
        <v>1842</v>
      </c>
      <c r="E823" s="312" t="s">
        <v>2998</v>
      </c>
      <c r="F823" s="312" t="s">
        <v>2565</v>
      </c>
      <c r="G823" s="97" t="s">
        <v>3673</v>
      </c>
      <c r="H823" s="97" t="s">
        <v>4026</v>
      </c>
      <c r="I823" s="97" t="s">
        <v>4039</v>
      </c>
      <c r="J823" s="97" t="s">
        <v>4075</v>
      </c>
      <c r="K823" s="17" t="str">
        <f>IFERROR(INDEX(競技会設定!$J$3:$O$47,MATCH(J823,競技会設定!$M$3:$M$47,0),5),"")</f>
        <v>東海大東海</v>
      </c>
      <c r="L823" s="17" t="str">
        <f>IFERROR(INDEX(競技会設定!$J$3:$N$47,MATCH(K823,競技会設定!$N$3:$N$47,0),2),"")</f>
        <v>499501</v>
      </c>
      <c r="M823" s="97" t="s">
        <v>3857</v>
      </c>
      <c r="N823" s="17" t="str">
        <f t="shared" si="37"/>
        <v>KOMOTO, Nao</v>
      </c>
      <c r="O823" s="17" t="str">
        <f t="shared" si="38"/>
        <v>97</v>
      </c>
    </row>
    <row r="824" spans="1:15">
      <c r="A824" s="17" t="str">
        <f t="shared" si="36"/>
        <v>501000823</v>
      </c>
      <c r="B824" s="97">
        <v>823</v>
      </c>
      <c r="C824" s="97" t="s">
        <v>1843</v>
      </c>
      <c r="D824" s="97" t="s">
        <v>1844</v>
      </c>
      <c r="E824" s="312" t="s">
        <v>2589</v>
      </c>
      <c r="F824" s="312" t="s">
        <v>2999</v>
      </c>
      <c r="G824" s="97" t="s">
        <v>3666</v>
      </c>
      <c r="H824" s="97" t="s">
        <v>4026</v>
      </c>
      <c r="I824" s="97" t="s">
        <v>4039</v>
      </c>
      <c r="J824" s="97" t="s">
        <v>4075</v>
      </c>
      <c r="K824" s="17" t="str">
        <f>IFERROR(INDEX(競技会設定!$J$3:$O$47,MATCH(J824,競技会設定!$M$3:$M$47,0),5),"")</f>
        <v>東海大東海</v>
      </c>
      <c r="L824" s="17" t="str">
        <f>IFERROR(INDEX(競技会設定!$J$3:$N$47,MATCH(K824,競技会設定!$N$3:$N$47,0),2),"")</f>
        <v>499501</v>
      </c>
      <c r="M824" s="97" t="s">
        <v>3857</v>
      </c>
      <c r="N824" s="17" t="str">
        <f t="shared" si="37"/>
        <v>SAKAI, Shunnosuke</v>
      </c>
      <c r="O824" s="17" t="str">
        <f t="shared" si="38"/>
        <v>00</v>
      </c>
    </row>
    <row r="825" spans="1:15">
      <c r="A825" s="17" t="str">
        <f t="shared" si="36"/>
        <v>501000824</v>
      </c>
      <c r="B825" s="97">
        <v>824</v>
      </c>
      <c r="C825" s="97" t="s">
        <v>1845</v>
      </c>
      <c r="D825" s="97" t="s">
        <v>1846</v>
      </c>
      <c r="E825" s="312" t="s">
        <v>3000</v>
      </c>
      <c r="F825" s="312" t="s">
        <v>3001</v>
      </c>
      <c r="G825" s="97" t="s">
        <v>3674</v>
      </c>
      <c r="H825" s="97" t="s">
        <v>4026</v>
      </c>
      <c r="I825" s="97" t="s">
        <v>4039</v>
      </c>
      <c r="J825" s="97" t="s">
        <v>4075</v>
      </c>
      <c r="K825" s="17" t="str">
        <f>IFERROR(INDEX(競技会設定!$J$3:$O$47,MATCH(J825,競技会設定!$M$3:$M$47,0),5),"")</f>
        <v>東海大東海</v>
      </c>
      <c r="L825" s="17" t="str">
        <f>IFERROR(INDEX(競技会設定!$J$3:$N$47,MATCH(K825,競技会設定!$N$3:$N$47,0),2),"")</f>
        <v>499501</v>
      </c>
      <c r="M825" s="97" t="s">
        <v>3857</v>
      </c>
      <c r="N825" s="17" t="str">
        <f t="shared" si="37"/>
        <v>SHINODA, Hiroya</v>
      </c>
      <c r="O825" s="17" t="str">
        <f t="shared" si="38"/>
        <v>00</v>
      </c>
    </row>
    <row r="826" spans="1:15">
      <c r="A826" s="17" t="str">
        <f t="shared" si="36"/>
        <v>501000825</v>
      </c>
      <c r="B826" s="97">
        <v>825</v>
      </c>
      <c r="C826" s="97" t="s">
        <v>1847</v>
      </c>
      <c r="D826" s="97" t="s">
        <v>1848</v>
      </c>
      <c r="E826" s="312" t="s">
        <v>2617</v>
      </c>
      <c r="F826" s="312" t="s">
        <v>2359</v>
      </c>
      <c r="G826" s="97" t="s">
        <v>3675</v>
      </c>
      <c r="H826" s="97" t="s">
        <v>4026</v>
      </c>
      <c r="I826" s="97" t="s">
        <v>4039</v>
      </c>
      <c r="J826" s="97" t="s">
        <v>4075</v>
      </c>
      <c r="K826" s="17" t="str">
        <f>IFERROR(INDEX(競技会設定!$J$3:$O$47,MATCH(J826,競技会設定!$M$3:$M$47,0),5),"")</f>
        <v>東海大東海</v>
      </c>
      <c r="L826" s="17" t="str">
        <f>IFERROR(INDEX(競技会設定!$J$3:$N$47,MATCH(K826,競技会設定!$N$3:$N$47,0),2),"")</f>
        <v>499501</v>
      </c>
      <c r="M826" s="97" t="s">
        <v>3857</v>
      </c>
      <c r="N826" s="17" t="str">
        <f t="shared" si="37"/>
        <v>SHIBATA, Shoki</v>
      </c>
      <c r="O826" s="17" t="str">
        <f t="shared" si="38"/>
        <v>00</v>
      </c>
    </row>
    <row r="827" spans="1:15">
      <c r="A827" s="17" t="str">
        <f t="shared" si="36"/>
        <v>501000826</v>
      </c>
      <c r="B827" s="97">
        <v>826</v>
      </c>
      <c r="C827" s="97" t="s">
        <v>1849</v>
      </c>
      <c r="D827" s="97" t="s">
        <v>1850</v>
      </c>
      <c r="E827" s="312" t="s">
        <v>3002</v>
      </c>
      <c r="F827" s="312" t="s">
        <v>3003</v>
      </c>
      <c r="G827" s="97" t="s">
        <v>3676</v>
      </c>
      <c r="H827" s="97" t="s">
        <v>4026</v>
      </c>
      <c r="I827" s="97" t="s">
        <v>4039</v>
      </c>
      <c r="J827" s="97" t="s">
        <v>4075</v>
      </c>
      <c r="K827" s="17" t="str">
        <f>IFERROR(INDEX(競技会設定!$J$3:$O$47,MATCH(J827,競技会設定!$M$3:$M$47,0),5),"")</f>
        <v>東海大東海</v>
      </c>
      <c r="L827" s="17" t="str">
        <f>IFERROR(INDEX(競技会設定!$J$3:$N$47,MATCH(K827,競技会設定!$N$3:$N$47,0),2),"")</f>
        <v>499501</v>
      </c>
      <c r="M827" s="97" t="s">
        <v>3857</v>
      </c>
      <c r="N827" s="17" t="str">
        <f t="shared" si="37"/>
        <v>YAMAMICHI, Jinnoshin</v>
      </c>
      <c r="O827" s="17" t="str">
        <f t="shared" si="38"/>
        <v>00</v>
      </c>
    </row>
    <row r="828" spans="1:15">
      <c r="A828" s="17" t="str">
        <f t="shared" si="36"/>
        <v>501000827</v>
      </c>
      <c r="B828" s="97">
        <v>827</v>
      </c>
      <c r="C828" s="97" t="s">
        <v>1851</v>
      </c>
      <c r="D828" s="97" t="s">
        <v>1852</v>
      </c>
      <c r="E828" s="312" t="s">
        <v>2317</v>
      </c>
      <c r="F828" s="312" t="s">
        <v>3004</v>
      </c>
      <c r="G828" s="97" t="s">
        <v>3677</v>
      </c>
      <c r="H828" s="97" t="s">
        <v>4025</v>
      </c>
      <c r="I828" s="97" t="s">
        <v>4039</v>
      </c>
      <c r="J828" s="97" t="s">
        <v>4060</v>
      </c>
      <c r="K828" s="17" t="str">
        <f>IFERROR(INDEX(競技会設定!$J$3:$O$47,MATCH(J828,競技会設定!$M$3:$M$47,0),5),"")</f>
        <v>南山大</v>
      </c>
      <c r="L828" s="17" t="str">
        <f>IFERROR(INDEX(競技会設定!$J$3:$N$47,MATCH(K828,競技会設定!$N$3:$N$47,0),2),"")</f>
        <v>492182</v>
      </c>
      <c r="M828" s="97" t="s">
        <v>3845</v>
      </c>
      <c r="N828" s="17" t="str">
        <f t="shared" si="37"/>
        <v>HIGUCHI, Genta</v>
      </c>
      <c r="O828" s="17" t="str">
        <f t="shared" si="38"/>
        <v>97</v>
      </c>
    </row>
    <row r="829" spans="1:15">
      <c r="A829" s="17" t="str">
        <f t="shared" si="36"/>
        <v>501000828</v>
      </c>
      <c r="B829" s="97">
        <v>828</v>
      </c>
      <c r="C829" s="97" t="s">
        <v>1853</v>
      </c>
      <c r="D829" s="97" t="s">
        <v>1854</v>
      </c>
      <c r="E829" s="312" t="s">
        <v>2839</v>
      </c>
      <c r="F829" s="312" t="s">
        <v>2242</v>
      </c>
      <c r="G829" s="97" t="s">
        <v>3678</v>
      </c>
      <c r="H829" s="97" t="s">
        <v>4024</v>
      </c>
      <c r="I829" s="97" t="s">
        <v>4039</v>
      </c>
      <c r="J829" s="97" t="s">
        <v>4063</v>
      </c>
      <c r="K829" s="17" t="str">
        <f>IFERROR(INDEX(競技会設定!$J$3:$O$47,MATCH(J829,競技会設定!$M$3:$M$47,0),5),"")</f>
        <v>名古屋市立大</v>
      </c>
      <c r="L829" s="17" t="str">
        <f>IFERROR(INDEX(競技会設定!$J$3:$N$47,MATCH(K829,競技会設定!$N$3:$N$47,0),2),"")</f>
        <v>491013</v>
      </c>
      <c r="M829" s="97" t="s">
        <v>3859</v>
      </c>
      <c r="N829" s="17" t="str">
        <f t="shared" si="37"/>
        <v>FUJI, Hayato</v>
      </c>
      <c r="O829" s="17" t="str">
        <f t="shared" si="38"/>
        <v>99</v>
      </c>
    </row>
    <row r="830" spans="1:15">
      <c r="A830" s="17" t="str">
        <f t="shared" si="36"/>
        <v>501000829</v>
      </c>
      <c r="B830" s="97">
        <v>829</v>
      </c>
      <c r="C830" s="97" t="s">
        <v>1855</v>
      </c>
      <c r="D830" s="97" t="s">
        <v>1856</v>
      </c>
      <c r="E830" s="312" t="s">
        <v>3005</v>
      </c>
      <c r="F830" s="312" t="s">
        <v>2118</v>
      </c>
      <c r="G830" s="97" t="s">
        <v>3103</v>
      </c>
      <c r="H830" s="97" t="s">
        <v>4024</v>
      </c>
      <c r="I830" s="97" t="s">
        <v>4039</v>
      </c>
      <c r="J830" s="97" t="s">
        <v>4063</v>
      </c>
      <c r="K830" s="17" t="str">
        <f>IFERROR(INDEX(競技会設定!$J$3:$O$47,MATCH(J830,競技会設定!$M$3:$M$47,0),5),"")</f>
        <v>名古屋市立大</v>
      </c>
      <c r="L830" s="17" t="str">
        <f>IFERROR(INDEX(競技会設定!$J$3:$N$47,MATCH(K830,競技会設定!$N$3:$N$47,0),2),"")</f>
        <v>491013</v>
      </c>
      <c r="M830" s="97" t="s">
        <v>3859</v>
      </c>
      <c r="N830" s="17" t="str">
        <f t="shared" si="37"/>
        <v>SHINTANI, Kazuki</v>
      </c>
      <c r="O830" s="17" t="str">
        <f t="shared" si="38"/>
        <v>99</v>
      </c>
    </row>
    <row r="831" spans="1:15">
      <c r="A831" s="17" t="str">
        <f t="shared" si="36"/>
        <v>501000830</v>
      </c>
      <c r="B831" s="97">
        <v>830</v>
      </c>
      <c r="C831" s="97" t="s">
        <v>1857</v>
      </c>
      <c r="D831" s="97" t="s">
        <v>1858</v>
      </c>
      <c r="E831" s="312" t="s">
        <v>2233</v>
      </c>
      <c r="F831" s="312" t="s">
        <v>2764</v>
      </c>
      <c r="G831" s="97" t="s">
        <v>3679</v>
      </c>
      <c r="H831" s="97" t="s">
        <v>4028</v>
      </c>
      <c r="I831" s="97" t="s">
        <v>4039</v>
      </c>
      <c r="J831" s="97" t="s">
        <v>4065</v>
      </c>
      <c r="K831" s="17" t="str">
        <f>IFERROR(INDEX(競技会設定!$J$3:$O$47,MATCH(J831,競技会設定!$M$3:$M$47,0),5),"")</f>
        <v>名古屋大</v>
      </c>
      <c r="L831" s="17" t="str">
        <f>IFERROR(INDEX(競技会設定!$J$3:$N$47,MATCH(K831,競技会設定!$N$3:$N$47,0),2),"")</f>
        <v>490043</v>
      </c>
      <c r="M831" s="97" t="s">
        <v>3859</v>
      </c>
      <c r="N831" s="17" t="str">
        <f t="shared" si="37"/>
        <v>SUZUKI, Takehiro</v>
      </c>
      <c r="O831" s="17" t="str">
        <f t="shared" si="38"/>
        <v>95</v>
      </c>
    </row>
    <row r="832" spans="1:15">
      <c r="A832" s="17" t="str">
        <f t="shared" si="36"/>
        <v>501000831</v>
      </c>
      <c r="B832" s="97">
        <v>831</v>
      </c>
      <c r="C832" s="97" t="s">
        <v>1859</v>
      </c>
      <c r="D832" s="97" t="s">
        <v>1860</v>
      </c>
      <c r="E832" s="312" t="s">
        <v>3006</v>
      </c>
      <c r="F832" s="312" t="s">
        <v>2450</v>
      </c>
      <c r="G832" s="97" t="s">
        <v>3680</v>
      </c>
      <c r="H832" s="97" t="s">
        <v>4030</v>
      </c>
      <c r="I832" s="97" t="s">
        <v>4039</v>
      </c>
      <c r="J832" s="97" t="s">
        <v>4065</v>
      </c>
      <c r="K832" s="17" t="str">
        <f>IFERROR(INDEX(競技会設定!$J$3:$O$47,MATCH(J832,競技会設定!$M$3:$M$47,0),5),"")</f>
        <v>名古屋大</v>
      </c>
      <c r="L832" s="17" t="str">
        <f>IFERROR(INDEX(競技会設定!$J$3:$N$47,MATCH(K832,競技会設定!$N$3:$N$47,0),2),"")</f>
        <v>490043</v>
      </c>
      <c r="M832" s="97" t="s">
        <v>3859</v>
      </c>
      <c r="N832" s="17" t="str">
        <f t="shared" si="37"/>
        <v>OUCHI, Shinya</v>
      </c>
      <c r="O832" s="17" t="str">
        <f t="shared" si="38"/>
        <v>97</v>
      </c>
    </row>
    <row r="833" spans="1:15">
      <c r="A833" s="17" t="str">
        <f t="shared" si="36"/>
        <v>501000832</v>
      </c>
      <c r="B833" s="98">
        <v>832</v>
      </c>
      <c r="C833" s="98" t="s">
        <v>1861</v>
      </c>
      <c r="D833" s="98" t="s">
        <v>1862</v>
      </c>
      <c r="E833" s="312" t="s">
        <v>7654</v>
      </c>
      <c r="F833" s="312" t="s">
        <v>2414</v>
      </c>
      <c r="G833" s="98" t="s">
        <v>3681</v>
      </c>
      <c r="H833" s="98" t="s">
        <v>4029</v>
      </c>
      <c r="I833" s="98" t="s">
        <v>4039</v>
      </c>
      <c r="J833" s="98" t="s">
        <v>4045</v>
      </c>
      <c r="K833" s="17" t="str">
        <f>IFERROR(INDEX(競技会設定!$J$3:$O$47,MATCH(J833,競技会設定!$M$3:$M$47,0),5),"")</f>
        <v>愛知淑徳大</v>
      </c>
      <c r="L833" s="17" t="str">
        <f>IFERROR(INDEX(競技会設定!$J$3:$N$47,MATCH(K833,競技会設定!$N$3:$N$47,0),2),"")</f>
        <v>492301</v>
      </c>
      <c r="M833" s="98" t="s">
        <v>3859</v>
      </c>
      <c r="N833" s="17" t="str">
        <f t="shared" si="37"/>
        <v>OKAJIMA, Ryosuke</v>
      </c>
      <c r="O833" s="17" t="str">
        <f t="shared" si="38"/>
        <v>01</v>
      </c>
    </row>
    <row r="834" spans="1:15">
      <c r="A834" s="17" t="str">
        <f t="shared" si="36"/>
        <v>501000833</v>
      </c>
      <c r="B834" s="98">
        <v>833</v>
      </c>
      <c r="C834" s="98" t="s">
        <v>1863</v>
      </c>
      <c r="D834" s="98" t="s">
        <v>1864</v>
      </c>
      <c r="E834" s="312" t="s">
        <v>2113</v>
      </c>
      <c r="F834" s="312" t="s">
        <v>2116</v>
      </c>
      <c r="G834" s="98" t="s">
        <v>3682</v>
      </c>
      <c r="H834" s="98" t="s">
        <v>4029</v>
      </c>
      <c r="I834" s="98" t="s">
        <v>4039</v>
      </c>
      <c r="J834" s="98" t="s">
        <v>4045</v>
      </c>
      <c r="K834" s="17" t="str">
        <f>IFERROR(INDEX(競技会設定!$J$3:$O$47,MATCH(J834,競技会設定!$M$3:$M$47,0),5),"")</f>
        <v>愛知淑徳大</v>
      </c>
      <c r="L834" s="17" t="str">
        <f>IFERROR(INDEX(競技会設定!$J$3:$N$47,MATCH(K834,競技会設定!$N$3:$N$47,0),2),"")</f>
        <v>492301</v>
      </c>
      <c r="M834" s="98" t="s">
        <v>3859</v>
      </c>
      <c r="N834" s="17" t="str">
        <f t="shared" si="37"/>
        <v>MIZUNO, Hiroki</v>
      </c>
      <c r="O834" s="17" t="str">
        <f t="shared" si="38"/>
        <v>01</v>
      </c>
    </row>
    <row r="835" spans="1:15">
      <c r="A835" s="17" t="str">
        <f t="shared" ref="A835:A898" si="39">IF(B835="","","501"&amp;TEXT(B835,"000000"))</f>
        <v>501000834</v>
      </c>
      <c r="B835" s="98">
        <v>834</v>
      </c>
      <c r="C835" s="98" t="s">
        <v>1865</v>
      </c>
      <c r="D835" s="98" t="s">
        <v>1866</v>
      </c>
      <c r="E835" s="312" t="s">
        <v>7655</v>
      </c>
      <c r="F835" s="312" t="s">
        <v>2108</v>
      </c>
      <c r="G835" s="98" t="s">
        <v>3611</v>
      </c>
      <c r="H835" s="98" t="s">
        <v>4030</v>
      </c>
      <c r="I835" s="98" t="s">
        <v>4039</v>
      </c>
      <c r="J835" s="98" t="s">
        <v>4050</v>
      </c>
      <c r="K835" s="17" t="str">
        <f>IFERROR(INDEX(競技会設定!$J$3:$O$47,MATCH(J835,競技会設定!$M$3:$M$47,0),5),"")</f>
        <v>岐阜大</v>
      </c>
      <c r="L835" s="17" t="str">
        <f>IFERROR(INDEX(競技会設定!$J$3:$N$47,MATCH(K835,競技会設定!$N$3:$N$47,0),2),"")</f>
        <v>490041</v>
      </c>
      <c r="M835" s="98" t="s">
        <v>3855</v>
      </c>
      <c r="N835" s="17" t="str">
        <f t="shared" ref="N835:N898" si="40">IF(E835="","",E835&amp;", "&amp;F835)</f>
        <v>FURUHASHI, Yuki</v>
      </c>
      <c r="O835" s="17" t="str">
        <f t="shared" ref="O835:O898" si="41">IFERROR(TEXT(INT(LEFT(G835,2)),"00"),"")</f>
        <v>97</v>
      </c>
    </row>
    <row r="836" spans="1:15">
      <c r="A836" s="17" t="str">
        <f t="shared" si="39"/>
        <v>501000835</v>
      </c>
      <c r="B836" s="98">
        <v>835</v>
      </c>
      <c r="C836" s="98" t="s">
        <v>1867</v>
      </c>
      <c r="D836" s="98" t="s">
        <v>1868</v>
      </c>
      <c r="E836" s="312" t="s">
        <v>7656</v>
      </c>
      <c r="F836" s="312" t="s">
        <v>2675</v>
      </c>
      <c r="G836" s="98" t="s">
        <v>3683</v>
      </c>
      <c r="H836" s="98" t="s">
        <v>4024</v>
      </c>
      <c r="I836" s="98" t="s">
        <v>4039</v>
      </c>
      <c r="J836" s="98" t="s">
        <v>4050</v>
      </c>
      <c r="K836" s="17" t="str">
        <f>IFERROR(INDEX(競技会設定!$J$3:$O$47,MATCH(J836,競技会設定!$M$3:$M$47,0),5),"")</f>
        <v>岐阜大</v>
      </c>
      <c r="L836" s="17" t="str">
        <f>IFERROR(INDEX(競技会設定!$J$3:$N$47,MATCH(K836,競技会設定!$N$3:$N$47,0),2),"")</f>
        <v>490041</v>
      </c>
      <c r="M836" s="98" t="s">
        <v>3855</v>
      </c>
      <c r="N836" s="17" t="str">
        <f t="shared" si="40"/>
        <v>KUROKAWA, Shogo</v>
      </c>
      <c r="O836" s="17" t="str">
        <f t="shared" si="41"/>
        <v>98</v>
      </c>
    </row>
    <row r="837" spans="1:15">
      <c r="A837" s="17" t="str">
        <f t="shared" si="39"/>
        <v>501000836</v>
      </c>
      <c r="B837" s="98">
        <v>836</v>
      </c>
      <c r="C837" s="98" t="s">
        <v>1869</v>
      </c>
      <c r="D837" s="98" t="s">
        <v>1870</v>
      </c>
      <c r="E837" s="312" t="s">
        <v>7657</v>
      </c>
      <c r="F837" s="312" t="s">
        <v>2122</v>
      </c>
      <c r="G837" s="98" t="s">
        <v>3588</v>
      </c>
      <c r="H837" s="98" t="s">
        <v>4024</v>
      </c>
      <c r="I837" s="98" t="s">
        <v>4039</v>
      </c>
      <c r="J837" s="98" t="s">
        <v>4050</v>
      </c>
      <c r="K837" s="17" t="str">
        <f>IFERROR(INDEX(競技会設定!$J$3:$O$47,MATCH(J837,競技会設定!$M$3:$M$47,0),5),"")</f>
        <v>岐阜大</v>
      </c>
      <c r="L837" s="17" t="str">
        <f>IFERROR(INDEX(競技会設定!$J$3:$N$47,MATCH(K837,競技会設定!$N$3:$N$47,0),2),"")</f>
        <v>490041</v>
      </c>
      <c r="M837" s="98" t="s">
        <v>3855</v>
      </c>
      <c r="N837" s="17" t="str">
        <f t="shared" si="40"/>
        <v>DETO, Tomohiro</v>
      </c>
      <c r="O837" s="17" t="str">
        <f t="shared" si="41"/>
        <v>00</v>
      </c>
    </row>
    <row r="838" spans="1:15">
      <c r="A838" s="17" t="str">
        <f t="shared" si="39"/>
        <v>501000837</v>
      </c>
      <c r="B838" s="98">
        <v>837</v>
      </c>
      <c r="C838" s="98" t="s">
        <v>1871</v>
      </c>
      <c r="D838" s="98" t="s">
        <v>1872</v>
      </c>
      <c r="E838" s="312" t="s">
        <v>2687</v>
      </c>
      <c r="F838" s="312" t="s">
        <v>7658</v>
      </c>
      <c r="G838" s="98" t="s">
        <v>3684</v>
      </c>
      <c r="H838" s="98" t="s">
        <v>4024</v>
      </c>
      <c r="I838" s="98" t="s">
        <v>4039</v>
      </c>
      <c r="J838" s="98" t="s">
        <v>4050</v>
      </c>
      <c r="K838" s="17" t="str">
        <f>IFERROR(INDEX(競技会設定!$J$3:$O$47,MATCH(J838,競技会設定!$M$3:$M$47,0),5),"")</f>
        <v>岐阜大</v>
      </c>
      <c r="L838" s="17" t="str">
        <f>IFERROR(INDEX(競技会設定!$J$3:$N$47,MATCH(K838,競技会設定!$N$3:$N$47,0),2),"")</f>
        <v>490041</v>
      </c>
      <c r="M838" s="98" t="s">
        <v>3855</v>
      </c>
      <c r="N838" s="17" t="str">
        <f t="shared" si="40"/>
        <v>MATSUOKA, Manabu</v>
      </c>
      <c r="O838" s="17" t="str">
        <f t="shared" si="41"/>
        <v>99</v>
      </c>
    </row>
    <row r="839" spans="1:15">
      <c r="A839" s="17" t="str">
        <f t="shared" si="39"/>
        <v>501000838</v>
      </c>
      <c r="B839" s="98">
        <v>838</v>
      </c>
      <c r="C839" s="98" t="s">
        <v>1873</v>
      </c>
      <c r="D839" s="98" t="s">
        <v>1874</v>
      </c>
      <c r="E839" s="312" t="s">
        <v>2680</v>
      </c>
      <c r="F839" s="312" t="s">
        <v>2312</v>
      </c>
      <c r="G839" s="98" t="s">
        <v>3685</v>
      </c>
      <c r="H839" s="98" t="s">
        <v>4024</v>
      </c>
      <c r="I839" s="98" t="s">
        <v>4039</v>
      </c>
      <c r="J839" s="98" t="s">
        <v>4050</v>
      </c>
      <c r="K839" s="17" t="str">
        <f>IFERROR(INDEX(競技会設定!$J$3:$O$47,MATCH(J839,競技会設定!$M$3:$M$47,0),5),"")</f>
        <v>岐阜大</v>
      </c>
      <c r="L839" s="17" t="str">
        <f>IFERROR(INDEX(競技会設定!$J$3:$N$47,MATCH(K839,競技会設定!$N$3:$N$47,0),2),"")</f>
        <v>490041</v>
      </c>
      <c r="M839" s="98" t="s">
        <v>3855</v>
      </c>
      <c r="N839" s="17" t="str">
        <f t="shared" si="40"/>
        <v>MURAMATSU, Koya</v>
      </c>
      <c r="O839" s="17" t="str">
        <f t="shared" si="41"/>
        <v>99</v>
      </c>
    </row>
    <row r="840" spans="1:15">
      <c r="A840" s="17" t="str">
        <f t="shared" si="39"/>
        <v>501000839</v>
      </c>
      <c r="B840" s="98">
        <v>839</v>
      </c>
      <c r="C840" s="98" t="s">
        <v>1875</v>
      </c>
      <c r="D840" s="98" t="s">
        <v>1876</v>
      </c>
      <c r="E840" s="312" t="s">
        <v>7659</v>
      </c>
      <c r="F840" s="312" t="s">
        <v>7660</v>
      </c>
      <c r="G840" s="98" t="s">
        <v>3160</v>
      </c>
      <c r="H840" s="98" t="s">
        <v>4026</v>
      </c>
      <c r="I840" s="98" t="s">
        <v>4039</v>
      </c>
      <c r="J840" s="98" t="s">
        <v>4050</v>
      </c>
      <c r="K840" s="17" t="str">
        <f>IFERROR(INDEX(競技会設定!$J$3:$O$47,MATCH(J840,競技会設定!$M$3:$M$47,0),5),"")</f>
        <v>岐阜大</v>
      </c>
      <c r="L840" s="17" t="str">
        <f>IFERROR(INDEX(競技会設定!$J$3:$N$47,MATCH(K840,競技会設定!$N$3:$N$47,0),2),"")</f>
        <v>490041</v>
      </c>
      <c r="M840" s="98" t="s">
        <v>3855</v>
      </c>
      <c r="N840" s="17" t="str">
        <f t="shared" si="40"/>
        <v>KAWAHARA, Fuchika</v>
      </c>
      <c r="O840" s="17" t="str">
        <f t="shared" si="41"/>
        <v>00</v>
      </c>
    </row>
    <row r="841" spans="1:15">
      <c r="A841" s="17" t="str">
        <f t="shared" si="39"/>
        <v>501000840</v>
      </c>
      <c r="B841" s="98">
        <v>840</v>
      </c>
      <c r="C841" s="98" t="s">
        <v>1877</v>
      </c>
      <c r="D841" s="98" t="s">
        <v>1878</v>
      </c>
      <c r="E841" s="312" t="s">
        <v>2357</v>
      </c>
      <c r="F841" s="312" t="s">
        <v>2108</v>
      </c>
      <c r="G841" s="98" t="s">
        <v>3686</v>
      </c>
      <c r="H841" s="98" t="s">
        <v>4029</v>
      </c>
      <c r="I841" s="98" t="s">
        <v>4039</v>
      </c>
      <c r="J841" s="98" t="s">
        <v>4050</v>
      </c>
      <c r="K841" s="17" t="str">
        <f>IFERROR(INDEX(競技会設定!$J$3:$O$47,MATCH(J841,競技会設定!$M$3:$M$47,0),5),"")</f>
        <v>岐阜大</v>
      </c>
      <c r="L841" s="17" t="str">
        <f>IFERROR(INDEX(競技会設定!$J$3:$N$47,MATCH(K841,競技会設定!$N$3:$N$47,0),2),"")</f>
        <v>490041</v>
      </c>
      <c r="M841" s="98" t="s">
        <v>3861</v>
      </c>
      <c r="N841" s="17" t="str">
        <f t="shared" si="40"/>
        <v>TAGUCHI, Yuki</v>
      </c>
      <c r="O841" s="17" t="str">
        <f t="shared" si="41"/>
        <v>01</v>
      </c>
    </row>
    <row r="842" spans="1:15">
      <c r="A842" s="17" t="str">
        <f t="shared" si="39"/>
        <v>501000841</v>
      </c>
      <c r="B842" s="98">
        <v>841</v>
      </c>
      <c r="C842" s="98" t="s">
        <v>1879</v>
      </c>
      <c r="D842" s="98" t="s">
        <v>1880</v>
      </c>
      <c r="E842" s="312" t="s">
        <v>7661</v>
      </c>
      <c r="F842" s="312" t="s">
        <v>2272</v>
      </c>
      <c r="G842" s="98" t="s">
        <v>3687</v>
      </c>
      <c r="H842" s="98" t="s">
        <v>4029</v>
      </c>
      <c r="I842" s="98" t="s">
        <v>4039</v>
      </c>
      <c r="J842" s="98" t="s">
        <v>4076</v>
      </c>
      <c r="K842" s="17" t="str">
        <f>IFERROR(INDEX(競技会設定!$J$3:$O$47,MATCH(J842,競技会設定!$M$3:$M$47,0),5),"")</f>
        <v>常葉大</v>
      </c>
      <c r="L842" s="17" t="str">
        <f>IFERROR(INDEX(競技会設定!$J$3:$N$47,MATCH(K842,競技会設定!$N$3:$N$47,0),2),"")</f>
        <v>492320</v>
      </c>
      <c r="M842" s="98" t="s">
        <v>3857</v>
      </c>
      <c r="N842" s="17" t="str">
        <f t="shared" si="40"/>
        <v>KOYAMA , Takumi</v>
      </c>
      <c r="O842" s="17" t="str">
        <f t="shared" si="41"/>
        <v>01</v>
      </c>
    </row>
    <row r="843" spans="1:15">
      <c r="A843" s="17" t="str">
        <f t="shared" si="39"/>
        <v>501000842</v>
      </c>
      <c r="B843" s="98">
        <v>842</v>
      </c>
      <c r="C843" s="98" t="s">
        <v>1881</v>
      </c>
      <c r="D843" s="98" t="s">
        <v>1882</v>
      </c>
      <c r="E843" s="312" t="s">
        <v>2233</v>
      </c>
      <c r="F843" s="312" t="s">
        <v>2618</v>
      </c>
      <c r="G843" s="98" t="s">
        <v>3688</v>
      </c>
      <c r="H843" s="98" t="s">
        <v>4029</v>
      </c>
      <c r="I843" s="98" t="s">
        <v>4039</v>
      </c>
      <c r="J843" s="98" t="s">
        <v>4076</v>
      </c>
      <c r="K843" s="17" t="str">
        <f>IFERROR(INDEX(競技会設定!$J$3:$O$47,MATCH(J843,競技会設定!$M$3:$M$47,0),5),"")</f>
        <v>常葉大</v>
      </c>
      <c r="L843" s="17" t="str">
        <f>IFERROR(INDEX(競技会設定!$J$3:$N$47,MATCH(K843,競技会設定!$N$3:$N$47,0),2),"")</f>
        <v>492320</v>
      </c>
      <c r="M843" s="98" t="s">
        <v>3857</v>
      </c>
      <c r="N843" s="17" t="str">
        <f t="shared" si="40"/>
        <v>SUZUKI, Ryuichi</v>
      </c>
      <c r="O843" s="17" t="str">
        <f t="shared" si="41"/>
        <v>01</v>
      </c>
    </row>
    <row r="844" spans="1:15">
      <c r="A844" s="17" t="str">
        <f t="shared" si="39"/>
        <v>501000843</v>
      </c>
      <c r="B844" s="98">
        <v>843</v>
      </c>
      <c r="C844" s="98" t="s">
        <v>1883</v>
      </c>
      <c r="D844" s="98" t="s">
        <v>1884</v>
      </c>
      <c r="E844" s="312" t="s">
        <v>2221</v>
      </c>
      <c r="F844" s="312" t="s">
        <v>2585</v>
      </c>
      <c r="G844" s="98" t="s">
        <v>3689</v>
      </c>
      <c r="H844" s="98" t="s">
        <v>4029</v>
      </c>
      <c r="I844" s="98" t="s">
        <v>4039</v>
      </c>
      <c r="J844" s="98" t="s">
        <v>4076</v>
      </c>
      <c r="K844" s="17" t="str">
        <f>IFERROR(INDEX(競技会設定!$J$3:$O$47,MATCH(J844,競技会設定!$M$3:$M$47,0),5),"")</f>
        <v>常葉大</v>
      </c>
      <c r="L844" s="17" t="str">
        <f>IFERROR(INDEX(競技会設定!$J$3:$N$47,MATCH(K844,競技会設定!$N$3:$N$47,0),2),"")</f>
        <v>492320</v>
      </c>
      <c r="M844" s="98" t="s">
        <v>3857</v>
      </c>
      <c r="N844" s="17" t="str">
        <f t="shared" si="40"/>
        <v>TANAKA, Ryoma</v>
      </c>
      <c r="O844" s="17" t="str">
        <f t="shared" si="41"/>
        <v>02</v>
      </c>
    </row>
    <row r="845" spans="1:15">
      <c r="A845" s="17" t="str">
        <f t="shared" si="39"/>
        <v>501000844</v>
      </c>
      <c r="B845" s="98">
        <v>844</v>
      </c>
      <c r="C845" s="98" t="s">
        <v>1885</v>
      </c>
      <c r="D845" s="98" t="s">
        <v>1886</v>
      </c>
      <c r="E845" s="312" t="s">
        <v>2371</v>
      </c>
      <c r="F845" s="312" t="s">
        <v>4427</v>
      </c>
      <c r="G845" s="98" t="s">
        <v>3690</v>
      </c>
      <c r="H845" s="98" t="s">
        <v>4029</v>
      </c>
      <c r="I845" s="98" t="s">
        <v>4039</v>
      </c>
      <c r="J845" s="98" t="s">
        <v>4076</v>
      </c>
      <c r="K845" s="17" t="str">
        <f>IFERROR(INDEX(競技会設定!$J$3:$O$47,MATCH(J845,競技会設定!$M$3:$M$47,0),5),"")</f>
        <v>常葉大</v>
      </c>
      <c r="L845" s="17" t="str">
        <f>IFERROR(INDEX(競技会設定!$J$3:$N$47,MATCH(K845,競技会設定!$N$3:$N$47,0),2),"")</f>
        <v>492320</v>
      </c>
      <c r="M845" s="98" t="s">
        <v>3857</v>
      </c>
      <c r="N845" s="17" t="str">
        <f t="shared" si="40"/>
        <v>FUKAYA, Atsushi</v>
      </c>
      <c r="O845" s="17" t="str">
        <f t="shared" si="41"/>
        <v>01</v>
      </c>
    </row>
    <row r="846" spans="1:15">
      <c r="A846" s="17" t="str">
        <f t="shared" si="39"/>
        <v>501000845</v>
      </c>
      <c r="B846" s="98">
        <v>845</v>
      </c>
      <c r="C846" s="98" t="s">
        <v>1887</v>
      </c>
      <c r="D846" s="98" t="s">
        <v>1888</v>
      </c>
      <c r="E846" s="312" t="s">
        <v>7662</v>
      </c>
      <c r="F846" s="312" t="s">
        <v>2866</v>
      </c>
      <c r="G846" s="98" t="s">
        <v>3667</v>
      </c>
      <c r="H846" s="98" t="s">
        <v>4026</v>
      </c>
      <c r="I846" s="98" t="s">
        <v>4039</v>
      </c>
      <c r="J846" s="98" t="s">
        <v>4076</v>
      </c>
      <c r="K846" s="17" t="str">
        <f>IFERROR(INDEX(競技会設定!$J$3:$O$47,MATCH(J846,競技会設定!$M$3:$M$47,0),5),"")</f>
        <v>常葉大</v>
      </c>
      <c r="L846" s="17" t="str">
        <f>IFERROR(INDEX(競技会設定!$J$3:$N$47,MATCH(K846,競技会設定!$N$3:$N$47,0),2),"")</f>
        <v>492320</v>
      </c>
      <c r="M846" s="98" t="s">
        <v>3857</v>
      </c>
      <c r="N846" s="17" t="str">
        <f t="shared" si="40"/>
        <v>INOYA, Gakuto</v>
      </c>
      <c r="O846" s="17" t="str">
        <f t="shared" si="41"/>
        <v>00</v>
      </c>
    </row>
    <row r="847" spans="1:15">
      <c r="A847" s="17" t="str">
        <f t="shared" si="39"/>
        <v>501000846</v>
      </c>
      <c r="B847" s="98">
        <v>846</v>
      </c>
      <c r="C847" s="98" t="s">
        <v>1889</v>
      </c>
      <c r="D847" s="98" t="s">
        <v>1890</v>
      </c>
      <c r="E847" s="312" t="s">
        <v>2463</v>
      </c>
      <c r="F847" s="312" t="s">
        <v>2165</v>
      </c>
      <c r="G847" s="98" t="s">
        <v>3148</v>
      </c>
      <c r="H847" s="98" t="s">
        <v>4026</v>
      </c>
      <c r="I847" s="98" t="s">
        <v>4039</v>
      </c>
      <c r="J847" s="98" t="s">
        <v>4076</v>
      </c>
      <c r="K847" s="17" t="str">
        <f>IFERROR(INDEX(競技会設定!$J$3:$O$47,MATCH(J847,競技会設定!$M$3:$M$47,0),5),"")</f>
        <v>常葉大</v>
      </c>
      <c r="L847" s="17" t="str">
        <f>IFERROR(INDEX(競技会設定!$J$3:$N$47,MATCH(K847,競技会設定!$N$3:$N$47,0),2),"")</f>
        <v>492320</v>
      </c>
      <c r="M847" s="98" t="s">
        <v>3857</v>
      </c>
      <c r="N847" s="17" t="str">
        <f t="shared" si="40"/>
        <v>OKADA, Riku</v>
      </c>
      <c r="O847" s="17" t="str">
        <f t="shared" si="41"/>
        <v>00</v>
      </c>
    </row>
    <row r="848" spans="1:15">
      <c r="A848" s="17" t="str">
        <f t="shared" si="39"/>
        <v>501000847</v>
      </c>
      <c r="B848" s="98">
        <v>847</v>
      </c>
      <c r="C848" s="98" t="s">
        <v>1891</v>
      </c>
      <c r="D848" s="98" t="s">
        <v>1892</v>
      </c>
      <c r="E848" s="312" t="s">
        <v>7663</v>
      </c>
      <c r="F848" s="312" t="s">
        <v>7664</v>
      </c>
      <c r="G848" s="98" t="s">
        <v>3691</v>
      </c>
      <c r="H848" s="98" t="s">
        <v>4026</v>
      </c>
      <c r="I848" s="98" t="s">
        <v>4039</v>
      </c>
      <c r="J848" s="98" t="s">
        <v>4076</v>
      </c>
      <c r="K848" s="17" t="str">
        <f>IFERROR(INDEX(競技会設定!$J$3:$O$47,MATCH(J848,競技会設定!$M$3:$M$47,0),5),"")</f>
        <v>常葉大</v>
      </c>
      <c r="L848" s="17" t="str">
        <f>IFERROR(INDEX(競技会設定!$J$3:$N$47,MATCH(K848,競技会設定!$N$3:$N$47,0),2),"")</f>
        <v>492320</v>
      </c>
      <c r="M848" s="98" t="s">
        <v>3857</v>
      </c>
      <c r="N848" s="17" t="str">
        <f t="shared" si="40"/>
        <v>KURIKAWA, Yoshiaki</v>
      </c>
      <c r="O848" s="17" t="str">
        <f t="shared" si="41"/>
        <v>00</v>
      </c>
    </row>
    <row r="849" spans="1:15">
      <c r="A849" s="17" t="str">
        <f t="shared" si="39"/>
        <v>501000848</v>
      </c>
      <c r="B849" s="98">
        <v>848</v>
      </c>
      <c r="C849" s="98" t="s">
        <v>1893</v>
      </c>
      <c r="D849" s="98" t="s">
        <v>1894</v>
      </c>
      <c r="E849" s="312" t="s">
        <v>2566</v>
      </c>
      <c r="F849" s="312" t="s">
        <v>2182</v>
      </c>
      <c r="G849" s="98" t="s">
        <v>3569</v>
      </c>
      <c r="H849" s="98" t="s">
        <v>4026</v>
      </c>
      <c r="I849" s="98" t="s">
        <v>4039</v>
      </c>
      <c r="J849" s="98" t="s">
        <v>4076</v>
      </c>
      <c r="K849" s="17" t="str">
        <f>IFERROR(INDEX(競技会設定!$J$3:$O$47,MATCH(J849,競技会設定!$M$3:$M$47,0),5),"")</f>
        <v>常葉大</v>
      </c>
      <c r="L849" s="17" t="str">
        <f>IFERROR(INDEX(競技会設定!$J$3:$N$47,MATCH(K849,競技会設定!$N$3:$N$47,0),2),"")</f>
        <v>492320</v>
      </c>
      <c r="M849" s="98" t="s">
        <v>3857</v>
      </c>
      <c r="N849" s="17" t="str">
        <f t="shared" si="40"/>
        <v>SAITO, Yuya</v>
      </c>
      <c r="O849" s="17" t="str">
        <f t="shared" si="41"/>
        <v>00</v>
      </c>
    </row>
    <row r="850" spans="1:15">
      <c r="A850" s="17" t="str">
        <f t="shared" si="39"/>
        <v>501000849</v>
      </c>
      <c r="B850" s="98">
        <v>849</v>
      </c>
      <c r="C850" s="98" t="s">
        <v>1895</v>
      </c>
      <c r="D850" s="98" t="s">
        <v>1896</v>
      </c>
      <c r="E850" s="312" t="s">
        <v>7665</v>
      </c>
      <c r="F850" s="312" t="s">
        <v>2409</v>
      </c>
      <c r="G850" s="98" t="s">
        <v>3137</v>
      </c>
      <c r="H850" s="98" t="s">
        <v>4026</v>
      </c>
      <c r="I850" s="98" t="s">
        <v>4039</v>
      </c>
      <c r="J850" s="98" t="s">
        <v>4076</v>
      </c>
      <c r="K850" s="17" t="str">
        <f>IFERROR(INDEX(競技会設定!$J$3:$O$47,MATCH(J850,競技会設定!$M$3:$M$47,0),5),"")</f>
        <v>常葉大</v>
      </c>
      <c r="L850" s="17" t="str">
        <f>IFERROR(INDEX(競技会設定!$J$3:$N$47,MATCH(K850,競技会設定!$N$3:$N$47,0),2),"")</f>
        <v>492320</v>
      </c>
      <c r="M850" s="98" t="s">
        <v>3857</v>
      </c>
      <c r="N850" s="17" t="str">
        <f t="shared" si="40"/>
        <v>SOGAWA, Takayuki</v>
      </c>
      <c r="O850" s="17" t="str">
        <f t="shared" si="41"/>
        <v>00</v>
      </c>
    </row>
    <row r="851" spans="1:15">
      <c r="A851" s="17" t="str">
        <f t="shared" si="39"/>
        <v>501000850</v>
      </c>
      <c r="B851" s="98">
        <v>850</v>
      </c>
      <c r="C851" s="98" t="s">
        <v>1897</v>
      </c>
      <c r="D851" s="98" t="s">
        <v>1898</v>
      </c>
      <c r="E851" s="312" t="s">
        <v>2384</v>
      </c>
      <c r="F851" s="312" t="s">
        <v>2191</v>
      </c>
      <c r="G851" s="98" t="s">
        <v>3569</v>
      </c>
      <c r="H851" s="98" t="s">
        <v>4026</v>
      </c>
      <c r="I851" s="98" t="s">
        <v>4039</v>
      </c>
      <c r="J851" s="98" t="s">
        <v>4076</v>
      </c>
      <c r="K851" s="17" t="str">
        <f>IFERROR(INDEX(競技会設定!$J$3:$O$47,MATCH(J851,競技会設定!$M$3:$M$47,0),5),"")</f>
        <v>常葉大</v>
      </c>
      <c r="L851" s="17" t="str">
        <f>IFERROR(INDEX(競技会設定!$J$3:$N$47,MATCH(K851,競技会設定!$N$3:$N$47,0),2),"")</f>
        <v>492320</v>
      </c>
      <c r="M851" s="98" t="s">
        <v>3857</v>
      </c>
      <c r="N851" s="17" t="str">
        <f t="shared" si="40"/>
        <v>NAKAYA, Kenta</v>
      </c>
      <c r="O851" s="17" t="str">
        <f t="shared" si="41"/>
        <v>00</v>
      </c>
    </row>
    <row r="852" spans="1:15">
      <c r="A852" s="17" t="str">
        <f t="shared" si="39"/>
        <v>501000851</v>
      </c>
      <c r="B852" s="98">
        <v>851</v>
      </c>
      <c r="C852" s="98" t="s">
        <v>1899</v>
      </c>
      <c r="D852" s="98" t="s">
        <v>1900</v>
      </c>
      <c r="E852" s="312" t="s">
        <v>7666</v>
      </c>
      <c r="F852" s="312" t="s">
        <v>4402</v>
      </c>
      <c r="G852" s="98" t="s">
        <v>3309</v>
      </c>
      <c r="H852" s="98" t="s">
        <v>4026</v>
      </c>
      <c r="I852" s="98" t="s">
        <v>4039</v>
      </c>
      <c r="J852" s="98" t="s">
        <v>4076</v>
      </c>
      <c r="K852" s="17" t="str">
        <f>IFERROR(INDEX(競技会設定!$J$3:$O$47,MATCH(J852,競技会設定!$M$3:$M$47,0),5),"")</f>
        <v>常葉大</v>
      </c>
      <c r="L852" s="17" t="str">
        <f>IFERROR(INDEX(競技会設定!$J$3:$N$47,MATCH(K852,競技会設定!$N$3:$N$47,0),2),"")</f>
        <v>492320</v>
      </c>
      <c r="M852" s="98" t="s">
        <v>3857</v>
      </c>
      <c r="N852" s="17" t="str">
        <f t="shared" si="40"/>
        <v>NISHINO, Shotaro</v>
      </c>
      <c r="O852" s="17" t="str">
        <f t="shared" si="41"/>
        <v>00</v>
      </c>
    </row>
    <row r="853" spans="1:15">
      <c r="A853" s="17" t="str">
        <f t="shared" si="39"/>
        <v>501000852</v>
      </c>
      <c r="B853" s="98">
        <v>852</v>
      </c>
      <c r="C853" s="98" t="s">
        <v>1901</v>
      </c>
      <c r="D853" s="98" t="s">
        <v>1902</v>
      </c>
      <c r="E853" s="312" t="s">
        <v>7667</v>
      </c>
      <c r="F853" s="312" t="s">
        <v>2184</v>
      </c>
      <c r="G853" s="98" t="s">
        <v>3692</v>
      </c>
      <c r="H853" s="98" t="s">
        <v>4024</v>
      </c>
      <c r="I853" s="98" t="s">
        <v>4039</v>
      </c>
      <c r="J853" s="98" t="s">
        <v>4076</v>
      </c>
      <c r="K853" s="17" t="str">
        <f>IFERROR(INDEX(競技会設定!$J$3:$O$47,MATCH(J853,競技会設定!$M$3:$M$47,0),5),"")</f>
        <v>常葉大</v>
      </c>
      <c r="L853" s="17" t="str">
        <f>IFERROR(INDEX(競技会設定!$J$3:$N$47,MATCH(K853,競技会設定!$N$3:$N$47,0),2),"")</f>
        <v>492320</v>
      </c>
      <c r="M853" s="98" t="s">
        <v>3857</v>
      </c>
      <c r="N853" s="17" t="str">
        <f t="shared" si="40"/>
        <v>IDA, Taisei</v>
      </c>
      <c r="O853" s="17" t="str">
        <f t="shared" si="41"/>
        <v>99</v>
      </c>
    </row>
    <row r="854" spans="1:15">
      <c r="A854" s="17" t="str">
        <f t="shared" si="39"/>
        <v>501000853</v>
      </c>
      <c r="B854" s="98">
        <v>853</v>
      </c>
      <c r="C854" s="98" t="s">
        <v>1903</v>
      </c>
      <c r="D854" s="98" t="s">
        <v>1904</v>
      </c>
      <c r="E854" s="312" t="s">
        <v>2082</v>
      </c>
      <c r="F854" s="312" t="s">
        <v>2615</v>
      </c>
      <c r="G854" s="98" t="s">
        <v>3693</v>
      </c>
      <c r="H854" s="98" t="s">
        <v>4024</v>
      </c>
      <c r="I854" s="98" t="s">
        <v>4039</v>
      </c>
      <c r="J854" s="98" t="s">
        <v>4076</v>
      </c>
      <c r="K854" s="17" t="str">
        <f>IFERROR(INDEX(競技会設定!$J$3:$O$47,MATCH(J854,競技会設定!$M$3:$M$47,0),5),"")</f>
        <v>常葉大</v>
      </c>
      <c r="L854" s="17" t="str">
        <f>IFERROR(INDEX(競技会設定!$J$3:$N$47,MATCH(K854,競技会設定!$N$3:$N$47,0),2),"")</f>
        <v>492320</v>
      </c>
      <c r="M854" s="98" t="s">
        <v>3857</v>
      </c>
      <c r="N854" s="17" t="str">
        <f t="shared" si="40"/>
        <v>ITO, Tsubasa</v>
      </c>
      <c r="O854" s="17" t="str">
        <f t="shared" si="41"/>
        <v>00</v>
      </c>
    </row>
    <row r="855" spans="1:15">
      <c r="A855" s="17" t="str">
        <f t="shared" si="39"/>
        <v>501000854</v>
      </c>
      <c r="B855" s="98">
        <v>854</v>
      </c>
      <c r="C855" s="98" t="s">
        <v>1905</v>
      </c>
      <c r="D855" s="98" t="s">
        <v>1906</v>
      </c>
      <c r="E855" s="312" t="s">
        <v>7668</v>
      </c>
      <c r="F855" s="312" t="s">
        <v>2300</v>
      </c>
      <c r="G855" s="98" t="s">
        <v>3118</v>
      </c>
      <c r="H855" s="98" t="s">
        <v>4024</v>
      </c>
      <c r="I855" s="98" t="s">
        <v>4039</v>
      </c>
      <c r="J855" s="98" t="s">
        <v>4076</v>
      </c>
      <c r="K855" s="17" t="str">
        <f>IFERROR(INDEX(競技会設定!$J$3:$O$47,MATCH(J855,競技会設定!$M$3:$M$47,0),5),"")</f>
        <v>常葉大</v>
      </c>
      <c r="L855" s="17" t="str">
        <f>IFERROR(INDEX(競技会設定!$J$3:$N$47,MATCH(K855,競技会設定!$N$3:$N$47,0),2),"")</f>
        <v>492320</v>
      </c>
      <c r="M855" s="98" t="s">
        <v>3857</v>
      </c>
      <c r="N855" s="17" t="str">
        <f t="shared" si="40"/>
        <v>UNNO, Kai</v>
      </c>
      <c r="O855" s="17" t="str">
        <f t="shared" si="41"/>
        <v>99</v>
      </c>
    </row>
    <row r="856" spans="1:15">
      <c r="A856" s="17" t="str">
        <f t="shared" si="39"/>
        <v>501000855</v>
      </c>
      <c r="B856" s="98">
        <v>855</v>
      </c>
      <c r="C856" s="98" t="s">
        <v>1907</v>
      </c>
      <c r="D856" s="98" t="s">
        <v>1908</v>
      </c>
      <c r="E856" s="312" t="s">
        <v>2587</v>
      </c>
      <c r="F856" s="312" t="s">
        <v>2118</v>
      </c>
      <c r="G856" s="98" t="s">
        <v>3694</v>
      </c>
      <c r="H856" s="98" t="s">
        <v>4024</v>
      </c>
      <c r="I856" s="98" t="s">
        <v>4039</v>
      </c>
      <c r="J856" s="98" t="s">
        <v>4076</v>
      </c>
      <c r="K856" s="17" t="str">
        <f>IFERROR(INDEX(競技会設定!$J$3:$O$47,MATCH(J856,競技会設定!$M$3:$M$47,0),5),"")</f>
        <v>常葉大</v>
      </c>
      <c r="L856" s="17" t="str">
        <f>IFERROR(INDEX(競技会設定!$J$3:$N$47,MATCH(K856,競技会設定!$N$3:$N$47,0),2),"")</f>
        <v>492320</v>
      </c>
      <c r="M856" s="98" t="s">
        <v>3857</v>
      </c>
      <c r="N856" s="17" t="str">
        <f t="shared" si="40"/>
        <v>ONO, Kazuki</v>
      </c>
      <c r="O856" s="17" t="str">
        <f t="shared" si="41"/>
        <v>00</v>
      </c>
    </row>
    <row r="857" spans="1:15">
      <c r="A857" s="17" t="str">
        <f t="shared" si="39"/>
        <v>501000856</v>
      </c>
      <c r="B857" s="98">
        <v>856</v>
      </c>
      <c r="C857" s="98" t="s">
        <v>1909</v>
      </c>
      <c r="D857" s="98" t="s">
        <v>1910</v>
      </c>
      <c r="E857" s="312" t="s">
        <v>2369</v>
      </c>
      <c r="F857" s="312" t="s">
        <v>2118</v>
      </c>
      <c r="G857" s="98" t="s">
        <v>3695</v>
      </c>
      <c r="H857" s="98" t="s">
        <v>4024</v>
      </c>
      <c r="I857" s="98" t="s">
        <v>4039</v>
      </c>
      <c r="J857" s="98" t="s">
        <v>4076</v>
      </c>
      <c r="K857" s="17" t="str">
        <f>IFERROR(INDEX(競技会設定!$J$3:$O$47,MATCH(J857,競技会設定!$M$3:$M$47,0),5),"")</f>
        <v>常葉大</v>
      </c>
      <c r="L857" s="17" t="str">
        <f>IFERROR(INDEX(競技会設定!$J$3:$N$47,MATCH(K857,競技会設定!$N$3:$N$47,0),2),"")</f>
        <v>492320</v>
      </c>
      <c r="M857" s="98" t="s">
        <v>3857</v>
      </c>
      <c r="N857" s="17" t="str">
        <f t="shared" si="40"/>
        <v>KATO, Kazuki</v>
      </c>
      <c r="O857" s="17" t="str">
        <f t="shared" si="41"/>
        <v>99</v>
      </c>
    </row>
    <row r="858" spans="1:15">
      <c r="A858" s="17" t="str">
        <f t="shared" si="39"/>
        <v>501000857</v>
      </c>
      <c r="B858" s="98">
        <v>857</v>
      </c>
      <c r="C858" s="98" t="s">
        <v>1911</v>
      </c>
      <c r="D858" s="98" t="s">
        <v>1912</v>
      </c>
      <c r="E858" s="312" t="s">
        <v>2909</v>
      </c>
      <c r="F858" s="312" t="s">
        <v>2193</v>
      </c>
      <c r="G858" s="98" t="s">
        <v>3183</v>
      </c>
      <c r="H858" s="98" t="s">
        <v>4024</v>
      </c>
      <c r="I858" s="98" t="s">
        <v>4039</v>
      </c>
      <c r="J858" s="98" t="s">
        <v>4076</v>
      </c>
      <c r="K858" s="17" t="str">
        <f>IFERROR(INDEX(競技会設定!$J$3:$O$47,MATCH(J858,競技会設定!$M$3:$M$47,0),5),"")</f>
        <v>常葉大</v>
      </c>
      <c r="L858" s="17" t="str">
        <f>IFERROR(INDEX(競技会設定!$J$3:$N$47,MATCH(K858,競技会設定!$N$3:$N$47,0),2),"")</f>
        <v>492320</v>
      </c>
      <c r="M858" s="98" t="s">
        <v>3857</v>
      </c>
      <c r="N858" s="17" t="str">
        <f t="shared" si="40"/>
        <v>SHIMIZU, Yuta</v>
      </c>
      <c r="O858" s="17" t="str">
        <f t="shared" si="41"/>
        <v>99</v>
      </c>
    </row>
    <row r="859" spans="1:15">
      <c r="A859" s="17" t="str">
        <f t="shared" si="39"/>
        <v>501000858</v>
      </c>
      <c r="B859" s="98">
        <v>858</v>
      </c>
      <c r="C859" s="98" t="s">
        <v>1913</v>
      </c>
      <c r="D859" s="98" t="s">
        <v>1914</v>
      </c>
      <c r="E859" s="312" t="s">
        <v>2233</v>
      </c>
      <c r="F859" s="312" t="s">
        <v>2530</v>
      </c>
      <c r="G859" s="98" t="s">
        <v>3696</v>
      </c>
      <c r="H859" s="98" t="s">
        <v>4024</v>
      </c>
      <c r="I859" s="98" t="s">
        <v>4039</v>
      </c>
      <c r="J859" s="98" t="s">
        <v>4076</v>
      </c>
      <c r="K859" s="17" t="str">
        <f>IFERROR(INDEX(競技会設定!$J$3:$O$47,MATCH(J859,競技会設定!$M$3:$M$47,0),5),"")</f>
        <v>常葉大</v>
      </c>
      <c r="L859" s="17" t="str">
        <f>IFERROR(INDEX(競技会設定!$J$3:$N$47,MATCH(K859,競技会設定!$N$3:$N$47,0),2),"")</f>
        <v>492320</v>
      </c>
      <c r="M859" s="98" t="s">
        <v>3857</v>
      </c>
      <c r="N859" s="17" t="str">
        <f t="shared" si="40"/>
        <v>SUZUKI, Kensuke</v>
      </c>
      <c r="O859" s="17" t="str">
        <f t="shared" si="41"/>
        <v>99</v>
      </c>
    </row>
    <row r="860" spans="1:15">
      <c r="A860" s="17" t="str">
        <f t="shared" si="39"/>
        <v>501000859</v>
      </c>
      <c r="B860" s="98">
        <v>859</v>
      </c>
      <c r="C860" s="98" t="s">
        <v>1915</v>
      </c>
      <c r="D860" s="98" t="s">
        <v>1916</v>
      </c>
      <c r="E860" s="312" t="s">
        <v>7669</v>
      </c>
      <c r="F860" s="312" t="s">
        <v>2100</v>
      </c>
      <c r="G860" s="98" t="s">
        <v>3697</v>
      </c>
      <c r="H860" s="98" t="s">
        <v>4024</v>
      </c>
      <c r="I860" s="98" t="s">
        <v>4039</v>
      </c>
      <c r="J860" s="98" t="s">
        <v>4076</v>
      </c>
      <c r="K860" s="17" t="str">
        <f>IFERROR(INDEX(競技会設定!$J$3:$O$47,MATCH(J860,競技会設定!$M$3:$M$47,0),5),"")</f>
        <v>常葉大</v>
      </c>
      <c r="L860" s="17" t="str">
        <f>IFERROR(INDEX(競技会設定!$J$3:$N$47,MATCH(K860,競技会設定!$N$3:$N$47,0),2),"")</f>
        <v>492320</v>
      </c>
      <c r="M860" s="98" t="s">
        <v>3857</v>
      </c>
      <c r="N860" s="17" t="str">
        <f t="shared" si="40"/>
        <v>NAKAHATA, Kaito</v>
      </c>
      <c r="O860" s="17" t="str">
        <f t="shared" si="41"/>
        <v>99</v>
      </c>
    </row>
    <row r="861" spans="1:15">
      <c r="A861" s="17" t="str">
        <f t="shared" si="39"/>
        <v>501000860</v>
      </c>
      <c r="B861" s="98">
        <v>860</v>
      </c>
      <c r="C861" s="98" t="s">
        <v>1917</v>
      </c>
      <c r="D861" s="98" t="s">
        <v>1918</v>
      </c>
      <c r="E861" s="312" t="s">
        <v>2539</v>
      </c>
      <c r="F861" s="312" t="s">
        <v>2133</v>
      </c>
      <c r="G861" s="98" t="s">
        <v>3433</v>
      </c>
      <c r="H861" s="98" t="s">
        <v>4024</v>
      </c>
      <c r="I861" s="98" t="s">
        <v>4039</v>
      </c>
      <c r="J861" s="98" t="s">
        <v>4076</v>
      </c>
      <c r="K861" s="17" t="str">
        <f>IFERROR(INDEX(競技会設定!$J$3:$O$47,MATCH(J861,競技会設定!$M$3:$M$47,0),5),"")</f>
        <v>常葉大</v>
      </c>
      <c r="L861" s="17" t="str">
        <f>IFERROR(INDEX(競技会設定!$J$3:$N$47,MATCH(K861,競技会設定!$N$3:$N$47,0),2),"")</f>
        <v>492320</v>
      </c>
      <c r="M861" s="98" t="s">
        <v>3857</v>
      </c>
      <c r="N861" s="17" t="str">
        <f t="shared" si="40"/>
        <v>MATSUI, Shuta</v>
      </c>
      <c r="O861" s="17" t="str">
        <f t="shared" si="41"/>
        <v>00</v>
      </c>
    </row>
    <row r="862" spans="1:15">
      <c r="A862" s="17" t="str">
        <f t="shared" si="39"/>
        <v>501000861</v>
      </c>
      <c r="B862" s="98">
        <v>861</v>
      </c>
      <c r="C862" s="98" t="s">
        <v>1919</v>
      </c>
      <c r="D862" s="98" t="s">
        <v>1920</v>
      </c>
      <c r="E862" s="312" t="s">
        <v>2742</v>
      </c>
      <c r="F862" s="312" t="s">
        <v>2293</v>
      </c>
      <c r="G862" s="98" t="s">
        <v>3284</v>
      </c>
      <c r="H862" s="98" t="s">
        <v>4024</v>
      </c>
      <c r="I862" s="98" t="s">
        <v>4039</v>
      </c>
      <c r="J862" s="98" t="s">
        <v>4076</v>
      </c>
      <c r="K862" s="17" t="str">
        <f>IFERROR(INDEX(競技会設定!$J$3:$O$47,MATCH(J862,競技会設定!$M$3:$M$47,0),5),"")</f>
        <v>常葉大</v>
      </c>
      <c r="L862" s="17" t="str">
        <f>IFERROR(INDEX(競技会設定!$J$3:$N$47,MATCH(K862,競技会設定!$N$3:$N$47,0),2),"")</f>
        <v>492320</v>
      </c>
      <c r="M862" s="98" t="s">
        <v>3857</v>
      </c>
      <c r="N862" s="17" t="str">
        <f t="shared" si="40"/>
        <v>MARUYAMA, Koki</v>
      </c>
      <c r="O862" s="17" t="str">
        <f t="shared" si="41"/>
        <v>99</v>
      </c>
    </row>
    <row r="863" spans="1:15">
      <c r="A863" s="17" t="str">
        <f t="shared" si="39"/>
        <v>501000862</v>
      </c>
      <c r="B863" s="98">
        <v>862</v>
      </c>
      <c r="C863" s="98" t="s">
        <v>1921</v>
      </c>
      <c r="D863" s="98" t="s">
        <v>1922</v>
      </c>
      <c r="E863" s="312" t="s">
        <v>7670</v>
      </c>
      <c r="F863" s="312" t="s">
        <v>2234</v>
      </c>
      <c r="G863" s="98" t="s">
        <v>3698</v>
      </c>
      <c r="H863" s="98" t="s">
        <v>4025</v>
      </c>
      <c r="I863" s="98" t="s">
        <v>4039</v>
      </c>
      <c r="J863" s="98" t="s">
        <v>4076</v>
      </c>
      <c r="K863" s="17" t="str">
        <f>IFERROR(INDEX(競技会設定!$J$3:$O$47,MATCH(J863,競技会設定!$M$3:$M$47,0),5),"")</f>
        <v>常葉大</v>
      </c>
      <c r="L863" s="17" t="str">
        <f>IFERROR(INDEX(競技会設定!$J$3:$N$47,MATCH(K863,競技会設定!$N$3:$N$47,0),2),"")</f>
        <v>492320</v>
      </c>
      <c r="M863" s="98" t="s">
        <v>3857</v>
      </c>
      <c r="N863" s="17" t="str">
        <f t="shared" si="40"/>
        <v>IZAKURA, Yuto</v>
      </c>
      <c r="O863" s="17" t="str">
        <f t="shared" si="41"/>
        <v>98</v>
      </c>
    </row>
    <row r="864" spans="1:15">
      <c r="A864" s="17" t="str">
        <f t="shared" si="39"/>
        <v>501000863</v>
      </c>
      <c r="B864" s="98">
        <v>863</v>
      </c>
      <c r="C864" s="98" t="s">
        <v>1923</v>
      </c>
      <c r="D864" s="98" t="s">
        <v>1924</v>
      </c>
      <c r="E864" s="312" t="s">
        <v>2332</v>
      </c>
      <c r="F864" s="312" t="s">
        <v>7671</v>
      </c>
      <c r="G864" s="98" t="s">
        <v>3612</v>
      </c>
      <c r="H864" s="98" t="s">
        <v>4025</v>
      </c>
      <c r="I864" s="98" t="s">
        <v>4039</v>
      </c>
      <c r="J864" s="98" t="s">
        <v>4076</v>
      </c>
      <c r="K864" s="17" t="str">
        <f>IFERROR(INDEX(競技会設定!$J$3:$O$47,MATCH(J864,競技会設定!$M$3:$M$47,0),5),"")</f>
        <v>常葉大</v>
      </c>
      <c r="L864" s="17" t="str">
        <f>IFERROR(INDEX(競技会設定!$J$3:$N$47,MATCH(K864,競技会設定!$N$3:$N$47,0),2),"")</f>
        <v>492320</v>
      </c>
      <c r="M864" s="98" t="s">
        <v>3857</v>
      </c>
      <c r="N864" s="17" t="str">
        <f t="shared" si="40"/>
        <v>OCHIAI, Issei</v>
      </c>
      <c r="O864" s="17" t="str">
        <f t="shared" si="41"/>
        <v>98</v>
      </c>
    </row>
    <row r="865" spans="1:15">
      <c r="A865" s="17" t="str">
        <f t="shared" si="39"/>
        <v>501000864</v>
      </c>
      <c r="B865" s="98">
        <v>864</v>
      </c>
      <c r="C865" s="98" t="s">
        <v>1925</v>
      </c>
      <c r="D865" s="98" t="s">
        <v>1926</v>
      </c>
      <c r="E865" s="312" t="s">
        <v>2525</v>
      </c>
      <c r="F865" s="312" t="s">
        <v>2189</v>
      </c>
      <c r="G865" s="98" t="s">
        <v>3699</v>
      </c>
      <c r="H865" s="98" t="s">
        <v>4025</v>
      </c>
      <c r="I865" s="98" t="s">
        <v>4039</v>
      </c>
      <c r="J865" s="98" t="s">
        <v>4076</v>
      </c>
      <c r="K865" s="17" t="str">
        <f>IFERROR(INDEX(競技会設定!$J$3:$O$47,MATCH(J865,競技会設定!$M$3:$M$47,0),5),"")</f>
        <v>常葉大</v>
      </c>
      <c r="L865" s="17" t="str">
        <f>IFERROR(INDEX(競技会設定!$J$3:$N$47,MATCH(K865,競技会設定!$N$3:$N$47,0),2),"")</f>
        <v>492320</v>
      </c>
      <c r="M865" s="98" t="s">
        <v>3857</v>
      </c>
      <c r="N865" s="17" t="str">
        <f t="shared" si="40"/>
        <v>KAWASHIMA, Keisuke</v>
      </c>
      <c r="O865" s="17" t="str">
        <f t="shared" si="41"/>
        <v>99</v>
      </c>
    </row>
    <row r="866" spans="1:15">
      <c r="A866" s="17" t="str">
        <f t="shared" si="39"/>
        <v>501000865</v>
      </c>
      <c r="B866" s="98">
        <v>865</v>
      </c>
      <c r="C866" s="98" t="s">
        <v>1927</v>
      </c>
      <c r="D866" s="98" t="s">
        <v>1928</v>
      </c>
      <c r="E866" s="312" t="s">
        <v>2233</v>
      </c>
      <c r="F866" s="312" t="s">
        <v>2892</v>
      </c>
      <c r="G866" s="98" t="s">
        <v>3282</v>
      </c>
      <c r="H866" s="98" t="s">
        <v>4025</v>
      </c>
      <c r="I866" s="98" t="s">
        <v>4039</v>
      </c>
      <c r="J866" s="98" t="s">
        <v>4076</v>
      </c>
      <c r="K866" s="17" t="str">
        <f>IFERROR(INDEX(競技会設定!$J$3:$O$47,MATCH(J866,競技会設定!$M$3:$M$47,0),5),"")</f>
        <v>常葉大</v>
      </c>
      <c r="L866" s="17" t="str">
        <f>IFERROR(INDEX(競技会設定!$J$3:$N$47,MATCH(K866,競技会設定!$N$3:$N$47,0),2),"")</f>
        <v>492320</v>
      </c>
      <c r="M866" s="98" t="s">
        <v>3857</v>
      </c>
      <c r="N866" s="17" t="str">
        <f t="shared" si="40"/>
        <v>SUZUKI, Takuto</v>
      </c>
      <c r="O866" s="17" t="str">
        <f t="shared" si="41"/>
        <v>99</v>
      </c>
    </row>
    <row r="867" spans="1:15">
      <c r="A867" s="17" t="str">
        <f t="shared" si="39"/>
        <v>501000866</v>
      </c>
      <c r="B867" s="98">
        <v>866</v>
      </c>
      <c r="C867" s="98" t="s">
        <v>1929</v>
      </c>
      <c r="D867" s="98" t="s">
        <v>1930</v>
      </c>
      <c r="E867" s="312" t="s">
        <v>2082</v>
      </c>
      <c r="F867" s="312" t="s">
        <v>2639</v>
      </c>
      <c r="G867" s="98" t="s">
        <v>3700</v>
      </c>
      <c r="H867" s="98" t="s">
        <v>4029</v>
      </c>
      <c r="I867" s="98" t="s">
        <v>4039</v>
      </c>
      <c r="J867" s="98" t="s">
        <v>4040</v>
      </c>
      <c r="K867" s="17" t="str">
        <f>IFERROR(INDEX(競技会設定!$J$3:$O$47,MATCH(J867,競技会設定!$M$3:$M$47,0),5),"")</f>
        <v>中京大</v>
      </c>
      <c r="L867" s="17" t="str">
        <f>IFERROR(INDEX(競技会設定!$J$3:$N$47,MATCH(K867,競技会設定!$N$3:$N$47,0),2),"")</f>
        <v>492173</v>
      </c>
      <c r="M867" s="98" t="s">
        <v>3859</v>
      </c>
      <c r="N867" s="17" t="str">
        <f t="shared" si="40"/>
        <v>ITO, Soma</v>
      </c>
      <c r="O867" s="17" t="str">
        <f t="shared" si="41"/>
        <v>02</v>
      </c>
    </row>
    <row r="868" spans="1:15">
      <c r="A868" s="17" t="str">
        <f t="shared" si="39"/>
        <v>501000867</v>
      </c>
      <c r="B868" s="98">
        <v>867</v>
      </c>
      <c r="C868" s="98" t="s">
        <v>1931</v>
      </c>
      <c r="D868" s="98" t="s">
        <v>1932</v>
      </c>
      <c r="E868" s="312" t="s">
        <v>2574</v>
      </c>
      <c r="F868" s="312" t="s">
        <v>2300</v>
      </c>
      <c r="G868" s="98" t="s">
        <v>3173</v>
      </c>
      <c r="H868" s="98" t="s">
        <v>4029</v>
      </c>
      <c r="I868" s="98" t="s">
        <v>4039</v>
      </c>
      <c r="J868" s="98" t="s">
        <v>4040</v>
      </c>
      <c r="K868" s="17" t="str">
        <f>IFERROR(INDEX(競技会設定!$J$3:$O$47,MATCH(J868,競技会設定!$M$3:$M$47,0),5),"")</f>
        <v>中京大</v>
      </c>
      <c r="L868" s="17" t="str">
        <f>IFERROR(INDEX(競技会設定!$J$3:$N$47,MATCH(K868,競技会設定!$N$3:$N$47,0),2),"")</f>
        <v>492173</v>
      </c>
      <c r="M868" s="98" t="s">
        <v>3820</v>
      </c>
      <c r="N868" s="17" t="str">
        <f t="shared" si="40"/>
        <v>OYAMA, Kai</v>
      </c>
      <c r="O868" s="17" t="str">
        <f t="shared" si="41"/>
        <v>01</v>
      </c>
    </row>
    <row r="869" spans="1:15">
      <c r="A869" s="17" t="str">
        <f t="shared" si="39"/>
        <v>501000868</v>
      </c>
      <c r="B869" s="98">
        <v>868</v>
      </c>
      <c r="C869" s="98" t="s">
        <v>1933</v>
      </c>
      <c r="D869" s="99" t="s">
        <v>1934</v>
      </c>
      <c r="E869" s="312" t="s">
        <v>2346</v>
      </c>
      <c r="F869" s="312" t="s">
        <v>7671</v>
      </c>
      <c r="G869" s="98" t="s">
        <v>3701</v>
      </c>
      <c r="H869" s="98" t="s">
        <v>4029</v>
      </c>
      <c r="I869" s="98" t="s">
        <v>4039</v>
      </c>
      <c r="J869" s="98" t="s">
        <v>4040</v>
      </c>
      <c r="K869" s="17" t="str">
        <f>IFERROR(INDEX(競技会設定!$J$3:$O$47,MATCH(J869,競技会設定!$M$3:$M$47,0),5),"")</f>
        <v>中京大</v>
      </c>
      <c r="L869" s="17" t="str">
        <f>IFERROR(INDEX(競技会設定!$J$3:$N$47,MATCH(K869,競技会設定!$N$3:$N$47,0),2),"")</f>
        <v>492173</v>
      </c>
      <c r="M869" s="98" t="s">
        <v>3859</v>
      </c>
      <c r="N869" s="17" t="str">
        <f t="shared" si="40"/>
        <v>KOJIMA, Issei</v>
      </c>
      <c r="O869" s="17" t="str">
        <f t="shared" si="41"/>
        <v>01</v>
      </c>
    </row>
    <row r="870" spans="1:15">
      <c r="A870" s="17" t="str">
        <f t="shared" si="39"/>
        <v>501000869</v>
      </c>
      <c r="B870" s="98">
        <v>869</v>
      </c>
      <c r="C870" s="98" t="s">
        <v>1935</v>
      </c>
      <c r="D870" s="98" t="s">
        <v>1936</v>
      </c>
      <c r="E870" s="312" t="s">
        <v>2909</v>
      </c>
      <c r="F870" s="312" t="s">
        <v>2675</v>
      </c>
      <c r="G870" s="98" t="s">
        <v>3702</v>
      </c>
      <c r="H870" s="98" t="s">
        <v>4029</v>
      </c>
      <c r="I870" s="98" t="s">
        <v>4039</v>
      </c>
      <c r="J870" s="98" t="s">
        <v>4040</v>
      </c>
      <c r="K870" s="17" t="str">
        <f>IFERROR(INDEX(競技会設定!$J$3:$O$47,MATCH(J870,競技会設定!$M$3:$M$47,0),5),"")</f>
        <v>中京大</v>
      </c>
      <c r="L870" s="17" t="str">
        <f>IFERROR(INDEX(競技会設定!$J$3:$N$47,MATCH(K870,競技会設定!$N$3:$N$47,0),2),"")</f>
        <v>492173</v>
      </c>
      <c r="M870" s="98" t="s">
        <v>3859</v>
      </c>
      <c r="N870" s="17" t="str">
        <f t="shared" si="40"/>
        <v>SHIMIZU, Shogo</v>
      </c>
      <c r="O870" s="17" t="str">
        <f t="shared" si="41"/>
        <v>01</v>
      </c>
    </row>
    <row r="871" spans="1:15">
      <c r="A871" s="17" t="str">
        <f t="shared" si="39"/>
        <v>501000870</v>
      </c>
      <c r="B871" s="98">
        <v>870</v>
      </c>
      <c r="C871" s="98" t="s">
        <v>1937</v>
      </c>
      <c r="D871" s="98" t="s">
        <v>1938</v>
      </c>
      <c r="E871" s="312" t="s">
        <v>2620</v>
      </c>
      <c r="F871" s="312" t="s">
        <v>7672</v>
      </c>
      <c r="G871" s="98" t="s">
        <v>3703</v>
      </c>
      <c r="H871" s="98" t="s">
        <v>4029</v>
      </c>
      <c r="I871" s="98" t="s">
        <v>4039</v>
      </c>
      <c r="J871" s="98" t="s">
        <v>4040</v>
      </c>
      <c r="K871" s="17" t="str">
        <f>IFERROR(INDEX(競技会設定!$J$3:$O$47,MATCH(J871,競技会設定!$M$3:$M$47,0),5),"")</f>
        <v>中京大</v>
      </c>
      <c r="L871" s="17" t="str">
        <f>IFERROR(INDEX(競技会設定!$J$3:$N$47,MATCH(K871,競技会設定!$N$3:$N$47,0),2),"")</f>
        <v>492173</v>
      </c>
      <c r="M871" s="98" t="s">
        <v>3859</v>
      </c>
      <c r="N871" s="17" t="str">
        <f t="shared" si="40"/>
        <v>TAKEUCHI, Yamato</v>
      </c>
      <c r="O871" s="17" t="str">
        <f t="shared" si="41"/>
        <v>01</v>
      </c>
    </row>
    <row r="872" spans="1:15">
      <c r="A872" s="17" t="str">
        <f t="shared" si="39"/>
        <v>501000871</v>
      </c>
      <c r="B872" s="98">
        <v>871</v>
      </c>
      <c r="C872" s="98" t="s">
        <v>1939</v>
      </c>
      <c r="D872" s="98" t="s">
        <v>1940</v>
      </c>
      <c r="E872" s="312" t="s">
        <v>2221</v>
      </c>
      <c r="F872" s="312" t="s">
        <v>7673</v>
      </c>
      <c r="G872" s="98" t="s">
        <v>3704</v>
      </c>
      <c r="H872" s="98" t="s">
        <v>4029</v>
      </c>
      <c r="I872" s="98" t="s">
        <v>4039</v>
      </c>
      <c r="J872" s="98" t="s">
        <v>4040</v>
      </c>
      <c r="K872" s="17" t="str">
        <f>IFERROR(INDEX(競技会設定!$J$3:$O$47,MATCH(J872,競技会設定!$M$3:$M$47,0),5),"")</f>
        <v>中京大</v>
      </c>
      <c r="L872" s="17" t="str">
        <f>IFERROR(INDEX(競技会設定!$J$3:$N$47,MATCH(K872,競技会設定!$N$3:$N$47,0),2),"")</f>
        <v>492173</v>
      </c>
      <c r="M872" s="98" t="s">
        <v>3859</v>
      </c>
      <c r="N872" s="17" t="str">
        <f t="shared" si="40"/>
        <v>TANAKA, Hyuga</v>
      </c>
      <c r="O872" s="17" t="str">
        <f t="shared" si="41"/>
        <v>02</v>
      </c>
    </row>
    <row r="873" spans="1:15">
      <c r="A873" s="17" t="str">
        <f t="shared" si="39"/>
        <v>501000872</v>
      </c>
      <c r="B873" s="98">
        <v>872</v>
      </c>
      <c r="C873" s="98" t="s">
        <v>1941</v>
      </c>
      <c r="D873" s="98" t="s">
        <v>1942</v>
      </c>
      <c r="E873" s="312" t="s">
        <v>7674</v>
      </c>
      <c r="F873" s="312" t="s">
        <v>2403</v>
      </c>
      <c r="G873" s="98" t="s">
        <v>3705</v>
      </c>
      <c r="H873" s="98" t="s">
        <v>4029</v>
      </c>
      <c r="I873" s="98" t="s">
        <v>4039</v>
      </c>
      <c r="J873" s="98" t="s">
        <v>4040</v>
      </c>
      <c r="K873" s="17" t="str">
        <f>IFERROR(INDEX(競技会設定!$J$3:$O$47,MATCH(J873,競技会設定!$M$3:$M$47,0),5),"")</f>
        <v>中京大</v>
      </c>
      <c r="L873" s="17" t="str">
        <f>IFERROR(INDEX(競技会設定!$J$3:$N$47,MATCH(K873,競技会設定!$N$3:$N$47,0),2),"")</f>
        <v>492173</v>
      </c>
      <c r="M873" s="98" t="s">
        <v>3857</v>
      </c>
      <c r="N873" s="17" t="str">
        <f t="shared" si="40"/>
        <v>NOZUE, Daisuke</v>
      </c>
      <c r="O873" s="17" t="str">
        <f t="shared" si="41"/>
        <v>01</v>
      </c>
    </row>
    <row r="874" spans="1:15">
      <c r="A874" s="17" t="str">
        <f t="shared" si="39"/>
        <v>501000873</v>
      </c>
      <c r="B874" s="98">
        <v>873</v>
      </c>
      <c r="C874" s="98" t="s">
        <v>1943</v>
      </c>
      <c r="D874" s="98" t="s">
        <v>1944</v>
      </c>
      <c r="E874" s="312" t="s">
        <v>2107</v>
      </c>
      <c r="F874" s="312" t="s">
        <v>7675</v>
      </c>
      <c r="G874" s="98" t="s">
        <v>3239</v>
      </c>
      <c r="H874" s="98" t="s">
        <v>4029</v>
      </c>
      <c r="I874" s="98" t="s">
        <v>4039</v>
      </c>
      <c r="J874" s="98" t="s">
        <v>4040</v>
      </c>
      <c r="K874" s="17" t="str">
        <f>IFERROR(INDEX(競技会設定!$J$3:$O$47,MATCH(J874,競技会設定!$M$3:$M$47,0),5),"")</f>
        <v>中京大</v>
      </c>
      <c r="L874" s="17" t="str">
        <f>IFERROR(INDEX(競技会設定!$J$3:$N$47,MATCH(K874,競技会設定!$N$3:$N$47,0),2),"")</f>
        <v>492173</v>
      </c>
      <c r="M874" s="98" t="s">
        <v>3855</v>
      </c>
      <c r="N874" s="17" t="str">
        <f t="shared" si="40"/>
        <v>NOMURA, Koushi</v>
      </c>
      <c r="O874" s="17" t="str">
        <f t="shared" si="41"/>
        <v>01</v>
      </c>
    </row>
    <row r="875" spans="1:15">
      <c r="A875" s="17" t="str">
        <f t="shared" si="39"/>
        <v>501000874</v>
      </c>
      <c r="B875" s="98">
        <v>874</v>
      </c>
      <c r="C875" s="98" t="s">
        <v>1945</v>
      </c>
      <c r="D875" s="98" t="s">
        <v>1946</v>
      </c>
      <c r="E875" s="312" t="s">
        <v>2229</v>
      </c>
      <c r="F875" s="312" t="s">
        <v>2102</v>
      </c>
      <c r="G875" s="98" t="s">
        <v>3706</v>
      </c>
      <c r="H875" s="98" t="s">
        <v>4029</v>
      </c>
      <c r="I875" s="98" t="s">
        <v>4039</v>
      </c>
      <c r="J875" s="98" t="s">
        <v>4040</v>
      </c>
      <c r="K875" s="17" t="str">
        <f>IFERROR(INDEX(競技会設定!$J$3:$O$47,MATCH(J875,競技会設定!$M$3:$M$47,0),5),"")</f>
        <v>中京大</v>
      </c>
      <c r="L875" s="17" t="str">
        <f>IFERROR(INDEX(競技会設定!$J$3:$N$47,MATCH(K875,競技会設定!$N$3:$N$47,0),2),"")</f>
        <v>492173</v>
      </c>
      <c r="M875" s="98" t="s">
        <v>3853</v>
      </c>
      <c r="N875" s="17" t="str">
        <f t="shared" si="40"/>
        <v>MURAKAMI, Yuga</v>
      </c>
      <c r="O875" s="17" t="str">
        <f t="shared" si="41"/>
        <v>02</v>
      </c>
    </row>
    <row r="876" spans="1:15">
      <c r="A876" s="17" t="str">
        <f t="shared" si="39"/>
        <v>501000875</v>
      </c>
      <c r="B876" s="98">
        <v>875</v>
      </c>
      <c r="C876" s="98" t="s">
        <v>1947</v>
      </c>
      <c r="D876" s="98" t="s">
        <v>1948</v>
      </c>
      <c r="E876" s="312" t="s">
        <v>2609</v>
      </c>
      <c r="F876" s="312" t="s">
        <v>2277</v>
      </c>
      <c r="G876" s="98" t="s">
        <v>3707</v>
      </c>
      <c r="H876" s="98" t="s">
        <v>4029</v>
      </c>
      <c r="I876" s="98" t="s">
        <v>4039</v>
      </c>
      <c r="J876" s="98" t="s">
        <v>4040</v>
      </c>
      <c r="K876" s="17" t="str">
        <f>IFERROR(INDEX(競技会設定!$J$3:$O$47,MATCH(J876,競技会設定!$M$3:$M$47,0),5),"")</f>
        <v>中京大</v>
      </c>
      <c r="L876" s="17" t="str">
        <f>IFERROR(INDEX(競技会設定!$J$3:$N$47,MATCH(K876,競技会設定!$N$3:$N$47,0),2),"")</f>
        <v>492173</v>
      </c>
      <c r="M876" s="98" t="s">
        <v>3861</v>
      </c>
      <c r="N876" s="17" t="str">
        <f t="shared" si="40"/>
        <v>HIRAYAMA, Koshin</v>
      </c>
      <c r="O876" s="17" t="str">
        <f t="shared" si="41"/>
        <v>01</v>
      </c>
    </row>
    <row r="877" spans="1:15">
      <c r="A877" s="17" t="str">
        <f t="shared" si="39"/>
        <v>501000876</v>
      </c>
      <c r="B877" s="98">
        <v>876</v>
      </c>
      <c r="C877" s="98" t="s">
        <v>1949</v>
      </c>
      <c r="D877" s="98" t="s">
        <v>1950</v>
      </c>
      <c r="E877" s="312" t="s">
        <v>7676</v>
      </c>
      <c r="F877" s="312" t="s">
        <v>2124</v>
      </c>
      <c r="G877" s="98" t="s">
        <v>3708</v>
      </c>
      <c r="H877" s="98" t="s">
        <v>4024</v>
      </c>
      <c r="I877" s="98" t="s">
        <v>4039</v>
      </c>
      <c r="J877" s="98" t="s">
        <v>4040</v>
      </c>
      <c r="K877" s="17" t="str">
        <f>IFERROR(INDEX(競技会設定!$J$3:$O$47,MATCH(J877,競技会設定!$M$3:$M$47,0),5),"")</f>
        <v>中京大</v>
      </c>
      <c r="L877" s="17" t="str">
        <f>IFERROR(INDEX(競技会設定!$J$3:$N$47,MATCH(K877,競技会設定!$N$3:$N$47,0),2),"")</f>
        <v>492173</v>
      </c>
      <c r="M877" s="98" t="s">
        <v>3853</v>
      </c>
      <c r="N877" s="17" t="str">
        <f t="shared" si="40"/>
        <v>TOTSU, Keita</v>
      </c>
      <c r="O877" s="17" t="str">
        <f t="shared" si="41"/>
        <v>99</v>
      </c>
    </row>
    <row r="878" spans="1:15">
      <c r="A878" s="17" t="str">
        <f t="shared" si="39"/>
        <v>501000877</v>
      </c>
      <c r="B878" s="98">
        <v>877</v>
      </c>
      <c r="C878" s="98" t="s">
        <v>1951</v>
      </c>
      <c r="D878" s="98" t="s">
        <v>1952</v>
      </c>
      <c r="E878" s="312" t="s">
        <v>7677</v>
      </c>
      <c r="F878" s="312" t="s">
        <v>2149</v>
      </c>
      <c r="G878" s="98" t="s">
        <v>3709</v>
      </c>
      <c r="H878" s="98" t="s">
        <v>4029</v>
      </c>
      <c r="I878" s="98" t="s">
        <v>4039</v>
      </c>
      <c r="J878" s="98" t="s">
        <v>4072</v>
      </c>
      <c r="K878" s="17" t="str">
        <f>IFERROR(INDEX(競技会設定!$J$3:$O$47,MATCH(J878,競技会設定!$M$3:$M$47,0),5),"")</f>
        <v>名古屋工業大</v>
      </c>
      <c r="L878" s="17" t="str">
        <f>IFERROR(INDEX(競技会設定!$J$3:$N$47,MATCH(K878,競技会設定!$N$3:$N$47,0),2),"")</f>
        <v>490045</v>
      </c>
      <c r="M878" s="98" t="s">
        <v>3859</v>
      </c>
      <c r="N878" s="17" t="str">
        <f t="shared" si="40"/>
        <v>TERAO, Ryo</v>
      </c>
      <c r="O878" s="17" t="str">
        <f t="shared" si="41"/>
        <v>01</v>
      </c>
    </row>
    <row r="879" spans="1:15">
      <c r="A879" s="17" t="str">
        <f t="shared" si="39"/>
        <v>501000878</v>
      </c>
      <c r="B879" s="98">
        <v>878</v>
      </c>
      <c r="C879" s="98" t="s">
        <v>1953</v>
      </c>
      <c r="D879" s="98" t="s">
        <v>1954</v>
      </c>
      <c r="E879" s="312" t="s">
        <v>7678</v>
      </c>
      <c r="F879" s="312" t="s">
        <v>2207</v>
      </c>
      <c r="G879" s="98" t="s">
        <v>3710</v>
      </c>
      <c r="H879" s="98" t="s">
        <v>4026</v>
      </c>
      <c r="I879" s="98" t="s">
        <v>4039</v>
      </c>
      <c r="J879" s="98" t="s">
        <v>4041</v>
      </c>
      <c r="K879" s="17" t="str">
        <f>IFERROR(INDEX(競技会設定!$J$3:$O$47,MATCH(J879,競技会設定!$M$3:$M$47,0),5),"")</f>
        <v>愛知医科大</v>
      </c>
      <c r="L879" s="17" t="str">
        <f>IFERROR(INDEX(競技会設定!$J$3:$N$47,MATCH(K879,競技会設定!$N$3:$N$47,0),2),"")</f>
        <v>492166</v>
      </c>
      <c r="M879" s="98" t="s">
        <v>3859</v>
      </c>
      <c r="N879" s="17" t="str">
        <f t="shared" si="40"/>
        <v>KOUZEN, Tatsuya</v>
      </c>
      <c r="O879" s="17" t="str">
        <f t="shared" si="41"/>
        <v>98</v>
      </c>
    </row>
    <row r="880" spans="1:15">
      <c r="A880" s="17" t="str">
        <f t="shared" si="39"/>
        <v>501000879</v>
      </c>
      <c r="B880" s="98">
        <v>879</v>
      </c>
      <c r="C880" s="98" t="s">
        <v>1955</v>
      </c>
      <c r="D880" s="98" t="s">
        <v>1956</v>
      </c>
      <c r="E880" s="312" t="s">
        <v>7679</v>
      </c>
      <c r="F880" s="312" t="s">
        <v>2637</v>
      </c>
      <c r="G880" s="98" t="s">
        <v>3711</v>
      </c>
      <c r="H880" s="98" t="s">
        <v>4035</v>
      </c>
      <c r="I880" s="98" t="s">
        <v>4039</v>
      </c>
      <c r="J880" s="98" t="s">
        <v>4041</v>
      </c>
      <c r="K880" s="17" t="str">
        <f>IFERROR(INDEX(競技会設定!$J$3:$O$47,MATCH(J880,競技会設定!$M$3:$M$47,0),5),"")</f>
        <v>愛知医科大</v>
      </c>
      <c r="L880" s="17" t="str">
        <f>IFERROR(INDEX(競技会設定!$J$3:$N$47,MATCH(K880,競技会設定!$N$3:$N$47,0),2),"")</f>
        <v>492166</v>
      </c>
      <c r="M880" s="98" t="s">
        <v>3859</v>
      </c>
      <c r="N880" s="17" t="str">
        <f t="shared" si="40"/>
        <v>KAWABE, Kento</v>
      </c>
      <c r="O880" s="17" t="str">
        <f t="shared" si="41"/>
        <v>96</v>
      </c>
    </row>
    <row r="881" spans="1:15">
      <c r="A881" s="17" t="str">
        <f t="shared" si="39"/>
        <v>501000880</v>
      </c>
      <c r="B881" s="98">
        <v>880</v>
      </c>
      <c r="C881" s="98" t="s">
        <v>1957</v>
      </c>
      <c r="D881" s="98" t="s">
        <v>1958</v>
      </c>
      <c r="E881" s="312" t="s">
        <v>7680</v>
      </c>
      <c r="F881" s="312" t="s">
        <v>2459</v>
      </c>
      <c r="G881" s="98" t="s">
        <v>3712</v>
      </c>
      <c r="H881" s="98" t="s">
        <v>4035</v>
      </c>
      <c r="I881" s="98" t="s">
        <v>4039</v>
      </c>
      <c r="J881" s="98" t="s">
        <v>4041</v>
      </c>
      <c r="K881" s="17" t="str">
        <f>IFERROR(INDEX(競技会設定!$J$3:$O$47,MATCH(J881,競技会設定!$M$3:$M$47,0),5),"")</f>
        <v>愛知医科大</v>
      </c>
      <c r="L881" s="17" t="str">
        <f>IFERROR(INDEX(競技会設定!$J$3:$N$47,MATCH(K881,競技会設定!$N$3:$N$47,0),2),"")</f>
        <v>492166</v>
      </c>
      <c r="M881" s="98" t="s">
        <v>3859</v>
      </c>
      <c r="N881" s="17" t="str">
        <f t="shared" si="40"/>
        <v>OISHI, Hiroyuki</v>
      </c>
      <c r="O881" s="17" t="str">
        <f t="shared" si="41"/>
        <v>96</v>
      </c>
    </row>
    <row r="882" spans="1:15">
      <c r="A882" s="17" t="str">
        <f t="shared" si="39"/>
        <v>501000881</v>
      </c>
      <c r="B882" s="98">
        <v>881</v>
      </c>
      <c r="C882" s="98" t="s">
        <v>1959</v>
      </c>
      <c r="D882" s="98" t="s">
        <v>1960</v>
      </c>
      <c r="E882" s="312" t="s">
        <v>7681</v>
      </c>
      <c r="F882" s="312" t="s">
        <v>2184</v>
      </c>
      <c r="G882" s="98" t="s">
        <v>3713</v>
      </c>
      <c r="H882" s="98" t="s">
        <v>4035</v>
      </c>
      <c r="I882" s="98" t="s">
        <v>4039</v>
      </c>
      <c r="J882" s="98" t="s">
        <v>4041</v>
      </c>
      <c r="K882" s="17" t="str">
        <f>IFERROR(INDEX(競技会設定!$J$3:$O$47,MATCH(J882,競技会設定!$M$3:$M$47,0),5),"")</f>
        <v>愛知医科大</v>
      </c>
      <c r="L882" s="17" t="str">
        <f>IFERROR(INDEX(競技会設定!$J$3:$N$47,MATCH(K882,競技会設定!$N$3:$N$47,0),2),"")</f>
        <v>492166</v>
      </c>
      <c r="M882" s="98" t="s">
        <v>3859</v>
      </c>
      <c r="N882" s="17" t="str">
        <f t="shared" si="40"/>
        <v>KITSUKI, Taisei</v>
      </c>
      <c r="O882" s="17" t="str">
        <f t="shared" si="41"/>
        <v>94</v>
      </c>
    </row>
    <row r="883" spans="1:15">
      <c r="A883" s="17" t="str">
        <f t="shared" si="39"/>
        <v>501000882</v>
      </c>
      <c r="B883" s="98">
        <v>882</v>
      </c>
      <c r="C883" s="98" t="s">
        <v>1961</v>
      </c>
      <c r="D883" s="98" t="s">
        <v>1962</v>
      </c>
      <c r="E883" s="312" t="s">
        <v>7682</v>
      </c>
      <c r="F883" s="312" t="s">
        <v>2085</v>
      </c>
      <c r="G883" s="98" t="s">
        <v>3714</v>
      </c>
      <c r="H883" s="98" t="s">
        <v>4024</v>
      </c>
      <c r="I883" s="98" t="s">
        <v>4039</v>
      </c>
      <c r="J883" s="98" t="s">
        <v>4041</v>
      </c>
      <c r="K883" s="17" t="str">
        <f>IFERROR(INDEX(競技会設定!$J$3:$O$47,MATCH(J883,競技会設定!$M$3:$M$47,0),5),"")</f>
        <v>愛知医科大</v>
      </c>
      <c r="L883" s="17" t="str">
        <f>IFERROR(INDEX(競技会設定!$J$3:$N$47,MATCH(K883,競技会設定!$N$3:$N$47,0),2),"")</f>
        <v>492166</v>
      </c>
      <c r="M883" s="98" t="s">
        <v>3859</v>
      </c>
      <c r="N883" s="17" t="str">
        <f t="shared" si="40"/>
        <v>KAKIMOTO, Takuma</v>
      </c>
      <c r="O883" s="17" t="str">
        <f t="shared" si="41"/>
        <v>99</v>
      </c>
    </row>
    <row r="884" spans="1:15">
      <c r="A884" s="17" t="str">
        <f t="shared" si="39"/>
        <v>501000883</v>
      </c>
      <c r="B884" s="98">
        <v>883</v>
      </c>
      <c r="C884" s="98" t="s">
        <v>1963</v>
      </c>
      <c r="D884" s="98" t="s">
        <v>1964</v>
      </c>
      <c r="E884" s="312" t="s">
        <v>2419</v>
      </c>
      <c r="F884" s="312" t="s">
        <v>2342</v>
      </c>
      <c r="G884" s="98" t="s">
        <v>3715</v>
      </c>
      <c r="H884" s="98" t="s">
        <v>4026</v>
      </c>
      <c r="I884" s="98" t="s">
        <v>4039</v>
      </c>
      <c r="J884" s="98" t="s">
        <v>4041</v>
      </c>
      <c r="K884" s="17" t="str">
        <f>IFERROR(INDEX(競技会設定!$J$3:$O$47,MATCH(J884,競技会設定!$M$3:$M$47,0),5),"")</f>
        <v>愛知医科大</v>
      </c>
      <c r="L884" s="17" t="str">
        <f>IFERROR(INDEX(競技会設定!$J$3:$N$47,MATCH(K884,競技会設定!$N$3:$N$47,0),2),"")</f>
        <v>492166</v>
      </c>
      <c r="M884" s="98" t="s">
        <v>3859</v>
      </c>
      <c r="N884" s="17" t="str">
        <f t="shared" si="40"/>
        <v>FUJIMOTO, Shuhei</v>
      </c>
      <c r="O884" s="17" t="str">
        <f t="shared" si="41"/>
        <v>97</v>
      </c>
    </row>
    <row r="885" spans="1:15">
      <c r="A885" s="17" t="str">
        <f t="shared" si="39"/>
        <v>501000884</v>
      </c>
      <c r="B885" s="98">
        <v>884</v>
      </c>
      <c r="C885" s="98" t="s">
        <v>1965</v>
      </c>
      <c r="D885" s="98" t="s">
        <v>1966</v>
      </c>
      <c r="E885" s="312" t="s">
        <v>2271</v>
      </c>
      <c r="F885" s="312" t="s">
        <v>7683</v>
      </c>
      <c r="G885" s="98" t="s">
        <v>3716</v>
      </c>
      <c r="H885" s="98" t="s">
        <v>4029</v>
      </c>
      <c r="I885" s="98" t="s">
        <v>4039</v>
      </c>
      <c r="J885" s="98" t="s">
        <v>4043</v>
      </c>
      <c r="K885" s="17" t="str">
        <f>IFERROR(INDEX(競技会設定!$J$3:$O$47,MATCH(J885,競技会設定!$M$3:$M$47,0),5),"")</f>
        <v>愛知教育大</v>
      </c>
      <c r="L885" s="17" t="str">
        <f>IFERROR(INDEX(競技会設定!$J$3:$N$47,MATCH(K885,競技会設定!$N$3:$N$47,0),2),"")</f>
        <v>490044</v>
      </c>
      <c r="M885" s="98" t="s">
        <v>3893</v>
      </c>
      <c r="N885" s="17" t="str">
        <f t="shared" si="40"/>
        <v>HARA, Kazushi</v>
      </c>
      <c r="O885" s="17" t="str">
        <f t="shared" si="41"/>
        <v>01</v>
      </c>
    </row>
    <row r="886" spans="1:15">
      <c r="A886" s="17" t="str">
        <f t="shared" si="39"/>
        <v>501000885</v>
      </c>
      <c r="B886" s="98">
        <v>885</v>
      </c>
      <c r="C886" s="98" t="s">
        <v>1967</v>
      </c>
      <c r="D886" s="98" t="s">
        <v>1968</v>
      </c>
      <c r="E886" s="312" t="s">
        <v>2865</v>
      </c>
      <c r="F886" s="312" t="s">
        <v>2769</v>
      </c>
      <c r="G886" s="98" t="s">
        <v>3717</v>
      </c>
      <c r="H886" s="98" t="s">
        <v>4029</v>
      </c>
      <c r="I886" s="98" t="s">
        <v>4039</v>
      </c>
      <c r="J886" s="98" t="s">
        <v>4043</v>
      </c>
      <c r="K886" s="17" t="str">
        <f>IFERROR(INDEX(競技会設定!$J$3:$O$47,MATCH(J886,競技会設定!$M$3:$M$47,0),5),"")</f>
        <v>愛知教育大</v>
      </c>
      <c r="L886" s="17" t="str">
        <f>IFERROR(INDEX(競技会設定!$J$3:$N$47,MATCH(K886,競技会設定!$N$3:$N$47,0),2),"")</f>
        <v>490044</v>
      </c>
      <c r="M886" s="98" t="s">
        <v>3859</v>
      </c>
      <c r="N886" s="17" t="str">
        <f t="shared" si="40"/>
        <v>KUNO, Akira</v>
      </c>
      <c r="O886" s="17" t="str">
        <f t="shared" si="41"/>
        <v>01</v>
      </c>
    </row>
    <row r="887" spans="1:15">
      <c r="A887" s="17" t="str">
        <f t="shared" si="39"/>
        <v>501000886</v>
      </c>
      <c r="B887" s="98">
        <v>886</v>
      </c>
      <c r="C887" s="98" t="s">
        <v>1969</v>
      </c>
      <c r="D887" s="98" t="s">
        <v>1970</v>
      </c>
      <c r="E887" s="312" t="s">
        <v>7684</v>
      </c>
      <c r="F887" s="312" t="s">
        <v>7685</v>
      </c>
      <c r="G887" s="98" t="s">
        <v>3718</v>
      </c>
      <c r="H887" s="98" t="s">
        <v>4029</v>
      </c>
      <c r="I887" s="98" t="s">
        <v>4039</v>
      </c>
      <c r="J887" s="98" t="s">
        <v>4043</v>
      </c>
      <c r="K887" s="17" t="str">
        <f>IFERROR(INDEX(競技会設定!$J$3:$O$47,MATCH(J887,競技会設定!$M$3:$M$47,0),5),"")</f>
        <v>愛知教育大</v>
      </c>
      <c r="L887" s="17" t="str">
        <f>IFERROR(INDEX(競技会設定!$J$3:$N$47,MATCH(K887,競技会設定!$N$3:$N$47,0),2),"")</f>
        <v>490044</v>
      </c>
      <c r="M887" s="98" t="s">
        <v>3859</v>
      </c>
      <c r="N887" s="17" t="str">
        <f t="shared" si="40"/>
        <v>DOI, Syunto</v>
      </c>
      <c r="O887" s="17" t="str">
        <f t="shared" si="41"/>
        <v>01</v>
      </c>
    </row>
    <row r="888" spans="1:15">
      <c r="A888" s="17" t="str">
        <f t="shared" si="39"/>
        <v>501000887</v>
      </c>
      <c r="B888" s="98">
        <v>887</v>
      </c>
      <c r="C888" s="98" t="s">
        <v>1971</v>
      </c>
      <c r="D888" s="98" t="s">
        <v>1419</v>
      </c>
      <c r="E888" s="312" t="s">
        <v>2566</v>
      </c>
      <c r="F888" s="312" t="s">
        <v>2193</v>
      </c>
      <c r="G888" s="98" t="s">
        <v>3173</v>
      </c>
      <c r="H888" s="98" t="s">
        <v>4029</v>
      </c>
      <c r="I888" s="98" t="s">
        <v>4039</v>
      </c>
      <c r="J888" s="98" t="s">
        <v>4043</v>
      </c>
      <c r="K888" s="17" t="str">
        <f>IFERROR(INDEX(競技会設定!$J$3:$O$47,MATCH(J888,競技会設定!$M$3:$M$47,0),5),"")</f>
        <v>愛知教育大</v>
      </c>
      <c r="L888" s="17" t="str">
        <f>IFERROR(INDEX(競技会設定!$J$3:$N$47,MATCH(K888,競技会設定!$N$3:$N$47,0),2),"")</f>
        <v>490044</v>
      </c>
      <c r="M888" s="98" t="s">
        <v>3859</v>
      </c>
      <c r="N888" s="17" t="str">
        <f t="shared" si="40"/>
        <v>SAITO, Yuta</v>
      </c>
      <c r="O888" s="17" t="str">
        <f t="shared" si="41"/>
        <v>01</v>
      </c>
    </row>
    <row r="889" spans="1:15">
      <c r="A889" s="17" t="str">
        <f t="shared" si="39"/>
        <v>501000888</v>
      </c>
      <c r="B889" s="98">
        <v>888</v>
      </c>
      <c r="C889" s="98" t="s">
        <v>1972</v>
      </c>
      <c r="D889" s="98" t="s">
        <v>1973</v>
      </c>
      <c r="E889" s="312" t="s">
        <v>7686</v>
      </c>
      <c r="F889" s="312" t="s">
        <v>7673</v>
      </c>
      <c r="G889" s="98" t="s">
        <v>3719</v>
      </c>
      <c r="H889" s="98" t="s">
        <v>4029</v>
      </c>
      <c r="I889" s="98" t="s">
        <v>4039</v>
      </c>
      <c r="J889" s="98" t="s">
        <v>4043</v>
      </c>
      <c r="K889" s="17" t="str">
        <f>IFERROR(INDEX(競技会設定!$J$3:$O$47,MATCH(J889,競技会設定!$M$3:$M$47,0),5),"")</f>
        <v>愛知教育大</v>
      </c>
      <c r="L889" s="17" t="str">
        <f>IFERROR(INDEX(競技会設定!$J$3:$N$47,MATCH(K889,競技会設定!$N$3:$N$47,0),2),"")</f>
        <v>490044</v>
      </c>
      <c r="M889" s="98" t="s">
        <v>3859</v>
      </c>
      <c r="N889" s="17" t="str">
        <f t="shared" si="40"/>
        <v>YATO, Hyuga</v>
      </c>
      <c r="O889" s="17" t="str">
        <f t="shared" si="41"/>
        <v>01</v>
      </c>
    </row>
    <row r="890" spans="1:15">
      <c r="A890" s="17" t="str">
        <f t="shared" si="39"/>
        <v>501000889</v>
      </c>
      <c r="B890" s="98">
        <v>889</v>
      </c>
      <c r="C890" s="98" t="s">
        <v>1974</v>
      </c>
      <c r="D890" s="98" t="s">
        <v>1975</v>
      </c>
      <c r="E890" s="312" t="s">
        <v>2961</v>
      </c>
      <c r="F890" s="312" t="s">
        <v>2815</v>
      </c>
      <c r="G890" s="98" t="s">
        <v>3690</v>
      </c>
      <c r="H890" s="98" t="s">
        <v>4029</v>
      </c>
      <c r="I890" s="98" t="s">
        <v>4039</v>
      </c>
      <c r="J890" s="98" t="s">
        <v>4043</v>
      </c>
      <c r="K890" s="17" t="str">
        <f>IFERROR(INDEX(競技会設定!$J$3:$O$47,MATCH(J890,競技会設定!$M$3:$M$47,0),5),"")</f>
        <v>愛知教育大</v>
      </c>
      <c r="L890" s="17" t="str">
        <f>IFERROR(INDEX(競技会設定!$J$3:$N$47,MATCH(K890,競技会設定!$N$3:$N$47,0),2),"")</f>
        <v>490044</v>
      </c>
      <c r="M890" s="98" t="s">
        <v>3859</v>
      </c>
      <c r="N890" s="17" t="str">
        <f t="shared" si="40"/>
        <v>OKUBO, Junya</v>
      </c>
      <c r="O890" s="17" t="str">
        <f t="shared" si="41"/>
        <v>01</v>
      </c>
    </row>
    <row r="891" spans="1:15">
      <c r="A891" s="17" t="str">
        <f t="shared" si="39"/>
        <v>501000890</v>
      </c>
      <c r="B891" s="98">
        <v>890</v>
      </c>
      <c r="C891" s="98" t="s">
        <v>1976</v>
      </c>
      <c r="D891" s="98" t="s">
        <v>1977</v>
      </c>
      <c r="E891" s="312" t="s">
        <v>2860</v>
      </c>
      <c r="F891" s="312" t="s">
        <v>2116</v>
      </c>
      <c r="G891" s="98" t="s">
        <v>3720</v>
      </c>
      <c r="H891" s="98" t="s">
        <v>4029</v>
      </c>
      <c r="I891" s="98" t="s">
        <v>4039</v>
      </c>
      <c r="J891" s="98" t="s">
        <v>4043</v>
      </c>
      <c r="K891" s="17" t="str">
        <f>IFERROR(INDEX(競技会設定!$J$3:$O$47,MATCH(J891,競技会設定!$M$3:$M$47,0),5),"")</f>
        <v>愛知教育大</v>
      </c>
      <c r="L891" s="17" t="str">
        <f>IFERROR(INDEX(競技会設定!$J$3:$N$47,MATCH(K891,競技会設定!$N$3:$N$47,0),2),"")</f>
        <v>490044</v>
      </c>
      <c r="M891" s="98" t="s">
        <v>3859</v>
      </c>
      <c r="N891" s="17" t="str">
        <f t="shared" si="40"/>
        <v>ANDO, Hiroki</v>
      </c>
      <c r="O891" s="17" t="str">
        <f t="shared" si="41"/>
        <v>01</v>
      </c>
    </row>
    <row r="892" spans="1:15">
      <c r="A892" s="17" t="str">
        <f t="shared" si="39"/>
        <v>501000891</v>
      </c>
      <c r="B892" s="98">
        <v>891</v>
      </c>
      <c r="C892" s="98" t="s">
        <v>1978</v>
      </c>
      <c r="D892" s="98" t="s">
        <v>1979</v>
      </c>
      <c r="E892" s="312" t="s">
        <v>7687</v>
      </c>
      <c r="F892" s="312" t="s">
        <v>2414</v>
      </c>
      <c r="G892" s="98" t="s">
        <v>3721</v>
      </c>
      <c r="H892" s="98" t="s">
        <v>4029</v>
      </c>
      <c r="I892" s="98" t="s">
        <v>4039</v>
      </c>
      <c r="J892" s="98" t="s">
        <v>4043</v>
      </c>
      <c r="K892" s="17" t="str">
        <f>IFERROR(INDEX(競技会設定!$J$3:$O$47,MATCH(J892,競技会設定!$M$3:$M$47,0),5),"")</f>
        <v>愛知教育大</v>
      </c>
      <c r="L892" s="17" t="str">
        <f>IFERROR(INDEX(競技会設定!$J$3:$N$47,MATCH(K892,競技会設定!$N$3:$N$47,0),2),"")</f>
        <v>490044</v>
      </c>
      <c r="M892" s="98" t="s">
        <v>3859</v>
      </c>
      <c r="N892" s="17" t="str">
        <f t="shared" si="40"/>
        <v>AKIYOSHI, Ryosuke</v>
      </c>
      <c r="O892" s="17" t="str">
        <f t="shared" si="41"/>
        <v>02</v>
      </c>
    </row>
    <row r="893" spans="1:15">
      <c r="A893" s="17" t="str">
        <f t="shared" si="39"/>
        <v>501000892</v>
      </c>
      <c r="B893" s="98">
        <v>892</v>
      </c>
      <c r="C893" s="98" t="s">
        <v>1980</v>
      </c>
      <c r="D893" s="98" t="s">
        <v>1981</v>
      </c>
      <c r="E893" s="312" t="s">
        <v>7688</v>
      </c>
      <c r="F893" s="312" t="s">
        <v>2269</v>
      </c>
      <c r="G893" s="98" t="s">
        <v>3722</v>
      </c>
      <c r="H893" s="98" t="s">
        <v>4026</v>
      </c>
      <c r="I893" s="98" t="s">
        <v>4039</v>
      </c>
      <c r="J893" s="98" t="s">
        <v>4047</v>
      </c>
      <c r="K893" s="17" t="str">
        <f>IFERROR(INDEX(競技会設定!$J$3:$O$47,MATCH(J893,競技会設定!$M$3:$M$47,0),5),"")</f>
        <v>岐阜協立大</v>
      </c>
      <c r="L893" s="17" t="str">
        <f>IFERROR(INDEX(競技会設定!$J$3:$N$47,MATCH(K893,競技会設定!$N$3:$N$47,0),2),"")</f>
        <v>492161</v>
      </c>
      <c r="M893" s="98" t="s">
        <v>3857</v>
      </c>
      <c r="N893" s="17" t="str">
        <f t="shared" si="40"/>
        <v>TSUKIJI, Yoshiki</v>
      </c>
      <c r="O893" s="17" t="str">
        <f t="shared" si="41"/>
        <v>00</v>
      </c>
    </row>
    <row r="894" spans="1:15">
      <c r="A894" s="17" t="str">
        <f t="shared" si="39"/>
        <v>501000893</v>
      </c>
      <c r="B894" s="98">
        <v>893</v>
      </c>
      <c r="C894" s="98" t="s">
        <v>1982</v>
      </c>
      <c r="D894" s="98" t="s">
        <v>1983</v>
      </c>
      <c r="E894" s="312" t="s">
        <v>2763</v>
      </c>
      <c r="F894" s="312" t="s">
        <v>2551</v>
      </c>
      <c r="G894" s="98" t="s">
        <v>3723</v>
      </c>
      <c r="H894" s="98" t="s">
        <v>4029</v>
      </c>
      <c r="I894" s="98" t="s">
        <v>4039</v>
      </c>
      <c r="J894" s="98" t="s">
        <v>4047</v>
      </c>
      <c r="K894" s="17" t="str">
        <f>IFERROR(INDEX(競技会設定!$J$3:$O$47,MATCH(J894,競技会設定!$M$3:$M$47,0),5),"")</f>
        <v>岐阜協立大</v>
      </c>
      <c r="L894" s="17" t="str">
        <f>IFERROR(INDEX(競技会設定!$J$3:$N$47,MATCH(K894,競技会設定!$N$3:$N$47,0),2),"")</f>
        <v>492161</v>
      </c>
      <c r="M894" s="98" t="s">
        <v>3812</v>
      </c>
      <c r="N894" s="17" t="str">
        <f t="shared" si="40"/>
        <v>KAWAGUCHI, Yu</v>
      </c>
      <c r="O894" s="17" t="str">
        <f t="shared" si="41"/>
        <v>01</v>
      </c>
    </row>
    <row r="895" spans="1:15">
      <c r="A895" s="17" t="str">
        <f t="shared" si="39"/>
        <v>501000894</v>
      </c>
      <c r="B895" s="98">
        <v>894</v>
      </c>
      <c r="C895" s="98" t="s">
        <v>1984</v>
      </c>
      <c r="D895" s="98" t="s">
        <v>1985</v>
      </c>
      <c r="E895" s="312" t="s">
        <v>7689</v>
      </c>
      <c r="F895" s="312" t="s">
        <v>2255</v>
      </c>
      <c r="G895" s="98" t="s">
        <v>3724</v>
      </c>
      <c r="H895" s="98" t="s">
        <v>4030</v>
      </c>
      <c r="I895" s="98" t="s">
        <v>4039</v>
      </c>
      <c r="J895" s="98" t="s">
        <v>4050</v>
      </c>
      <c r="K895" s="17" t="str">
        <f>IFERROR(INDEX(競技会設定!$J$3:$O$47,MATCH(J895,競技会設定!$M$3:$M$47,0),5),"")</f>
        <v>岐阜大</v>
      </c>
      <c r="L895" s="17" t="str">
        <f>IFERROR(INDEX(競技会設定!$J$3:$N$47,MATCH(K895,競技会設定!$N$3:$N$47,0),2),"")</f>
        <v>490041</v>
      </c>
      <c r="M895" s="98" t="s">
        <v>3855</v>
      </c>
      <c r="N895" s="17" t="str">
        <f t="shared" si="40"/>
        <v>YOSHIMOTO, Shohei</v>
      </c>
      <c r="O895" s="17" t="str">
        <f t="shared" si="41"/>
        <v>97</v>
      </c>
    </row>
    <row r="896" spans="1:15">
      <c r="A896" s="17" t="str">
        <f t="shared" si="39"/>
        <v>501000895</v>
      </c>
      <c r="B896" s="98">
        <v>895</v>
      </c>
      <c r="C896" s="98" t="s">
        <v>1986</v>
      </c>
      <c r="D896" s="98" t="s">
        <v>1987</v>
      </c>
      <c r="E896" s="312" t="s">
        <v>7690</v>
      </c>
      <c r="F896" s="312" t="s">
        <v>2353</v>
      </c>
      <c r="G896" s="98" t="s">
        <v>3725</v>
      </c>
      <c r="H896" s="98" t="s">
        <v>4025</v>
      </c>
      <c r="I896" s="98" t="s">
        <v>4039</v>
      </c>
      <c r="J896" s="98" t="s">
        <v>4050</v>
      </c>
      <c r="K896" s="17" t="str">
        <f>IFERROR(INDEX(競技会設定!$J$3:$O$47,MATCH(J896,競技会設定!$M$3:$M$47,0),5),"")</f>
        <v>岐阜大</v>
      </c>
      <c r="L896" s="17" t="str">
        <f>IFERROR(INDEX(競技会設定!$J$3:$N$47,MATCH(K896,競技会設定!$N$3:$N$47,0),2),"")</f>
        <v>490041</v>
      </c>
      <c r="M896" s="98" t="s">
        <v>3855</v>
      </c>
      <c r="N896" s="17" t="str">
        <f t="shared" si="40"/>
        <v>DEGAWA, Masaaki</v>
      </c>
      <c r="O896" s="17" t="str">
        <f t="shared" si="41"/>
        <v>97</v>
      </c>
    </row>
    <row r="897" spans="1:15">
      <c r="A897" s="17" t="str">
        <f t="shared" si="39"/>
        <v>501000896</v>
      </c>
      <c r="B897" s="98">
        <v>896</v>
      </c>
      <c r="C897" s="98" t="s">
        <v>1988</v>
      </c>
      <c r="D897" s="98" t="s">
        <v>1989</v>
      </c>
      <c r="E897" s="312" t="s">
        <v>2485</v>
      </c>
      <c r="F897" s="312" t="s">
        <v>7691</v>
      </c>
      <c r="G897" s="98" t="s">
        <v>3726</v>
      </c>
      <c r="H897" s="98" t="s">
        <v>4025</v>
      </c>
      <c r="I897" s="98" t="s">
        <v>4039</v>
      </c>
      <c r="J897" s="98" t="s">
        <v>4050</v>
      </c>
      <c r="K897" s="17" t="str">
        <f>IFERROR(INDEX(競技会設定!$J$3:$O$47,MATCH(J897,競技会設定!$M$3:$M$47,0),5),"")</f>
        <v>岐阜大</v>
      </c>
      <c r="L897" s="17" t="str">
        <f>IFERROR(INDEX(競技会設定!$J$3:$N$47,MATCH(K897,競技会設定!$N$3:$N$47,0),2),"")</f>
        <v>490041</v>
      </c>
      <c r="M897" s="98" t="s">
        <v>3855</v>
      </c>
      <c r="N897" s="17" t="str">
        <f t="shared" si="40"/>
        <v>ASANO, Tomonari</v>
      </c>
      <c r="O897" s="17" t="str">
        <f t="shared" si="41"/>
        <v>98</v>
      </c>
    </row>
    <row r="898" spans="1:15">
      <c r="A898" s="17" t="str">
        <f t="shared" si="39"/>
        <v>501000897</v>
      </c>
      <c r="B898" s="98">
        <v>897</v>
      </c>
      <c r="C898" s="98" t="s">
        <v>1990</v>
      </c>
      <c r="D898" s="98" t="s">
        <v>1991</v>
      </c>
      <c r="E898" s="312" t="s">
        <v>2349</v>
      </c>
      <c r="F898" s="312" t="s">
        <v>7692</v>
      </c>
      <c r="G898" s="98" t="s">
        <v>3727</v>
      </c>
      <c r="H898" s="98" t="s">
        <v>4024</v>
      </c>
      <c r="I898" s="98" t="s">
        <v>4039</v>
      </c>
      <c r="J898" s="98" t="s">
        <v>4050</v>
      </c>
      <c r="K898" s="17" t="str">
        <f>IFERROR(INDEX(競技会設定!$J$3:$O$47,MATCH(J898,競技会設定!$M$3:$M$47,0),5),"")</f>
        <v>岐阜大</v>
      </c>
      <c r="L898" s="17" t="str">
        <f>IFERROR(INDEX(競技会設定!$J$3:$N$47,MATCH(K898,競技会設定!$N$3:$N$47,0),2),"")</f>
        <v>490041</v>
      </c>
      <c r="M898" s="98" t="s">
        <v>3855</v>
      </c>
      <c r="N898" s="17" t="str">
        <f t="shared" si="40"/>
        <v>KOBAYASHI, Fumito</v>
      </c>
      <c r="O898" s="17" t="str">
        <f t="shared" si="41"/>
        <v>98</v>
      </c>
    </row>
    <row r="899" spans="1:15">
      <c r="A899" s="17" t="str">
        <f t="shared" ref="A899:A962" si="42">IF(B899="","","501"&amp;TEXT(B899,"000000"))</f>
        <v>501000898</v>
      </c>
      <c r="B899" s="98">
        <v>898</v>
      </c>
      <c r="C899" s="98" t="s">
        <v>1992</v>
      </c>
      <c r="D899" s="98" t="s">
        <v>1993</v>
      </c>
      <c r="E899" s="312" t="s">
        <v>2933</v>
      </c>
      <c r="F899" s="312" t="s">
        <v>2986</v>
      </c>
      <c r="G899" s="98" t="s">
        <v>3186</v>
      </c>
      <c r="H899" s="98" t="s">
        <v>4024</v>
      </c>
      <c r="I899" s="98" t="s">
        <v>4039</v>
      </c>
      <c r="J899" s="98" t="s">
        <v>4050</v>
      </c>
      <c r="K899" s="17" t="str">
        <f>IFERROR(INDEX(競技会設定!$J$3:$O$47,MATCH(J899,競技会設定!$M$3:$M$47,0),5),"")</f>
        <v>岐阜大</v>
      </c>
      <c r="L899" s="17" t="str">
        <f>IFERROR(INDEX(競技会設定!$J$3:$N$47,MATCH(K899,競技会設定!$N$3:$N$47,0),2),"")</f>
        <v>490041</v>
      </c>
      <c r="M899" s="98" t="s">
        <v>3855</v>
      </c>
      <c r="N899" s="17" t="str">
        <f t="shared" ref="N899:N962" si="43">IF(E899="","",E899&amp;", "&amp;F899)</f>
        <v>HAYASHI, Reo</v>
      </c>
      <c r="O899" s="17" t="str">
        <f t="shared" ref="O899:O962" si="44">IFERROR(TEXT(INT(LEFT(G899,2)),"00"),"")</f>
        <v>99</v>
      </c>
    </row>
    <row r="900" spans="1:15">
      <c r="A900" s="17" t="str">
        <f t="shared" si="42"/>
        <v>501000899</v>
      </c>
      <c r="B900" s="98">
        <v>899</v>
      </c>
      <c r="C900" s="98" t="s">
        <v>1994</v>
      </c>
      <c r="D900" s="98" t="s">
        <v>1995</v>
      </c>
      <c r="E900" s="312" t="s">
        <v>7693</v>
      </c>
      <c r="F900" s="312" t="s">
        <v>2149</v>
      </c>
      <c r="G900" s="98" t="s">
        <v>3706</v>
      </c>
      <c r="H900" s="98" t="s">
        <v>4029</v>
      </c>
      <c r="I900" s="98" t="s">
        <v>4039</v>
      </c>
      <c r="J900" s="98" t="s">
        <v>4050</v>
      </c>
      <c r="K900" s="17" t="str">
        <f>IFERROR(INDEX(競技会設定!$J$3:$O$47,MATCH(J900,競技会設定!$M$3:$M$47,0),5),"")</f>
        <v>岐阜大</v>
      </c>
      <c r="L900" s="17" t="str">
        <f>IFERROR(INDEX(競技会設定!$J$3:$N$47,MATCH(K900,競技会設定!$N$3:$N$47,0),2),"")</f>
        <v>490041</v>
      </c>
      <c r="M900" s="98" t="s">
        <v>3861</v>
      </c>
      <c r="N900" s="17" t="str">
        <f t="shared" si="43"/>
        <v>KOBUCHI, Ryo</v>
      </c>
      <c r="O900" s="17" t="str">
        <f t="shared" si="44"/>
        <v>02</v>
      </c>
    </row>
    <row r="901" spans="1:15">
      <c r="A901" s="17" t="str">
        <f t="shared" si="42"/>
        <v>501000900</v>
      </c>
      <c r="B901" s="98">
        <v>900</v>
      </c>
      <c r="C901" s="98" t="s">
        <v>1996</v>
      </c>
      <c r="D901" s="98" t="s">
        <v>1997</v>
      </c>
      <c r="E901" s="312" t="s">
        <v>7694</v>
      </c>
      <c r="F901" s="312" t="s">
        <v>2310</v>
      </c>
      <c r="G901" s="98" t="s">
        <v>3701</v>
      </c>
      <c r="H901" s="98" t="s">
        <v>4029</v>
      </c>
      <c r="I901" s="98" t="s">
        <v>4039</v>
      </c>
      <c r="J901" s="98" t="s">
        <v>4052</v>
      </c>
      <c r="K901" s="17" t="str">
        <f>IFERROR(INDEX(競技会設定!$J$3:$O$47,MATCH(J901,競技会設定!$M$3:$M$47,0),5),"")</f>
        <v>皇學館大</v>
      </c>
      <c r="L901" s="17" t="str">
        <f>IFERROR(INDEX(競技会設定!$J$3:$N$47,MATCH(K901,競技会設定!$N$3:$N$47,0),2),"")</f>
        <v>492185</v>
      </c>
      <c r="M901" s="98" t="s">
        <v>3899</v>
      </c>
      <c r="N901" s="17" t="str">
        <f t="shared" si="43"/>
        <v>ICHINOSE, Yuito</v>
      </c>
      <c r="O901" s="17" t="str">
        <f t="shared" si="44"/>
        <v>01</v>
      </c>
    </row>
    <row r="902" spans="1:15">
      <c r="A902" s="17" t="str">
        <f t="shared" si="42"/>
        <v>501000901</v>
      </c>
      <c r="B902" s="98">
        <v>901</v>
      </c>
      <c r="C902" s="98" t="s">
        <v>1998</v>
      </c>
      <c r="D902" s="98" t="s">
        <v>1999</v>
      </c>
      <c r="E902" s="312" t="s">
        <v>2508</v>
      </c>
      <c r="F902" s="312" t="s">
        <v>7695</v>
      </c>
      <c r="G902" s="98" t="s">
        <v>3728</v>
      </c>
      <c r="H902" s="98" t="s">
        <v>4029</v>
      </c>
      <c r="I902" s="98" t="s">
        <v>4039</v>
      </c>
      <c r="J902" s="98" t="s">
        <v>4052</v>
      </c>
      <c r="K902" s="17" t="str">
        <f>IFERROR(INDEX(競技会設定!$J$3:$O$47,MATCH(J902,競技会設定!$M$3:$M$47,0),5),"")</f>
        <v>皇學館大</v>
      </c>
      <c r="L902" s="17" t="str">
        <f>IFERROR(INDEX(競技会設定!$J$3:$N$47,MATCH(K902,競技会設定!$N$3:$N$47,0),2),"")</f>
        <v>492185</v>
      </c>
      <c r="M902" s="98" t="s">
        <v>3855</v>
      </c>
      <c r="N902" s="17" t="str">
        <f t="shared" si="43"/>
        <v>UKAI, Issa</v>
      </c>
      <c r="O902" s="17" t="str">
        <f t="shared" si="44"/>
        <v>01</v>
      </c>
    </row>
    <row r="903" spans="1:15">
      <c r="A903" s="17" t="str">
        <f t="shared" si="42"/>
        <v>501000902</v>
      </c>
      <c r="B903" s="98">
        <v>902</v>
      </c>
      <c r="C903" s="98" t="s">
        <v>2000</v>
      </c>
      <c r="D903" s="98" t="s">
        <v>2001</v>
      </c>
      <c r="E903" s="312" t="s">
        <v>2166</v>
      </c>
      <c r="F903" s="312" t="s">
        <v>7696</v>
      </c>
      <c r="G903" s="98" t="s">
        <v>3729</v>
      </c>
      <c r="H903" s="98" t="s">
        <v>4029</v>
      </c>
      <c r="I903" s="98" t="s">
        <v>4039</v>
      </c>
      <c r="J903" s="98" t="s">
        <v>4052</v>
      </c>
      <c r="K903" s="17" t="str">
        <f>IFERROR(INDEX(競技会設定!$J$3:$O$47,MATCH(J903,競技会設定!$M$3:$M$47,0),5),"")</f>
        <v>皇學館大</v>
      </c>
      <c r="L903" s="17" t="str">
        <f>IFERROR(INDEX(競技会設定!$J$3:$N$47,MATCH(K903,競技会設定!$N$3:$N$47,0),2),"")</f>
        <v>492185</v>
      </c>
      <c r="M903" s="98" t="s">
        <v>3822</v>
      </c>
      <c r="N903" s="17" t="str">
        <f t="shared" si="43"/>
        <v>SATO, Takeharu</v>
      </c>
      <c r="O903" s="17" t="str">
        <f t="shared" si="44"/>
        <v>01</v>
      </c>
    </row>
    <row r="904" spans="1:15">
      <c r="A904" s="17" t="str">
        <f t="shared" si="42"/>
        <v>501000903</v>
      </c>
      <c r="B904" s="98">
        <v>903</v>
      </c>
      <c r="C904" s="98" t="s">
        <v>2002</v>
      </c>
      <c r="D904" s="98" t="s">
        <v>2003</v>
      </c>
      <c r="E904" s="312" t="s">
        <v>2166</v>
      </c>
      <c r="F904" s="312" t="s">
        <v>2198</v>
      </c>
      <c r="G904" s="98" t="s">
        <v>3665</v>
      </c>
      <c r="H904" s="98" t="s">
        <v>4029</v>
      </c>
      <c r="I904" s="98" t="s">
        <v>4039</v>
      </c>
      <c r="J904" s="98" t="s">
        <v>4052</v>
      </c>
      <c r="K904" s="17" t="str">
        <f>IFERROR(INDEX(競技会設定!$J$3:$O$47,MATCH(J904,競技会設定!$M$3:$M$47,0),5),"")</f>
        <v>皇學館大</v>
      </c>
      <c r="L904" s="17" t="str">
        <f>IFERROR(INDEX(競技会設定!$J$3:$N$47,MATCH(K904,競技会設定!$N$3:$N$47,0),2),"")</f>
        <v>492185</v>
      </c>
      <c r="M904" s="98" t="s">
        <v>3899</v>
      </c>
      <c r="N904" s="17" t="str">
        <f t="shared" si="43"/>
        <v>SATO, Hikaru</v>
      </c>
      <c r="O904" s="17" t="str">
        <f t="shared" si="44"/>
        <v>01</v>
      </c>
    </row>
    <row r="905" spans="1:15">
      <c r="A905" s="17" t="str">
        <f t="shared" si="42"/>
        <v>501000904</v>
      </c>
      <c r="B905" s="98">
        <v>904</v>
      </c>
      <c r="C905" s="98" t="s">
        <v>2004</v>
      </c>
      <c r="D905" s="98" t="s">
        <v>2005</v>
      </c>
      <c r="E905" s="312" t="s">
        <v>2166</v>
      </c>
      <c r="F905" s="312" t="s">
        <v>7697</v>
      </c>
      <c r="G905" s="98" t="s">
        <v>3571</v>
      </c>
      <c r="H905" s="98" t="s">
        <v>4029</v>
      </c>
      <c r="I905" s="98" t="s">
        <v>4039</v>
      </c>
      <c r="J905" s="98" t="s">
        <v>4052</v>
      </c>
      <c r="K905" s="17" t="str">
        <f>IFERROR(INDEX(競技会設定!$J$3:$O$47,MATCH(J905,競技会設定!$M$3:$M$47,0),5),"")</f>
        <v>皇學館大</v>
      </c>
      <c r="L905" s="17" t="str">
        <f>IFERROR(INDEX(競技会設定!$J$3:$N$47,MATCH(K905,競技会設定!$N$3:$N$47,0),2),"")</f>
        <v>492185</v>
      </c>
      <c r="M905" s="98" t="s">
        <v>3853</v>
      </c>
      <c r="N905" s="17" t="str">
        <f t="shared" si="43"/>
        <v>SATO, Fuma</v>
      </c>
      <c r="O905" s="17" t="str">
        <f t="shared" si="44"/>
        <v>01</v>
      </c>
    </row>
    <row r="906" spans="1:15">
      <c r="A906" s="17" t="str">
        <f t="shared" si="42"/>
        <v>501000905</v>
      </c>
      <c r="B906" s="98">
        <v>905</v>
      </c>
      <c r="C906" s="98" t="s">
        <v>2006</v>
      </c>
      <c r="D906" s="98" t="s">
        <v>2007</v>
      </c>
      <c r="E906" s="312" t="s">
        <v>7698</v>
      </c>
      <c r="F906" s="312" t="s">
        <v>7699</v>
      </c>
      <c r="G906" s="98" t="s">
        <v>3730</v>
      </c>
      <c r="H906" s="98" t="s">
        <v>4029</v>
      </c>
      <c r="I906" s="98" t="s">
        <v>4039</v>
      </c>
      <c r="J906" s="98" t="s">
        <v>4052</v>
      </c>
      <c r="K906" s="17" t="str">
        <f>IFERROR(INDEX(競技会設定!$J$3:$O$47,MATCH(J906,競技会設定!$M$3:$M$47,0),5),"")</f>
        <v>皇學館大</v>
      </c>
      <c r="L906" s="17" t="str">
        <f>IFERROR(INDEX(競技会設定!$J$3:$N$47,MATCH(K906,競技会設定!$N$3:$N$47,0),2),"")</f>
        <v>492185</v>
      </c>
      <c r="M906" s="98" t="s">
        <v>3822</v>
      </c>
      <c r="N906" s="17" t="str">
        <f t="shared" si="43"/>
        <v>SHIBUE, Yoshikazu</v>
      </c>
      <c r="O906" s="17" t="str">
        <f t="shared" si="44"/>
        <v>01</v>
      </c>
    </row>
    <row r="907" spans="1:15">
      <c r="A907" s="17" t="str">
        <f t="shared" si="42"/>
        <v>501000906</v>
      </c>
      <c r="B907" s="98">
        <v>906</v>
      </c>
      <c r="C907" s="98" t="s">
        <v>2008</v>
      </c>
      <c r="D907" s="98" t="s">
        <v>2009</v>
      </c>
      <c r="E907" s="312" t="s">
        <v>7700</v>
      </c>
      <c r="F907" s="312" t="s">
        <v>7701</v>
      </c>
      <c r="G907" s="98" t="s">
        <v>3731</v>
      </c>
      <c r="H907" s="98" t="s">
        <v>4029</v>
      </c>
      <c r="I907" s="98" t="s">
        <v>4039</v>
      </c>
      <c r="J907" s="98" t="s">
        <v>4052</v>
      </c>
      <c r="K907" s="17" t="str">
        <f>IFERROR(INDEX(競技会設定!$J$3:$O$47,MATCH(J907,競技会設定!$M$3:$M$47,0),5),"")</f>
        <v>皇學館大</v>
      </c>
      <c r="L907" s="17" t="str">
        <f>IFERROR(INDEX(競技会設定!$J$3:$N$47,MATCH(K907,競技会設定!$N$3:$N$47,0),2),"")</f>
        <v>492185</v>
      </c>
      <c r="M907" s="98" t="s">
        <v>3857</v>
      </c>
      <c r="N907" s="17" t="str">
        <f t="shared" si="43"/>
        <v>HASHIKAWA, Kazunao</v>
      </c>
      <c r="O907" s="17" t="str">
        <f t="shared" si="44"/>
        <v>02</v>
      </c>
    </row>
    <row r="908" spans="1:15">
      <c r="A908" s="17" t="str">
        <f t="shared" si="42"/>
        <v>501000907</v>
      </c>
      <c r="B908" s="98">
        <v>907</v>
      </c>
      <c r="C908" s="98" t="s">
        <v>2010</v>
      </c>
      <c r="D908" s="98" t="s">
        <v>2011</v>
      </c>
      <c r="E908" s="312" t="s">
        <v>2706</v>
      </c>
      <c r="F908" s="312" t="s">
        <v>7702</v>
      </c>
      <c r="G908" s="98" t="s">
        <v>3732</v>
      </c>
      <c r="H908" s="98" t="s">
        <v>4029</v>
      </c>
      <c r="I908" s="98" t="s">
        <v>4039</v>
      </c>
      <c r="J908" s="98" t="s">
        <v>4052</v>
      </c>
      <c r="K908" s="17" t="str">
        <f>IFERROR(INDEX(競技会設定!$J$3:$O$47,MATCH(J908,競技会設定!$M$3:$M$47,0),5),"")</f>
        <v>皇學館大</v>
      </c>
      <c r="L908" s="17" t="str">
        <f>IFERROR(INDEX(競技会設定!$J$3:$N$47,MATCH(K908,競技会設定!$N$3:$N$47,0),2),"")</f>
        <v>492185</v>
      </c>
      <c r="M908" s="98" t="s">
        <v>3859</v>
      </c>
      <c r="N908" s="17" t="str">
        <f t="shared" si="43"/>
        <v>MATSUDA, Chiaki</v>
      </c>
      <c r="O908" s="17" t="str">
        <f t="shared" si="44"/>
        <v>01</v>
      </c>
    </row>
    <row r="909" spans="1:15">
      <c r="A909" s="17" t="str">
        <f t="shared" si="42"/>
        <v>501000908</v>
      </c>
      <c r="B909" s="98">
        <v>908</v>
      </c>
      <c r="C909" s="98" t="s">
        <v>2012</v>
      </c>
      <c r="D909" s="98" t="s">
        <v>2013</v>
      </c>
      <c r="E909" s="312" t="s">
        <v>7703</v>
      </c>
      <c r="F909" s="312" t="s">
        <v>2242</v>
      </c>
      <c r="G909" s="98" t="s">
        <v>3716</v>
      </c>
      <c r="H909" s="98" t="s">
        <v>4029</v>
      </c>
      <c r="I909" s="98" t="s">
        <v>4039</v>
      </c>
      <c r="J909" s="98" t="s">
        <v>4052</v>
      </c>
      <c r="K909" s="17" t="str">
        <f>IFERROR(INDEX(競技会設定!$J$3:$O$47,MATCH(J909,競技会設定!$M$3:$M$47,0),5),"")</f>
        <v>皇學館大</v>
      </c>
      <c r="L909" s="17" t="str">
        <f>IFERROR(INDEX(競技会設定!$J$3:$N$47,MATCH(K909,競技会設定!$N$3:$N$47,0),2),"")</f>
        <v>492185</v>
      </c>
      <c r="M909" s="98" t="s">
        <v>3899</v>
      </c>
      <c r="N909" s="17" t="str">
        <f t="shared" si="43"/>
        <v>MATSUNO, Hayato</v>
      </c>
      <c r="O909" s="17" t="str">
        <f t="shared" si="44"/>
        <v>01</v>
      </c>
    </row>
    <row r="910" spans="1:15">
      <c r="A910" s="17" t="str">
        <f t="shared" si="42"/>
        <v>501000909</v>
      </c>
      <c r="B910" s="98">
        <v>909</v>
      </c>
      <c r="C910" s="98" t="s">
        <v>2014</v>
      </c>
      <c r="D910" s="98" t="s">
        <v>2015</v>
      </c>
      <c r="E910" s="312" t="s">
        <v>2259</v>
      </c>
      <c r="F910" s="312" t="s">
        <v>4398</v>
      </c>
      <c r="G910" s="98" t="s">
        <v>3733</v>
      </c>
      <c r="H910" s="98" t="s">
        <v>4029</v>
      </c>
      <c r="I910" s="98" t="s">
        <v>4039</v>
      </c>
      <c r="J910" s="98" t="s">
        <v>4052</v>
      </c>
      <c r="K910" s="17" t="str">
        <f>IFERROR(INDEX(競技会設定!$J$3:$O$47,MATCH(J910,競技会設定!$M$3:$M$47,0),5),"")</f>
        <v>皇學館大</v>
      </c>
      <c r="L910" s="17" t="str">
        <f>IFERROR(INDEX(競技会設定!$J$3:$N$47,MATCH(K910,競技会設定!$N$3:$N$47,0),2),"")</f>
        <v>492185</v>
      </c>
      <c r="M910" s="98" t="s">
        <v>3861</v>
      </c>
      <c r="N910" s="17" t="str">
        <f t="shared" si="43"/>
        <v>YAMAMOTO, Manato</v>
      </c>
      <c r="O910" s="17" t="str">
        <f t="shared" si="44"/>
        <v>02</v>
      </c>
    </row>
    <row r="911" spans="1:15">
      <c r="A911" s="17" t="str">
        <f t="shared" si="42"/>
        <v>501000910</v>
      </c>
      <c r="B911" s="98">
        <v>910</v>
      </c>
      <c r="C911" s="98" t="s">
        <v>2016</v>
      </c>
      <c r="D911" s="98" t="s">
        <v>2017</v>
      </c>
      <c r="E911" s="312" t="s">
        <v>7704</v>
      </c>
      <c r="F911" s="312" t="s">
        <v>2184</v>
      </c>
      <c r="G911" s="98" t="s">
        <v>3734</v>
      </c>
      <c r="H911" s="98" t="s">
        <v>4029</v>
      </c>
      <c r="I911" s="98" t="s">
        <v>4039</v>
      </c>
      <c r="J911" s="98" t="s">
        <v>4052</v>
      </c>
      <c r="K911" s="17" t="str">
        <f>IFERROR(INDEX(競技会設定!$J$3:$O$47,MATCH(J911,競技会設定!$M$3:$M$47,0),5),"")</f>
        <v>皇學館大</v>
      </c>
      <c r="L911" s="17" t="str">
        <f>IFERROR(INDEX(競技会設定!$J$3:$N$47,MATCH(K911,競技会設定!$N$3:$N$47,0),2),"")</f>
        <v>492185</v>
      </c>
      <c r="M911" s="98" t="s">
        <v>3861</v>
      </c>
      <c r="N911" s="17" t="str">
        <f t="shared" si="43"/>
        <v>YADA, Taisei</v>
      </c>
      <c r="O911" s="17" t="str">
        <f t="shared" si="44"/>
        <v>01</v>
      </c>
    </row>
    <row r="912" spans="1:15">
      <c r="A912" s="17" t="str">
        <f t="shared" si="42"/>
        <v>501000911</v>
      </c>
      <c r="B912" s="98">
        <v>911</v>
      </c>
      <c r="C912" s="98" t="s">
        <v>2018</v>
      </c>
      <c r="D912" s="98" t="s">
        <v>2019</v>
      </c>
      <c r="E912" s="312" t="s">
        <v>7705</v>
      </c>
      <c r="F912" s="312" t="s">
        <v>2637</v>
      </c>
      <c r="G912" s="98" t="s">
        <v>3462</v>
      </c>
      <c r="H912" s="98" t="s">
        <v>4025</v>
      </c>
      <c r="I912" s="98" t="s">
        <v>4039</v>
      </c>
      <c r="J912" s="98" t="s">
        <v>4054</v>
      </c>
      <c r="K912" s="17" t="str">
        <f>IFERROR(INDEX(競技会設定!$J$3:$O$47,MATCH(J912,競技会設定!$M$3:$M$47,0),5),"")</f>
        <v>三重大</v>
      </c>
      <c r="L912" s="17" t="str">
        <f>IFERROR(INDEX(競技会設定!$J$3:$N$47,MATCH(K912,競技会設定!$N$3:$N$47,0),2),"")</f>
        <v>490046</v>
      </c>
      <c r="M912" s="98" t="s">
        <v>3861</v>
      </c>
      <c r="N912" s="17" t="str">
        <f t="shared" si="43"/>
        <v>SAWAMURA, Kento</v>
      </c>
      <c r="O912" s="17" t="str">
        <f t="shared" si="44"/>
        <v>98</v>
      </c>
    </row>
    <row r="913" spans="1:15">
      <c r="A913" s="17" t="str">
        <f t="shared" si="42"/>
        <v>501000912</v>
      </c>
      <c r="B913" s="98">
        <v>912</v>
      </c>
      <c r="C913" s="98" t="s">
        <v>2020</v>
      </c>
      <c r="D913" s="98" t="s">
        <v>2021</v>
      </c>
      <c r="E913" s="312" t="s">
        <v>7706</v>
      </c>
      <c r="F913" s="312" t="s">
        <v>2665</v>
      </c>
      <c r="G913" s="98" t="s">
        <v>3735</v>
      </c>
      <c r="H913" s="98" t="s">
        <v>4024</v>
      </c>
      <c r="I913" s="98" t="s">
        <v>4039</v>
      </c>
      <c r="J913" s="98" t="s">
        <v>4054</v>
      </c>
      <c r="K913" s="17" t="str">
        <f>IFERROR(INDEX(競技会設定!$J$3:$O$47,MATCH(J913,競技会設定!$M$3:$M$47,0),5),"")</f>
        <v>三重大</v>
      </c>
      <c r="L913" s="17" t="str">
        <f>IFERROR(INDEX(競技会設定!$J$3:$N$47,MATCH(K913,競技会設定!$N$3:$N$47,0),2),"")</f>
        <v>490046</v>
      </c>
      <c r="M913" s="98" t="s">
        <v>3861</v>
      </c>
      <c r="N913" s="17" t="str">
        <f t="shared" si="43"/>
        <v>MINAMI, Ryoya</v>
      </c>
      <c r="O913" s="17" t="str">
        <f t="shared" si="44"/>
        <v>99</v>
      </c>
    </row>
    <row r="914" spans="1:15">
      <c r="A914" s="17" t="str">
        <f t="shared" si="42"/>
        <v>501000913</v>
      </c>
      <c r="B914" s="98">
        <v>913</v>
      </c>
      <c r="C914" s="98" t="s">
        <v>2022</v>
      </c>
      <c r="D914" s="98" t="s">
        <v>2023</v>
      </c>
      <c r="E914" s="312" t="s">
        <v>7707</v>
      </c>
      <c r="F914" s="312" t="s">
        <v>7708</v>
      </c>
      <c r="G914" s="98" t="s">
        <v>3736</v>
      </c>
      <c r="H914" s="98" t="s">
        <v>4025</v>
      </c>
      <c r="I914" s="98" t="s">
        <v>4039</v>
      </c>
      <c r="J914" s="98" t="s">
        <v>4054</v>
      </c>
      <c r="K914" s="17" t="str">
        <f>IFERROR(INDEX(競技会設定!$J$3:$O$47,MATCH(J914,競技会設定!$M$3:$M$47,0),5),"")</f>
        <v>三重大</v>
      </c>
      <c r="L914" s="17" t="str">
        <f>IFERROR(INDEX(競技会設定!$J$3:$N$47,MATCH(K914,競技会設定!$N$3:$N$47,0),2),"")</f>
        <v>490046</v>
      </c>
      <c r="M914" s="98" t="s">
        <v>3861</v>
      </c>
      <c r="N914" s="17" t="str">
        <f t="shared" si="43"/>
        <v>DEJIMA, Tento</v>
      </c>
      <c r="O914" s="17" t="str">
        <f t="shared" si="44"/>
        <v>98</v>
      </c>
    </row>
    <row r="915" spans="1:15">
      <c r="A915" s="17" t="str">
        <f t="shared" si="42"/>
        <v>501000914</v>
      </c>
      <c r="B915" s="98">
        <v>914</v>
      </c>
      <c r="C915" s="98" t="s">
        <v>2024</v>
      </c>
      <c r="D915" s="98" t="s">
        <v>2025</v>
      </c>
      <c r="E915" s="312" t="s">
        <v>7709</v>
      </c>
      <c r="F915" s="312" t="s">
        <v>2106</v>
      </c>
      <c r="G915" s="98" t="s">
        <v>3737</v>
      </c>
      <c r="H915" s="98" t="s">
        <v>4024</v>
      </c>
      <c r="I915" s="98" t="s">
        <v>4039</v>
      </c>
      <c r="J915" s="98" t="s">
        <v>4054</v>
      </c>
      <c r="K915" s="17" t="str">
        <f>IFERROR(INDEX(競技会設定!$J$3:$O$47,MATCH(J915,競技会設定!$M$3:$M$47,0),5),"")</f>
        <v>三重大</v>
      </c>
      <c r="L915" s="17" t="str">
        <f>IFERROR(INDEX(競技会設定!$J$3:$N$47,MATCH(K915,競技会設定!$N$3:$N$47,0),2),"")</f>
        <v>490046</v>
      </c>
      <c r="M915" s="98" t="s">
        <v>3861</v>
      </c>
      <c r="N915" s="17" t="str">
        <f t="shared" si="43"/>
        <v>URANISHI, Yusuke</v>
      </c>
      <c r="O915" s="17" t="str">
        <f t="shared" si="44"/>
        <v>00</v>
      </c>
    </row>
    <row r="916" spans="1:15">
      <c r="A916" s="17" t="str">
        <f t="shared" si="42"/>
        <v>501000915</v>
      </c>
      <c r="B916" s="98">
        <v>915</v>
      </c>
      <c r="C916" s="98" t="s">
        <v>2026</v>
      </c>
      <c r="D916" s="98" t="s">
        <v>2027</v>
      </c>
      <c r="E916" s="312" t="s">
        <v>2166</v>
      </c>
      <c r="F916" s="312" t="s">
        <v>2486</v>
      </c>
      <c r="G916" s="98" t="s">
        <v>3738</v>
      </c>
      <c r="H916" s="98" t="s">
        <v>4025</v>
      </c>
      <c r="I916" s="98" t="s">
        <v>4039</v>
      </c>
      <c r="J916" s="98" t="s">
        <v>4054</v>
      </c>
      <c r="K916" s="17" t="str">
        <f>IFERROR(INDEX(競技会設定!$J$3:$O$47,MATCH(J916,競技会設定!$M$3:$M$47,0),5),"")</f>
        <v>三重大</v>
      </c>
      <c r="L916" s="17" t="str">
        <f>IFERROR(INDEX(競技会設定!$J$3:$N$47,MATCH(K916,競技会設定!$N$3:$N$47,0),2),"")</f>
        <v>490046</v>
      </c>
      <c r="M916" s="98" t="s">
        <v>3861</v>
      </c>
      <c r="N916" s="17" t="str">
        <f t="shared" si="43"/>
        <v>SATO, Shunsuke</v>
      </c>
      <c r="O916" s="17" t="str">
        <f t="shared" si="44"/>
        <v>97</v>
      </c>
    </row>
    <row r="917" spans="1:15">
      <c r="A917" s="17" t="str">
        <f t="shared" si="42"/>
        <v>501000916</v>
      </c>
      <c r="B917" s="98">
        <v>916</v>
      </c>
      <c r="C917" s="98" t="s">
        <v>2028</v>
      </c>
      <c r="D917" s="98" t="s">
        <v>2029</v>
      </c>
      <c r="E917" s="312" t="s">
        <v>7710</v>
      </c>
      <c r="F917" s="312" t="s">
        <v>2116</v>
      </c>
      <c r="G917" s="98" t="s">
        <v>3739</v>
      </c>
      <c r="H917" s="98" t="s">
        <v>4024</v>
      </c>
      <c r="I917" s="98" t="s">
        <v>4039</v>
      </c>
      <c r="J917" s="98" t="s">
        <v>4054</v>
      </c>
      <c r="K917" s="17" t="str">
        <f>IFERROR(INDEX(競技会設定!$J$3:$O$47,MATCH(J917,競技会設定!$M$3:$M$47,0),5),"")</f>
        <v>三重大</v>
      </c>
      <c r="L917" s="17" t="str">
        <f>IFERROR(INDEX(競技会設定!$J$3:$N$47,MATCH(K917,競技会設定!$N$3:$N$47,0),2),"")</f>
        <v>490046</v>
      </c>
      <c r="M917" s="98" t="s">
        <v>3861</v>
      </c>
      <c r="N917" s="17" t="str">
        <f t="shared" si="43"/>
        <v>UDA, Hiroki</v>
      </c>
      <c r="O917" s="17" t="str">
        <f t="shared" si="44"/>
        <v>99</v>
      </c>
    </row>
    <row r="918" spans="1:15">
      <c r="A918" s="17" t="str">
        <f t="shared" si="42"/>
        <v>501000917</v>
      </c>
      <c r="B918" s="98">
        <v>917</v>
      </c>
      <c r="C918" s="98" t="s">
        <v>2030</v>
      </c>
      <c r="D918" s="98" t="s">
        <v>2031</v>
      </c>
      <c r="E918" s="312" t="s">
        <v>7711</v>
      </c>
      <c r="F918" s="312" t="s">
        <v>2785</v>
      </c>
      <c r="G918" s="98" t="s">
        <v>3449</v>
      </c>
      <c r="H918" s="98" t="s">
        <v>4024</v>
      </c>
      <c r="I918" s="98" t="s">
        <v>4039</v>
      </c>
      <c r="J918" s="98" t="s">
        <v>4054</v>
      </c>
      <c r="K918" s="17" t="str">
        <f>IFERROR(INDEX(競技会設定!$J$3:$O$47,MATCH(J918,競技会設定!$M$3:$M$47,0),5),"")</f>
        <v>三重大</v>
      </c>
      <c r="L918" s="17" t="str">
        <f>IFERROR(INDEX(競技会設定!$J$3:$N$47,MATCH(K918,競技会設定!$N$3:$N$47,0),2),"")</f>
        <v>490046</v>
      </c>
      <c r="M918" s="98" t="s">
        <v>3861</v>
      </c>
      <c r="N918" s="17" t="str">
        <f t="shared" si="43"/>
        <v>KAMIYA, Atsuki</v>
      </c>
      <c r="O918" s="17" t="str">
        <f t="shared" si="44"/>
        <v>99</v>
      </c>
    </row>
    <row r="919" spans="1:15">
      <c r="A919" s="17" t="str">
        <f t="shared" si="42"/>
        <v>501000918</v>
      </c>
      <c r="B919" s="98">
        <v>918</v>
      </c>
      <c r="C919" s="98" t="s">
        <v>2032</v>
      </c>
      <c r="D919" s="98" t="s">
        <v>2033</v>
      </c>
      <c r="E919" s="312" t="s">
        <v>7712</v>
      </c>
      <c r="F919" s="312" t="s">
        <v>2437</v>
      </c>
      <c r="G919" s="98" t="s">
        <v>3331</v>
      </c>
      <c r="H919" s="98" t="s">
        <v>4024</v>
      </c>
      <c r="I919" s="98" t="s">
        <v>4039</v>
      </c>
      <c r="J919" s="98" t="s">
        <v>4054</v>
      </c>
      <c r="K919" s="17" t="str">
        <f>IFERROR(INDEX(競技会設定!$J$3:$O$47,MATCH(J919,競技会設定!$M$3:$M$47,0),5),"")</f>
        <v>三重大</v>
      </c>
      <c r="L919" s="17" t="str">
        <f>IFERROR(INDEX(競技会設定!$J$3:$N$47,MATCH(K919,競技会設定!$N$3:$N$47,0),2),"")</f>
        <v>490046</v>
      </c>
      <c r="M919" s="98" t="s">
        <v>3861</v>
      </c>
      <c r="N919" s="17" t="str">
        <f t="shared" si="43"/>
        <v>YAMAGIWA, Taiga</v>
      </c>
      <c r="O919" s="17" t="str">
        <f t="shared" si="44"/>
        <v>99</v>
      </c>
    </row>
    <row r="920" spans="1:15">
      <c r="A920" s="17" t="str">
        <f t="shared" si="42"/>
        <v>501000919</v>
      </c>
      <c r="B920" s="98">
        <v>919</v>
      </c>
      <c r="C920" s="98" t="s">
        <v>2034</v>
      </c>
      <c r="D920" s="98" t="s">
        <v>2035</v>
      </c>
      <c r="E920" s="312" t="s">
        <v>2510</v>
      </c>
      <c r="F920" s="312" t="s">
        <v>2133</v>
      </c>
      <c r="G920" s="98" t="s">
        <v>3437</v>
      </c>
      <c r="H920" s="98" t="s">
        <v>4025</v>
      </c>
      <c r="I920" s="98" t="s">
        <v>4039</v>
      </c>
      <c r="J920" s="98" t="s">
        <v>4054</v>
      </c>
      <c r="K920" s="17" t="str">
        <f>IFERROR(INDEX(競技会設定!$J$3:$O$47,MATCH(J920,競技会設定!$M$3:$M$47,0),5),"")</f>
        <v>三重大</v>
      </c>
      <c r="L920" s="17" t="str">
        <f>IFERROR(INDEX(競技会設定!$J$3:$N$47,MATCH(K920,競技会設定!$N$3:$N$47,0),2),"")</f>
        <v>490046</v>
      </c>
      <c r="M920" s="98" t="s">
        <v>3861</v>
      </c>
      <c r="N920" s="17" t="str">
        <f t="shared" si="43"/>
        <v>OSAKI, Shuta</v>
      </c>
      <c r="O920" s="17" t="str">
        <f t="shared" si="44"/>
        <v>98</v>
      </c>
    </row>
    <row r="921" spans="1:15">
      <c r="A921" s="17" t="str">
        <f t="shared" si="42"/>
        <v>501000920</v>
      </c>
      <c r="B921" s="98">
        <v>920</v>
      </c>
      <c r="C921" s="98" t="s">
        <v>2036</v>
      </c>
      <c r="D921" s="98" t="s">
        <v>2037</v>
      </c>
      <c r="E921" s="312" t="s">
        <v>2140</v>
      </c>
      <c r="F921" s="312" t="s">
        <v>7713</v>
      </c>
      <c r="G921" s="98" t="s">
        <v>3274</v>
      </c>
      <c r="H921" s="98" t="s">
        <v>4025</v>
      </c>
      <c r="I921" s="98" t="s">
        <v>4039</v>
      </c>
      <c r="J921" s="98" t="s">
        <v>4054</v>
      </c>
      <c r="K921" s="17" t="str">
        <f>IFERROR(INDEX(競技会設定!$J$3:$O$47,MATCH(J921,競技会設定!$M$3:$M$47,0),5),"")</f>
        <v>三重大</v>
      </c>
      <c r="L921" s="17" t="str">
        <f>IFERROR(INDEX(競技会設定!$J$3:$N$47,MATCH(K921,競技会設定!$N$3:$N$47,0),2),"")</f>
        <v>490046</v>
      </c>
      <c r="M921" s="98" t="s">
        <v>3861</v>
      </c>
      <c r="N921" s="17" t="str">
        <f t="shared" si="43"/>
        <v>IWATA, Keiju</v>
      </c>
      <c r="O921" s="17" t="str">
        <f t="shared" si="44"/>
        <v>98</v>
      </c>
    </row>
    <row r="922" spans="1:15">
      <c r="A922" s="17" t="str">
        <f t="shared" si="42"/>
        <v>501000921</v>
      </c>
      <c r="B922" s="98">
        <v>921</v>
      </c>
      <c r="C922" s="98" t="s">
        <v>2038</v>
      </c>
      <c r="D922" s="98" t="s">
        <v>2039</v>
      </c>
      <c r="E922" s="312" t="s">
        <v>2496</v>
      </c>
      <c r="F922" s="312" t="s">
        <v>2129</v>
      </c>
      <c r="G922" s="98" t="s">
        <v>3390</v>
      </c>
      <c r="H922" s="98" t="s">
        <v>4026</v>
      </c>
      <c r="I922" s="98" t="s">
        <v>4039</v>
      </c>
      <c r="J922" s="98" t="s">
        <v>4054</v>
      </c>
      <c r="K922" s="17" t="str">
        <f>IFERROR(INDEX(競技会設定!$J$3:$O$47,MATCH(J922,競技会設定!$M$3:$M$47,0),5),"")</f>
        <v>三重大</v>
      </c>
      <c r="L922" s="17" t="str">
        <f>IFERROR(INDEX(競技会設定!$J$3:$N$47,MATCH(K922,競技会設定!$N$3:$N$47,0),2),"")</f>
        <v>490046</v>
      </c>
      <c r="M922" s="98" t="s">
        <v>3861</v>
      </c>
      <c r="N922" s="17" t="str">
        <f t="shared" si="43"/>
        <v>NISHIMURA, Takeshi</v>
      </c>
      <c r="O922" s="17" t="str">
        <f t="shared" si="44"/>
        <v>01</v>
      </c>
    </row>
    <row r="923" spans="1:15">
      <c r="A923" s="17" t="str">
        <f t="shared" si="42"/>
        <v>501000922</v>
      </c>
      <c r="B923" s="98">
        <v>922</v>
      </c>
      <c r="C923" s="98" t="s">
        <v>2040</v>
      </c>
      <c r="D923" s="98" t="s">
        <v>2041</v>
      </c>
      <c r="E923" s="312" t="s">
        <v>7714</v>
      </c>
      <c r="F923" s="312" t="s">
        <v>2234</v>
      </c>
      <c r="G923" s="98" t="s">
        <v>3740</v>
      </c>
      <c r="H923" s="98" t="s">
        <v>4026</v>
      </c>
      <c r="I923" s="98" t="s">
        <v>4039</v>
      </c>
      <c r="J923" s="98" t="s">
        <v>4054</v>
      </c>
      <c r="K923" s="17" t="str">
        <f>IFERROR(INDEX(競技会設定!$J$3:$O$47,MATCH(J923,競技会設定!$M$3:$M$47,0),5),"")</f>
        <v>三重大</v>
      </c>
      <c r="L923" s="17" t="str">
        <f>IFERROR(INDEX(競技会設定!$J$3:$N$47,MATCH(K923,競技会設定!$N$3:$N$47,0),2),"")</f>
        <v>490046</v>
      </c>
      <c r="M923" s="98" t="s">
        <v>3861</v>
      </c>
      <c r="N923" s="17" t="str">
        <f t="shared" si="43"/>
        <v>YAMAHA, Yuto</v>
      </c>
      <c r="O923" s="17" t="str">
        <f t="shared" si="44"/>
        <v>01</v>
      </c>
    </row>
    <row r="924" spans="1:15">
      <c r="A924" s="17" t="str">
        <f t="shared" si="42"/>
        <v>501000923</v>
      </c>
      <c r="B924" s="98">
        <v>923</v>
      </c>
      <c r="C924" s="98" t="s">
        <v>2042</v>
      </c>
      <c r="D924" s="98" t="s">
        <v>2043</v>
      </c>
      <c r="E924" s="312" t="s">
        <v>7715</v>
      </c>
      <c r="F924" s="312" t="s">
        <v>7716</v>
      </c>
      <c r="G924" s="98" t="s">
        <v>3655</v>
      </c>
      <c r="H924" s="98" t="s">
        <v>4025</v>
      </c>
      <c r="I924" s="98" t="s">
        <v>4039</v>
      </c>
      <c r="J924" s="98" t="s">
        <v>4054</v>
      </c>
      <c r="K924" s="17" t="str">
        <f>IFERROR(INDEX(競技会設定!$J$3:$O$47,MATCH(J924,競技会設定!$M$3:$M$47,0),5),"")</f>
        <v>三重大</v>
      </c>
      <c r="L924" s="17" t="str">
        <f>IFERROR(INDEX(競技会設定!$J$3:$N$47,MATCH(K924,競技会設定!$N$3:$N$47,0),2),"")</f>
        <v>490046</v>
      </c>
      <c r="M924" s="98" t="s">
        <v>3861</v>
      </c>
      <c r="N924" s="17" t="str">
        <f t="shared" si="43"/>
        <v>ISHIMATSU, Rinpei</v>
      </c>
      <c r="O924" s="17" t="str">
        <f t="shared" si="44"/>
        <v>98</v>
      </c>
    </row>
    <row r="925" spans="1:15">
      <c r="A925" s="17" t="str">
        <f t="shared" si="42"/>
        <v>501000924</v>
      </c>
      <c r="B925" s="98">
        <v>924</v>
      </c>
      <c r="C925" s="98" t="s">
        <v>2044</v>
      </c>
      <c r="D925" s="98" t="s">
        <v>2045</v>
      </c>
      <c r="E925" s="312" t="s">
        <v>2566</v>
      </c>
      <c r="F925" s="312" t="s">
        <v>2665</v>
      </c>
      <c r="G925" s="98" t="s">
        <v>3741</v>
      </c>
      <c r="H925" s="98" t="s">
        <v>4026</v>
      </c>
      <c r="I925" s="98" t="s">
        <v>4039</v>
      </c>
      <c r="J925" s="98" t="s">
        <v>4054</v>
      </c>
      <c r="K925" s="17" t="str">
        <f>IFERROR(INDEX(競技会設定!$J$3:$O$47,MATCH(J925,競技会設定!$M$3:$M$47,0),5),"")</f>
        <v>三重大</v>
      </c>
      <c r="L925" s="17" t="str">
        <f>IFERROR(INDEX(競技会設定!$J$3:$N$47,MATCH(K925,競技会設定!$N$3:$N$47,0),2),"")</f>
        <v>490046</v>
      </c>
      <c r="M925" s="98" t="s">
        <v>3861</v>
      </c>
      <c r="N925" s="17" t="str">
        <f t="shared" si="43"/>
        <v>SAITO, Ryoya</v>
      </c>
      <c r="O925" s="17" t="str">
        <f t="shared" si="44"/>
        <v>99</v>
      </c>
    </row>
    <row r="926" spans="1:15">
      <c r="A926" s="17" t="str">
        <f t="shared" si="42"/>
        <v>501000925</v>
      </c>
      <c r="B926" s="98">
        <v>925</v>
      </c>
      <c r="C926" s="98" t="s">
        <v>2046</v>
      </c>
      <c r="D926" s="98" t="s">
        <v>2047</v>
      </c>
      <c r="E926" s="312" t="s">
        <v>7680</v>
      </c>
      <c r="F926" s="312" t="s">
        <v>7717</v>
      </c>
      <c r="G926" s="98" t="s">
        <v>3742</v>
      </c>
      <c r="H926" s="98" t="s">
        <v>4024</v>
      </c>
      <c r="I926" s="98" t="s">
        <v>4039</v>
      </c>
      <c r="J926" s="98" t="s">
        <v>4059</v>
      </c>
      <c r="K926" s="17" t="str">
        <f>IFERROR(INDEX(競技会設定!$J$3:$O$47,MATCH(J926,競技会設定!$M$3:$M$47,0),5),"")</f>
        <v>中部大</v>
      </c>
      <c r="L926" s="17" t="str">
        <f>IFERROR(INDEX(競技会設定!$J$3:$N$47,MATCH(K926,競技会設定!$N$3:$N$47,0),2),"")</f>
        <v>492175</v>
      </c>
      <c r="M926" s="98" t="s">
        <v>3859</v>
      </c>
      <c r="N926" s="17" t="str">
        <f t="shared" si="43"/>
        <v>OISHI, Kazuhiro</v>
      </c>
      <c r="O926" s="17" t="str">
        <f t="shared" si="44"/>
        <v>98</v>
      </c>
    </row>
    <row r="927" spans="1:15">
      <c r="A927" s="17" t="str">
        <f t="shared" si="42"/>
        <v>501000926</v>
      </c>
      <c r="B927" s="98">
        <v>926</v>
      </c>
      <c r="C927" s="98" t="s">
        <v>2048</v>
      </c>
      <c r="D927" s="98" t="s">
        <v>2049</v>
      </c>
      <c r="E927" s="312" t="s">
        <v>7718</v>
      </c>
      <c r="F927" s="312" t="s">
        <v>2293</v>
      </c>
      <c r="G927" s="98" t="s">
        <v>3523</v>
      </c>
      <c r="H927" s="98" t="s">
        <v>4026</v>
      </c>
      <c r="I927" s="98" t="s">
        <v>4039</v>
      </c>
      <c r="J927" s="98" t="s">
        <v>4059</v>
      </c>
      <c r="K927" s="17" t="str">
        <f>IFERROR(INDEX(競技会設定!$J$3:$O$47,MATCH(J927,競技会設定!$M$3:$M$47,0),5),"")</f>
        <v>中部大</v>
      </c>
      <c r="L927" s="17" t="str">
        <f>IFERROR(INDEX(競技会設定!$J$3:$N$47,MATCH(K927,競技会設定!$N$3:$N$47,0),2),"")</f>
        <v>492175</v>
      </c>
      <c r="M927" s="98" t="s">
        <v>3859</v>
      </c>
      <c r="N927" s="17" t="str">
        <f t="shared" si="43"/>
        <v>SUGI, Koki</v>
      </c>
      <c r="O927" s="17" t="str">
        <f t="shared" si="44"/>
        <v>00</v>
      </c>
    </row>
    <row r="928" spans="1:15">
      <c r="A928" s="17" t="str">
        <f t="shared" si="42"/>
        <v>501000927</v>
      </c>
      <c r="B928" s="98">
        <v>927</v>
      </c>
      <c r="C928" s="98" t="s">
        <v>2050</v>
      </c>
      <c r="D928" s="98" t="s">
        <v>2051</v>
      </c>
      <c r="E928" s="312" t="s">
        <v>2375</v>
      </c>
      <c r="F928" s="312" t="s">
        <v>2900</v>
      </c>
      <c r="G928" s="98" t="s">
        <v>3743</v>
      </c>
      <c r="H928" s="98" t="s">
        <v>4025</v>
      </c>
      <c r="I928" s="98" t="s">
        <v>4039</v>
      </c>
      <c r="J928" s="98" t="s">
        <v>4063</v>
      </c>
      <c r="K928" s="17" t="str">
        <f>IFERROR(INDEX(競技会設定!$J$3:$O$47,MATCH(J928,競技会設定!$M$3:$M$47,0),5),"")</f>
        <v>名古屋市立大</v>
      </c>
      <c r="L928" s="17" t="str">
        <f>IFERROR(INDEX(競技会設定!$J$3:$N$47,MATCH(K928,競技会設定!$N$3:$N$47,0),2),"")</f>
        <v>491013</v>
      </c>
      <c r="M928" s="98" t="s">
        <v>3859</v>
      </c>
      <c r="N928" s="17" t="str">
        <f t="shared" si="43"/>
        <v>NARUSE, Takafumi</v>
      </c>
      <c r="O928" s="17" t="str">
        <f t="shared" si="44"/>
        <v>98</v>
      </c>
    </row>
    <row r="929" spans="1:15">
      <c r="A929" s="17" t="str">
        <f t="shared" si="42"/>
        <v>501000928</v>
      </c>
      <c r="B929" s="98">
        <v>928</v>
      </c>
      <c r="C929" s="98" t="s">
        <v>2052</v>
      </c>
      <c r="D929" s="98" t="s">
        <v>2053</v>
      </c>
      <c r="E929" s="312" t="s">
        <v>7719</v>
      </c>
      <c r="F929" s="312" t="s">
        <v>7720</v>
      </c>
      <c r="G929" s="98" t="s">
        <v>3744</v>
      </c>
      <c r="H929" s="98" t="s">
        <v>4029</v>
      </c>
      <c r="I929" s="98" t="s">
        <v>4039</v>
      </c>
      <c r="J929" s="98" t="s">
        <v>4065</v>
      </c>
      <c r="K929" s="17" t="str">
        <f>IFERROR(INDEX(競技会設定!$J$3:$O$47,MATCH(J929,競技会設定!$M$3:$M$47,0),5),"")</f>
        <v>名古屋大</v>
      </c>
      <c r="L929" s="17" t="str">
        <f>IFERROR(INDEX(競技会設定!$J$3:$N$47,MATCH(K929,競技会設定!$N$3:$N$47,0),2),"")</f>
        <v>490043</v>
      </c>
      <c r="M929" s="98" t="s">
        <v>3859</v>
      </c>
      <c r="N929" s="17" t="str">
        <f t="shared" si="43"/>
        <v>TERASHIMA, Haru</v>
      </c>
      <c r="O929" s="17" t="str">
        <f t="shared" si="44"/>
        <v>01</v>
      </c>
    </row>
    <row r="930" spans="1:15">
      <c r="A930" s="17" t="str">
        <f t="shared" si="42"/>
        <v>501000929</v>
      </c>
      <c r="B930" s="98">
        <v>929</v>
      </c>
      <c r="C930" s="98" t="s">
        <v>2054</v>
      </c>
      <c r="D930" s="98" t="s">
        <v>2055</v>
      </c>
      <c r="E930" s="312" t="s">
        <v>2566</v>
      </c>
      <c r="F930" s="312" t="s">
        <v>7721</v>
      </c>
      <c r="G930" s="98" t="s">
        <v>3745</v>
      </c>
      <c r="H930" s="98" t="s">
        <v>4029</v>
      </c>
      <c r="I930" s="98" t="s">
        <v>4039</v>
      </c>
      <c r="J930" s="98" t="s">
        <v>4065</v>
      </c>
      <c r="K930" s="17" t="str">
        <f>IFERROR(INDEX(競技会設定!$J$3:$O$47,MATCH(J930,競技会設定!$M$3:$M$47,0),5),"")</f>
        <v>名古屋大</v>
      </c>
      <c r="L930" s="17" t="str">
        <f>IFERROR(INDEX(競技会設定!$J$3:$N$47,MATCH(K930,競技会設定!$N$3:$N$47,0),2),"")</f>
        <v>490043</v>
      </c>
      <c r="M930" s="98" t="s">
        <v>3859</v>
      </c>
      <c r="N930" s="17" t="str">
        <f t="shared" si="43"/>
        <v>SAITO, Gaku</v>
      </c>
      <c r="O930" s="17" t="str">
        <f t="shared" si="44"/>
        <v>01</v>
      </c>
    </row>
    <row r="931" spans="1:15">
      <c r="A931" s="17" t="str">
        <f t="shared" si="42"/>
        <v>501000930</v>
      </c>
      <c r="B931" s="98">
        <v>930</v>
      </c>
      <c r="C931" s="98" t="s">
        <v>2056</v>
      </c>
      <c r="D931" s="98" t="s">
        <v>2057</v>
      </c>
      <c r="E931" s="312" t="s">
        <v>7722</v>
      </c>
      <c r="F931" s="312" t="s">
        <v>7723</v>
      </c>
      <c r="G931" s="98" t="s">
        <v>3358</v>
      </c>
      <c r="H931" s="98" t="s">
        <v>4029</v>
      </c>
      <c r="I931" s="98" t="s">
        <v>4039</v>
      </c>
      <c r="J931" s="98" t="s">
        <v>4065</v>
      </c>
      <c r="K931" s="17" t="str">
        <f>IFERROR(INDEX(競技会設定!$J$3:$O$47,MATCH(J931,競技会設定!$M$3:$M$47,0),5),"")</f>
        <v>名古屋大</v>
      </c>
      <c r="L931" s="17" t="str">
        <f>IFERROR(INDEX(競技会設定!$J$3:$N$47,MATCH(K931,競技会設定!$N$3:$N$47,0),2),"")</f>
        <v>490043</v>
      </c>
      <c r="M931" s="98" t="s">
        <v>3861</v>
      </c>
      <c r="N931" s="17" t="str">
        <f t="shared" si="43"/>
        <v>ICHIKAWA, Tadaki</v>
      </c>
      <c r="O931" s="17" t="str">
        <f t="shared" si="44"/>
        <v>01</v>
      </c>
    </row>
    <row r="932" spans="1:15">
      <c r="A932" s="17" t="str">
        <f t="shared" si="42"/>
        <v>501000931</v>
      </c>
      <c r="B932" s="98">
        <v>931</v>
      </c>
      <c r="C932" s="98" t="s">
        <v>2058</v>
      </c>
      <c r="D932" s="98" t="s">
        <v>2059</v>
      </c>
      <c r="E932" s="312" t="s">
        <v>2951</v>
      </c>
      <c r="F932" s="312" t="s">
        <v>2441</v>
      </c>
      <c r="G932" s="98" t="s">
        <v>3746</v>
      </c>
      <c r="H932" s="98" t="s">
        <v>4029</v>
      </c>
      <c r="I932" s="98" t="s">
        <v>4039</v>
      </c>
      <c r="J932" s="98" t="s">
        <v>4065</v>
      </c>
      <c r="K932" s="17" t="str">
        <f>IFERROR(INDEX(競技会設定!$J$3:$O$47,MATCH(J932,競技会設定!$M$3:$M$47,0),5),"")</f>
        <v>名古屋大</v>
      </c>
      <c r="L932" s="17" t="str">
        <f>IFERROR(INDEX(競技会設定!$J$3:$N$47,MATCH(K932,競技会設定!$N$3:$N$47,0),2),"")</f>
        <v>490043</v>
      </c>
      <c r="M932" s="98" t="s">
        <v>3865</v>
      </c>
      <c r="N932" s="17" t="str">
        <f t="shared" si="43"/>
        <v>MURASE, Ryoji</v>
      </c>
      <c r="O932" s="17" t="str">
        <f t="shared" si="44"/>
        <v>01</v>
      </c>
    </row>
    <row r="933" spans="1:15">
      <c r="A933" s="17" t="str">
        <f t="shared" si="42"/>
        <v>501000932</v>
      </c>
      <c r="B933" s="98">
        <v>932</v>
      </c>
      <c r="C933" s="98" t="s">
        <v>2060</v>
      </c>
      <c r="D933" s="98" t="s">
        <v>2061</v>
      </c>
      <c r="E933" s="312" t="s">
        <v>2328</v>
      </c>
      <c r="F933" s="312" t="s">
        <v>2225</v>
      </c>
      <c r="G933" s="98" t="s">
        <v>3594</v>
      </c>
      <c r="H933" s="98" t="s">
        <v>4029</v>
      </c>
      <c r="I933" s="98" t="s">
        <v>4039</v>
      </c>
      <c r="J933" s="98" t="s">
        <v>4065</v>
      </c>
      <c r="K933" s="17" t="str">
        <f>IFERROR(INDEX(競技会設定!$J$3:$O$47,MATCH(J933,競技会設定!$M$3:$M$47,0),5),"")</f>
        <v>名古屋大</v>
      </c>
      <c r="L933" s="17" t="str">
        <f>IFERROR(INDEX(競技会設定!$J$3:$N$47,MATCH(K933,競技会設定!$N$3:$N$47,0),2),"")</f>
        <v>490043</v>
      </c>
      <c r="M933" s="98" t="s">
        <v>3859</v>
      </c>
      <c r="N933" s="17" t="str">
        <f t="shared" si="43"/>
        <v>YAMADA, Masayoshi</v>
      </c>
      <c r="O933" s="17" t="str">
        <f t="shared" si="44"/>
        <v>00</v>
      </c>
    </row>
    <row r="934" spans="1:15">
      <c r="A934" s="17" t="str">
        <f t="shared" si="42"/>
        <v>501000933</v>
      </c>
      <c r="B934" s="98">
        <v>933</v>
      </c>
      <c r="C934" s="98" t="s">
        <v>2062</v>
      </c>
      <c r="D934" s="98" t="s">
        <v>2063</v>
      </c>
      <c r="E934" s="312" t="s">
        <v>7724</v>
      </c>
      <c r="F934" s="312" t="s">
        <v>2087</v>
      </c>
      <c r="G934" s="98" t="s">
        <v>3747</v>
      </c>
      <c r="H934" s="98" t="s">
        <v>4029</v>
      </c>
      <c r="I934" s="98" t="s">
        <v>4039</v>
      </c>
      <c r="J934" s="98" t="s">
        <v>4065</v>
      </c>
      <c r="K934" s="17" t="str">
        <f>IFERROR(INDEX(競技会設定!$J$3:$O$47,MATCH(J934,競技会設定!$M$3:$M$47,0),5),"")</f>
        <v>名古屋大</v>
      </c>
      <c r="L934" s="17" t="str">
        <f>IFERROR(INDEX(競技会設定!$J$3:$N$47,MATCH(K934,競技会設定!$N$3:$N$47,0),2),"")</f>
        <v>490043</v>
      </c>
      <c r="M934" s="98" t="s">
        <v>3859</v>
      </c>
      <c r="N934" s="17" t="str">
        <f t="shared" si="43"/>
        <v>KOJI, Shota</v>
      </c>
      <c r="O934" s="17" t="str">
        <f t="shared" si="44"/>
        <v>01</v>
      </c>
    </row>
    <row r="935" spans="1:15">
      <c r="A935" s="17" t="str">
        <f t="shared" si="42"/>
        <v>501000934</v>
      </c>
      <c r="B935" s="98">
        <v>934</v>
      </c>
      <c r="C935" s="98" t="s">
        <v>2064</v>
      </c>
      <c r="D935" s="98" t="s">
        <v>2065</v>
      </c>
      <c r="E935" s="312" t="s">
        <v>7725</v>
      </c>
      <c r="F935" s="312" t="s">
        <v>7726</v>
      </c>
      <c r="G935" s="98" t="s">
        <v>3748</v>
      </c>
      <c r="H935" s="98" t="s">
        <v>4029</v>
      </c>
      <c r="I935" s="98" t="s">
        <v>4039</v>
      </c>
      <c r="J935" s="98" t="s">
        <v>4052</v>
      </c>
      <c r="K935" s="17" t="str">
        <f>IFERROR(INDEX(競技会設定!$J$3:$O$47,MATCH(J935,競技会設定!$M$3:$M$47,0),5),"")</f>
        <v>皇學館大</v>
      </c>
      <c r="L935" s="17" t="str">
        <f>IFERROR(INDEX(競技会設定!$J$3:$N$47,MATCH(K935,競技会設定!$N$3:$N$47,0),2),"")</f>
        <v>492185</v>
      </c>
      <c r="M935" s="98" t="s">
        <v>3861</v>
      </c>
      <c r="N935" s="17" t="str">
        <f t="shared" si="43"/>
        <v>IEZAKI, You</v>
      </c>
      <c r="O935" s="17" t="str">
        <f t="shared" si="44"/>
        <v>02</v>
      </c>
    </row>
    <row r="936" spans="1:15">
      <c r="A936" s="17" t="str">
        <f t="shared" si="42"/>
        <v>501000935</v>
      </c>
      <c r="B936" s="98">
        <v>935</v>
      </c>
      <c r="C936" s="98" t="s">
        <v>2066</v>
      </c>
      <c r="D936" s="98" t="s">
        <v>2067</v>
      </c>
      <c r="E936" s="312" t="s">
        <v>2961</v>
      </c>
      <c r="F936" s="312" t="s">
        <v>2160</v>
      </c>
      <c r="G936" s="98" t="s">
        <v>3749</v>
      </c>
      <c r="H936" s="98" t="s">
        <v>4029</v>
      </c>
      <c r="I936" s="98" t="s">
        <v>4039</v>
      </c>
      <c r="J936" s="98" t="s">
        <v>4052</v>
      </c>
      <c r="K936" s="17" t="str">
        <f>IFERROR(INDEX(競技会設定!$J$3:$O$47,MATCH(J936,競技会設定!$M$3:$M$47,0),5),"")</f>
        <v>皇學館大</v>
      </c>
      <c r="L936" s="17" t="str">
        <f>IFERROR(INDEX(競技会設定!$J$3:$N$47,MATCH(K936,競技会設定!$N$3:$N$47,0),2),"")</f>
        <v>492185</v>
      </c>
      <c r="M936" s="98" t="s">
        <v>3861</v>
      </c>
      <c r="N936" s="17" t="str">
        <f t="shared" si="43"/>
        <v>OKUBO, Kohei</v>
      </c>
      <c r="O936" s="17" t="str">
        <f t="shared" si="44"/>
        <v>01</v>
      </c>
    </row>
    <row r="937" spans="1:15">
      <c r="A937" s="17" t="str">
        <f t="shared" si="42"/>
        <v>501000936</v>
      </c>
      <c r="B937" s="98">
        <v>936</v>
      </c>
      <c r="C937" s="98" t="s">
        <v>2068</v>
      </c>
      <c r="D937" s="98" t="s">
        <v>2069</v>
      </c>
      <c r="E937" s="312" t="s">
        <v>2314</v>
      </c>
      <c r="F937" s="312" t="s">
        <v>2242</v>
      </c>
      <c r="G937" s="98" t="s">
        <v>3750</v>
      </c>
      <c r="H937" s="98" t="s">
        <v>4029</v>
      </c>
      <c r="I937" s="98" t="s">
        <v>4039</v>
      </c>
      <c r="J937" s="98" t="s">
        <v>4052</v>
      </c>
      <c r="K937" s="17" t="str">
        <f>IFERROR(INDEX(競技会設定!$J$3:$O$47,MATCH(J937,競技会設定!$M$3:$M$47,0),5),"")</f>
        <v>皇學館大</v>
      </c>
      <c r="L937" s="17" t="str">
        <f>IFERROR(INDEX(競技会設定!$J$3:$N$47,MATCH(K937,競技会設定!$N$3:$N$47,0),2),"")</f>
        <v>492185</v>
      </c>
      <c r="M937" s="98" t="s">
        <v>3861</v>
      </c>
      <c r="N937" s="17" t="str">
        <f t="shared" si="43"/>
        <v>KONDO, Hayato</v>
      </c>
      <c r="O937" s="17" t="str">
        <f t="shared" si="44"/>
        <v>01</v>
      </c>
    </row>
    <row r="938" spans="1:15">
      <c r="A938" s="17" t="str">
        <f t="shared" si="42"/>
        <v>501000937</v>
      </c>
      <c r="B938" s="98">
        <v>937</v>
      </c>
      <c r="C938" s="98" t="s">
        <v>2070</v>
      </c>
      <c r="D938" s="98" t="s">
        <v>2071</v>
      </c>
      <c r="E938" s="312" t="s">
        <v>2644</v>
      </c>
      <c r="F938" s="312" t="s">
        <v>2830</v>
      </c>
      <c r="G938" s="98" t="s">
        <v>3751</v>
      </c>
      <c r="H938" s="98" t="s">
        <v>4029</v>
      </c>
      <c r="I938" s="98" t="s">
        <v>4039</v>
      </c>
      <c r="J938" s="98" t="s">
        <v>4052</v>
      </c>
      <c r="K938" s="17" t="str">
        <f>IFERROR(INDEX(競技会設定!$J$3:$O$47,MATCH(J938,競技会設定!$M$3:$M$47,0),5),"")</f>
        <v>皇學館大</v>
      </c>
      <c r="L938" s="17" t="str">
        <f>IFERROR(INDEX(競技会設定!$J$3:$N$47,MATCH(K938,競技会設定!$N$3:$N$47,0),2),"")</f>
        <v>492185</v>
      </c>
      <c r="M938" s="98" t="s">
        <v>3861</v>
      </c>
      <c r="N938" s="17" t="str">
        <f t="shared" si="43"/>
        <v>SAKAMOTO, Yuma</v>
      </c>
      <c r="O938" s="17" t="str">
        <f t="shared" si="44"/>
        <v>01</v>
      </c>
    </row>
    <row r="939" spans="1:15">
      <c r="A939" s="17" t="str">
        <f t="shared" si="42"/>
        <v>501000938</v>
      </c>
      <c r="B939" s="98">
        <v>938</v>
      </c>
      <c r="C939" s="98" t="s">
        <v>2072</v>
      </c>
      <c r="D939" s="98" t="s">
        <v>2073</v>
      </c>
      <c r="E939" s="312" t="s">
        <v>2322</v>
      </c>
      <c r="F939" s="312" t="s">
        <v>2521</v>
      </c>
      <c r="G939" s="98" t="s">
        <v>3705</v>
      </c>
      <c r="H939" s="98" t="s">
        <v>4029</v>
      </c>
      <c r="I939" s="98" t="s">
        <v>4039</v>
      </c>
      <c r="J939" s="98" t="s">
        <v>4052</v>
      </c>
      <c r="K939" s="17" t="str">
        <f>IFERROR(INDEX(競技会設定!$J$3:$O$47,MATCH(J939,競技会設定!$M$3:$M$47,0),5),"")</f>
        <v>皇學館大</v>
      </c>
      <c r="L939" s="17" t="str">
        <f>IFERROR(INDEX(競技会設定!$J$3:$N$47,MATCH(K939,競技会設定!$N$3:$N$47,0),2),"")</f>
        <v>492185</v>
      </c>
      <c r="M939" s="98" t="s">
        <v>3861</v>
      </c>
      <c r="N939" s="17" t="str">
        <f t="shared" si="43"/>
        <v>SAWAI, Yasushi</v>
      </c>
      <c r="O939" s="17" t="str">
        <f t="shared" si="44"/>
        <v>01</v>
      </c>
    </row>
    <row r="940" spans="1:15">
      <c r="A940" s="17" t="str">
        <f t="shared" si="42"/>
        <v>501000939</v>
      </c>
      <c r="B940" s="98">
        <v>939</v>
      </c>
      <c r="C940" s="98" t="s">
        <v>2074</v>
      </c>
      <c r="D940" s="98" t="s">
        <v>2075</v>
      </c>
      <c r="E940" s="312" t="s">
        <v>7727</v>
      </c>
      <c r="F940" s="312" t="s">
        <v>2236</v>
      </c>
      <c r="G940" s="98" t="s">
        <v>3686</v>
      </c>
      <c r="H940" s="98" t="s">
        <v>4029</v>
      </c>
      <c r="I940" s="98" t="s">
        <v>4039</v>
      </c>
      <c r="J940" s="98" t="s">
        <v>4052</v>
      </c>
      <c r="K940" s="17" t="str">
        <f>IFERROR(INDEX(競技会設定!$J$3:$O$47,MATCH(J940,競技会設定!$M$3:$M$47,0),5),"")</f>
        <v>皇學館大</v>
      </c>
      <c r="L940" s="17" t="str">
        <f>IFERROR(INDEX(競技会設定!$J$3:$N$47,MATCH(K940,競技会設定!$N$3:$N$47,0),2),"")</f>
        <v>492185</v>
      </c>
      <c r="M940" s="98" t="s">
        <v>3861</v>
      </c>
      <c r="N940" s="17" t="str">
        <f t="shared" si="43"/>
        <v>FURUO, Kosuke</v>
      </c>
      <c r="O940" s="17" t="str">
        <f t="shared" si="44"/>
        <v>01</v>
      </c>
    </row>
    <row r="941" spans="1:15">
      <c r="A941" s="17" t="str">
        <f t="shared" si="42"/>
        <v>501000940</v>
      </c>
      <c r="B941" s="98">
        <v>940</v>
      </c>
      <c r="C941" s="98" t="s">
        <v>2076</v>
      </c>
      <c r="D941" s="98" t="s">
        <v>2077</v>
      </c>
      <c r="E941" s="312" t="s">
        <v>2259</v>
      </c>
      <c r="F941" s="312" t="s">
        <v>2100</v>
      </c>
      <c r="G941" s="98" t="s">
        <v>3752</v>
      </c>
      <c r="H941" s="98" t="s">
        <v>4029</v>
      </c>
      <c r="I941" s="98" t="s">
        <v>4039</v>
      </c>
      <c r="J941" s="98" t="s">
        <v>4052</v>
      </c>
      <c r="K941" s="17" t="str">
        <f>IFERROR(INDEX(競技会設定!$J$3:$O$47,MATCH(J941,競技会設定!$M$3:$M$47,0),5),"")</f>
        <v>皇學館大</v>
      </c>
      <c r="L941" s="17" t="str">
        <f>IFERROR(INDEX(競技会設定!$J$3:$N$47,MATCH(K941,競技会設定!$N$3:$N$47,0),2),"")</f>
        <v>492185</v>
      </c>
      <c r="M941" s="98" t="s">
        <v>3861</v>
      </c>
      <c r="N941" s="17" t="str">
        <f t="shared" si="43"/>
        <v>YAMAMOTO, Kaito</v>
      </c>
      <c r="O941" s="17" t="str">
        <f t="shared" si="44"/>
        <v>01</v>
      </c>
    </row>
    <row r="942" spans="1:15">
      <c r="A942" s="17" t="str">
        <f t="shared" si="42"/>
        <v>501000941</v>
      </c>
      <c r="B942" s="98">
        <v>941</v>
      </c>
      <c r="C942" s="98" t="s">
        <v>2078</v>
      </c>
      <c r="D942" s="98" t="s">
        <v>2079</v>
      </c>
      <c r="E942" s="312" t="s">
        <v>7728</v>
      </c>
      <c r="F942" s="312" t="s">
        <v>7729</v>
      </c>
      <c r="G942" s="98" t="s">
        <v>3751</v>
      </c>
      <c r="H942" s="98" t="s">
        <v>4029</v>
      </c>
      <c r="I942" s="98" t="s">
        <v>4039</v>
      </c>
      <c r="J942" s="98" t="s">
        <v>4065</v>
      </c>
      <c r="K942" s="17" t="str">
        <f>IFERROR(INDEX(競技会設定!$J$3:$O$47,MATCH(J942,競技会設定!$M$3:$M$47,0),5),"")</f>
        <v>名古屋大</v>
      </c>
      <c r="L942" s="17" t="str">
        <f>IFERROR(INDEX(競技会設定!$J$3:$N$47,MATCH(K942,競技会設定!$N$3:$N$47,0),2),"")</f>
        <v>490043</v>
      </c>
      <c r="M942" s="98" t="s">
        <v>3830</v>
      </c>
      <c r="N942" s="17" t="str">
        <f t="shared" si="43"/>
        <v>OHIRA, Kaishi</v>
      </c>
      <c r="O942" s="17" t="str">
        <f t="shared" si="44"/>
        <v>01</v>
      </c>
    </row>
    <row r="943" spans="1:15">
      <c r="A943" s="17" t="str">
        <f t="shared" si="42"/>
        <v>501000942</v>
      </c>
      <c r="B943" s="15">
        <v>942</v>
      </c>
      <c r="C943" s="15" t="s">
        <v>4080</v>
      </c>
      <c r="D943" s="15" t="s">
        <v>4081</v>
      </c>
      <c r="E943" s="313" t="s">
        <v>3027</v>
      </c>
      <c r="F943" s="313" t="s">
        <v>4396</v>
      </c>
      <c r="G943" s="16" t="s">
        <v>4635</v>
      </c>
      <c r="H943" s="15" t="s">
        <v>4029</v>
      </c>
      <c r="I943" s="15" t="s">
        <v>4039</v>
      </c>
      <c r="J943" s="15" t="s">
        <v>4047</v>
      </c>
      <c r="K943" s="17" t="str">
        <f>IFERROR(INDEX(競技会設定!$J$3:$O$47,MATCH(J943,競技会設定!$M$3:$M$47,0),5),"")</f>
        <v>岐阜協立大</v>
      </c>
      <c r="L943" s="17" t="str">
        <f>IFERROR(INDEX(競技会設定!$J$3:$N$47,MATCH(K943,競技会設定!$N$3:$N$47,0),2),"")</f>
        <v>492161</v>
      </c>
      <c r="M943" s="15" t="s">
        <v>3855</v>
      </c>
      <c r="N943" s="17" t="str">
        <f t="shared" si="43"/>
        <v>SHIMIZU, Takara</v>
      </c>
      <c r="O943" s="17" t="str">
        <f t="shared" si="44"/>
        <v>01</v>
      </c>
    </row>
    <row r="944" spans="1:15">
      <c r="A944" s="17" t="str">
        <f t="shared" si="42"/>
        <v>501000943</v>
      </c>
      <c r="B944" s="97">
        <v>943</v>
      </c>
      <c r="C944" s="97" t="s">
        <v>4082</v>
      </c>
      <c r="D944" s="97" t="s">
        <v>4083</v>
      </c>
      <c r="E944" s="312" t="s">
        <v>2424</v>
      </c>
      <c r="F944" s="312" t="s">
        <v>2200</v>
      </c>
      <c r="G944" s="97" t="s">
        <v>4566</v>
      </c>
      <c r="H944" s="97" t="s">
        <v>4029</v>
      </c>
      <c r="I944" s="97" t="s">
        <v>4039</v>
      </c>
      <c r="J944" s="97" t="s">
        <v>4046</v>
      </c>
      <c r="K944" s="17" t="str">
        <f>IFERROR(INDEX(競技会設定!$J$3:$O$47,MATCH(J944,競技会設定!$M$3:$M$47,0),5),"")</f>
        <v>愛知大</v>
      </c>
      <c r="L944" s="17" t="str">
        <f>IFERROR(INDEX(競技会設定!$J$3:$N$47,MATCH(K944,競技会設定!$N$3:$N$47,0),2),"")</f>
        <v>492165</v>
      </c>
      <c r="M944" s="97" t="s">
        <v>3855</v>
      </c>
      <c r="N944" s="17" t="str">
        <f t="shared" si="43"/>
        <v>MATSUMOTO, Ryotaro</v>
      </c>
      <c r="O944" s="17" t="str">
        <f t="shared" si="44"/>
        <v>01</v>
      </c>
    </row>
    <row r="945" spans="1:15">
      <c r="A945" s="17" t="str">
        <f t="shared" si="42"/>
        <v>501000944</v>
      </c>
      <c r="B945" s="97">
        <v>944</v>
      </c>
      <c r="C945" s="97" t="s">
        <v>4084</v>
      </c>
      <c r="D945" s="97" t="s">
        <v>4085</v>
      </c>
      <c r="E945" s="312" t="s">
        <v>4397</v>
      </c>
      <c r="F945" s="312" t="s">
        <v>2184</v>
      </c>
      <c r="G945" s="97" t="s">
        <v>4567</v>
      </c>
      <c r="H945" s="97" t="s">
        <v>4029</v>
      </c>
      <c r="I945" s="97" t="s">
        <v>4039</v>
      </c>
      <c r="J945" s="97" t="s">
        <v>4046</v>
      </c>
      <c r="K945" s="17" t="str">
        <f>IFERROR(INDEX(競技会設定!$J$3:$O$47,MATCH(J945,競技会設定!$M$3:$M$47,0),5),"")</f>
        <v>愛知大</v>
      </c>
      <c r="L945" s="17" t="str">
        <f>IFERROR(INDEX(競技会設定!$J$3:$N$47,MATCH(K945,競技会設定!$N$3:$N$47,0),2),"")</f>
        <v>492165</v>
      </c>
      <c r="M945" s="97" t="s">
        <v>3855</v>
      </c>
      <c r="N945" s="17" t="str">
        <f t="shared" si="43"/>
        <v>KANI, Taisei</v>
      </c>
      <c r="O945" s="17" t="str">
        <f t="shared" si="44"/>
        <v>01</v>
      </c>
    </row>
    <row r="946" spans="1:15">
      <c r="A946" s="17" t="str">
        <f t="shared" si="42"/>
        <v>501000945</v>
      </c>
      <c r="B946" s="97">
        <v>945</v>
      </c>
      <c r="C946" s="97" t="s">
        <v>4086</v>
      </c>
      <c r="D946" s="97" t="s">
        <v>4087</v>
      </c>
      <c r="E946" s="312" t="s">
        <v>2082</v>
      </c>
      <c r="F946" s="312" t="s">
        <v>4398</v>
      </c>
      <c r="G946" s="97" t="s">
        <v>4568</v>
      </c>
      <c r="H946" s="97" t="s">
        <v>4029</v>
      </c>
      <c r="I946" s="97" t="s">
        <v>4039</v>
      </c>
      <c r="J946" s="97" t="s">
        <v>4052</v>
      </c>
      <c r="K946" s="17" t="str">
        <f>IFERROR(INDEX(競技会設定!$J$3:$O$47,MATCH(J946,競技会設定!$M$3:$M$47,0),5),"")</f>
        <v>皇學館大</v>
      </c>
      <c r="L946" s="17" t="str">
        <f>IFERROR(INDEX(競技会設定!$J$3:$N$47,MATCH(K946,競技会設定!$N$3:$N$47,0),2),"")</f>
        <v>492185</v>
      </c>
      <c r="M946" s="97" t="s">
        <v>3861</v>
      </c>
      <c r="N946" s="17" t="str">
        <f t="shared" si="43"/>
        <v>ITO, Manato</v>
      </c>
      <c r="O946" s="17" t="str">
        <f t="shared" si="44"/>
        <v>01</v>
      </c>
    </row>
    <row r="947" spans="1:15">
      <c r="A947" s="17" t="str">
        <f t="shared" si="42"/>
        <v>501000946</v>
      </c>
      <c r="B947" s="97">
        <v>946</v>
      </c>
      <c r="C947" s="97" t="s">
        <v>4088</v>
      </c>
      <c r="D947" s="97" t="s">
        <v>4089</v>
      </c>
      <c r="E947" s="312" t="s">
        <v>4399</v>
      </c>
      <c r="F947" s="312" t="s">
        <v>2158</v>
      </c>
      <c r="G947" s="97" t="s">
        <v>3689</v>
      </c>
      <c r="H947" s="97" t="s">
        <v>4029</v>
      </c>
      <c r="I947" s="97" t="s">
        <v>4039</v>
      </c>
      <c r="J947" s="97" t="s">
        <v>4052</v>
      </c>
      <c r="K947" s="17" t="str">
        <f>IFERROR(INDEX(競技会設定!$J$3:$O$47,MATCH(J947,競技会設定!$M$3:$M$47,0),5),"")</f>
        <v>皇學館大</v>
      </c>
      <c r="L947" s="17" t="str">
        <f>IFERROR(INDEX(競技会設定!$J$3:$N$47,MATCH(K947,競技会設定!$N$3:$N$47,0),2),"")</f>
        <v>492185</v>
      </c>
      <c r="M947" s="97" t="s">
        <v>3861</v>
      </c>
      <c r="N947" s="17" t="str">
        <f t="shared" si="43"/>
        <v>MURAI, Keito</v>
      </c>
      <c r="O947" s="17" t="str">
        <f t="shared" si="44"/>
        <v>02</v>
      </c>
    </row>
    <row r="948" spans="1:15">
      <c r="A948" s="17" t="str">
        <f t="shared" si="42"/>
        <v>501000947</v>
      </c>
      <c r="B948" s="97">
        <v>947</v>
      </c>
      <c r="C948" s="97" t="s">
        <v>4090</v>
      </c>
      <c r="D948" s="97" t="s">
        <v>4091</v>
      </c>
      <c r="E948" s="312" t="s">
        <v>2584</v>
      </c>
      <c r="F948" s="312" t="s">
        <v>2170</v>
      </c>
      <c r="G948" s="97" t="s">
        <v>4569</v>
      </c>
      <c r="H948" s="97" t="s">
        <v>4029</v>
      </c>
      <c r="I948" s="97" t="s">
        <v>4039</v>
      </c>
      <c r="J948" s="97" t="s">
        <v>4052</v>
      </c>
      <c r="K948" s="17" t="str">
        <f>IFERROR(INDEX(競技会設定!$J$3:$O$47,MATCH(J948,競技会設定!$M$3:$M$47,0),5),"")</f>
        <v>皇學館大</v>
      </c>
      <c r="L948" s="17" t="str">
        <f>IFERROR(INDEX(競技会設定!$J$3:$N$47,MATCH(K948,競技会設定!$N$3:$N$47,0),2),"")</f>
        <v>492185</v>
      </c>
      <c r="M948" s="97" t="s">
        <v>3861</v>
      </c>
      <c r="N948" s="17" t="str">
        <f t="shared" si="43"/>
        <v>YAMASHITA, Daiki</v>
      </c>
      <c r="O948" s="17" t="str">
        <f t="shared" si="44"/>
        <v>01</v>
      </c>
    </row>
    <row r="949" spans="1:15">
      <c r="A949" s="17" t="str">
        <f t="shared" si="42"/>
        <v>501000948</v>
      </c>
      <c r="B949" s="97">
        <v>948</v>
      </c>
      <c r="C949" s="97" t="s">
        <v>4092</v>
      </c>
      <c r="D949" s="97" t="s">
        <v>4093</v>
      </c>
      <c r="E949" s="312" t="s">
        <v>4400</v>
      </c>
      <c r="F949" s="312" t="s">
        <v>2414</v>
      </c>
      <c r="G949" s="97" t="s">
        <v>4570</v>
      </c>
      <c r="H949" s="97" t="s">
        <v>4029</v>
      </c>
      <c r="I949" s="97" t="s">
        <v>4039</v>
      </c>
      <c r="J949" s="97" t="s">
        <v>4057</v>
      </c>
      <c r="K949" s="17" t="str">
        <f>IFERROR(INDEX(競技会設定!$J$3:$O$47,MATCH(J949,競技会設定!$M$3:$M$47,0),5),"")</f>
        <v>静岡県立大</v>
      </c>
      <c r="L949" s="17" t="str">
        <f>IFERROR(INDEX(競技会設定!$J$3:$N$47,MATCH(K949,競技会設定!$N$3:$N$47,0),2),"")</f>
        <v>491037</v>
      </c>
      <c r="M949" s="97" t="s">
        <v>3857</v>
      </c>
      <c r="N949" s="17" t="str">
        <f t="shared" si="43"/>
        <v>MAKITA, Ryosuke</v>
      </c>
      <c r="O949" s="17" t="str">
        <f t="shared" si="44"/>
        <v>01</v>
      </c>
    </row>
    <row r="950" spans="1:15">
      <c r="A950" s="17" t="str">
        <f t="shared" si="42"/>
        <v>501000949</v>
      </c>
      <c r="B950" s="97">
        <v>949</v>
      </c>
      <c r="C950" s="97" t="s">
        <v>4094</v>
      </c>
      <c r="D950" s="97" t="s">
        <v>4095</v>
      </c>
      <c r="E950" s="312" t="s">
        <v>4401</v>
      </c>
      <c r="F950" s="312" t="s">
        <v>4402</v>
      </c>
      <c r="G950" s="97" t="s">
        <v>3087</v>
      </c>
      <c r="H950" s="97" t="s">
        <v>4025</v>
      </c>
      <c r="I950" s="97" t="s">
        <v>4039</v>
      </c>
      <c r="J950" s="97" t="s">
        <v>4077</v>
      </c>
      <c r="K950" s="17" t="str">
        <f>IFERROR(INDEX(競技会設定!$J$3:$O$47,MATCH(J950,競技会設定!$M$3:$M$47,0),5),"")</f>
        <v>静岡大</v>
      </c>
      <c r="L950" s="17" t="str">
        <f>IFERROR(INDEX(競技会設定!$J$3:$N$47,MATCH(K950,競技会設定!$N$3:$N$47,0),2),"")</f>
        <v>490042</v>
      </c>
      <c r="M950" s="97" t="s">
        <v>3857</v>
      </c>
      <c r="N950" s="17" t="str">
        <f t="shared" si="43"/>
        <v>KIKUCHI, Shotaro</v>
      </c>
      <c r="O950" s="17" t="str">
        <f t="shared" si="44"/>
        <v>98</v>
      </c>
    </row>
    <row r="951" spans="1:15">
      <c r="A951" s="17" t="str">
        <f t="shared" si="42"/>
        <v>501000950</v>
      </c>
      <c r="B951" s="97">
        <v>950</v>
      </c>
      <c r="C951" s="97" t="s">
        <v>4096</v>
      </c>
      <c r="D951" s="97" t="s">
        <v>7616</v>
      </c>
      <c r="E951" s="312" t="s">
        <v>2589</v>
      </c>
      <c r="F951" s="312" t="s">
        <v>2087</v>
      </c>
      <c r="G951" s="97" t="s">
        <v>3184</v>
      </c>
      <c r="H951" s="97" t="s">
        <v>4024</v>
      </c>
      <c r="I951" s="97" t="s">
        <v>4039</v>
      </c>
      <c r="J951" s="97" t="s">
        <v>4077</v>
      </c>
      <c r="K951" s="17" t="str">
        <f>IFERROR(INDEX(競技会設定!$J$3:$O$47,MATCH(J951,競技会設定!$M$3:$M$47,0),5),"")</f>
        <v>静岡大</v>
      </c>
      <c r="L951" s="17" t="str">
        <f>IFERROR(INDEX(競技会設定!$J$3:$N$47,MATCH(K951,競技会設定!$N$3:$N$47,0),2),"")</f>
        <v>490042</v>
      </c>
      <c r="M951" s="97" t="s">
        <v>3857</v>
      </c>
      <c r="N951" s="17" t="str">
        <f t="shared" si="43"/>
        <v>SAKAI, Shota</v>
      </c>
      <c r="O951" s="17" t="str">
        <f t="shared" si="44"/>
        <v>99</v>
      </c>
    </row>
    <row r="952" spans="1:15">
      <c r="A952" s="17" t="str">
        <f t="shared" si="42"/>
        <v>501000951</v>
      </c>
      <c r="B952" s="97">
        <v>951</v>
      </c>
      <c r="C952" s="97" t="s">
        <v>4097</v>
      </c>
      <c r="D952" s="97" t="s">
        <v>4098</v>
      </c>
      <c r="E952" s="312" t="s">
        <v>4403</v>
      </c>
      <c r="F952" s="312" t="s">
        <v>2505</v>
      </c>
      <c r="G952" s="97" t="s">
        <v>4571</v>
      </c>
      <c r="H952" s="97" t="s">
        <v>4025</v>
      </c>
      <c r="I952" s="97" t="s">
        <v>4039</v>
      </c>
      <c r="J952" s="97" t="s">
        <v>4077</v>
      </c>
      <c r="K952" s="17" t="str">
        <f>IFERROR(INDEX(競技会設定!$J$3:$O$47,MATCH(J952,競技会設定!$M$3:$M$47,0),5),"")</f>
        <v>静岡大</v>
      </c>
      <c r="L952" s="17" t="str">
        <f>IFERROR(INDEX(競技会設定!$J$3:$N$47,MATCH(K952,競技会設定!$N$3:$N$47,0),2),"")</f>
        <v>490042</v>
      </c>
      <c r="M952" s="97" t="s">
        <v>3857</v>
      </c>
      <c r="N952" s="17" t="str">
        <f t="shared" si="43"/>
        <v>HANAWA, Shunya</v>
      </c>
      <c r="O952" s="17" t="str">
        <f t="shared" si="44"/>
        <v>99</v>
      </c>
    </row>
    <row r="953" spans="1:15">
      <c r="A953" s="17" t="str">
        <f t="shared" si="42"/>
        <v>501000952</v>
      </c>
      <c r="B953" s="97">
        <v>952</v>
      </c>
      <c r="C953" s="97" t="s">
        <v>4099</v>
      </c>
      <c r="D953" s="97" t="s">
        <v>4100</v>
      </c>
      <c r="E953" s="312" t="s">
        <v>4404</v>
      </c>
      <c r="F953" s="312" t="s">
        <v>4405</v>
      </c>
      <c r="G953" s="97" t="s">
        <v>4572</v>
      </c>
      <c r="H953" s="97" t="s">
        <v>4025</v>
      </c>
      <c r="I953" s="97" t="s">
        <v>4039</v>
      </c>
      <c r="J953" s="97" t="s">
        <v>4077</v>
      </c>
      <c r="K953" s="17" t="str">
        <f>IFERROR(INDEX(競技会設定!$J$3:$O$47,MATCH(J953,競技会設定!$M$3:$M$47,0),5),"")</f>
        <v>静岡大</v>
      </c>
      <c r="L953" s="17" t="str">
        <f>IFERROR(INDEX(競技会設定!$J$3:$N$47,MATCH(K953,競技会設定!$N$3:$N$47,0),2),"")</f>
        <v>490042</v>
      </c>
      <c r="M953" s="97" t="s">
        <v>3857</v>
      </c>
      <c r="N953" s="17" t="str">
        <f t="shared" si="43"/>
        <v>TSUJINO, Toma</v>
      </c>
      <c r="O953" s="17" t="str">
        <f t="shared" si="44"/>
        <v>98</v>
      </c>
    </row>
    <row r="954" spans="1:15">
      <c r="A954" s="17" t="str">
        <f t="shared" si="42"/>
        <v>501000953</v>
      </c>
      <c r="B954" s="97">
        <v>953</v>
      </c>
      <c r="C954" s="97" t="s">
        <v>4101</v>
      </c>
      <c r="D954" s="97" t="s">
        <v>4102</v>
      </c>
      <c r="E954" s="312" t="s">
        <v>2410</v>
      </c>
      <c r="F954" s="312" t="s">
        <v>2269</v>
      </c>
      <c r="G954" s="97" t="s">
        <v>4573</v>
      </c>
      <c r="H954" s="97" t="s">
        <v>4025</v>
      </c>
      <c r="I954" s="97" t="s">
        <v>4039</v>
      </c>
      <c r="J954" s="97" t="s">
        <v>4077</v>
      </c>
      <c r="K954" s="17" t="str">
        <f>IFERROR(INDEX(競技会設定!$J$3:$O$47,MATCH(J954,競技会設定!$M$3:$M$47,0),5),"")</f>
        <v>静岡大</v>
      </c>
      <c r="L954" s="17" t="str">
        <f>IFERROR(INDEX(競技会設定!$J$3:$N$47,MATCH(K954,競技会設定!$N$3:$N$47,0),2),"")</f>
        <v>490042</v>
      </c>
      <c r="M954" s="97" t="s">
        <v>3857</v>
      </c>
      <c r="N954" s="17" t="str">
        <f t="shared" si="43"/>
        <v>SUGIYAMA, Yoshiki</v>
      </c>
      <c r="O954" s="17" t="str">
        <f t="shared" si="44"/>
        <v>98</v>
      </c>
    </row>
    <row r="955" spans="1:15">
      <c r="A955" s="17" t="str">
        <f t="shared" si="42"/>
        <v>501000954</v>
      </c>
      <c r="B955" s="97">
        <v>954</v>
      </c>
      <c r="C955" s="97" t="s">
        <v>4103</v>
      </c>
      <c r="D955" s="97" t="s">
        <v>4104</v>
      </c>
      <c r="E955" s="312" t="s">
        <v>4406</v>
      </c>
      <c r="F955" s="312" t="s">
        <v>4407</v>
      </c>
      <c r="G955" s="97" t="s">
        <v>4574</v>
      </c>
      <c r="H955" s="97" t="s">
        <v>4025</v>
      </c>
      <c r="I955" s="97" t="s">
        <v>4039</v>
      </c>
      <c r="J955" s="97" t="s">
        <v>4077</v>
      </c>
      <c r="K955" s="17" t="str">
        <f>IFERROR(INDEX(競技会設定!$J$3:$O$47,MATCH(J955,競技会設定!$M$3:$M$47,0),5),"")</f>
        <v>静岡大</v>
      </c>
      <c r="L955" s="17" t="str">
        <f>IFERROR(INDEX(競技会設定!$J$3:$N$47,MATCH(K955,競技会設定!$N$3:$N$47,0),2),"")</f>
        <v>490042</v>
      </c>
      <c r="M955" s="97" t="s">
        <v>3857</v>
      </c>
      <c r="N955" s="17" t="str">
        <f t="shared" si="43"/>
        <v>TABATA, Rontaro</v>
      </c>
      <c r="O955" s="17" t="str">
        <f t="shared" si="44"/>
        <v>98</v>
      </c>
    </row>
    <row r="956" spans="1:15">
      <c r="A956" s="17" t="str">
        <f t="shared" si="42"/>
        <v>501000955</v>
      </c>
      <c r="B956" s="97">
        <v>955</v>
      </c>
      <c r="C956" s="97" t="s">
        <v>4105</v>
      </c>
      <c r="D956" s="97" t="s">
        <v>4106</v>
      </c>
      <c r="E956" s="312" t="s">
        <v>4408</v>
      </c>
      <c r="F956" s="312" t="s">
        <v>4409</v>
      </c>
      <c r="G956" s="97" t="s">
        <v>4575</v>
      </c>
      <c r="H956" s="97" t="s">
        <v>4025</v>
      </c>
      <c r="I956" s="97" t="s">
        <v>4039</v>
      </c>
      <c r="J956" s="97" t="s">
        <v>4077</v>
      </c>
      <c r="K956" s="17" t="str">
        <f>IFERROR(INDEX(競技会設定!$J$3:$O$47,MATCH(J956,競技会設定!$M$3:$M$47,0),5),"")</f>
        <v>静岡大</v>
      </c>
      <c r="L956" s="17" t="str">
        <f>IFERROR(INDEX(競技会設定!$J$3:$N$47,MATCH(K956,競技会設定!$N$3:$N$47,0),2),"")</f>
        <v>490042</v>
      </c>
      <c r="M956" s="97" t="s">
        <v>3857</v>
      </c>
      <c r="N956" s="17" t="str">
        <f t="shared" si="43"/>
        <v>NAGAYA, Akihiro</v>
      </c>
      <c r="O956" s="17" t="str">
        <f t="shared" si="44"/>
        <v>97</v>
      </c>
    </row>
    <row r="957" spans="1:15">
      <c r="A957" s="17" t="str">
        <f t="shared" si="42"/>
        <v>501000956</v>
      </c>
      <c r="B957" s="97">
        <v>956</v>
      </c>
      <c r="C957" s="97" t="s">
        <v>4107</v>
      </c>
      <c r="D957" s="97" t="s">
        <v>4108</v>
      </c>
      <c r="E957" s="312" t="s">
        <v>2541</v>
      </c>
      <c r="F957" s="312" t="s">
        <v>4410</v>
      </c>
      <c r="G957" s="97" t="s">
        <v>4576</v>
      </c>
      <c r="H957" s="97" t="s">
        <v>4025</v>
      </c>
      <c r="I957" s="97" t="s">
        <v>4039</v>
      </c>
      <c r="J957" s="97" t="s">
        <v>4077</v>
      </c>
      <c r="K957" s="17" t="str">
        <f>IFERROR(INDEX(競技会設定!$J$3:$O$47,MATCH(J957,競技会設定!$M$3:$M$47,0),5),"")</f>
        <v>静岡大</v>
      </c>
      <c r="L957" s="17" t="str">
        <f>IFERROR(INDEX(競技会設定!$J$3:$N$47,MATCH(K957,競技会設定!$N$3:$N$47,0),2),"")</f>
        <v>490042</v>
      </c>
      <c r="M957" s="97" t="s">
        <v>3857</v>
      </c>
      <c r="N957" s="17" t="str">
        <f t="shared" si="43"/>
        <v>OGAWA, Mayo</v>
      </c>
      <c r="O957" s="17" t="str">
        <f t="shared" si="44"/>
        <v>97</v>
      </c>
    </row>
    <row r="958" spans="1:15">
      <c r="A958" s="17" t="str">
        <f t="shared" si="42"/>
        <v>501000957</v>
      </c>
      <c r="B958" s="97">
        <v>957</v>
      </c>
      <c r="C958" s="97" t="s">
        <v>4109</v>
      </c>
      <c r="D958" s="97" t="s">
        <v>4110</v>
      </c>
      <c r="E958" s="312" t="s">
        <v>4411</v>
      </c>
      <c r="F958" s="312" t="s">
        <v>2563</v>
      </c>
      <c r="G958" s="97" t="s">
        <v>4577</v>
      </c>
      <c r="H958" s="97" t="s">
        <v>4025</v>
      </c>
      <c r="I958" s="97" t="s">
        <v>4039</v>
      </c>
      <c r="J958" s="97" t="s">
        <v>4077</v>
      </c>
      <c r="K958" s="17" t="str">
        <f>IFERROR(INDEX(競技会設定!$J$3:$O$47,MATCH(J958,競技会設定!$M$3:$M$47,0),5),"")</f>
        <v>静岡大</v>
      </c>
      <c r="L958" s="17" t="str">
        <f>IFERROR(INDEX(競技会設定!$J$3:$N$47,MATCH(K958,競技会設定!$N$3:$N$47,0),2),"")</f>
        <v>490042</v>
      </c>
      <c r="M958" s="97" t="s">
        <v>3857</v>
      </c>
      <c r="N958" s="17" t="str">
        <f t="shared" si="43"/>
        <v>CHINO, Masato</v>
      </c>
      <c r="O958" s="17" t="str">
        <f t="shared" si="44"/>
        <v>97</v>
      </c>
    </row>
    <row r="959" spans="1:15">
      <c r="A959" s="17" t="str">
        <f t="shared" si="42"/>
        <v>501000958</v>
      </c>
      <c r="B959" s="97">
        <v>958</v>
      </c>
      <c r="C959" s="97" t="s">
        <v>4111</v>
      </c>
      <c r="D959" s="97" t="s">
        <v>4112</v>
      </c>
      <c r="E959" s="312" t="s">
        <v>4412</v>
      </c>
      <c r="F959" s="312" t="s">
        <v>2681</v>
      </c>
      <c r="G959" s="97" t="s">
        <v>4578</v>
      </c>
      <c r="H959" s="97" t="s">
        <v>4025</v>
      </c>
      <c r="I959" s="97" t="s">
        <v>4039</v>
      </c>
      <c r="J959" s="97" t="s">
        <v>4077</v>
      </c>
      <c r="K959" s="17" t="str">
        <f>IFERROR(INDEX(競技会設定!$J$3:$O$47,MATCH(J959,競技会設定!$M$3:$M$47,0),5),"")</f>
        <v>静岡大</v>
      </c>
      <c r="L959" s="17" t="str">
        <f>IFERROR(INDEX(競技会設定!$J$3:$N$47,MATCH(K959,競技会設定!$N$3:$N$47,0),2),"")</f>
        <v>490042</v>
      </c>
      <c r="M959" s="97" t="s">
        <v>3857</v>
      </c>
      <c r="N959" s="17" t="str">
        <f t="shared" si="43"/>
        <v>HIRANO, Kazuya</v>
      </c>
      <c r="O959" s="17" t="str">
        <f t="shared" si="44"/>
        <v>99</v>
      </c>
    </row>
    <row r="960" spans="1:15">
      <c r="A960" s="17" t="str">
        <f t="shared" si="42"/>
        <v>501000959</v>
      </c>
      <c r="B960" s="97">
        <v>959</v>
      </c>
      <c r="C960" s="97" t="s">
        <v>4113</v>
      </c>
      <c r="D960" s="97" t="s">
        <v>4114</v>
      </c>
      <c r="E960" s="312" t="s">
        <v>2680</v>
      </c>
      <c r="F960" s="312" t="s">
        <v>4413</v>
      </c>
      <c r="G960" s="97" t="s">
        <v>3263</v>
      </c>
      <c r="H960" s="97" t="s">
        <v>4025</v>
      </c>
      <c r="I960" s="97" t="s">
        <v>4039</v>
      </c>
      <c r="J960" s="97" t="s">
        <v>4077</v>
      </c>
      <c r="K960" s="17" t="str">
        <f>IFERROR(INDEX(競技会設定!$J$3:$O$47,MATCH(J960,競技会設定!$M$3:$M$47,0),5),"")</f>
        <v>静岡大</v>
      </c>
      <c r="L960" s="17" t="str">
        <f>IFERROR(INDEX(競技会設定!$J$3:$N$47,MATCH(K960,競技会設定!$N$3:$N$47,0),2),"")</f>
        <v>490042</v>
      </c>
      <c r="M960" s="97" t="s">
        <v>3857</v>
      </c>
      <c r="N960" s="17" t="str">
        <f t="shared" si="43"/>
        <v>MURAMATSU, Yushi</v>
      </c>
      <c r="O960" s="17" t="str">
        <f t="shared" si="44"/>
        <v>98</v>
      </c>
    </row>
    <row r="961" spans="1:15">
      <c r="A961" s="17" t="str">
        <f t="shared" si="42"/>
        <v>501000960</v>
      </c>
      <c r="B961" s="97">
        <v>960</v>
      </c>
      <c r="C961" s="97" t="s">
        <v>4115</v>
      </c>
      <c r="D961" s="97" t="s">
        <v>4116</v>
      </c>
      <c r="E961" s="312" t="s">
        <v>4414</v>
      </c>
      <c r="F961" s="312" t="s">
        <v>2108</v>
      </c>
      <c r="G961" s="97" t="s">
        <v>4579</v>
      </c>
      <c r="H961" s="97" t="s">
        <v>4024</v>
      </c>
      <c r="I961" s="97" t="s">
        <v>4039</v>
      </c>
      <c r="J961" s="97" t="s">
        <v>4077</v>
      </c>
      <c r="K961" s="17" t="str">
        <f>IFERROR(INDEX(競技会設定!$J$3:$O$47,MATCH(J961,競技会設定!$M$3:$M$47,0),5),"")</f>
        <v>静岡大</v>
      </c>
      <c r="L961" s="17" t="str">
        <f>IFERROR(INDEX(競技会設定!$J$3:$N$47,MATCH(K961,競技会設定!$N$3:$N$47,0),2),"")</f>
        <v>490042</v>
      </c>
      <c r="M961" s="97" t="s">
        <v>3857</v>
      </c>
      <c r="N961" s="17" t="str">
        <f t="shared" si="43"/>
        <v>YONEKURA, Yuki</v>
      </c>
      <c r="O961" s="17" t="str">
        <f t="shared" si="44"/>
        <v>00</v>
      </c>
    </row>
    <row r="962" spans="1:15">
      <c r="A962" s="17" t="str">
        <f t="shared" si="42"/>
        <v>501000961</v>
      </c>
      <c r="B962" s="97">
        <v>961</v>
      </c>
      <c r="C962" s="97" t="s">
        <v>4117</v>
      </c>
      <c r="D962" s="97" t="s">
        <v>4118</v>
      </c>
      <c r="E962" s="312" t="s">
        <v>4415</v>
      </c>
      <c r="F962" s="312" t="s">
        <v>2272</v>
      </c>
      <c r="G962" s="97" t="s">
        <v>3273</v>
      </c>
      <c r="H962" s="97" t="s">
        <v>4024</v>
      </c>
      <c r="I962" s="97" t="s">
        <v>4039</v>
      </c>
      <c r="J962" s="97" t="s">
        <v>4077</v>
      </c>
      <c r="K962" s="17" t="str">
        <f>IFERROR(INDEX(競技会設定!$J$3:$O$47,MATCH(J962,競技会設定!$M$3:$M$47,0),5),"")</f>
        <v>静岡大</v>
      </c>
      <c r="L962" s="17" t="str">
        <f>IFERROR(INDEX(競技会設定!$J$3:$N$47,MATCH(K962,競技会設定!$N$3:$N$47,0),2),"")</f>
        <v>490042</v>
      </c>
      <c r="M962" s="97" t="s">
        <v>3857</v>
      </c>
      <c r="N962" s="17" t="str">
        <f t="shared" si="43"/>
        <v>SAWAYAMA, Takumi</v>
      </c>
      <c r="O962" s="17" t="str">
        <f t="shared" si="44"/>
        <v>98</v>
      </c>
    </row>
    <row r="963" spans="1:15">
      <c r="A963" s="17" t="str">
        <f t="shared" ref="A963:A1026" si="45">IF(B963="","","501"&amp;TEXT(B963,"000000"))</f>
        <v>501000962</v>
      </c>
      <c r="B963" s="97">
        <v>962</v>
      </c>
      <c r="C963" s="97" t="s">
        <v>4119</v>
      </c>
      <c r="D963" s="97" t="s">
        <v>4120</v>
      </c>
      <c r="E963" s="312" t="s">
        <v>4416</v>
      </c>
      <c r="F963" s="312" t="s">
        <v>4417</v>
      </c>
      <c r="G963" s="97" t="s">
        <v>4580</v>
      </c>
      <c r="H963" s="97" t="s">
        <v>4024</v>
      </c>
      <c r="I963" s="97" t="s">
        <v>4039</v>
      </c>
      <c r="J963" s="97" t="s">
        <v>4077</v>
      </c>
      <c r="K963" s="17" t="str">
        <f>IFERROR(INDEX(競技会設定!$J$3:$O$47,MATCH(J963,競技会設定!$M$3:$M$47,0),5),"")</f>
        <v>静岡大</v>
      </c>
      <c r="L963" s="17" t="str">
        <f>IFERROR(INDEX(競技会設定!$J$3:$N$47,MATCH(K963,競技会設定!$N$3:$N$47,0),2),"")</f>
        <v>490042</v>
      </c>
      <c r="M963" s="97" t="s">
        <v>3857</v>
      </c>
      <c r="N963" s="17" t="str">
        <f t="shared" ref="N963:N1026" si="46">IF(E963="","",E963&amp;", "&amp;F963)</f>
        <v>OBA, Ryoto</v>
      </c>
      <c r="O963" s="17" t="str">
        <f t="shared" ref="O963:O1026" si="47">IFERROR(TEXT(INT(LEFT(G963,2)),"00"),"")</f>
        <v>99</v>
      </c>
    </row>
    <row r="964" spans="1:15">
      <c r="A964" s="17" t="str">
        <f t="shared" si="45"/>
        <v>501000963</v>
      </c>
      <c r="B964" s="97">
        <v>963</v>
      </c>
      <c r="C964" s="97" t="s">
        <v>4121</v>
      </c>
      <c r="D964" s="97" t="s">
        <v>4122</v>
      </c>
      <c r="E964" s="312" t="s">
        <v>2743</v>
      </c>
      <c r="F964" s="312" t="s">
        <v>3001</v>
      </c>
      <c r="G964" s="97" t="s">
        <v>4581</v>
      </c>
      <c r="H964" s="97" t="s">
        <v>4024</v>
      </c>
      <c r="I964" s="97" t="s">
        <v>4039</v>
      </c>
      <c r="J964" s="97" t="s">
        <v>4077</v>
      </c>
      <c r="K964" s="17" t="str">
        <f>IFERROR(INDEX(競技会設定!$J$3:$O$47,MATCH(J964,競技会設定!$M$3:$M$47,0),5),"")</f>
        <v>静岡大</v>
      </c>
      <c r="L964" s="17" t="str">
        <f>IFERROR(INDEX(競技会設定!$J$3:$N$47,MATCH(K964,競技会設定!$N$3:$N$47,0),2),"")</f>
        <v>490042</v>
      </c>
      <c r="M964" s="97" t="s">
        <v>3857</v>
      </c>
      <c r="N964" s="17" t="str">
        <f t="shared" si="46"/>
        <v>NAGASE, Hiroya</v>
      </c>
      <c r="O964" s="17" t="str">
        <f t="shared" si="47"/>
        <v>99</v>
      </c>
    </row>
    <row r="965" spans="1:15">
      <c r="A965" s="17" t="str">
        <f t="shared" si="45"/>
        <v>501000964</v>
      </c>
      <c r="B965" s="97">
        <v>964</v>
      </c>
      <c r="C965" s="97" t="s">
        <v>4123</v>
      </c>
      <c r="D965" s="97" t="s">
        <v>4124</v>
      </c>
      <c r="E965" s="312" t="s">
        <v>2531</v>
      </c>
      <c r="F965" s="312" t="s">
        <v>2464</v>
      </c>
      <c r="G965" s="97" t="s">
        <v>4582</v>
      </c>
      <c r="H965" s="97" t="s">
        <v>4024</v>
      </c>
      <c r="I965" s="97" t="s">
        <v>4039</v>
      </c>
      <c r="J965" s="97" t="s">
        <v>4077</v>
      </c>
      <c r="K965" s="17" t="str">
        <f>IFERROR(INDEX(競技会設定!$J$3:$O$47,MATCH(J965,競技会設定!$M$3:$M$47,0),5),"")</f>
        <v>静岡大</v>
      </c>
      <c r="L965" s="17" t="str">
        <f>IFERROR(INDEX(競技会設定!$J$3:$N$47,MATCH(K965,競技会設定!$N$3:$N$47,0),2),"")</f>
        <v>490042</v>
      </c>
      <c r="M965" s="97" t="s">
        <v>3857</v>
      </c>
      <c r="N965" s="17" t="str">
        <f t="shared" si="46"/>
        <v>ADACHI, Taiyo</v>
      </c>
      <c r="O965" s="17" t="str">
        <f t="shared" si="47"/>
        <v>00</v>
      </c>
    </row>
    <row r="966" spans="1:15">
      <c r="A966" s="17" t="str">
        <f t="shared" si="45"/>
        <v>501000965</v>
      </c>
      <c r="B966" s="97">
        <v>965</v>
      </c>
      <c r="C966" s="97" t="s">
        <v>4125</v>
      </c>
      <c r="D966" s="97" t="s">
        <v>4126</v>
      </c>
      <c r="E966" s="312" t="s">
        <v>2545</v>
      </c>
      <c r="F966" s="312" t="s">
        <v>4418</v>
      </c>
      <c r="G966" s="97" t="s">
        <v>4583</v>
      </c>
      <c r="H966" s="97" t="s">
        <v>4024</v>
      </c>
      <c r="I966" s="97" t="s">
        <v>4039</v>
      </c>
      <c r="J966" s="97" t="s">
        <v>4077</v>
      </c>
      <c r="K966" s="17" t="str">
        <f>IFERROR(INDEX(競技会設定!$J$3:$O$47,MATCH(J966,競技会設定!$M$3:$M$47,0),5),"")</f>
        <v>静岡大</v>
      </c>
      <c r="L966" s="17" t="str">
        <f>IFERROR(INDEX(競技会設定!$J$3:$N$47,MATCH(K966,競技会設定!$N$3:$N$47,0),2),"")</f>
        <v>490042</v>
      </c>
      <c r="M966" s="97" t="s">
        <v>3857</v>
      </c>
      <c r="N966" s="17" t="str">
        <f t="shared" si="46"/>
        <v>WADA, Gosuke</v>
      </c>
      <c r="O966" s="17" t="str">
        <f t="shared" si="47"/>
        <v>99</v>
      </c>
    </row>
    <row r="967" spans="1:15">
      <c r="A967" s="17" t="str">
        <f t="shared" si="45"/>
        <v>501000966</v>
      </c>
      <c r="B967" s="97">
        <v>966</v>
      </c>
      <c r="C967" s="97" t="s">
        <v>4127</v>
      </c>
      <c r="D967" s="97" t="s">
        <v>4128</v>
      </c>
      <c r="E967" s="312" t="s">
        <v>4419</v>
      </c>
      <c r="F967" s="312" t="s">
        <v>2165</v>
      </c>
      <c r="G967" s="97" t="s">
        <v>4584</v>
      </c>
      <c r="H967" s="97" t="s">
        <v>4024</v>
      </c>
      <c r="I967" s="97" t="s">
        <v>4039</v>
      </c>
      <c r="J967" s="97" t="s">
        <v>4077</v>
      </c>
      <c r="K967" s="17" t="str">
        <f>IFERROR(INDEX(競技会設定!$J$3:$O$47,MATCH(J967,競技会設定!$M$3:$M$47,0),5),"")</f>
        <v>静岡大</v>
      </c>
      <c r="L967" s="17" t="str">
        <f>IFERROR(INDEX(競技会設定!$J$3:$N$47,MATCH(K967,競技会設定!$N$3:$N$47,0),2),"")</f>
        <v>490042</v>
      </c>
      <c r="M967" s="97" t="s">
        <v>3857</v>
      </c>
      <c r="N967" s="17" t="str">
        <f t="shared" si="46"/>
        <v>SHINOHARA, Riku</v>
      </c>
      <c r="O967" s="17" t="str">
        <f t="shared" si="47"/>
        <v>99</v>
      </c>
    </row>
    <row r="968" spans="1:15">
      <c r="A968" s="17" t="str">
        <f t="shared" si="45"/>
        <v>501000967</v>
      </c>
      <c r="B968" s="97">
        <v>967</v>
      </c>
      <c r="C968" s="97" t="s">
        <v>4129</v>
      </c>
      <c r="D968" s="97" t="s">
        <v>4130</v>
      </c>
      <c r="E968" s="312" t="s">
        <v>2316</v>
      </c>
      <c r="F968" s="312" t="s">
        <v>2437</v>
      </c>
      <c r="G968" s="97" t="s">
        <v>4585</v>
      </c>
      <c r="H968" s="97" t="s">
        <v>4024</v>
      </c>
      <c r="I968" s="97" t="s">
        <v>4039</v>
      </c>
      <c r="J968" s="97" t="s">
        <v>4077</v>
      </c>
      <c r="K968" s="17" t="str">
        <f>IFERROR(INDEX(競技会設定!$J$3:$O$47,MATCH(J968,競技会設定!$M$3:$M$47,0),5),"")</f>
        <v>静岡大</v>
      </c>
      <c r="L968" s="17" t="str">
        <f>IFERROR(INDEX(競技会設定!$J$3:$N$47,MATCH(K968,競技会設定!$N$3:$N$47,0),2),"")</f>
        <v>490042</v>
      </c>
      <c r="M968" s="97" t="s">
        <v>3857</v>
      </c>
      <c r="N968" s="17" t="str">
        <f t="shared" si="46"/>
        <v>MAKINO, Taiga</v>
      </c>
      <c r="O968" s="17" t="str">
        <f t="shared" si="47"/>
        <v>99</v>
      </c>
    </row>
    <row r="969" spans="1:15">
      <c r="A969" s="17" t="str">
        <f t="shared" si="45"/>
        <v>501000968</v>
      </c>
      <c r="B969" s="97">
        <v>968</v>
      </c>
      <c r="C969" s="97" t="s">
        <v>4131</v>
      </c>
      <c r="D969" s="97" t="s">
        <v>4132</v>
      </c>
      <c r="E969" s="312" t="s">
        <v>4420</v>
      </c>
      <c r="F969" s="312" t="s">
        <v>2830</v>
      </c>
      <c r="G969" s="97" t="s">
        <v>4586</v>
      </c>
      <c r="H969" s="97" t="s">
        <v>4024</v>
      </c>
      <c r="I969" s="97" t="s">
        <v>4039</v>
      </c>
      <c r="J969" s="97" t="s">
        <v>4077</v>
      </c>
      <c r="K969" s="17" t="str">
        <f>IFERROR(INDEX(競技会設定!$J$3:$O$47,MATCH(J969,競技会設定!$M$3:$M$47,0),5),"")</f>
        <v>静岡大</v>
      </c>
      <c r="L969" s="17" t="str">
        <f>IFERROR(INDEX(競技会設定!$J$3:$N$47,MATCH(K969,競技会設定!$N$3:$N$47,0),2),"")</f>
        <v>490042</v>
      </c>
      <c r="M969" s="97" t="s">
        <v>3857</v>
      </c>
      <c r="N969" s="17" t="str">
        <f t="shared" si="46"/>
        <v>TSUJIKAWA, Yuma</v>
      </c>
      <c r="O969" s="17" t="str">
        <f t="shared" si="47"/>
        <v>99</v>
      </c>
    </row>
    <row r="970" spans="1:15">
      <c r="A970" s="17" t="str">
        <f t="shared" si="45"/>
        <v>501000969</v>
      </c>
      <c r="B970" s="97">
        <v>969</v>
      </c>
      <c r="C970" s="97" t="s">
        <v>4133</v>
      </c>
      <c r="D970" s="97" t="s">
        <v>4134</v>
      </c>
      <c r="E970" s="312" t="s">
        <v>4421</v>
      </c>
      <c r="F970" s="312" t="s">
        <v>2629</v>
      </c>
      <c r="G970" s="97" t="s">
        <v>4587</v>
      </c>
      <c r="H970" s="97" t="s">
        <v>4024</v>
      </c>
      <c r="I970" s="97" t="s">
        <v>4039</v>
      </c>
      <c r="J970" s="97" t="s">
        <v>4077</v>
      </c>
      <c r="K970" s="17" t="str">
        <f>IFERROR(INDEX(競技会設定!$J$3:$O$47,MATCH(J970,競技会設定!$M$3:$M$47,0),5),"")</f>
        <v>静岡大</v>
      </c>
      <c r="L970" s="17" t="str">
        <f>IFERROR(INDEX(競技会設定!$J$3:$N$47,MATCH(K970,競技会設定!$N$3:$N$47,0),2),"")</f>
        <v>490042</v>
      </c>
      <c r="M970" s="97" t="s">
        <v>3857</v>
      </c>
      <c r="N970" s="17" t="str">
        <f t="shared" si="46"/>
        <v>MOCHIZUKI, Koyo</v>
      </c>
      <c r="O970" s="17" t="str">
        <f t="shared" si="47"/>
        <v>99</v>
      </c>
    </row>
    <row r="971" spans="1:15">
      <c r="A971" s="17" t="str">
        <f t="shared" si="45"/>
        <v>501000970</v>
      </c>
      <c r="B971" s="97">
        <v>970</v>
      </c>
      <c r="C971" s="97" t="s">
        <v>4135</v>
      </c>
      <c r="D971" s="97" t="s">
        <v>4136</v>
      </c>
      <c r="E971" s="312" t="s">
        <v>4422</v>
      </c>
      <c r="F971" s="312" t="s">
        <v>2704</v>
      </c>
      <c r="G971" s="97" t="s">
        <v>3287</v>
      </c>
      <c r="H971" s="97" t="s">
        <v>4024</v>
      </c>
      <c r="I971" s="97" t="s">
        <v>4039</v>
      </c>
      <c r="J971" s="97" t="s">
        <v>4077</v>
      </c>
      <c r="K971" s="17" t="str">
        <f>IFERROR(INDEX(競技会設定!$J$3:$O$47,MATCH(J971,競技会設定!$M$3:$M$47,0),5),"")</f>
        <v>静岡大</v>
      </c>
      <c r="L971" s="17" t="str">
        <f>IFERROR(INDEX(競技会設定!$J$3:$N$47,MATCH(K971,競技会設定!$N$3:$N$47,0),2),"")</f>
        <v>490042</v>
      </c>
      <c r="M971" s="97" t="s">
        <v>3857</v>
      </c>
      <c r="N971" s="17" t="str">
        <f t="shared" si="46"/>
        <v>KAWADA, Tomotaka</v>
      </c>
      <c r="O971" s="17" t="str">
        <f t="shared" si="47"/>
        <v>99</v>
      </c>
    </row>
    <row r="972" spans="1:15">
      <c r="A972" s="17" t="str">
        <f t="shared" si="45"/>
        <v>501000971</v>
      </c>
      <c r="B972" s="97">
        <v>971</v>
      </c>
      <c r="C972" s="97" t="s">
        <v>4137</v>
      </c>
      <c r="D972" s="97" t="s">
        <v>4138</v>
      </c>
      <c r="E972" s="312" t="s">
        <v>4423</v>
      </c>
      <c r="F972" s="312" t="s">
        <v>2503</v>
      </c>
      <c r="G972" s="97" t="s">
        <v>4588</v>
      </c>
      <c r="H972" s="97" t="s">
        <v>4024</v>
      </c>
      <c r="I972" s="97" t="s">
        <v>4039</v>
      </c>
      <c r="J972" s="97" t="s">
        <v>4077</v>
      </c>
      <c r="K972" s="17" t="str">
        <f>IFERROR(INDEX(競技会設定!$J$3:$O$47,MATCH(J972,競技会設定!$M$3:$M$47,0),5),"")</f>
        <v>静岡大</v>
      </c>
      <c r="L972" s="17" t="str">
        <f>IFERROR(INDEX(競技会設定!$J$3:$N$47,MATCH(K972,競技会設定!$N$3:$N$47,0),2),"")</f>
        <v>490042</v>
      </c>
      <c r="M972" s="97" t="s">
        <v>3857</v>
      </c>
      <c r="N972" s="17" t="str">
        <f t="shared" si="46"/>
        <v>IMORI, Keiya</v>
      </c>
      <c r="O972" s="17" t="str">
        <f t="shared" si="47"/>
        <v>00</v>
      </c>
    </row>
    <row r="973" spans="1:15">
      <c r="A973" s="17" t="str">
        <f t="shared" si="45"/>
        <v>501000972</v>
      </c>
      <c r="B973" s="97">
        <v>972</v>
      </c>
      <c r="C973" s="97" t="s">
        <v>4139</v>
      </c>
      <c r="D973" s="97" t="s">
        <v>7617</v>
      </c>
      <c r="E973" s="312" t="s">
        <v>2642</v>
      </c>
      <c r="F973" s="312" t="s">
        <v>4424</v>
      </c>
      <c r="G973" s="97" t="s">
        <v>3328</v>
      </c>
      <c r="H973" s="97" t="s">
        <v>4024</v>
      </c>
      <c r="I973" s="97" t="s">
        <v>4039</v>
      </c>
      <c r="J973" s="97" t="s">
        <v>4077</v>
      </c>
      <c r="K973" s="17" t="str">
        <f>IFERROR(INDEX(競技会設定!$J$3:$O$47,MATCH(J973,競技会設定!$M$3:$M$47,0),5),"")</f>
        <v>静岡大</v>
      </c>
      <c r="L973" s="17" t="str">
        <f>IFERROR(INDEX(競技会設定!$J$3:$N$47,MATCH(K973,競技会設定!$N$3:$N$47,0),2),"")</f>
        <v>490042</v>
      </c>
      <c r="M973" s="97" t="s">
        <v>3857</v>
      </c>
      <c r="N973" s="17" t="str">
        <f t="shared" si="46"/>
        <v>YOSHIKAWA, Naonori</v>
      </c>
      <c r="O973" s="17" t="str">
        <f t="shared" si="47"/>
        <v>99</v>
      </c>
    </row>
    <row r="974" spans="1:15">
      <c r="A974" s="17" t="str">
        <f t="shared" si="45"/>
        <v>501000973</v>
      </c>
      <c r="B974" s="97">
        <v>973</v>
      </c>
      <c r="C974" s="97" t="s">
        <v>4140</v>
      </c>
      <c r="D974" s="97" t="s">
        <v>4141</v>
      </c>
      <c r="E974" s="312" t="s">
        <v>2249</v>
      </c>
      <c r="F974" s="312" t="s">
        <v>2193</v>
      </c>
      <c r="G974" s="97" t="s">
        <v>4589</v>
      </c>
      <c r="H974" s="97" t="s">
        <v>4024</v>
      </c>
      <c r="I974" s="97" t="s">
        <v>4039</v>
      </c>
      <c r="J974" s="97" t="s">
        <v>4077</v>
      </c>
      <c r="K974" s="17" t="str">
        <f>IFERROR(INDEX(競技会設定!$J$3:$O$47,MATCH(J974,競技会設定!$M$3:$M$47,0),5),"")</f>
        <v>静岡大</v>
      </c>
      <c r="L974" s="17" t="str">
        <f>IFERROR(INDEX(競技会設定!$J$3:$N$47,MATCH(K974,競技会設定!$N$3:$N$47,0),2),"")</f>
        <v>490042</v>
      </c>
      <c r="M974" s="97" t="s">
        <v>3857</v>
      </c>
      <c r="N974" s="17" t="str">
        <f t="shared" si="46"/>
        <v>MASUDA, Yuta</v>
      </c>
      <c r="O974" s="17" t="str">
        <f t="shared" si="47"/>
        <v>99</v>
      </c>
    </row>
    <row r="975" spans="1:15">
      <c r="A975" s="17" t="str">
        <f t="shared" si="45"/>
        <v>501000974</v>
      </c>
      <c r="B975" s="97">
        <v>974</v>
      </c>
      <c r="C975" s="97" t="s">
        <v>4142</v>
      </c>
      <c r="D975" s="97" t="s">
        <v>4143</v>
      </c>
      <c r="E975" s="312" t="s">
        <v>2161</v>
      </c>
      <c r="F975" s="312" t="s">
        <v>2425</v>
      </c>
      <c r="G975" s="97" t="s">
        <v>3083</v>
      </c>
      <c r="H975" s="97" t="s">
        <v>4024</v>
      </c>
      <c r="I975" s="97" t="s">
        <v>4039</v>
      </c>
      <c r="J975" s="97" t="s">
        <v>4077</v>
      </c>
      <c r="K975" s="17" t="str">
        <f>IFERROR(INDEX(競技会設定!$J$3:$O$47,MATCH(J975,競技会設定!$M$3:$M$47,0),5),"")</f>
        <v>静岡大</v>
      </c>
      <c r="L975" s="17" t="str">
        <f>IFERROR(INDEX(競技会設定!$J$3:$N$47,MATCH(K975,競技会設定!$N$3:$N$47,0),2),"")</f>
        <v>490042</v>
      </c>
      <c r="M975" s="97" t="s">
        <v>3857</v>
      </c>
      <c r="N975" s="17" t="str">
        <f t="shared" si="46"/>
        <v>KINOSHITA, Ryoga</v>
      </c>
      <c r="O975" s="17" t="str">
        <f t="shared" si="47"/>
        <v>98</v>
      </c>
    </row>
    <row r="976" spans="1:15">
      <c r="A976" s="17" t="str">
        <f t="shared" si="45"/>
        <v>501000975</v>
      </c>
      <c r="B976" s="97">
        <v>975</v>
      </c>
      <c r="C976" s="97" t="s">
        <v>4144</v>
      </c>
      <c r="D976" s="97" t="s">
        <v>4145</v>
      </c>
      <c r="E976" s="312" t="s">
        <v>4425</v>
      </c>
      <c r="F976" s="312" t="s">
        <v>2207</v>
      </c>
      <c r="G976" s="97" t="s">
        <v>3541</v>
      </c>
      <c r="H976" s="97" t="s">
        <v>4024</v>
      </c>
      <c r="I976" s="97" t="s">
        <v>4039</v>
      </c>
      <c r="J976" s="97" t="s">
        <v>4077</v>
      </c>
      <c r="K976" s="17" t="str">
        <f>IFERROR(INDEX(競技会設定!$J$3:$O$47,MATCH(J976,競技会設定!$M$3:$M$47,0),5),"")</f>
        <v>静岡大</v>
      </c>
      <c r="L976" s="17" t="str">
        <f>IFERROR(INDEX(競技会設定!$J$3:$N$47,MATCH(K976,競技会設定!$N$3:$N$47,0),2),"")</f>
        <v>490042</v>
      </c>
      <c r="M976" s="97" t="s">
        <v>3857</v>
      </c>
      <c r="N976" s="17" t="str">
        <f t="shared" si="46"/>
        <v>FUKUI, Tatsuya</v>
      </c>
      <c r="O976" s="17" t="str">
        <f t="shared" si="47"/>
        <v>99</v>
      </c>
    </row>
    <row r="977" spans="1:15">
      <c r="A977" s="17" t="str">
        <f t="shared" si="45"/>
        <v>501000976</v>
      </c>
      <c r="B977" s="97">
        <v>976</v>
      </c>
      <c r="C977" s="97" t="s">
        <v>4146</v>
      </c>
      <c r="D977" s="97" t="s">
        <v>4147</v>
      </c>
      <c r="E977" s="312" t="s">
        <v>2166</v>
      </c>
      <c r="F977" s="312" t="s">
        <v>2234</v>
      </c>
      <c r="G977" s="97" t="s">
        <v>3526</v>
      </c>
      <c r="H977" s="97" t="s">
        <v>4024</v>
      </c>
      <c r="I977" s="97" t="s">
        <v>4039</v>
      </c>
      <c r="J977" s="97" t="s">
        <v>4077</v>
      </c>
      <c r="K977" s="17" t="str">
        <f>IFERROR(INDEX(競技会設定!$J$3:$O$47,MATCH(J977,競技会設定!$M$3:$M$47,0),5),"")</f>
        <v>静岡大</v>
      </c>
      <c r="L977" s="17" t="str">
        <f>IFERROR(INDEX(競技会設定!$J$3:$N$47,MATCH(K977,競技会設定!$N$3:$N$47,0),2),"")</f>
        <v>490042</v>
      </c>
      <c r="M977" s="97" t="s">
        <v>3857</v>
      </c>
      <c r="N977" s="17" t="str">
        <f t="shared" si="46"/>
        <v>SATO, Yuto</v>
      </c>
      <c r="O977" s="17" t="str">
        <f t="shared" si="47"/>
        <v>99</v>
      </c>
    </row>
    <row r="978" spans="1:15">
      <c r="A978" s="17" t="str">
        <f t="shared" si="45"/>
        <v>501000977</v>
      </c>
      <c r="B978" s="97">
        <v>977</v>
      </c>
      <c r="C978" s="97" t="s">
        <v>4148</v>
      </c>
      <c r="D978" s="97" t="s">
        <v>4149</v>
      </c>
      <c r="E978" s="312" t="s">
        <v>2483</v>
      </c>
      <c r="F978" s="312" t="s">
        <v>2291</v>
      </c>
      <c r="G978" s="97" t="s">
        <v>4590</v>
      </c>
      <c r="H978" s="97" t="s">
        <v>4026</v>
      </c>
      <c r="I978" s="97" t="s">
        <v>4039</v>
      </c>
      <c r="J978" s="97" t="s">
        <v>4077</v>
      </c>
      <c r="K978" s="17" t="str">
        <f>IFERROR(INDEX(競技会設定!$J$3:$O$47,MATCH(J978,競技会設定!$M$3:$M$47,0),5),"")</f>
        <v>静岡大</v>
      </c>
      <c r="L978" s="17" t="str">
        <f>IFERROR(INDEX(競技会設定!$J$3:$N$47,MATCH(K978,競技会設定!$N$3:$N$47,0),2),"")</f>
        <v>490042</v>
      </c>
      <c r="M978" s="97" t="s">
        <v>3857</v>
      </c>
      <c r="N978" s="17" t="str">
        <f t="shared" si="46"/>
        <v>YAMAZAKI, Kakeru</v>
      </c>
      <c r="O978" s="17" t="str">
        <f t="shared" si="47"/>
        <v>00</v>
      </c>
    </row>
    <row r="979" spans="1:15">
      <c r="A979" s="17" t="str">
        <f t="shared" si="45"/>
        <v>501000978</v>
      </c>
      <c r="B979" s="97">
        <v>978</v>
      </c>
      <c r="C979" s="97" t="s">
        <v>4150</v>
      </c>
      <c r="D979" s="97" t="s">
        <v>4151</v>
      </c>
      <c r="E979" s="312" t="s">
        <v>2369</v>
      </c>
      <c r="F979" s="312" t="s">
        <v>2459</v>
      </c>
      <c r="G979" s="97" t="s">
        <v>3245</v>
      </c>
      <c r="H979" s="97" t="s">
        <v>4026</v>
      </c>
      <c r="I979" s="97" t="s">
        <v>4039</v>
      </c>
      <c r="J979" s="97" t="s">
        <v>4077</v>
      </c>
      <c r="K979" s="17" t="str">
        <f>IFERROR(INDEX(競技会設定!$J$3:$O$47,MATCH(J979,競技会設定!$M$3:$M$47,0),5),"")</f>
        <v>静岡大</v>
      </c>
      <c r="L979" s="17" t="str">
        <f>IFERROR(INDEX(競技会設定!$J$3:$N$47,MATCH(K979,競技会設定!$N$3:$N$47,0),2),"")</f>
        <v>490042</v>
      </c>
      <c r="M979" s="97" t="s">
        <v>3857</v>
      </c>
      <c r="N979" s="17" t="str">
        <f t="shared" si="46"/>
        <v>KATO, Hiroyuki</v>
      </c>
      <c r="O979" s="17" t="str">
        <f t="shared" si="47"/>
        <v>00</v>
      </c>
    </row>
    <row r="980" spans="1:15">
      <c r="A980" s="17" t="str">
        <f t="shared" si="45"/>
        <v>501000979</v>
      </c>
      <c r="B980" s="97">
        <v>979</v>
      </c>
      <c r="C980" s="97" t="s">
        <v>4152</v>
      </c>
      <c r="D980" s="97" t="s">
        <v>4153</v>
      </c>
      <c r="E980" s="312" t="s">
        <v>4426</v>
      </c>
      <c r="F980" s="312" t="s">
        <v>2137</v>
      </c>
      <c r="G980" s="97" t="s">
        <v>4591</v>
      </c>
      <c r="H980" s="97" t="s">
        <v>4026</v>
      </c>
      <c r="I980" s="97" t="s">
        <v>4039</v>
      </c>
      <c r="J980" s="97" t="s">
        <v>4077</v>
      </c>
      <c r="K980" s="17" t="str">
        <f>IFERROR(INDEX(競技会設定!$J$3:$O$47,MATCH(J980,競技会設定!$M$3:$M$47,0),5),"")</f>
        <v>静岡大</v>
      </c>
      <c r="L980" s="17" t="str">
        <f>IFERROR(INDEX(競技会設定!$J$3:$N$47,MATCH(K980,競技会設定!$N$3:$N$47,0),2),"")</f>
        <v>490042</v>
      </c>
      <c r="M980" s="97" t="s">
        <v>3857</v>
      </c>
      <c r="N980" s="17" t="str">
        <f t="shared" si="46"/>
        <v>SUGA, Ryota</v>
      </c>
      <c r="O980" s="17" t="str">
        <f t="shared" si="47"/>
        <v>00</v>
      </c>
    </row>
    <row r="981" spans="1:15">
      <c r="A981" s="17" t="str">
        <f t="shared" si="45"/>
        <v>501000980</v>
      </c>
      <c r="B981" s="97">
        <v>980</v>
      </c>
      <c r="C981" s="97" t="s">
        <v>4154</v>
      </c>
      <c r="D981" s="97" t="s">
        <v>4155</v>
      </c>
      <c r="E981" s="312" t="s">
        <v>2216</v>
      </c>
      <c r="F981" s="312" t="s">
        <v>4427</v>
      </c>
      <c r="G981" s="97" t="s">
        <v>4592</v>
      </c>
      <c r="H981" s="97" t="s">
        <v>4026</v>
      </c>
      <c r="I981" s="97" t="s">
        <v>4039</v>
      </c>
      <c r="J981" s="97" t="s">
        <v>4077</v>
      </c>
      <c r="K981" s="17" t="str">
        <f>IFERROR(INDEX(競技会設定!$J$3:$O$47,MATCH(J981,競技会設定!$M$3:$M$47,0),5),"")</f>
        <v>静岡大</v>
      </c>
      <c r="L981" s="17" t="str">
        <f>IFERROR(INDEX(競技会設定!$J$3:$N$47,MATCH(K981,競技会設定!$N$3:$N$47,0),2),"")</f>
        <v>490042</v>
      </c>
      <c r="M981" s="97" t="s">
        <v>3857</v>
      </c>
      <c r="N981" s="17" t="str">
        <f t="shared" si="46"/>
        <v>IKEDA, Atsushi</v>
      </c>
      <c r="O981" s="17" t="str">
        <f t="shared" si="47"/>
        <v>00</v>
      </c>
    </row>
    <row r="982" spans="1:15">
      <c r="A982" s="17" t="str">
        <f t="shared" si="45"/>
        <v>501000981</v>
      </c>
      <c r="B982" s="97">
        <v>981</v>
      </c>
      <c r="C982" s="97" t="s">
        <v>4156</v>
      </c>
      <c r="D982" s="97" t="s">
        <v>4157</v>
      </c>
      <c r="E982" s="312" t="s">
        <v>2308</v>
      </c>
      <c r="F982" s="312" t="s">
        <v>4428</v>
      </c>
      <c r="G982" s="97" t="s">
        <v>4593</v>
      </c>
      <c r="H982" s="97" t="s">
        <v>4026</v>
      </c>
      <c r="I982" s="97" t="s">
        <v>4039</v>
      </c>
      <c r="J982" s="97" t="s">
        <v>4077</v>
      </c>
      <c r="K982" s="17" t="str">
        <f>IFERROR(INDEX(競技会設定!$J$3:$O$47,MATCH(J982,競技会設定!$M$3:$M$47,0),5),"")</f>
        <v>静岡大</v>
      </c>
      <c r="L982" s="17" t="str">
        <f>IFERROR(INDEX(競技会設定!$J$3:$N$47,MATCH(K982,競技会設定!$N$3:$N$47,0),2),"")</f>
        <v>490042</v>
      </c>
      <c r="M982" s="97" t="s">
        <v>3857</v>
      </c>
      <c r="N982" s="17" t="str">
        <f t="shared" si="46"/>
        <v>YAMAGUCHI, Rio</v>
      </c>
      <c r="O982" s="17" t="str">
        <f t="shared" si="47"/>
        <v>00</v>
      </c>
    </row>
    <row r="983" spans="1:15">
      <c r="A983" s="17" t="str">
        <f t="shared" si="45"/>
        <v>501000982</v>
      </c>
      <c r="B983" s="97">
        <v>982</v>
      </c>
      <c r="C983" s="97" t="s">
        <v>4158</v>
      </c>
      <c r="D983" s="97" t="s">
        <v>4159</v>
      </c>
      <c r="E983" s="312" t="s">
        <v>4429</v>
      </c>
      <c r="F983" s="312" t="s">
        <v>2137</v>
      </c>
      <c r="G983" s="97" t="s">
        <v>4594</v>
      </c>
      <c r="H983" s="97" t="s">
        <v>4026</v>
      </c>
      <c r="I983" s="97" t="s">
        <v>4039</v>
      </c>
      <c r="J983" s="97" t="s">
        <v>4077</v>
      </c>
      <c r="K983" s="17" t="str">
        <f>IFERROR(INDEX(競技会設定!$J$3:$O$47,MATCH(J983,競技会設定!$M$3:$M$47,0),5),"")</f>
        <v>静岡大</v>
      </c>
      <c r="L983" s="17" t="str">
        <f>IFERROR(INDEX(競技会設定!$J$3:$N$47,MATCH(K983,競技会設定!$N$3:$N$47,0),2),"")</f>
        <v>490042</v>
      </c>
      <c r="M983" s="97" t="s">
        <v>3857</v>
      </c>
      <c r="N983" s="17" t="str">
        <f t="shared" si="46"/>
        <v>OSUMI, Ryota</v>
      </c>
      <c r="O983" s="17" t="str">
        <f t="shared" si="47"/>
        <v>00</v>
      </c>
    </row>
    <row r="984" spans="1:15">
      <c r="A984" s="17" t="str">
        <f t="shared" si="45"/>
        <v>501000983</v>
      </c>
      <c r="B984" s="97">
        <v>983</v>
      </c>
      <c r="C984" s="97" t="s">
        <v>4160</v>
      </c>
      <c r="D984" s="97" t="s">
        <v>4161</v>
      </c>
      <c r="E984" s="312" t="s">
        <v>4430</v>
      </c>
      <c r="F984" s="312" t="s">
        <v>4431</v>
      </c>
      <c r="G984" s="97" t="s">
        <v>3519</v>
      </c>
      <c r="H984" s="97" t="s">
        <v>4026</v>
      </c>
      <c r="I984" s="97" t="s">
        <v>4039</v>
      </c>
      <c r="J984" s="97" t="s">
        <v>4077</v>
      </c>
      <c r="K984" s="17" t="str">
        <f>IFERROR(INDEX(競技会設定!$J$3:$O$47,MATCH(J984,競技会設定!$M$3:$M$47,0),5),"")</f>
        <v>静岡大</v>
      </c>
      <c r="L984" s="17" t="str">
        <f>IFERROR(INDEX(競技会設定!$J$3:$N$47,MATCH(K984,競技会設定!$N$3:$N$47,0),2),"")</f>
        <v>490042</v>
      </c>
      <c r="M984" s="97" t="s">
        <v>3857</v>
      </c>
      <c r="N984" s="17" t="str">
        <f t="shared" si="46"/>
        <v>ISHIGAMI, Natsumi</v>
      </c>
      <c r="O984" s="17" t="str">
        <f t="shared" si="47"/>
        <v>00</v>
      </c>
    </row>
    <row r="985" spans="1:15">
      <c r="A985" s="17" t="str">
        <f t="shared" si="45"/>
        <v>501000984</v>
      </c>
      <c r="B985" s="97">
        <v>984</v>
      </c>
      <c r="C985" s="97" t="s">
        <v>4162</v>
      </c>
      <c r="D985" s="97" t="s">
        <v>4163</v>
      </c>
      <c r="E985" s="312" t="s">
        <v>2541</v>
      </c>
      <c r="F985" s="312" t="s">
        <v>2141</v>
      </c>
      <c r="G985" s="97" t="s">
        <v>3525</v>
      </c>
      <c r="H985" s="97" t="s">
        <v>4026</v>
      </c>
      <c r="I985" s="97" t="s">
        <v>4039</v>
      </c>
      <c r="J985" s="97" t="s">
        <v>4077</v>
      </c>
      <c r="K985" s="17" t="str">
        <f>IFERROR(INDEX(競技会設定!$J$3:$O$47,MATCH(J985,競技会設定!$M$3:$M$47,0),5),"")</f>
        <v>静岡大</v>
      </c>
      <c r="L985" s="17" t="str">
        <f>IFERROR(INDEX(競技会設定!$J$3:$N$47,MATCH(K985,競技会設定!$N$3:$N$47,0),2),"")</f>
        <v>490042</v>
      </c>
      <c r="M985" s="97" t="s">
        <v>3857</v>
      </c>
      <c r="N985" s="17" t="str">
        <f t="shared" si="46"/>
        <v>OGAWA, Tomoya</v>
      </c>
      <c r="O985" s="17" t="str">
        <f t="shared" si="47"/>
        <v>00</v>
      </c>
    </row>
    <row r="986" spans="1:15">
      <c r="A986" s="17" t="str">
        <f t="shared" si="45"/>
        <v>501000985</v>
      </c>
      <c r="B986" s="97">
        <v>985</v>
      </c>
      <c r="C986" s="97" t="s">
        <v>4164</v>
      </c>
      <c r="D986" s="97" t="s">
        <v>4165</v>
      </c>
      <c r="E986" s="312" t="s">
        <v>2837</v>
      </c>
      <c r="F986" s="312" t="s">
        <v>2516</v>
      </c>
      <c r="G986" s="97" t="s">
        <v>4595</v>
      </c>
      <c r="H986" s="97" t="s">
        <v>4026</v>
      </c>
      <c r="I986" s="97" t="s">
        <v>4039</v>
      </c>
      <c r="J986" s="97" t="s">
        <v>4077</v>
      </c>
      <c r="K986" s="17" t="str">
        <f>IFERROR(INDEX(競技会設定!$J$3:$O$47,MATCH(J986,競技会設定!$M$3:$M$47,0),5),"")</f>
        <v>静岡大</v>
      </c>
      <c r="L986" s="17" t="str">
        <f>IFERROR(INDEX(競技会設定!$J$3:$N$47,MATCH(K986,競技会設定!$N$3:$N$47,0),2),"")</f>
        <v>490042</v>
      </c>
      <c r="M986" s="97" t="s">
        <v>3857</v>
      </c>
      <c r="N986" s="17" t="str">
        <f t="shared" si="46"/>
        <v>MACHIDA, Naoto</v>
      </c>
      <c r="O986" s="17" t="str">
        <f t="shared" si="47"/>
        <v>00</v>
      </c>
    </row>
    <row r="987" spans="1:15">
      <c r="A987" s="17" t="str">
        <f t="shared" si="45"/>
        <v>501000986</v>
      </c>
      <c r="B987" s="97">
        <v>986</v>
      </c>
      <c r="C987" s="97" t="s">
        <v>4166</v>
      </c>
      <c r="D987" s="97" t="s">
        <v>4167</v>
      </c>
      <c r="E987" s="312" t="s">
        <v>4432</v>
      </c>
      <c r="F987" s="312" t="s">
        <v>2403</v>
      </c>
      <c r="G987" s="97" t="s">
        <v>3697</v>
      </c>
      <c r="H987" s="97" t="s">
        <v>4026</v>
      </c>
      <c r="I987" s="97" t="s">
        <v>4039</v>
      </c>
      <c r="J987" s="97" t="s">
        <v>4077</v>
      </c>
      <c r="K987" s="17" t="str">
        <f>IFERROR(INDEX(競技会設定!$J$3:$O$47,MATCH(J987,競技会設定!$M$3:$M$47,0),5),"")</f>
        <v>静岡大</v>
      </c>
      <c r="L987" s="17" t="str">
        <f>IFERROR(INDEX(競技会設定!$J$3:$N$47,MATCH(K987,競技会設定!$N$3:$N$47,0),2),"")</f>
        <v>490042</v>
      </c>
      <c r="M987" s="97" t="s">
        <v>3857</v>
      </c>
      <c r="N987" s="17" t="str">
        <f t="shared" si="46"/>
        <v>SOEJIMA, Daisuke</v>
      </c>
      <c r="O987" s="17" t="str">
        <f t="shared" si="47"/>
        <v>99</v>
      </c>
    </row>
    <row r="988" spans="1:15">
      <c r="A988" s="17" t="str">
        <f t="shared" si="45"/>
        <v>501000987</v>
      </c>
      <c r="B988" s="97">
        <v>987</v>
      </c>
      <c r="C988" s="97" t="s">
        <v>4168</v>
      </c>
      <c r="D988" s="97" t="s">
        <v>4169</v>
      </c>
      <c r="E988" s="312" t="s">
        <v>2360</v>
      </c>
      <c r="F988" s="312" t="s">
        <v>2286</v>
      </c>
      <c r="G988" s="97" t="s">
        <v>4596</v>
      </c>
      <c r="H988" s="97" t="s">
        <v>4030</v>
      </c>
      <c r="I988" s="97" t="s">
        <v>4039</v>
      </c>
      <c r="J988" s="97" t="s">
        <v>4077</v>
      </c>
      <c r="K988" s="17" t="str">
        <f>IFERROR(INDEX(競技会設定!$J$3:$O$47,MATCH(J988,競技会設定!$M$3:$M$47,0),5),"")</f>
        <v>静岡大</v>
      </c>
      <c r="L988" s="17" t="str">
        <f>IFERROR(INDEX(競技会設定!$J$3:$N$47,MATCH(K988,競技会設定!$N$3:$N$47,0),2),"")</f>
        <v>490042</v>
      </c>
      <c r="M988" s="97" t="s">
        <v>3857</v>
      </c>
      <c r="N988" s="17" t="str">
        <f t="shared" si="46"/>
        <v>WATANABE, Naoki</v>
      </c>
      <c r="O988" s="17" t="str">
        <f t="shared" si="47"/>
        <v>97</v>
      </c>
    </row>
    <row r="989" spans="1:15">
      <c r="A989" s="17" t="str">
        <f t="shared" si="45"/>
        <v>501000988</v>
      </c>
      <c r="B989" s="97">
        <v>988</v>
      </c>
      <c r="C989" s="97" t="s">
        <v>4170</v>
      </c>
      <c r="D989" s="97" t="s">
        <v>4171</v>
      </c>
      <c r="E989" s="312" t="s">
        <v>2249</v>
      </c>
      <c r="F989" s="312" t="s">
        <v>2437</v>
      </c>
      <c r="G989" s="97" t="s">
        <v>4597</v>
      </c>
      <c r="H989" s="97" t="s">
        <v>4030</v>
      </c>
      <c r="I989" s="97" t="s">
        <v>4039</v>
      </c>
      <c r="J989" s="97" t="s">
        <v>4077</v>
      </c>
      <c r="K989" s="17" t="str">
        <f>IFERROR(INDEX(競技会設定!$J$3:$O$47,MATCH(J989,競技会設定!$M$3:$M$47,0),5),"")</f>
        <v>静岡大</v>
      </c>
      <c r="L989" s="17" t="str">
        <f>IFERROR(INDEX(競技会設定!$J$3:$N$47,MATCH(K989,競技会設定!$N$3:$N$47,0),2),"")</f>
        <v>490042</v>
      </c>
      <c r="M989" s="97" t="s">
        <v>3857</v>
      </c>
      <c r="N989" s="17" t="str">
        <f t="shared" si="46"/>
        <v>MASUDA, Taiga</v>
      </c>
      <c r="O989" s="17" t="str">
        <f t="shared" si="47"/>
        <v>98</v>
      </c>
    </row>
    <row r="990" spans="1:15">
      <c r="A990" s="17" t="str">
        <f t="shared" si="45"/>
        <v>501000989</v>
      </c>
      <c r="B990" s="97">
        <v>989</v>
      </c>
      <c r="C990" s="97" t="s">
        <v>4172</v>
      </c>
      <c r="D990" s="97" t="s">
        <v>4173</v>
      </c>
      <c r="E990" s="312" t="s">
        <v>4433</v>
      </c>
      <c r="F990" s="312" t="s">
        <v>2307</v>
      </c>
      <c r="G990" s="97" t="s">
        <v>4598</v>
      </c>
      <c r="H990" s="97" t="s">
        <v>4030</v>
      </c>
      <c r="I990" s="97" t="s">
        <v>4039</v>
      </c>
      <c r="J990" s="97" t="s">
        <v>4077</v>
      </c>
      <c r="K990" s="17" t="str">
        <f>IFERROR(INDEX(競技会設定!$J$3:$O$47,MATCH(J990,競技会設定!$M$3:$M$47,0),5),"")</f>
        <v>静岡大</v>
      </c>
      <c r="L990" s="17" t="str">
        <f>IFERROR(INDEX(競技会設定!$J$3:$N$47,MATCH(K990,競技会設定!$N$3:$N$47,0),2),"")</f>
        <v>490042</v>
      </c>
      <c r="M990" s="97" t="s">
        <v>3857</v>
      </c>
      <c r="N990" s="17" t="str">
        <f t="shared" si="46"/>
        <v>YANAKA, Kotaro</v>
      </c>
      <c r="O990" s="17" t="str">
        <f t="shared" si="47"/>
        <v>97</v>
      </c>
    </row>
    <row r="991" spans="1:15">
      <c r="A991" s="17" t="str">
        <f t="shared" si="45"/>
        <v>501000990</v>
      </c>
      <c r="B991" s="97">
        <v>990</v>
      </c>
      <c r="C991" s="97" t="s">
        <v>4174</v>
      </c>
      <c r="D991" s="97" t="s">
        <v>4175</v>
      </c>
      <c r="E991" s="312" t="s">
        <v>2552</v>
      </c>
      <c r="F991" s="312" t="s">
        <v>4434</v>
      </c>
      <c r="G991" s="97" t="s">
        <v>4599</v>
      </c>
      <c r="H991" s="97" t="s">
        <v>4028</v>
      </c>
      <c r="I991" s="97" t="s">
        <v>4039</v>
      </c>
      <c r="J991" s="97" t="s">
        <v>4077</v>
      </c>
      <c r="K991" s="17" t="str">
        <f>IFERROR(INDEX(競技会設定!$J$3:$O$47,MATCH(J991,競技会設定!$M$3:$M$47,0),5),"")</f>
        <v>静岡大</v>
      </c>
      <c r="L991" s="17" t="str">
        <f>IFERROR(INDEX(競技会設定!$J$3:$N$47,MATCH(K991,競技会設定!$N$3:$N$47,0),2),"")</f>
        <v>490042</v>
      </c>
      <c r="M991" s="97" t="s">
        <v>3857</v>
      </c>
      <c r="N991" s="17" t="str">
        <f t="shared" si="46"/>
        <v>UENO, So</v>
      </c>
      <c r="O991" s="17" t="str">
        <f t="shared" si="47"/>
        <v>96</v>
      </c>
    </row>
    <row r="992" spans="1:15">
      <c r="A992" s="17" t="str">
        <f t="shared" si="45"/>
        <v>501000991</v>
      </c>
      <c r="B992" s="97">
        <v>991</v>
      </c>
      <c r="C992" s="97" t="s">
        <v>4176</v>
      </c>
      <c r="D992" s="97" t="s">
        <v>4177</v>
      </c>
      <c r="E992" s="312" t="s">
        <v>4435</v>
      </c>
      <c r="F992" s="312" t="s">
        <v>4436</v>
      </c>
      <c r="G992" s="97" t="s">
        <v>4600</v>
      </c>
      <c r="H992" s="97" t="s">
        <v>4036</v>
      </c>
      <c r="I992" s="97" t="s">
        <v>4039</v>
      </c>
      <c r="J992" s="97" t="s">
        <v>4077</v>
      </c>
      <c r="K992" s="17" t="str">
        <f>IFERROR(INDEX(競技会設定!$J$3:$O$47,MATCH(J992,競技会設定!$M$3:$M$47,0),5),"")</f>
        <v>静岡大</v>
      </c>
      <c r="L992" s="17" t="str">
        <f>IFERROR(INDEX(競技会設定!$J$3:$N$47,MATCH(K992,競技会設定!$N$3:$N$47,0),2),"")</f>
        <v>490042</v>
      </c>
      <c r="M992" s="97" t="s">
        <v>3857</v>
      </c>
      <c r="N992" s="17" t="str">
        <f t="shared" si="46"/>
        <v>FUTAMI, Takaaki</v>
      </c>
      <c r="O992" s="17" t="str">
        <f t="shared" si="47"/>
        <v>82</v>
      </c>
    </row>
    <row r="993" spans="1:15">
      <c r="A993" s="17" t="str">
        <f t="shared" si="45"/>
        <v>501000992</v>
      </c>
      <c r="B993" s="97">
        <v>992</v>
      </c>
      <c r="C993" s="97" t="s">
        <v>4178</v>
      </c>
      <c r="D993" s="97" t="s">
        <v>4179</v>
      </c>
      <c r="E993" s="312" t="s">
        <v>4437</v>
      </c>
      <c r="F993" s="312" t="s">
        <v>2307</v>
      </c>
      <c r="G993" s="97" t="s">
        <v>4601</v>
      </c>
      <c r="H993" s="97" t="s">
        <v>4028</v>
      </c>
      <c r="I993" s="97" t="s">
        <v>4039</v>
      </c>
      <c r="J993" s="97" t="s">
        <v>4077</v>
      </c>
      <c r="K993" s="17" t="str">
        <f>IFERROR(INDEX(競技会設定!$J$3:$O$47,MATCH(J993,競技会設定!$M$3:$M$47,0),5),"")</f>
        <v>静岡大</v>
      </c>
      <c r="L993" s="17" t="str">
        <f>IFERROR(INDEX(競技会設定!$J$3:$N$47,MATCH(K993,競技会設定!$N$3:$N$47,0),2),"")</f>
        <v>490042</v>
      </c>
      <c r="M993" s="97" t="s">
        <v>3857</v>
      </c>
      <c r="N993" s="17" t="str">
        <f t="shared" si="46"/>
        <v>SAKAZAKI, Kotaro</v>
      </c>
      <c r="O993" s="17" t="str">
        <f t="shared" si="47"/>
        <v>95</v>
      </c>
    </row>
    <row r="994" spans="1:15">
      <c r="A994" s="17" t="str">
        <f t="shared" si="45"/>
        <v>501000993</v>
      </c>
      <c r="B994" s="97">
        <v>993</v>
      </c>
      <c r="C994" s="97" t="s">
        <v>4180</v>
      </c>
      <c r="D994" s="97" t="s">
        <v>4181</v>
      </c>
      <c r="E994" s="312" t="s">
        <v>4438</v>
      </c>
      <c r="F994" s="312" t="s">
        <v>2149</v>
      </c>
      <c r="G994" s="97" t="s">
        <v>4602</v>
      </c>
      <c r="H994" s="97" t="s">
        <v>4029</v>
      </c>
      <c r="I994" s="97" t="s">
        <v>4039</v>
      </c>
      <c r="J994" s="97" t="s">
        <v>4077</v>
      </c>
      <c r="K994" s="17" t="str">
        <f>IFERROR(INDEX(競技会設定!$J$3:$O$47,MATCH(J994,競技会設定!$M$3:$M$47,0),5),"")</f>
        <v>静岡大</v>
      </c>
      <c r="L994" s="17" t="str">
        <f>IFERROR(INDEX(競技会設定!$J$3:$N$47,MATCH(K994,競技会設定!$N$3:$N$47,0),2),"")</f>
        <v>490042</v>
      </c>
      <c r="M994" s="97" t="s">
        <v>3857</v>
      </c>
      <c r="N994" s="17" t="str">
        <f t="shared" si="46"/>
        <v>KOARASHI, Ryo</v>
      </c>
      <c r="O994" s="17" t="str">
        <f t="shared" si="47"/>
        <v>01</v>
      </c>
    </row>
    <row r="995" spans="1:15">
      <c r="A995" s="17" t="str">
        <f t="shared" si="45"/>
        <v>501000994</v>
      </c>
      <c r="B995" s="97">
        <v>994</v>
      </c>
      <c r="C995" s="97" t="s">
        <v>4182</v>
      </c>
      <c r="D995" s="97" t="s">
        <v>4183</v>
      </c>
      <c r="E995" s="312" t="s">
        <v>2218</v>
      </c>
      <c r="F995" s="312" t="s">
        <v>4439</v>
      </c>
      <c r="G995" s="97" t="s">
        <v>3686</v>
      </c>
      <c r="H995" s="97" t="s">
        <v>4029</v>
      </c>
      <c r="I995" s="97" t="s">
        <v>4039</v>
      </c>
      <c r="J995" s="97" t="s">
        <v>4077</v>
      </c>
      <c r="K995" s="17" t="str">
        <f>IFERROR(INDEX(競技会設定!$J$3:$O$47,MATCH(J995,競技会設定!$M$3:$M$47,0),5),"")</f>
        <v>静岡大</v>
      </c>
      <c r="L995" s="17" t="str">
        <f>IFERROR(INDEX(競技会設定!$J$3:$N$47,MATCH(K995,競技会設定!$N$3:$N$47,0),2),"")</f>
        <v>490042</v>
      </c>
      <c r="M995" s="97" t="s">
        <v>3857</v>
      </c>
      <c r="N995" s="17" t="str">
        <f t="shared" si="46"/>
        <v>IWASE, Sogo</v>
      </c>
      <c r="O995" s="17" t="str">
        <f t="shared" si="47"/>
        <v>01</v>
      </c>
    </row>
    <row r="996" spans="1:15">
      <c r="A996" s="17" t="str">
        <f t="shared" si="45"/>
        <v>501000995</v>
      </c>
      <c r="B996" s="97">
        <v>995</v>
      </c>
      <c r="C996" s="97" t="s">
        <v>4184</v>
      </c>
      <c r="D996" s="97" t="s">
        <v>1039</v>
      </c>
      <c r="E996" s="312" t="s">
        <v>2627</v>
      </c>
      <c r="F996" s="312" t="s">
        <v>2293</v>
      </c>
      <c r="G996" s="97" t="s">
        <v>4603</v>
      </c>
      <c r="H996" s="97" t="s">
        <v>4029</v>
      </c>
      <c r="I996" s="97" t="s">
        <v>4039</v>
      </c>
      <c r="J996" s="97" t="s">
        <v>4077</v>
      </c>
      <c r="K996" s="17" t="str">
        <f>IFERROR(INDEX(競技会設定!$J$3:$O$47,MATCH(J996,競技会設定!$M$3:$M$47,0),5),"")</f>
        <v>静岡大</v>
      </c>
      <c r="L996" s="17" t="str">
        <f>IFERROR(INDEX(競技会設定!$J$3:$N$47,MATCH(K996,競技会設定!$N$3:$N$47,0),2),"")</f>
        <v>490042</v>
      </c>
      <c r="M996" s="97" t="s">
        <v>3857</v>
      </c>
      <c r="N996" s="17" t="str">
        <f t="shared" si="46"/>
        <v>MIYAMOTO, Koki</v>
      </c>
      <c r="O996" s="17" t="str">
        <f t="shared" si="47"/>
        <v>01</v>
      </c>
    </row>
    <row r="997" spans="1:15">
      <c r="A997" s="17" t="str">
        <f t="shared" si="45"/>
        <v>501000996</v>
      </c>
      <c r="B997" s="97">
        <v>996</v>
      </c>
      <c r="C997" s="97" t="s">
        <v>4185</v>
      </c>
      <c r="D997" s="97" t="s">
        <v>4186</v>
      </c>
      <c r="E997" s="312" t="s">
        <v>4440</v>
      </c>
      <c r="F997" s="312" t="s">
        <v>2108</v>
      </c>
      <c r="G997" s="97" t="s">
        <v>4604</v>
      </c>
      <c r="H997" s="97" t="s">
        <v>4029</v>
      </c>
      <c r="I997" s="97" t="s">
        <v>4039</v>
      </c>
      <c r="J997" s="97" t="s">
        <v>4077</v>
      </c>
      <c r="K997" s="17" t="str">
        <f>IFERROR(INDEX(競技会設定!$J$3:$O$47,MATCH(J997,競技会設定!$M$3:$M$47,0),5),"")</f>
        <v>静岡大</v>
      </c>
      <c r="L997" s="17" t="str">
        <f>IFERROR(INDEX(競技会設定!$J$3:$N$47,MATCH(K997,競技会設定!$N$3:$N$47,0),2),"")</f>
        <v>490042</v>
      </c>
      <c r="M997" s="97" t="s">
        <v>3857</v>
      </c>
      <c r="N997" s="17" t="str">
        <f t="shared" si="46"/>
        <v>KUBO, Yuki</v>
      </c>
      <c r="O997" s="17" t="str">
        <f t="shared" si="47"/>
        <v>01</v>
      </c>
    </row>
    <row r="998" spans="1:15">
      <c r="A998" s="17" t="str">
        <f t="shared" si="45"/>
        <v>501000997</v>
      </c>
      <c r="B998" s="97">
        <v>997</v>
      </c>
      <c r="C998" s="97" t="s">
        <v>4187</v>
      </c>
      <c r="D998" s="97" t="s">
        <v>4188</v>
      </c>
      <c r="E998" s="312" t="s">
        <v>2173</v>
      </c>
      <c r="F998" s="312" t="s">
        <v>2100</v>
      </c>
      <c r="G998" s="97" t="s">
        <v>3507</v>
      </c>
      <c r="H998" s="97" t="s">
        <v>4029</v>
      </c>
      <c r="I998" s="97" t="s">
        <v>4039</v>
      </c>
      <c r="J998" s="97" t="s">
        <v>4077</v>
      </c>
      <c r="K998" s="17" t="str">
        <f>IFERROR(INDEX(競技会設定!$J$3:$O$47,MATCH(J998,競技会設定!$M$3:$M$47,0),5),"")</f>
        <v>静岡大</v>
      </c>
      <c r="L998" s="17" t="str">
        <f>IFERROR(INDEX(競技会設定!$J$3:$N$47,MATCH(K998,競技会設定!$N$3:$N$47,0),2),"")</f>
        <v>490042</v>
      </c>
      <c r="M998" s="97" t="s">
        <v>3857</v>
      </c>
      <c r="N998" s="17" t="str">
        <f t="shared" si="46"/>
        <v>TAKAHASHI, Kaito</v>
      </c>
      <c r="O998" s="17" t="str">
        <f t="shared" si="47"/>
        <v>01</v>
      </c>
    </row>
    <row r="999" spans="1:15">
      <c r="A999" s="17" t="str">
        <f t="shared" si="45"/>
        <v>501000998</v>
      </c>
      <c r="B999" s="97">
        <v>998</v>
      </c>
      <c r="C999" s="97" t="s">
        <v>4189</v>
      </c>
      <c r="D999" s="97" t="s">
        <v>4190</v>
      </c>
      <c r="E999" s="312" t="s">
        <v>2144</v>
      </c>
      <c r="F999" s="312" t="s">
        <v>2215</v>
      </c>
      <c r="G999" s="97" t="s">
        <v>4605</v>
      </c>
      <c r="H999" s="97" t="s">
        <v>4029</v>
      </c>
      <c r="I999" s="97" t="s">
        <v>4039</v>
      </c>
      <c r="J999" s="97" t="s">
        <v>4077</v>
      </c>
      <c r="K999" s="17" t="str">
        <f>IFERROR(INDEX(競技会設定!$J$3:$O$47,MATCH(J999,競技会設定!$M$3:$M$47,0),5),"")</f>
        <v>静岡大</v>
      </c>
      <c r="L999" s="17" t="str">
        <f>IFERROR(INDEX(競技会設定!$J$3:$N$47,MATCH(K999,競技会設定!$N$3:$N$47,0),2),"")</f>
        <v>490042</v>
      </c>
      <c r="M999" s="97" t="s">
        <v>3857</v>
      </c>
      <c r="N999" s="17" t="str">
        <f t="shared" si="46"/>
        <v>NAKAI, Hiroto</v>
      </c>
      <c r="O999" s="17" t="str">
        <f t="shared" si="47"/>
        <v>01</v>
      </c>
    </row>
    <row r="1000" spans="1:15">
      <c r="A1000" s="17" t="str">
        <f t="shared" si="45"/>
        <v>501000999</v>
      </c>
      <c r="B1000" s="97">
        <v>999</v>
      </c>
      <c r="C1000" s="97" t="s">
        <v>4191</v>
      </c>
      <c r="D1000" s="97" t="s">
        <v>4192</v>
      </c>
      <c r="E1000" s="312" t="s">
        <v>2166</v>
      </c>
      <c r="F1000" s="312" t="s">
        <v>2118</v>
      </c>
      <c r="G1000" s="97" t="s">
        <v>3175</v>
      </c>
      <c r="H1000" s="97" t="s">
        <v>4029</v>
      </c>
      <c r="I1000" s="97" t="s">
        <v>4039</v>
      </c>
      <c r="J1000" s="97" t="s">
        <v>4077</v>
      </c>
      <c r="K1000" s="17" t="str">
        <f>IFERROR(INDEX(競技会設定!$J$3:$O$47,MATCH(J1000,競技会設定!$M$3:$M$47,0),5),"")</f>
        <v>静岡大</v>
      </c>
      <c r="L1000" s="17" t="str">
        <f>IFERROR(INDEX(競技会設定!$J$3:$N$47,MATCH(K1000,競技会設定!$N$3:$N$47,0),2),"")</f>
        <v>490042</v>
      </c>
      <c r="M1000" s="97" t="s">
        <v>3857</v>
      </c>
      <c r="N1000" s="17" t="str">
        <f t="shared" si="46"/>
        <v>SATO, Kazuki</v>
      </c>
      <c r="O1000" s="17" t="str">
        <f t="shared" si="47"/>
        <v>02</v>
      </c>
    </row>
    <row r="1001" spans="1:15">
      <c r="A1001" s="17" t="str">
        <f t="shared" si="45"/>
        <v>501001000</v>
      </c>
      <c r="B1001" s="97">
        <v>1000</v>
      </c>
      <c r="C1001" s="97" t="s">
        <v>4193</v>
      </c>
      <c r="D1001" s="97" t="s">
        <v>4194</v>
      </c>
      <c r="E1001" s="312" t="s">
        <v>4441</v>
      </c>
      <c r="F1001" s="312" t="s">
        <v>4442</v>
      </c>
      <c r="G1001" s="97" t="s">
        <v>4606</v>
      </c>
      <c r="H1001" s="97" t="s">
        <v>4026</v>
      </c>
      <c r="I1001" s="97" t="s">
        <v>4039</v>
      </c>
      <c r="J1001" s="97" t="s">
        <v>4063</v>
      </c>
      <c r="K1001" s="17" t="str">
        <f>IFERROR(INDEX(競技会設定!$J$3:$O$47,MATCH(J1001,競技会設定!$M$3:$M$47,0),5),"")</f>
        <v>名古屋市立大</v>
      </c>
      <c r="L1001" s="17" t="str">
        <f>IFERROR(INDEX(競技会設定!$J$3:$N$47,MATCH(K1001,競技会設定!$N$3:$N$47,0),2),"")</f>
        <v>491013</v>
      </c>
      <c r="M1001" s="97" t="s">
        <v>3859</v>
      </c>
      <c r="N1001" s="17" t="str">
        <f t="shared" si="46"/>
        <v>HIROSE, Taku</v>
      </c>
      <c r="O1001" s="17" t="str">
        <f t="shared" si="47"/>
        <v>00</v>
      </c>
    </row>
    <row r="1002" spans="1:15">
      <c r="A1002" s="17" t="str">
        <f t="shared" si="45"/>
        <v>501001001</v>
      </c>
      <c r="B1002" s="97">
        <v>1001</v>
      </c>
      <c r="C1002" s="97" t="s">
        <v>4195</v>
      </c>
      <c r="D1002" s="97" t="s">
        <v>4196</v>
      </c>
      <c r="E1002" s="312" t="s">
        <v>4443</v>
      </c>
      <c r="F1002" s="312" t="s">
        <v>2942</v>
      </c>
      <c r="G1002" s="97" t="s">
        <v>4607</v>
      </c>
      <c r="H1002" s="97" t="s">
        <v>4035</v>
      </c>
      <c r="I1002" s="97" t="s">
        <v>4039</v>
      </c>
      <c r="J1002" s="97" t="s">
        <v>4065</v>
      </c>
      <c r="K1002" s="17" t="str">
        <f>IFERROR(INDEX(競技会設定!$J$3:$O$47,MATCH(J1002,競技会設定!$M$3:$M$47,0),5),"")</f>
        <v>名古屋大</v>
      </c>
      <c r="L1002" s="17" t="str">
        <f>IFERROR(INDEX(競技会設定!$J$3:$N$47,MATCH(K1002,競技会設定!$N$3:$N$47,0),2),"")</f>
        <v>490043</v>
      </c>
      <c r="M1002" s="97" t="s">
        <v>3859</v>
      </c>
      <c r="N1002" s="17" t="str">
        <f t="shared" si="46"/>
        <v>MANO, Yutaro</v>
      </c>
      <c r="O1002" s="17" t="str">
        <f t="shared" si="47"/>
        <v>96</v>
      </c>
    </row>
    <row r="1003" spans="1:15">
      <c r="A1003" s="17" t="str">
        <f t="shared" si="45"/>
        <v>501001002</v>
      </c>
      <c r="B1003" s="97">
        <v>1002</v>
      </c>
      <c r="C1003" s="97" t="s">
        <v>4197</v>
      </c>
      <c r="D1003" s="97" t="s">
        <v>4198</v>
      </c>
      <c r="E1003" s="312" t="s">
        <v>4444</v>
      </c>
      <c r="F1003" s="312" t="s">
        <v>4445</v>
      </c>
      <c r="G1003" s="97" t="s">
        <v>4608</v>
      </c>
      <c r="H1003" s="97" t="s">
        <v>4029</v>
      </c>
      <c r="I1003" s="97" t="s">
        <v>4039</v>
      </c>
      <c r="J1003" s="97" t="s">
        <v>4065</v>
      </c>
      <c r="K1003" s="17" t="str">
        <f>IFERROR(INDEX(競技会設定!$J$3:$O$47,MATCH(J1003,競技会設定!$M$3:$M$47,0),5),"")</f>
        <v>名古屋大</v>
      </c>
      <c r="L1003" s="17" t="str">
        <f>IFERROR(INDEX(競技会設定!$J$3:$N$47,MATCH(K1003,競技会設定!$N$3:$N$47,0),2),"")</f>
        <v>490043</v>
      </c>
      <c r="M1003" s="97" t="s">
        <v>3859</v>
      </c>
      <c r="N1003" s="17" t="str">
        <f t="shared" si="46"/>
        <v>TAKAMA, Shodai</v>
      </c>
      <c r="O1003" s="17" t="str">
        <f t="shared" si="47"/>
        <v>01</v>
      </c>
    </row>
    <row r="1004" spans="1:15">
      <c r="A1004" s="17" t="str">
        <f t="shared" si="45"/>
        <v>501001003</v>
      </c>
      <c r="B1004" s="97">
        <v>1003</v>
      </c>
      <c r="C1004" s="97" t="s">
        <v>4199</v>
      </c>
      <c r="D1004" s="97" t="s">
        <v>4200</v>
      </c>
      <c r="E1004" s="312" t="s">
        <v>4446</v>
      </c>
      <c r="F1004" s="312" t="s">
        <v>2184</v>
      </c>
      <c r="G1004" s="97" t="s">
        <v>4609</v>
      </c>
      <c r="H1004" s="97" t="s">
        <v>4029</v>
      </c>
      <c r="I1004" s="97" t="s">
        <v>4039</v>
      </c>
      <c r="J1004" s="97" t="s">
        <v>4065</v>
      </c>
      <c r="K1004" s="17" t="str">
        <f>IFERROR(INDEX(競技会設定!$J$3:$O$47,MATCH(J1004,競技会設定!$M$3:$M$47,0),5),"")</f>
        <v>名古屋大</v>
      </c>
      <c r="L1004" s="17" t="str">
        <f>IFERROR(INDEX(競技会設定!$J$3:$N$47,MATCH(K1004,競技会設定!$N$3:$N$47,0),2),"")</f>
        <v>490043</v>
      </c>
      <c r="M1004" s="97" t="s">
        <v>3863</v>
      </c>
      <c r="N1004" s="17" t="str">
        <f t="shared" si="46"/>
        <v>YASUOKA, Taisei</v>
      </c>
      <c r="O1004" s="17" t="str">
        <f t="shared" si="47"/>
        <v>00</v>
      </c>
    </row>
    <row r="1005" spans="1:15">
      <c r="A1005" s="17" t="str">
        <f t="shared" si="45"/>
        <v>501001004</v>
      </c>
      <c r="B1005" s="97">
        <v>1004</v>
      </c>
      <c r="C1005" s="97" t="s">
        <v>4201</v>
      </c>
      <c r="D1005" s="97" t="s">
        <v>4202</v>
      </c>
      <c r="E1005" s="312" t="s">
        <v>4447</v>
      </c>
      <c r="F1005" s="312" t="s">
        <v>2108</v>
      </c>
      <c r="G1005" s="97" t="s">
        <v>4610</v>
      </c>
      <c r="H1005" s="97" t="s">
        <v>4029</v>
      </c>
      <c r="I1005" s="97" t="s">
        <v>4039</v>
      </c>
      <c r="J1005" s="97" t="s">
        <v>4065</v>
      </c>
      <c r="K1005" s="17" t="str">
        <f>IFERROR(INDEX(競技会設定!$J$3:$O$47,MATCH(J1005,競技会設定!$M$3:$M$47,0),5),"")</f>
        <v>名古屋大</v>
      </c>
      <c r="L1005" s="17" t="str">
        <f>IFERROR(INDEX(競技会設定!$J$3:$N$47,MATCH(K1005,競技会設定!$N$3:$N$47,0),2),"")</f>
        <v>490043</v>
      </c>
      <c r="M1005" s="97" t="s">
        <v>3859</v>
      </c>
      <c r="N1005" s="17" t="str">
        <f t="shared" si="46"/>
        <v>IRI, Yuki</v>
      </c>
      <c r="O1005" s="17" t="str">
        <f t="shared" si="47"/>
        <v>02</v>
      </c>
    </row>
    <row r="1006" spans="1:15">
      <c r="A1006" s="17" t="str">
        <f t="shared" si="45"/>
        <v>501001005</v>
      </c>
      <c r="B1006" s="97">
        <v>1005</v>
      </c>
      <c r="C1006" s="97" t="s">
        <v>4203</v>
      </c>
      <c r="D1006" s="97" t="s">
        <v>4204</v>
      </c>
      <c r="E1006" s="312" t="s">
        <v>2961</v>
      </c>
      <c r="F1006" s="312" t="s">
        <v>2450</v>
      </c>
      <c r="G1006" s="97" t="s">
        <v>3515</v>
      </c>
      <c r="H1006" s="97" t="s">
        <v>4029</v>
      </c>
      <c r="I1006" s="97" t="s">
        <v>4039</v>
      </c>
      <c r="J1006" s="97" t="s">
        <v>4065</v>
      </c>
      <c r="K1006" s="17" t="str">
        <f>IFERROR(INDEX(競技会設定!$J$3:$O$47,MATCH(J1006,競技会設定!$M$3:$M$47,0),5),"")</f>
        <v>名古屋大</v>
      </c>
      <c r="L1006" s="17" t="str">
        <f>IFERROR(INDEX(競技会設定!$J$3:$N$47,MATCH(K1006,競技会設定!$N$3:$N$47,0),2),"")</f>
        <v>490043</v>
      </c>
      <c r="M1006" s="97" t="s">
        <v>3857</v>
      </c>
      <c r="N1006" s="17" t="str">
        <f t="shared" si="46"/>
        <v>OKUBO, Shinya</v>
      </c>
      <c r="O1006" s="17" t="str">
        <f t="shared" si="47"/>
        <v>01</v>
      </c>
    </row>
    <row r="1007" spans="1:15">
      <c r="A1007" s="17" t="str">
        <f t="shared" si="45"/>
        <v>501001006</v>
      </c>
      <c r="B1007" s="97">
        <v>1006</v>
      </c>
      <c r="C1007" s="97" t="s">
        <v>4205</v>
      </c>
      <c r="D1007" s="97" t="s">
        <v>4206</v>
      </c>
      <c r="E1007" s="312" t="s">
        <v>2434</v>
      </c>
      <c r="F1007" s="312" t="s">
        <v>2425</v>
      </c>
      <c r="G1007" s="97" t="s">
        <v>4611</v>
      </c>
      <c r="H1007" s="97" t="s">
        <v>4029</v>
      </c>
      <c r="I1007" s="97" t="s">
        <v>4039</v>
      </c>
      <c r="J1007" s="97" t="s">
        <v>4065</v>
      </c>
      <c r="K1007" s="17" t="str">
        <f>IFERROR(INDEX(競技会設定!$J$3:$O$47,MATCH(J1007,競技会設定!$M$3:$M$47,0),5),"")</f>
        <v>名古屋大</v>
      </c>
      <c r="L1007" s="17" t="str">
        <f>IFERROR(INDEX(競技会設定!$J$3:$N$47,MATCH(K1007,競技会設定!$N$3:$N$47,0),2),"")</f>
        <v>490043</v>
      </c>
      <c r="M1007" s="97" t="s">
        <v>3859</v>
      </c>
      <c r="N1007" s="17" t="str">
        <f t="shared" si="46"/>
        <v>OSHIMA, Ryoga</v>
      </c>
      <c r="O1007" s="17" t="str">
        <f t="shared" si="47"/>
        <v>00</v>
      </c>
    </row>
    <row r="1008" spans="1:15">
      <c r="A1008" s="17" t="str">
        <f t="shared" si="45"/>
        <v>501001007</v>
      </c>
      <c r="B1008" s="97">
        <v>1007</v>
      </c>
      <c r="C1008" s="97" t="s">
        <v>4207</v>
      </c>
      <c r="D1008" s="97" t="s">
        <v>4208</v>
      </c>
      <c r="E1008" s="312" t="s">
        <v>4448</v>
      </c>
      <c r="F1008" s="312" t="s">
        <v>2437</v>
      </c>
      <c r="G1008" s="97" t="s">
        <v>3227</v>
      </c>
      <c r="H1008" s="97" t="s">
        <v>4029</v>
      </c>
      <c r="I1008" s="97" t="s">
        <v>4039</v>
      </c>
      <c r="J1008" s="97" t="s">
        <v>4065</v>
      </c>
      <c r="K1008" s="17" t="str">
        <f>IFERROR(INDEX(競技会設定!$J$3:$O$47,MATCH(J1008,競技会設定!$M$3:$M$47,0),5),"")</f>
        <v>名古屋大</v>
      </c>
      <c r="L1008" s="17" t="str">
        <f>IFERROR(INDEX(競技会設定!$J$3:$N$47,MATCH(K1008,競技会設定!$N$3:$N$47,0),2),"")</f>
        <v>490043</v>
      </c>
      <c r="M1008" s="97" t="s">
        <v>3859</v>
      </c>
      <c r="N1008" s="17" t="str">
        <f t="shared" si="46"/>
        <v>MITSUYA, Taiga</v>
      </c>
      <c r="O1008" s="17" t="str">
        <f t="shared" si="47"/>
        <v>02</v>
      </c>
    </row>
    <row r="1009" spans="1:15">
      <c r="A1009" s="17" t="str">
        <f t="shared" si="45"/>
        <v>501001008</v>
      </c>
      <c r="B1009" s="97">
        <v>1008</v>
      </c>
      <c r="C1009" s="97" t="s">
        <v>4209</v>
      </c>
      <c r="D1009" s="97" t="s">
        <v>4210</v>
      </c>
      <c r="E1009" s="312" t="s">
        <v>2566</v>
      </c>
      <c r="F1009" s="312" t="s">
        <v>2551</v>
      </c>
      <c r="G1009" s="97" t="s">
        <v>3686</v>
      </c>
      <c r="H1009" s="97" t="s">
        <v>4029</v>
      </c>
      <c r="I1009" s="97" t="s">
        <v>4039</v>
      </c>
      <c r="J1009" s="97" t="s">
        <v>4065</v>
      </c>
      <c r="K1009" s="17" t="str">
        <f>IFERROR(INDEX(競技会設定!$J$3:$O$47,MATCH(J1009,競技会設定!$M$3:$M$47,0),5),"")</f>
        <v>名古屋大</v>
      </c>
      <c r="L1009" s="17" t="str">
        <f>IFERROR(INDEX(競技会設定!$J$3:$N$47,MATCH(K1009,競技会設定!$N$3:$N$47,0),2),"")</f>
        <v>490043</v>
      </c>
      <c r="M1009" s="97" t="s">
        <v>3845</v>
      </c>
      <c r="N1009" s="17" t="str">
        <f t="shared" si="46"/>
        <v>SAITO, Yu</v>
      </c>
      <c r="O1009" s="17" t="str">
        <f t="shared" si="47"/>
        <v>01</v>
      </c>
    </row>
    <row r="1010" spans="1:15">
      <c r="A1010" s="17" t="str">
        <f t="shared" si="45"/>
        <v>501001009</v>
      </c>
      <c r="B1010" s="97">
        <v>1009</v>
      </c>
      <c r="C1010" s="97" t="s">
        <v>4211</v>
      </c>
      <c r="D1010" s="97" t="s">
        <v>4212</v>
      </c>
      <c r="E1010" s="312" t="s">
        <v>4449</v>
      </c>
      <c r="F1010" s="312" t="s">
        <v>4450</v>
      </c>
      <c r="G1010" s="97" t="s">
        <v>3523</v>
      </c>
      <c r="H1010" s="97" t="s">
        <v>4029</v>
      </c>
      <c r="I1010" s="97" t="s">
        <v>4039</v>
      </c>
      <c r="J1010" s="97" t="s">
        <v>4065</v>
      </c>
      <c r="K1010" s="17" t="str">
        <f>IFERROR(INDEX(競技会設定!$J$3:$O$47,MATCH(J1010,競技会設定!$M$3:$M$47,0),5),"")</f>
        <v>名古屋大</v>
      </c>
      <c r="L1010" s="17" t="str">
        <f>IFERROR(INDEX(競技会設定!$J$3:$N$47,MATCH(K1010,競技会設定!$N$3:$N$47,0),2),"")</f>
        <v>490043</v>
      </c>
      <c r="M1010" s="97" t="s">
        <v>3859</v>
      </c>
      <c r="N1010" s="17" t="str">
        <f t="shared" si="46"/>
        <v>SUGIHARA, Rikuto</v>
      </c>
      <c r="O1010" s="17" t="str">
        <f t="shared" si="47"/>
        <v>00</v>
      </c>
    </row>
    <row r="1011" spans="1:15">
      <c r="A1011" s="17" t="str">
        <f t="shared" si="45"/>
        <v>501001010</v>
      </c>
      <c r="B1011" s="97">
        <v>1010</v>
      </c>
      <c r="C1011" s="97" t="s">
        <v>4213</v>
      </c>
      <c r="D1011" s="97" t="s">
        <v>4214</v>
      </c>
      <c r="E1011" s="312" t="s">
        <v>4451</v>
      </c>
      <c r="F1011" s="312" t="s">
        <v>2908</v>
      </c>
      <c r="G1011" s="97" t="s">
        <v>4612</v>
      </c>
      <c r="H1011" s="97" t="s">
        <v>4029</v>
      </c>
      <c r="I1011" s="97" t="s">
        <v>4039</v>
      </c>
      <c r="J1011" s="97" t="s">
        <v>4065</v>
      </c>
      <c r="K1011" s="17" t="str">
        <f>IFERROR(INDEX(競技会設定!$J$3:$O$47,MATCH(J1011,競技会設定!$M$3:$M$47,0),5),"")</f>
        <v>名古屋大</v>
      </c>
      <c r="L1011" s="17" t="str">
        <f>IFERROR(INDEX(競技会設定!$J$3:$N$47,MATCH(K1011,競技会設定!$N$3:$N$47,0),2),"")</f>
        <v>490043</v>
      </c>
      <c r="M1011" s="97" t="s">
        <v>3859</v>
      </c>
      <c r="N1011" s="17" t="str">
        <f t="shared" si="46"/>
        <v>INUKAI, Yoshihiro</v>
      </c>
      <c r="O1011" s="17" t="str">
        <f t="shared" si="47"/>
        <v>01</v>
      </c>
    </row>
    <row r="1012" spans="1:15">
      <c r="A1012" s="17" t="str">
        <f t="shared" si="45"/>
        <v>501001011</v>
      </c>
      <c r="B1012" s="97">
        <v>1011</v>
      </c>
      <c r="C1012" s="97" t="s">
        <v>1148</v>
      </c>
      <c r="D1012" s="97" t="s">
        <v>1149</v>
      </c>
      <c r="E1012" s="312" t="s">
        <v>2176</v>
      </c>
      <c r="F1012" s="312" t="s">
        <v>2163</v>
      </c>
      <c r="G1012" s="97" t="s">
        <v>4613</v>
      </c>
      <c r="H1012" s="97" t="s">
        <v>4024</v>
      </c>
      <c r="I1012" s="97" t="s">
        <v>4039</v>
      </c>
      <c r="J1012" s="97" t="s">
        <v>4043</v>
      </c>
      <c r="K1012" s="17" t="str">
        <f>IFERROR(INDEX(競技会設定!$J$3:$O$47,MATCH(J1012,競技会設定!$M$3:$M$47,0),5),"")</f>
        <v>愛知教育大</v>
      </c>
      <c r="L1012" s="17" t="str">
        <f>IFERROR(INDEX(競技会設定!$J$3:$N$47,MATCH(K1012,競技会設定!$N$3:$N$47,0),2),"")</f>
        <v>490044</v>
      </c>
      <c r="M1012" s="97" t="s">
        <v>3859</v>
      </c>
      <c r="N1012" s="17" t="str">
        <f t="shared" si="46"/>
        <v>NAKAMURA, Fumiya</v>
      </c>
      <c r="O1012" s="17" t="str">
        <f t="shared" si="47"/>
        <v>94</v>
      </c>
    </row>
    <row r="1013" spans="1:15">
      <c r="A1013" s="17" t="str">
        <f t="shared" si="45"/>
        <v>501001012</v>
      </c>
      <c r="B1013" s="97">
        <v>1012</v>
      </c>
      <c r="C1013" s="97" t="s">
        <v>4215</v>
      </c>
      <c r="D1013" s="97" t="s">
        <v>4216</v>
      </c>
      <c r="E1013" s="312" t="s">
        <v>2490</v>
      </c>
      <c r="F1013" s="312" t="s">
        <v>4452</v>
      </c>
      <c r="G1013" s="97" t="s">
        <v>4614</v>
      </c>
      <c r="H1013" s="97" t="s">
        <v>4024</v>
      </c>
      <c r="I1013" s="97" t="s">
        <v>4039</v>
      </c>
      <c r="J1013" s="97" t="s">
        <v>4043</v>
      </c>
      <c r="K1013" s="17" t="str">
        <f>IFERROR(INDEX(競技会設定!$J$3:$O$47,MATCH(J1013,競技会設定!$M$3:$M$47,0),5),"")</f>
        <v>愛知教育大</v>
      </c>
      <c r="L1013" s="17" t="str">
        <f>IFERROR(INDEX(競技会設定!$J$3:$N$47,MATCH(K1013,競技会設定!$N$3:$N$47,0),2),"")</f>
        <v>490044</v>
      </c>
      <c r="M1013" s="97" t="s">
        <v>3859</v>
      </c>
      <c r="N1013" s="17" t="str">
        <f t="shared" si="46"/>
        <v>YAMASHIRO, Hiromi</v>
      </c>
      <c r="O1013" s="17" t="str">
        <f t="shared" si="47"/>
        <v>99</v>
      </c>
    </row>
    <row r="1014" spans="1:15">
      <c r="A1014" s="17" t="str">
        <f t="shared" si="45"/>
        <v>501001013</v>
      </c>
      <c r="B1014" s="97">
        <v>1013</v>
      </c>
      <c r="C1014" s="97" t="s">
        <v>4217</v>
      </c>
      <c r="D1014" s="97" t="s">
        <v>4218</v>
      </c>
      <c r="E1014" s="312" t="s">
        <v>2164</v>
      </c>
      <c r="F1014" s="312" t="s">
        <v>2350</v>
      </c>
      <c r="G1014" s="97" t="s">
        <v>4615</v>
      </c>
      <c r="H1014" s="97" t="s">
        <v>4029</v>
      </c>
      <c r="I1014" s="97" t="s">
        <v>4039</v>
      </c>
      <c r="J1014" s="97" t="s">
        <v>4043</v>
      </c>
      <c r="K1014" s="17" t="str">
        <f>IFERROR(INDEX(競技会設定!$J$3:$O$47,MATCH(J1014,競技会設定!$M$3:$M$47,0),5),"")</f>
        <v>愛知教育大</v>
      </c>
      <c r="L1014" s="17" t="str">
        <f>IFERROR(INDEX(競技会設定!$J$3:$N$47,MATCH(K1014,競技会設定!$N$3:$N$47,0),2),"")</f>
        <v>490044</v>
      </c>
      <c r="M1014" s="97" t="s">
        <v>3859</v>
      </c>
      <c r="N1014" s="17" t="str">
        <f t="shared" si="46"/>
        <v>SASAKI, Kanta</v>
      </c>
      <c r="O1014" s="17" t="str">
        <f t="shared" si="47"/>
        <v>00</v>
      </c>
    </row>
    <row r="1015" spans="1:15">
      <c r="A1015" s="17" t="str">
        <f t="shared" si="45"/>
        <v>501001014</v>
      </c>
      <c r="B1015" s="97">
        <v>1014</v>
      </c>
      <c r="C1015" s="97" t="s">
        <v>4219</v>
      </c>
      <c r="D1015" s="97" t="s">
        <v>4220</v>
      </c>
      <c r="E1015" s="312" t="s">
        <v>4453</v>
      </c>
      <c r="F1015" s="312" t="s">
        <v>2319</v>
      </c>
      <c r="G1015" s="97" t="s">
        <v>3154</v>
      </c>
      <c r="H1015" s="97" t="s">
        <v>4026</v>
      </c>
      <c r="I1015" s="97" t="s">
        <v>4039</v>
      </c>
      <c r="J1015" s="97" t="s">
        <v>4043</v>
      </c>
      <c r="K1015" s="17" t="str">
        <f>IFERROR(INDEX(競技会設定!$J$3:$O$47,MATCH(J1015,競技会設定!$M$3:$M$47,0),5),"")</f>
        <v>愛知教育大</v>
      </c>
      <c r="L1015" s="17" t="str">
        <f>IFERROR(INDEX(競技会設定!$J$3:$N$47,MATCH(K1015,競技会設定!$N$3:$N$47,0),2),"")</f>
        <v>490044</v>
      </c>
      <c r="M1015" s="97" t="s">
        <v>3859</v>
      </c>
      <c r="N1015" s="17" t="str">
        <f t="shared" si="46"/>
        <v>YATSUYA, Ryutaro</v>
      </c>
      <c r="O1015" s="17" t="str">
        <f t="shared" si="47"/>
        <v>00</v>
      </c>
    </row>
    <row r="1016" spans="1:15">
      <c r="A1016" s="17" t="str">
        <f t="shared" si="45"/>
        <v>501001015</v>
      </c>
      <c r="B1016" s="97">
        <v>1015</v>
      </c>
      <c r="C1016" s="97" t="s">
        <v>4221</v>
      </c>
      <c r="D1016" s="97" t="s">
        <v>4222</v>
      </c>
      <c r="E1016" s="312" t="s">
        <v>4454</v>
      </c>
      <c r="F1016" s="312" t="s">
        <v>2830</v>
      </c>
      <c r="G1016" s="97" t="s">
        <v>3716</v>
      </c>
      <c r="H1016" s="97" t="s">
        <v>4029</v>
      </c>
      <c r="I1016" s="97" t="s">
        <v>4039</v>
      </c>
      <c r="J1016" s="97" t="s">
        <v>4043</v>
      </c>
      <c r="K1016" s="17" t="str">
        <f>IFERROR(INDEX(競技会設定!$J$3:$O$47,MATCH(J1016,競技会設定!$M$3:$M$47,0),5),"")</f>
        <v>愛知教育大</v>
      </c>
      <c r="L1016" s="17" t="str">
        <f>IFERROR(INDEX(競技会設定!$J$3:$N$47,MATCH(K1016,競技会設定!$N$3:$N$47,0),2),"")</f>
        <v>490044</v>
      </c>
      <c r="M1016" s="97" t="s">
        <v>3859</v>
      </c>
      <c r="N1016" s="17" t="str">
        <f t="shared" si="46"/>
        <v>NAGASAKA, Yuma</v>
      </c>
      <c r="O1016" s="17" t="str">
        <f t="shared" si="47"/>
        <v>01</v>
      </c>
    </row>
    <row r="1017" spans="1:15">
      <c r="A1017" s="17" t="str">
        <f t="shared" si="45"/>
        <v>501001016</v>
      </c>
      <c r="B1017" s="97">
        <v>1016</v>
      </c>
      <c r="C1017" s="97" t="s">
        <v>4223</v>
      </c>
      <c r="D1017" s="97" t="s">
        <v>4224</v>
      </c>
      <c r="E1017" s="312" t="s">
        <v>4455</v>
      </c>
      <c r="F1017" s="312" t="s">
        <v>4456</v>
      </c>
      <c r="G1017" s="97" t="s">
        <v>3165</v>
      </c>
      <c r="H1017" s="97" t="s">
        <v>4029</v>
      </c>
      <c r="I1017" s="97" t="s">
        <v>4039</v>
      </c>
      <c r="J1017" s="97" t="s">
        <v>4043</v>
      </c>
      <c r="K1017" s="17" t="str">
        <f>IFERROR(INDEX(競技会設定!$J$3:$O$47,MATCH(J1017,競技会設定!$M$3:$M$47,0),5),"")</f>
        <v>愛知教育大</v>
      </c>
      <c r="L1017" s="17" t="str">
        <f>IFERROR(INDEX(競技会設定!$J$3:$N$47,MATCH(K1017,競技会設定!$N$3:$N$47,0),2),"")</f>
        <v>490044</v>
      </c>
      <c r="M1017" s="97" t="s">
        <v>3859</v>
      </c>
      <c r="N1017" s="17" t="str">
        <f t="shared" si="46"/>
        <v>SAKO, Azumi</v>
      </c>
      <c r="O1017" s="17" t="str">
        <f t="shared" si="47"/>
        <v>01</v>
      </c>
    </row>
    <row r="1018" spans="1:15">
      <c r="A1018" s="17" t="str">
        <f t="shared" si="45"/>
        <v>501001017</v>
      </c>
      <c r="B1018" s="97">
        <v>1017</v>
      </c>
      <c r="C1018" s="97" t="s">
        <v>4225</v>
      </c>
      <c r="D1018" s="97" t="s">
        <v>4226</v>
      </c>
      <c r="E1018" s="312" t="s">
        <v>2360</v>
      </c>
      <c r="F1018" s="312" t="s">
        <v>2106</v>
      </c>
      <c r="G1018" s="97" t="s">
        <v>4616</v>
      </c>
      <c r="H1018" s="97" t="s">
        <v>4029</v>
      </c>
      <c r="I1018" s="97" t="s">
        <v>4039</v>
      </c>
      <c r="J1018" s="97" t="s">
        <v>4043</v>
      </c>
      <c r="K1018" s="17" t="str">
        <f>IFERROR(INDEX(競技会設定!$J$3:$O$47,MATCH(J1018,競技会設定!$M$3:$M$47,0),5),"")</f>
        <v>愛知教育大</v>
      </c>
      <c r="L1018" s="17" t="str">
        <f>IFERROR(INDEX(競技会設定!$J$3:$N$47,MATCH(K1018,競技会設定!$N$3:$N$47,0),2),"")</f>
        <v>490044</v>
      </c>
      <c r="M1018" s="97" t="s">
        <v>3859</v>
      </c>
      <c r="N1018" s="17" t="str">
        <f t="shared" si="46"/>
        <v>WATANABE, Yusuke</v>
      </c>
      <c r="O1018" s="17" t="str">
        <f t="shared" si="47"/>
        <v>01</v>
      </c>
    </row>
    <row r="1019" spans="1:15">
      <c r="A1019" s="17" t="str">
        <f t="shared" si="45"/>
        <v>501001018</v>
      </c>
      <c r="B1019" s="97">
        <v>1018</v>
      </c>
      <c r="C1019" s="97" t="s">
        <v>4227</v>
      </c>
      <c r="D1019" s="97" t="s">
        <v>4228</v>
      </c>
      <c r="E1019" s="312" t="s">
        <v>2909</v>
      </c>
      <c r="F1019" s="312" t="s">
        <v>2425</v>
      </c>
      <c r="G1019" s="97" t="s">
        <v>4617</v>
      </c>
      <c r="H1019" s="97" t="s">
        <v>4029</v>
      </c>
      <c r="I1019" s="97" t="s">
        <v>4039</v>
      </c>
      <c r="J1019" s="97" t="s">
        <v>4043</v>
      </c>
      <c r="K1019" s="17" t="str">
        <f>IFERROR(INDEX(競技会設定!$J$3:$O$47,MATCH(J1019,競技会設定!$M$3:$M$47,0),5),"")</f>
        <v>愛知教育大</v>
      </c>
      <c r="L1019" s="17" t="str">
        <f>IFERROR(INDEX(競技会設定!$J$3:$N$47,MATCH(K1019,競技会設定!$N$3:$N$47,0),2),"")</f>
        <v>490044</v>
      </c>
      <c r="M1019" s="97" t="s">
        <v>3859</v>
      </c>
      <c r="N1019" s="17" t="str">
        <f t="shared" si="46"/>
        <v>SHIMIZU, Ryoga</v>
      </c>
      <c r="O1019" s="17" t="str">
        <f t="shared" si="47"/>
        <v>02</v>
      </c>
    </row>
    <row r="1020" spans="1:15">
      <c r="A1020" s="17" t="str">
        <f t="shared" si="45"/>
        <v>501001019</v>
      </c>
      <c r="B1020" s="97">
        <v>1019</v>
      </c>
      <c r="C1020" s="97" t="s">
        <v>4229</v>
      </c>
      <c r="D1020" s="97" t="s">
        <v>4230</v>
      </c>
      <c r="E1020" s="312" t="s">
        <v>4457</v>
      </c>
      <c r="F1020" s="312" t="s">
        <v>4458</v>
      </c>
      <c r="G1020" s="97" t="s">
        <v>4618</v>
      </c>
      <c r="H1020" s="97" t="s">
        <v>4029</v>
      </c>
      <c r="I1020" s="97" t="s">
        <v>4039</v>
      </c>
      <c r="J1020" s="97" t="s">
        <v>4047</v>
      </c>
      <c r="K1020" s="17" t="str">
        <f>IFERROR(INDEX(競技会設定!$J$3:$O$47,MATCH(J1020,競技会設定!$M$3:$M$47,0),5),"")</f>
        <v>岐阜協立大</v>
      </c>
      <c r="L1020" s="17" t="str">
        <f>IFERROR(INDEX(競技会設定!$J$3:$N$47,MATCH(K1020,競技会設定!$N$3:$N$47,0),2),"")</f>
        <v>492161</v>
      </c>
      <c r="M1020" s="97" t="s">
        <v>3855</v>
      </c>
      <c r="N1020" s="17" t="str">
        <f t="shared" si="46"/>
        <v>KATSUMA, Mitsuki</v>
      </c>
      <c r="O1020" s="17" t="str">
        <f t="shared" si="47"/>
        <v>01</v>
      </c>
    </row>
    <row r="1021" spans="1:15">
      <c r="A1021" s="17" t="str">
        <f t="shared" si="45"/>
        <v>501001020</v>
      </c>
      <c r="B1021" s="97">
        <v>1020</v>
      </c>
      <c r="C1021" s="97" t="s">
        <v>4231</v>
      </c>
      <c r="D1021" s="97" t="s">
        <v>4232</v>
      </c>
      <c r="E1021" s="312" t="s">
        <v>4459</v>
      </c>
      <c r="F1021" s="312" t="s">
        <v>4460</v>
      </c>
      <c r="G1021" s="97" t="s">
        <v>3626</v>
      </c>
      <c r="H1021" s="97" t="s">
        <v>4029</v>
      </c>
      <c r="I1021" s="97" t="s">
        <v>4039</v>
      </c>
      <c r="J1021" s="97" t="s">
        <v>4047</v>
      </c>
      <c r="K1021" s="17" t="str">
        <f>IFERROR(INDEX(競技会設定!$J$3:$O$47,MATCH(J1021,競技会設定!$M$3:$M$47,0),5),"")</f>
        <v>岐阜協立大</v>
      </c>
      <c r="L1021" s="17" t="str">
        <f>IFERROR(INDEX(競技会設定!$J$3:$N$47,MATCH(K1021,競技会設定!$N$3:$N$47,0),2),"")</f>
        <v>492161</v>
      </c>
      <c r="M1021" s="97" t="s">
        <v>3867</v>
      </c>
      <c r="N1021" s="17" t="str">
        <f t="shared" si="46"/>
        <v>GODA, Osamu</v>
      </c>
      <c r="O1021" s="17" t="str">
        <f t="shared" si="47"/>
        <v>01</v>
      </c>
    </row>
    <row r="1022" spans="1:15">
      <c r="A1022" s="17" t="str">
        <f t="shared" si="45"/>
        <v>501001021</v>
      </c>
      <c r="B1022" s="97">
        <v>1021</v>
      </c>
      <c r="C1022" s="97" t="s">
        <v>4233</v>
      </c>
      <c r="D1022" s="97" t="s">
        <v>4234</v>
      </c>
      <c r="E1022" s="312" t="s">
        <v>4461</v>
      </c>
      <c r="F1022" s="312" t="s">
        <v>4462</v>
      </c>
      <c r="G1022" s="97" t="s">
        <v>4619</v>
      </c>
      <c r="H1022" s="97" t="s">
        <v>4029</v>
      </c>
      <c r="I1022" s="97" t="s">
        <v>4039</v>
      </c>
      <c r="J1022" s="97" t="s">
        <v>4047</v>
      </c>
      <c r="K1022" s="17" t="str">
        <f>IFERROR(INDEX(競技会設定!$J$3:$O$47,MATCH(J1022,競技会設定!$M$3:$M$47,0),5),"")</f>
        <v>岐阜協立大</v>
      </c>
      <c r="L1022" s="17" t="str">
        <f>IFERROR(INDEX(競技会設定!$J$3:$N$47,MATCH(K1022,競技会設定!$N$3:$N$47,0),2),"")</f>
        <v>492161</v>
      </c>
      <c r="M1022" s="97" t="s">
        <v>3859</v>
      </c>
      <c r="N1022" s="17" t="str">
        <f t="shared" si="46"/>
        <v>SANTO, Yuzuki</v>
      </c>
      <c r="O1022" s="17" t="str">
        <f t="shared" si="47"/>
        <v>01</v>
      </c>
    </row>
    <row r="1023" spans="1:15">
      <c r="A1023" s="17" t="str">
        <f t="shared" si="45"/>
        <v>501001022</v>
      </c>
      <c r="B1023" s="97">
        <v>1022</v>
      </c>
      <c r="C1023" s="97" t="s">
        <v>4235</v>
      </c>
      <c r="D1023" s="97" t="s">
        <v>4236</v>
      </c>
      <c r="E1023" s="312" t="s">
        <v>2360</v>
      </c>
      <c r="F1023" s="312" t="s">
        <v>2464</v>
      </c>
      <c r="G1023" s="97" t="s">
        <v>3688</v>
      </c>
      <c r="H1023" s="97" t="s">
        <v>4029</v>
      </c>
      <c r="I1023" s="97" t="s">
        <v>4039</v>
      </c>
      <c r="J1023" s="97" t="s">
        <v>4047</v>
      </c>
      <c r="K1023" s="17" t="str">
        <f>IFERROR(INDEX(競技会設定!$J$3:$O$47,MATCH(J1023,競技会設定!$M$3:$M$47,0),5),"")</f>
        <v>岐阜協立大</v>
      </c>
      <c r="L1023" s="17" t="str">
        <f>IFERROR(INDEX(競技会設定!$J$3:$N$47,MATCH(K1023,競技会設定!$N$3:$N$47,0),2),"")</f>
        <v>492161</v>
      </c>
      <c r="M1023" s="97" t="s">
        <v>3859</v>
      </c>
      <c r="N1023" s="17" t="str">
        <f t="shared" si="46"/>
        <v>WATANABE, Taiyo</v>
      </c>
      <c r="O1023" s="17" t="str">
        <f t="shared" si="47"/>
        <v>01</v>
      </c>
    </row>
    <row r="1024" spans="1:15">
      <c r="A1024" s="17" t="str">
        <f t="shared" si="45"/>
        <v>501001023</v>
      </c>
      <c r="B1024" s="97">
        <v>1023</v>
      </c>
      <c r="C1024" s="97" t="s">
        <v>4237</v>
      </c>
      <c r="D1024" s="97" t="s">
        <v>4238</v>
      </c>
      <c r="E1024" s="312" t="s">
        <v>2426</v>
      </c>
      <c r="F1024" s="312" t="s">
        <v>4463</v>
      </c>
      <c r="G1024" s="97" t="s">
        <v>4620</v>
      </c>
      <c r="H1024" s="97" t="s">
        <v>4029</v>
      </c>
      <c r="I1024" s="97" t="s">
        <v>4039</v>
      </c>
      <c r="J1024" s="97" t="s">
        <v>4049</v>
      </c>
      <c r="K1024" s="17" t="str">
        <f>IFERROR(INDEX(競技会設定!$J$3:$O$47,MATCH(J1024,競技会設定!$M$3:$M$47,0),5),"")</f>
        <v>岐阜聖徳学園大</v>
      </c>
      <c r="L1024" s="17" t="str">
        <f>IFERROR(INDEX(競技会設定!$J$3:$N$47,MATCH(K1024,競技会設定!$N$3:$N$47,0),2),"")</f>
        <v>492164</v>
      </c>
      <c r="M1024" s="97" t="s">
        <v>3855</v>
      </c>
      <c r="N1024" s="17" t="str">
        <f t="shared" si="46"/>
        <v>YAMAUCHI, Shuma</v>
      </c>
      <c r="O1024" s="17" t="str">
        <f t="shared" si="47"/>
        <v>01</v>
      </c>
    </row>
    <row r="1025" spans="1:15">
      <c r="A1025" s="17" t="str">
        <f t="shared" si="45"/>
        <v>501001024</v>
      </c>
      <c r="B1025" s="97">
        <v>1024</v>
      </c>
      <c r="C1025" s="97" t="s">
        <v>4239</v>
      </c>
      <c r="D1025" s="97" t="s">
        <v>4240</v>
      </c>
      <c r="E1025" s="312" t="s">
        <v>4464</v>
      </c>
      <c r="F1025" s="312" t="s">
        <v>4465</v>
      </c>
      <c r="G1025" s="97" t="s">
        <v>4621</v>
      </c>
      <c r="H1025" s="97" t="s">
        <v>4029</v>
      </c>
      <c r="I1025" s="97" t="s">
        <v>4039</v>
      </c>
      <c r="J1025" s="97" t="s">
        <v>4049</v>
      </c>
      <c r="K1025" s="17" t="str">
        <f>IFERROR(INDEX(競技会設定!$J$3:$O$47,MATCH(J1025,競技会設定!$M$3:$M$47,0),5),"")</f>
        <v>岐阜聖徳学園大</v>
      </c>
      <c r="L1025" s="17" t="str">
        <f>IFERROR(INDEX(競技会設定!$J$3:$N$47,MATCH(K1025,競技会設定!$N$3:$N$47,0),2),"")</f>
        <v>492164</v>
      </c>
      <c r="M1025" s="97" t="s">
        <v>3859</v>
      </c>
      <c r="N1025" s="17" t="str">
        <f t="shared" si="46"/>
        <v>OBAYASHI, Waku</v>
      </c>
      <c r="O1025" s="17" t="str">
        <f t="shared" si="47"/>
        <v>01</v>
      </c>
    </row>
    <row r="1026" spans="1:15">
      <c r="A1026" s="17" t="str">
        <f t="shared" si="45"/>
        <v>501001025</v>
      </c>
      <c r="B1026" s="97">
        <v>1025</v>
      </c>
      <c r="C1026" s="97" t="s">
        <v>4241</v>
      </c>
      <c r="D1026" s="97" t="s">
        <v>4242</v>
      </c>
      <c r="E1026" s="312" t="s">
        <v>4466</v>
      </c>
      <c r="F1026" s="312" t="s">
        <v>4467</v>
      </c>
      <c r="G1026" s="97" t="s">
        <v>4622</v>
      </c>
      <c r="H1026" s="97" t="s">
        <v>4029</v>
      </c>
      <c r="I1026" s="97" t="s">
        <v>4039</v>
      </c>
      <c r="J1026" s="97" t="s">
        <v>4050</v>
      </c>
      <c r="K1026" s="17" t="str">
        <f>IFERROR(INDEX(競技会設定!$J$3:$O$47,MATCH(J1026,競技会設定!$M$3:$M$47,0),5),"")</f>
        <v>岐阜大</v>
      </c>
      <c r="L1026" s="17" t="str">
        <f>IFERROR(INDEX(競技会設定!$J$3:$N$47,MATCH(K1026,競技会設定!$N$3:$N$47,0),2),"")</f>
        <v>490041</v>
      </c>
      <c r="M1026" s="97" t="s">
        <v>3855</v>
      </c>
      <c r="N1026" s="17" t="str">
        <f t="shared" si="46"/>
        <v>HASHIBA, Ryuji</v>
      </c>
      <c r="O1026" s="17" t="str">
        <f t="shared" si="47"/>
        <v>01</v>
      </c>
    </row>
    <row r="1027" spans="1:15">
      <c r="A1027" s="17" t="str">
        <f t="shared" ref="A1027:A1090" si="48">IF(B1027="","","501"&amp;TEXT(B1027,"000000"))</f>
        <v>501001026</v>
      </c>
      <c r="B1027" s="97">
        <v>1026</v>
      </c>
      <c r="C1027" s="97" t="s">
        <v>4243</v>
      </c>
      <c r="D1027" s="97" t="s">
        <v>4244</v>
      </c>
      <c r="E1027" s="312" t="s">
        <v>4468</v>
      </c>
      <c r="F1027" s="312" t="s">
        <v>4469</v>
      </c>
      <c r="G1027" s="97" t="s">
        <v>3626</v>
      </c>
      <c r="H1027" s="97" t="s">
        <v>4029</v>
      </c>
      <c r="I1027" s="97" t="s">
        <v>4039</v>
      </c>
      <c r="J1027" s="97" t="s">
        <v>4050</v>
      </c>
      <c r="K1027" s="17" t="str">
        <f>IFERROR(INDEX(競技会設定!$J$3:$O$47,MATCH(J1027,競技会設定!$M$3:$M$47,0),5),"")</f>
        <v>岐阜大</v>
      </c>
      <c r="L1027" s="17" t="str">
        <f>IFERROR(INDEX(競技会設定!$J$3:$N$47,MATCH(K1027,競技会設定!$N$3:$N$47,0),2),"")</f>
        <v>490041</v>
      </c>
      <c r="M1027" s="97" t="s">
        <v>3855</v>
      </c>
      <c r="N1027" s="17" t="str">
        <f t="shared" ref="N1027:N1090" si="49">IF(E1027="","",E1027&amp;", "&amp;F1027)</f>
        <v>HANASHIMA, Ikuto</v>
      </c>
      <c r="O1027" s="17" t="str">
        <f t="shared" ref="O1027:O1090" si="50">IFERROR(TEXT(INT(LEFT(G1027,2)),"00"),"")</f>
        <v>01</v>
      </c>
    </row>
    <row r="1028" spans="1:15">
      <c r="A1028" s="17" t="str">
        <f t="shared" si="48"/>
        <v>501001027</v>
      </c>
      <c r="B1028" s="97">
        <v>1027</v>
      </c>
      <c r="C1028" s="97" t="s">
        <v>4245</v>
      </c>
      <c r="D1028" s="97" t="s">
        <v>4246</v>
      </c>
      <c r="E1028" s="312" t="s">
        <v>2308</v>
      </c>
      <c r="F1028" s="312" t="s">
        <v>2441</v>
      </c>
      <c r="G1028" s="97" t="s">
        <v>3723</v>
      </c>
      <c r="H1028" s="97" t="s">
        <v>4029</v>
      </c>
      <c r="I1028" s="97" t="s">
        <v>4039</v>
      </c>
      <c r="J1028" s="97" t="s">
        <v>4050</v>
      </c>
      <c r="K1028" s="17" t="str">
        <f>IFERROR(INDEX(競技会設定!$J$3:$O$47,MATCH(J1028,競技会設定!$M$3:$M$47,0),5),"")</f>
        <v>岐阜大</v>
      </c>
      <c r="L1028" s="17" t="str">
        <f>IFERROR(INDEX(競技会設定!$J$3:$N$47,MATCH(K1028,競技会設定!$N$3:$N$47,0),2),"")</f>
        <v>490041</v>
      </c>
      <c r="M1028" s="97" t="s">
        <v>3855</v>
      </c>
      <c r="N1028" s="17" t="str">
        <f t="shared" si="49"/>
        <v>YAMAGUCHI, Ryoji</v>
      </c>
      <c r="O1028" s="17" t="str">
        <f t="shared" si="50"/>
        <v>01</v>
      </c>
    </row>
    <row r="1029" spans="1:15">
      <c r="A1029" s="17" t="str">
        <f t="shared" si="48"/>
        <v>501001028</v>
      </c>
      <c r="B1029" s="97">
        <v>1028</v>
      </c>
      <c r="C1029" s="97" t="s">
        <v>4247</v>
      </c>
      <c r="D1029" s="97" t="s">
        <v>4248</v>
      </c>
      <c r="E1029" s="312" t="s">
        <v>2369</v>
      </c>
      <c r="F1029" s="312" t="s">
        <v>2503</v>
      </c>
      <c r="G1029" s="97" t="s">
        <v>3341</v>
      </c>
      <c r="H1029" s="97" t="s">
        <v>4029</v>
      </c>
      <c r="I1029" s="97" t="s">
        <v>4039</v>
      </c>
      <c r="J1029" s="97" t="s">
        <v>4050</v>
      </c>
      <c r="K1029" s="17" t="str">
        <f>IFERROR(INDEX(競技会設定!$J$3:$O$47,MATCH(J1029,競技会設定!$M$3:$M$47,0),5),"")</f>
        <v>岐阜大</v>
      </c>
      <c r="L1029" s="17" t="str">
        <f>IFERROR(INDEX(競技会設定!$J$3:$N$47,MATCH(K1029,競技会設定!$N$3:$N$47,0),2),"")</f>
        <v>490041</v>
      </c>
      <c r="M1029" s="97" t="s">
        <v>3855</v>
      </c>
      <c r="N1029" s="17" t="str">
        <f t="shared" si="49"/>
        <v>KATO, Keiya</v>
      </c>
      <c r="O1029" s="17" t="str">
        <f t="shared" si="50"/>
        <v>01</v>
      </c>
    </row>
    <row r="1030" spans="1:15">
      <c r="A1030" s="17" t="str">
        <f t="shared" si="48"/>
        <v>501001029</v>
      </c>
      <c r="B1030" s="97">
        <v>1029</v>
      </c>
      <c r="C1030" s="97" t="s">
        <v>4249</v>
      </c>
      <c r="D1030" s="97" t="s">
        <v>4250</v>
      </c>
      <c r="E1030" s="312" t="s">
        <v>2187</v>
      </c>
      <c r="F1030" s="312" t="s">
        <v>2356</v>
      </c>
      <c r="G1030" s="97" t="s">
        <v>3427</v>
      </c>
      <c r="H1030" s="97" t="s">
        <v>4026</v>
      </c>
      <c r="I1030" s="97" t="s">
        <v>4039</v>
      </c>
      <c r="J1030" s="97" t="s">
        <v>4056</v>
      </c>
      <c r="K1030" s="17" t="str">
        <f>IFERROR(INDEX(競技会設定!$J$3:$O$47,MATCH(J1030,競技会設定!$M$3:$M$47,0),5),"")</f>
        <v>至学館大</v>
      </c>
      <c r="L1030" s="17" t="str">
        <f>IFERROR(INDEX(競技会設定!$J$3:$N$47,MATCH(K1030,競技会設定!$N$3:$N$47,0),2),"")</f>
        <v>492174</v>
      </c>
      <c r="M1030" s="97" t="s">
        <v>3859</v>
      </c>
      <c r="N1030" s="17" t="str">
        <f t="shared" si="49"/>
        <v>TAMURA, Shun</v>
      </c>
      <c r="O1030" s="17" t="str">
        <f t="shared" si="50"/>
        <v>00</v>
      </c>
    </row>
    <row r="1031" spans="1:15">
      <c r="A1031" s="17" t="str">
        <f t="shared" si="48"/>
        <v>501001030</v>
      </c>
      <c r="B1031" s="97">
        <v>1030</v>
      </c>
      <c r="C1031" s="97" t="s">
        <v>4251</v>
      </c>
      <c r="D1031" s="97" t="s">
        <v>1377</v>
      </c>
      <c r="E1031" s="312" t="s">
        <v>2082</v>
      </c>
      <c r="F1031" s="312" t="s">
        <v>2182</v>
      </c>
      <c r="G1031" s="97" t="s">
        <v>3615</v>
      </c>
      <c r="H1031" s="97" t="s">
        <v>4029</v>
      </c>
      <c r="I1031" s="97" t="s">
        <v>4039</v>
      </c>
      <c r="J1031" s="97" t="s">
        <v>4056</v>
      </c>
      <c r="K1031" s="17" t="str">
        <f>IFERROR(INDEX(競技会設定!$J$3:$O$47,MATCH(J1031,競技会設定!$M$3:$M$47,0),5),"")</f>
        <v>至学館大</v>
      </c>
      <c r="L1031" s="17" t="str">
        <f>IFERROR(INDEX(競技会設定!$J$3:$N$47,MATCH(K1031,競技会設定!$N$3:$N$47,0),2),"")</f>
        <v>492174</v>
      </c>
      <c r="M1031" s="97" t="s">
        <v>3859</v>
      </c>
      <c r="N1031" s="17" t="str">
        <f t="shared" si="49"/>
        <v>ITO, Yuya</v>
      </c>
      <c r="O1031" s="17" t="str">
        <f t="shared" si="50"/>
        <v>01</v>
      </c>
    </row>
    <row r="1032" spans="1:15">
      <c r="A1032" s="17" t="str">
        <f t="shared" si="48"/>
        <v>501001031</v>
      </c>
      <c r="B1032" s="97">
        <v>1031</v>
      </c>
      <c r="C1032" s="97" t="s">
        <v>4252</v>
      </c>
      <c r="D1032" s="97" t="s">
        <v>4253</v>
      </c>
      <c r="E1032" s="312" t="s">
        <v>2140</v>
      </c>
      <c r="F1032" s="312" t="s">
        <v>2108</v>
      </c>
      <c r="G1032" s="97" t="s">
        <v>3165</v>
      </c>
      <c r="H1032" s="97" t="s">
        <v>4029</v>
      </c>
      <c r="I1032" s="97" t="s">
        <v>4039</v>
      </c>
      <c r="J1032" s="97" t="s">
        <v>4056</v>
      </c>
      <c r="K1032" s="17" t="str">
        <f>IFERROR(INDEX(競技会設定!$J$3:$O$47,MATCH(J1032,競技会設定!$M$3:$M$47,0),5),"")</f>
        <v>至学館大</v>
      </c>
      <c r="L1032" s="17" t="str">
        <f>IFERROR(INDEX(競技会設定!$J$3:$N$47,MATCH(K1032,競技会設定!$N$3:$N$47,0),2),"")</f>
        <v>492174</v>
      </c>
      <c r="M1032" s="97" t="s">
        <v>3859</v>
      </c>
      <c r="N1032" s="17" t="str">
        <f t="shared" si="49"/>
        <v>IWATA, Yuki</v>
      </c>
      <c r="O1032" s="17" t="str">
        <f t="shared" si="50"/>
        <v>01</v>
      </c>
    </row>
    <row r="1033" spans="1:15">
      <c r="A1033" s="17" t="str">
        <f t="shared" si="48"/>
        <v>501001032</v>
      </c>
      <c r="B1033" s="97">
        <v>1032</v>
      </c>
      <c r="C1033" s="97" t="s">
        <v>4254</v>
      </c>
      <c r="D1033" s="97" t="s">
        <v>4255</v>
      </c>
      <c r="E1033" s="312" t="s">
        <v>2620</v>
      </c>
      <c r="F1033" s="312" t="s">
        <v>2293</v>
      </c>
      <c r="G1033" s="97" t="s">
        <v>4623</v>
      </c>
      <c r="H1033" s="97" t="s">
        <v>4029</v>
      </c>
      <c r="I1033" s="97" t="s">
        <v>4039</v>
      </c>
      <c r="J1033" s="97" t="s">
        <v>4056</v>
      </c>
      <c r="K1033" s="17" t="str">
        <f>IFERROR(INDEX(競技会設定!$J$3:$O$47,MATCH(J1033,競技会設定!$M$3:$M$47,0),5),"")</f>
        <v>至学館大</v>
      </c>
      <c r="L1033" s="17" t="str">
        <f>IFERROR(INDEX(競技会設定!$J$3:$N$47,MATCH(K1033,競技会設定!$N$3:$N$47,0),2),"")</f>
        <v>492174</v>
      </c>
      <c r="M1033" s="97" t="s">
        <v>3849</v>
      </c>
      <c r="N1033" s="17" t="str">
        <f t="shared" si="49"/>
        <v>TAKEUCHI, Koki</v>
      </c>
      <c r="O1033" s="17" t="str">
        <f t="shared" si="50"/>
        <v>01</v>
      </c>
    </row>
    <row r="1034" spans="1:15">
      <c r="A1034" s="17" t="str">
        <f t="shared" si="48"/>
        <v>501001033</v>
      </c>
      <c r="B1034" s="97">
        <v>1033</v>
      </c>
      <c r="C1034" s="97" t="s">
        <v>1751</v>
      </c>
      <c r="D1034" s="97" t="s">
        <v>1752</v>
      </c>
      <c r="E1034" s="312" t="s">
        <v>2963</v>
      </c>
      <c r="F1034" s="312" t="s">
        <v>2350</v>
      </c>
      <c r="G1034" s="97" t="s">
        <v>3649</v>
      </c>
      <c r="H1034" s="97" t="s">
        <v>4029</v>
      </c>
      <c r="I1034" s="97" t="s">
        <v>4039</v>
      </c>
      <c r="J1034" s="97" t="s">
        <v>4056</v>
      </c>
      <c r="K1034" s="17" t="str">
        <f>IFERROR(INDEX(競技会設定!$J$3:$O$47,MATCH(J1034,競技会設定!$M$3:$M$47,0),5),"")</f>
        <v>至学館大</v>
      </c>
      <c r="L1034" s="17" t="str">
        <f>IFERROR(INDEX(競技会設定!$J$3:$N$47,MATCH(K1034,競技会設定!$N$3:$N$47,0),2),"")</f>
        <v>492174</v>
      </c>
      <c r="M1034" s="97" t="s">
        <v>3859</v>
      </c>
      <c r="N1034" s="17" t="str">
        <f t="shared" si="49"/>
        <v>TORIYAMA, Kanta</v>
      </c>
      <c r="O1034" s="17" t="str">
        <f t="shared" si="50"/>
        <v>01</v>
      </c>
    </row>
    <row r="1035" spans="1:15">
      <c r="A1035" s="17" t="str">
        <f t="shared" si="48"/>
        <v>501001034</v>
      </c>
      <c r="B1035" s="97">
        <v>1034</v>
      </c>
      <c r="C1035" s="97" t="s">
        <v>4256</v>
      </c>
      <c r="D1035" s="97" t="s">
        <v>4257</v>
      </c>
      <c r="E1035" s="312" t="s">
        <v>2771</v>
      </c>
      <c r="F1035" s="312" t="s">
        <v>2293</v>
      </c>
      <c r="G1035" s="97" t="s">
        <v>3615</v>
      </c>
      <c r="H1035" s="97" t="s">
        <v>4029</v>
      </c>
      <c r="I1035" s="97" t="s">
        <v>4039</v>
      </c>
      <c r="J1035" s="97" t="s">
        <v>4056</v>
      </c>
      <c r="K1035" s="17" t="str">
        <f>IFERROR(INDEX(競技会設定!$J$3:$O$47,MATCH(J1035,競技会設定!$M$3:$M$47,0),5),"")</f>
        <v>至学館大</v>
      </c>
      <c r="L1035" s="17" t="str">
        <f>IFERROR(INDEX(競技会設定!$J$3:$N$47,MATCH(K1035,競技会設定!$N$3:$N$47,0),2),"")</f>
        <v>492174</v>
      </c>
      <c r="M1035" s="97" t="s">
        <v>3855</v>
      </c>
      <c r="N1035" s="17" t="str">
        <f t="shared" si="49"/>
        <v>BAN, Koki</v>
      </c>
      <c r="O1035" s="17" t="str">
        <f t="shared" si="50"/>
        <v>01</v>
      </c>
    </row>
    <row r="1036" spans="1:15">
      <c r="A1036" s="17" t="str">
        <f t="shared" si="48"/>
        <v>501001035</v>
      </c>
      <c r="B1036" s="97">
        <v>1035</v>
      </c>
      <c r="C1036" s="97" t="s">
        <v>4258</v>
      </c>
      <c r="D1036" s="97" t="s">
        <v>4259</v>
      </c>
      <c r="E1036" s="312" t="s">
        <v>4470</v>
      </c>
      <c r="F1036" s="312" t="s">
        <v>2293</v>
      </c>
      <c r="G1036" s="97" t="s">
        <v>4624</v>
      </c>
      <c r="H1036" s="97" t="s">
        <v>4029</v>
      </c>
      <c r="I1036" s="97" t="s">
        <v>4039</v>
      </c>
      <c r="J1036" s="97" t="s">
        <v>4056</v>
      </c>
      <c r="K1036" s="17" t="str">
        <f>IFERROR(INDEX(競技会設定!$J$3:$O$47,MATCH(J1036,競技会設定!$M$3:$M$47,0),5),"")</f>
        <v>至学館大</v>
      </c>
      <c r="L1036" s="17" t="str">
        <f>IFERROR(INDEX(競技会設定!$J$3:$N$47,MATCH(K1036,競技会設定!$N$3:$N$47,0),2),"")</f>
        <v>492174</v>
      </c>
      <c r="M1036" s="97" t="s">
        <v>3859</v>
      </c>
      <c r="N1036" s="17" t="str">
        <f t="shared" si="49"/>
        <v>MAKIHARA, Koki</v>
      </c>
      <c r="O1036" s="17" t="str">
        <f t="shared" si="50"/>
        <v>01</v>
      </c>
    </row>
    <row r="1037" spans="1:15">
      <c r="A1037" s="17" t="str">
        <f t="shared" si="48"/>
        <v>501001036</v>
      </c>
      <c r="B1037" s="97">
        <v>1036</v>
      </c>
      <c r="C1037" s="97" t="s">
        <v>4260</v>
      </c>
      <c r="D1037" s="97" t="s">
        <v>4261</v>
      </c>
      <c r="E1037" s="312" t="s">
        <v>2166</v>
      </c>
      <c r="F1037" s="312" t="s">
        <v>2366</v>
      </c>
      <c r="G1037" s="97" t="s">
        <v>4625</v>
      </c>
      <c r="H1037" s="97" t="s">
        <v>4029</v>
      </c>
      <c r="I1037" s="97" t="s">
        <v>4039</v>
      </c>
      <c r="J1037" s="97" t="s">
        <v>4040</v>
      </c>
      <c r="K1037" s="17" t="str">
        <f>IFERROR(INDEX(競技会設定!$J$3:$O$47,MATCH(J1037,競技会設定!$M$3:$M$47,0),5),"")</f>
        <v>中京大</v>
      </c>
      <c r="L1037" s="17" t="str">
        <f>IFERROR(INDEX(競技会設定!$J$3:$N$47,MATCH(K1037,競技会設定!$N$3:$N$47,0),2),"")</f>
        <v>492173</v>
      </c>
      <c r="M1037" s="97" t="s">
        <v>3861</v>
      </c>
      <c r="N1037" s="17" t="str">
        <f t="shared" si="49"/>
        <v>SATO, Shunta</v>
      </c>
      <c r="O1037" s="17" t="str">
        <f t="shared" si="50"/>
        <v>01</v>
      </c>
    </row>
    <row r="1038" spans="1:15">
      <c r="A1038" s="17" t="str">
        <f t="shared" si="48"/>
        <v>501001037</v>
      </c>
      <c r="B1038" s="97">
        <v>1037</v>
      </c>
      <c r="C1038" s="97" t="s">
        <v>4262</v>
      </c>
      <c r="D1038" s="97" t="s">
        <v>4263</v>
      </c>
      <c r="E1038" s="312" t="s">
        <v>2159</v>
      </c>
      <c r="F1038" s="312" t="s">
        <v>2300</v>
      </c>
      <c r="G1038" s="97" t="s">
        <v>4626</v>
      </c>
      <c r="H1038" s="97" t="s">
        <v>4029</v>
      </c>
      <c r="I1038" s="97" t="s">
        <v>4039</v>
      </c>
      <c r="J1038" s="97" t="s">
        <v>4040</v>
      </c>
      <c r="K1038" s="17" t="str">
        <f>IFERROR(INDEX(競技会設定!$J$3:$O$47,MATCH(J1038,競技会設定!$M$3:$M$47,0),5),"")</f>
        <v>中京大</v>
      </c>
      <c r="L1038" s="17" t="str">
        <f>IFERROR(INDEX(競技会設定!$J$3:$N$47,MATCH(K1038,競技会設定!$N$3:$N$47,0),2),"")</f>
        <v>492173</v>
      </c>
      <c r="M1038" s="97" t="s">
        <v>3859</v>
      </c>
      <c r="N1038" s="17" t="str">
        <f t="shared" si="49"/>
        <v>OHARA, Kai</v>
      </c>
      <c r="O1038" s="17" t="str">
        <f t="shared" si="50"/>
        <v>01</v>
      </c>
    </row>
    <row r="1039" spans="1:15">
      <c r="A1039" s="17" t="str">
        <f t="shared" si="48"/>
        <v>501001038</v>
      </c>
      <c r="B1039" s="97">
        <v>1038</v>
      </c>
      <c r="C1039" s="97" t="s">
        <v>4264</v>
      </c>
      <c r="D1039" s="97" t="s">
        <v>4265</v>
      </c>
      <c r="E1039" s="312" t="s">
        <v>4471</v>
      </c>
      <c r="F1039" s="312" t="s">
        <v>2203</v>
      </c>
      <c r="G1039" s="97" t="s">
        <v>3358</v>
      </c>
      <c r="H1039" s="97" t="s">
        <v>4029</v>
      </c>
      <c r="I1039" s="97" t="s">
        <v>4039</v>
      </c>
      <c r="J1039" s="97" t="s">
        <v>4040</v>
      </c>
      <c r="K1039" s="17" t="str">
        <f>IFERROR(INDEX(競技会設定!$J$3:$O$47,MATCH(J1039,競技会設定!$M$3:$M$47,0),5),"")</f>
        <v>中京大</v>
      </c>
      <c r="L1039" s="17" t="str">
        <f>IFERROR(INDEX(競技会設定!$J$3:$N$47,MATCH(K1039,競技会設定!$N$3:$N$47,0),2),"")</f>
        <v>492173</v>
      </c>
      <c r="M1039" s="97" t="s">
        <v>3863</v>
      </c>
      <c r="N1039" s="17" t="str">
        <f t="shared" si="49"/>
        <v>NAKAMIZO, Daichi</v>
      </c>
      <c r="O1039" s="17" t="str">
        <f t="shared" si="50"/>
        <v>01</v>
      </c>
    </row>
    <row r="1040" spans="1:15">
      <c r="A1040" s="17" t="str">
        <f t="shared" si="48"/>
        <v>501001039</v>
      </c>
      <c r="B1040" s="97">
        <v>1039</v>
      </c>
      <c r="C1040" s="97" t="s">
        <v>4266</v>
      </c>
      <c r="D1040" s="97" t="s">
        <v>4267</v>
      </c>
      <c r="E1040" s="312" t="s">
        <v>2132</v>
      </c>
      <c r="F1040" s="312" t="s">
        <v>2293</v>
      </c>
      <c r="G1040" s="97" t="s">
        <v>4627</v>
      </c>
      <c r="H1040" s="97" t="s">
        <v>4029</v>
      </c>
      <c r="I1040" s="97" t="s">
        <v>4039</v>
      </c>
      <c r="J1040" s="97" t="s">
        <v>4066</v>
      </c>
      <c r="K1040" s="17" t="str">
        <f>IFERROR(INDEX(競技会設定!$J$3:$O$47,MATCH(J1040,競技会設定!$M$3:$M$47,0),5),"")</f>
        <v>名城大</v>
      </c>
      <c r="L1040" s="17" t="str">
        <f>IFERROR(INDEX(競技会設定!$J$3:$N$47,MATCH(K1040,競技会設定!$N$3:$N$47,0),2),"")</f>
        <v>492184</v>
      </c>
      <c r="M1040" s="97" t="s">
        <v>3861</v>
      </c>
      <c r="N1040" s="17" t="str">
        <f t="shared" si="49"/>
        <v>FUKUOKA, Koki</v>
      </c>
      <c r="O1040" s="17" t="str">
        <f t="shared" si="50"/>
        <v>02</v>
      </c>
    </row>
    <row r="1041" spans="1:15">
      <c r="A1041" s="17" t="str">
        <f t="shared" si="48"/>
        <v>501001040</v>
      </c>
      <c r="B1041" s="97">
        <v>1040</v>
      </c>
      <c r="C1041" s="97" t="s">
        <v>4268</v>
      </c>
      <c r="D1041" s="97" t="s">
        <v>4269</v>
      </c>
      <c r="E1041" s="312" t="s">
        <v>4472</v>
      </c>
      <c r="F1041" s="312" t="s">
        <v>4473</v>
      </c>
      <c r="G1041" s="97" t="s">
        <v>4628</v>
      </c>
      <c r="H1041" s="97" t="s">
        <v>4029</v>
      </c>
      <c r="I1041" s="97" t="s">
        <v>7755</v>
      </c>
      <c r="J1041" s="97" t="s">
        <v>4066</v>
      </c>
      <c r="K1041" s="17" t="str">
        <f>IFERROR(INDEX(競技会設定!$J$3:$O$47,MATCH(J1041,競技会設定!$M$3:$M$47,0),5),"")</f>
        <v>名城大</v>
      </c>
      <c r="L1041" s="17" t="str">
        <f>IFERROR(INDEX(競技会設定!$J$3:$N$47,MATCH(K1041,競技会設定!$N$3:$N$47,0),2),"")</f>
        <v>492184</v>
      </c>
      <c r="M1041" s="97" t="s">
        <v>3855</v>
      </c>
      <c r="N1041" s="17" t="str">
        <f t="shared" si="49"/>
        <v>SHIRAKUNI, Yonsu</v>
      </c>
      <c r="O1041" s="17" t="str">
        <f t="shared" si="50"/>
        <v>01</v>
      </c>
    </row>
    <row r="1042" spans="1:15">
      <c r="A1042" s="17" t="str">
        <f t="shared" si="48"/>
        <v>501001041</v>
      </c>
      <c r="B1042" s="97">
        <v>1041</v>
      </c>
      <c r="C1042" s="97" t="s">
        <v>4270</v>
      </c>
      <c r="D1042" s="97" t="s">
        <v>4271</v>
      </c>
      <c r="E1042" s="312" t="s">
        <v>4474</v>
      </c>
      <c r="F1042" s="312" t="s">
        <v>2234</v>
      </c>
      <c r="G1042" s="97" t="s">
        <v>4629</v>
      </c>
      <c r="H1042" s="97" t="s">
        <v>4029</v>
      </c>
      <c r="I1042" s="97" t="s">
        <v>4039</v>
      </c>
      <c r="J1042" s="97" t="s">
        <v>4066</v>
      </c>
      <c r="K1042" s="17" t="str">
        <f>IFERROR(INDEX(競技会設定!$J$3:$O$47,MATCH(J1042,競技会設定!$M$3:$M$47,0),5),"")</f>
        <v>名城大</v>
      </c>
      <c r="L1042" s="17" t="str">
        <f>IFERROR(INDEX(競技会設定!$J$3:$N$47,MATCH(K1042,競技会設定!$N$3:$N$47,0),2),"")</f>
        <v>492184</v>
      </c>
      <c r="M1042" s="97" t="s">
        <v>3861</v>
      </c>
      <c r="N1042" s="17" t="str">
        <f t="shared" si="49"/>
        <v>SAKURAGI, Yuto</v>
      </c>
      <c r="O1042" s="17" t="str">
        <f t="shared" si="50"/>
        <v>01</v>
      </c>
    </row>
    <row r="1043" spans="1:15">
      <c r="A1043" s="17" t="str">
        <f t="shared" si="48"/>
        <v>501001042</v>
      </c>
      <c r="B1043" s="97">
        <v>1042</v>
      </c>
      <c r="C1043" s="97" t="s">
        <v>4272</v>
      </c>
      <c r="D1043" s="97" t="s">
        <v>4273</v>
      </c>
      <c r="E1043" s="312" t="s">
        <v>4475</v>
      </c>
      <c r="F1043" s="312" t="s">
        <v>2293</v>
      </c>
      <c r="G1043" s="97" t="s">
        <v>3746</v>
      </c>
      <c r="H1043" s="97" t="s">
        <v>4029</v>
      </c>
      <c r="I1043" s="97" t="s">
        <v>4039</v>
      </c>
      <c r="J1043" s="97" t="s">
        <v>4066</v>
      </c>
      <c r="K1043" s="17" t="str">
        <f>IFERROR(INDEX(競技会設定!$J$3:$O$47,MATCH(J1043,競技会設定!$M$3:$M$47,0),5),"")</f>
        <v>名城大</v>
      </c>
      <c r="L1043" s="17" t="str">
        <f>IFERROR(INDEX(競技会設定!$J$3:$N$47,MATCH(K1043,競技会設定!$N$3:$N$47,0),2),"")</f>
        <v>492184</v>
      </c>
      <c r="M1043" s="97" t="s">
        <v>3855</v>
      </c>
      <c r="N1043" s="17" t="str">
        <f t="shared" si="49"/>
        <v>WAKITA, Koki</v>
      </c>
      <c r="O1043" s="17" t="str">
        <f t="shared" si="50"/>
        <v>01</v>
      </c>
    </row>
    <row r="1044" spans="1:15">
      <c r="A1044" s="17" t="str">
        <f t="shared" si="48"/>
        <v>501001043</v>
      </c>
      <c r="B1044" s="97">
        <v>1043</v>
      </c>
      <c r="C1044" s="97" t="s">
        <v>4274</v>
      </c>
      <c r="D1044" s="97" t="s">
        <v>4275</v>
      </c>
      <c r="E1044" s="312" t="s">
        <v>4476</v>
      </c>
      <c r="F1044" s="312" t="s">
        <v>2165</v>
      </c>
      <c r="G1044" s="97" t="s">
        <v>4630</v>
      </c>
      <c r="H1044" s="97" t="s">
        <v>4029</v>
      </c>
      <c r="I1044" s="97" t="s">
        <v>4039</v>
      </c>
      <c r="J1044" s="97" t="s">
        <v>4066</v>
      </c>
      <c r="K1044" s="17" t="str">
        <f>IFERROR(INDEX(競技会設定!$J$3:$O$47,MATCH(J1044,競技会設定!$M$3:$M$47,0),5),"")</f>
        <v>名城大</v>
      </c>
      <c r="L1044" s="17" t="str">
        <f>IFERROR(INDEX(競技会設定!$J$3:$N$47,MATCH(K1044,競技会設定!$N$3:$N$47,0),2),"")</f>
        <v>492184</v>
      </c>
      <c r="M1044" s="97" t="s">
        <v>3855</v>
      </c>
      <c r="N1044" s="17" t="str">
        <f t="shared" si="49"/>
        <v>YAMADA , Riku</v>
      </c>
      <c r="O1044" s="17" t="str">
        <f t="shared" si="50"/>
        <v>01</v>
      </c>
    </row>
    <row r="1045" spans="1:15">
      <c r="A1045" s="17" t="str">
        <f t="shared" si="48"/>
        <v>501001044</v>
      </c>
      <c r="B1045" s="97">
        <v>1044</v>
      </c>
      <c r="C1045" s="97" t="s">
        <v>4276</v>
      </c>
      <c r="D1045" s="97" t="s">
        <v>4277</v>
      </c>
      <c r="E1045" s="312" t="s">
        <v>2082</v>
      </c>
      <c r="F1045" s="312" t="s">
        <v>4477</v>
      </c>
      <c r="G1045" s="97" t="s">
        <v>3185</v>
      </c>
      <c r="H1045" s="97" t="s">
        <v>4026</v>
      </c>
      <c r="I1045" s="97" t="s">
        <v>4039</v>
      </c>
      <c r="J1045" s="97" t="s">
        <v>4066</v>
      </c>
      <c r="K1045" s="17" t="str">
        <f>IFERROR(INDEX(競技会設定!$J$3:$O$47,MATCH(J1045,競技会設定!$M$3:$M$47,0),5),"")</f>
        <v>名城大</v>
      </c>
      <c r="L1045" s="17" t="str">
        <f>IFERROR(INDEX(競技会設定!$J$3:$N$47,MATCH(K1045,競技会設定!$N$3:$N$47,0),2),"")</f>
        <v>492184</v>
      </c>
      <c r="M1045" s="97" t="s">
        <v>3861</v>
      </c>
      <c r="N1045" s="17" t="str">
        <f t="shared" si="49"/>
        <v>ITO, Ritsuki</v>
      </c>
      <c r="O1045" s="17" t="str">
        <f t="shared" si="50"/>
        <v>99</v>
      </c>
    </row>
    <row r="1046" spans="1:15">
      <c r="A1046" s="17" t="str">
        <f t="shared" si="48"/>
        <v>501001045</v>
      </c>
      <c r="B1046" s="97">
        <v>1045</v>
      </c>
      <c r="C1046" s="97" t="s">
        <v>4278</v>
      </c>
      <c r="D1046" s="97" t="s">
        <v>4279</v>
      </c>
      <c r="E1046" s="312" t="s">
        <v>4478</v>
      </c>
      <c r="F1046" s="312" t="s">
        <v>2948</v>
      </c>
      <c r="G1046" s="97" t="s">
        <v>4631</v>
      </c>
      <c r="H1046" s="97" t="s">
        <v>4029</v>
      </c>
      <c r="I1046" s="97" t="s">
        <v>4039</v>
      </c>
      <c r="J1046" s="97" t="s">
        <v>4074</v>
      </c>
      <c r="K1046" s="17" t="str">
        <f>IFERROR(INDEX(競技会設定!$J$3:$O$47,MATCH(J1046,競技会設定!$M$3:$M$47,0),5),"")</f>
        <v>東海学園大</v>
      </c>
      <c r="L1046" s="17" t="str">
        <f>IFERROR(INDEX(競技会設定!$J$3:$N$47,MATCH(K1046,競技会設定!$N$3:$N$47,0),2),"")</f>
        <v>492412</v>
      </c>
      <c r="M1046" s="97" t="s">
        <v>3859</v>
      </c>
      <c r="N1046" s="17" t="str">
        <f t="shared" si="49"/>
        <v>TAKAHATA, Towa</v>
      </c>
      <c r="O1046" s="17" t="str">
        <f t="shared" si="50"/>
        <v>01</v>
      </c>
    </row>
    <row r="1047" spans="1:15">
      <c r="A1047" s="17" t="str">
        <f t="shared" si="48"/>
        <v>501001046</v>
      </c>
      <c r="B1047" s="97">
        <v>1046</v>
      </c>
      <c r="C1047" s="97" t="s">
        <v>4280</v>
      </c>
      <c r="D1047" s="97" t="s">
        <v>4281</v>
      </c>
      <c r="E1047" s="312" t="s">
        <v>2314</v>
      </c>
      <c r="F1047" s="312" t="s">
        <v>2516</v>
      </c>
      <c r="G1047" s="97" t="s">
        <v>4632</v>
      </c>
      <c r="H1047" s="97" t="s">
        <v>4029</v>
      </c>
      <c r="I1047" s="97" t="s">
        <v>4039</v>
      </c>
      <c r="J1047" s="97" t="s">
        <v>4074</v>
      </c>
      <c r="K1047" s="17" t="str">
        <f>IFERROR(INDEX(競技会設定!$J$3:$O$47,MATCH(J1047,競技会設定!$M$3:$M$47,0),5),"")</f>
        <v>東海学園大</v>
      </c>
      <c r="L1047" s="17" t="str">
        <f>IFERROR(INDEX(競技会設定!$J$3:$N$47,MATCH(K1047,競技会設定!$N$3:$N$47,0),2),"")</f>
        <v>492412</v>
      </c>
      <c r="M1047" s="97" t="s">
        <v>3859</v>
      </c>
      <c r="N1047" s="17" t="str">
        <f t="shared" si="49"/>
        <v>KONDO, Naoto</v>
      </c>
      <c r="O1047" s="17" t="str">
        <f t="shared" si="50"/>
        <v>01</v>
      </c>
    </row>
    <row r="1048" spans="1:15">
      <c r="A1048" s="17" t="str">
        <f t="shared" si="48"/>
        <v>501001047</v>
      </c>
      <c r="B1048" s="15" t="s">
        <v>7618</v>
      </c>
      <c r="C1048" s="15" t="s">
        <v>4282</v>
      </c>
      <c r="D1048" s="15" t="s">
        <v>4283</v>
      </c>
      <c r="E1048" s="313" t="s">
        <v>4479</v>
      </c>
      <c r="F1048" s="313" t="s">
        <v>4480</v>
      </c>
      <c r="G1048" s="16" t="s">
        <v>4636</v>
      </c>
      <c r="H1048" s="15" t="s">
        <v>4029</v>
      </c>
      <c r="I1048" s="15" t="s">
        <v>4039</v>
      </c>
      <c r="J1048" s="15" t="s">
        <v>4068</v>
      </c>
      <c r="K1048" s="17" t="str">
        <f>IFERROR(INDEX(競技会設定!$J$3:$O$47,MATCH(J1048,競技会設定!$M$3:$M$47,0),5),"")</f>
        <v>愛知東邦大</v>
      </c>
      <c r="L1048" s="17" t="str">
        <f>IFERROR(INDEX(競技会設定!$J$3:$N$47,MATCH(K1048,競技会設定!$N$3:$N$47,0),2),"")</f>
        <v>492491</v>
      </c>
      <c r="M1048" s="15" t="s">
        <v>3859</v>
      </c>
      <c r="N1048" s="17" t="str">
        <f t="shared" si="49"/>
        <v>YASUNAGA, Kenshiro</v>
      </c>
      <c r="O1048" s="17" t="str">
        <f t="shared" si="50"/>
        <v>01</v>
      </c>
    </row>
    <row r="1049" spans="1:15">
      <c r="A1049" s="17" t="str">
        <f t="shared" si="48"/>
        <v>501001048</v>
      </c>
      <c r="B1049" s="15" t="s">
        <v>7619</v>
      </c>
      <c r="C1049" s="15" t="s">
        <v>4284</v>
      </c>
      <c r="D1049" s="15" t="s">
        <v>4285</v>
      </c>
      <c r="E1049" s="313" t="s">
        <v>4481</v>
      </c>
      <c r="F1049" s="313" t="s">
        <v>4482</v>
      </c>
      <c r="G1049" s="16" t="s">
        <v>4637</v>
      </c>
      <c r="H1049" s="15" t="s">
        <v>4029</v>
      </c>
      <c r="I1049" s="15" t="s">
        <v>4039</v>
      </c>
      <c r="J1049" s="15" t="s">
        <v>4054</v>
      </c>
      <c r="K1049" s="17" t="str">
        <f>IFERROR(INDEX(競技会設定!$J$3:$O$47,MATCH(J1049,競技会設定!$M$3:$M$47,0),5),"")</f>
        <v>三重大</v>
      </c>
      <c r="L1049" s="17" t="str">
        <f>IFERROR(INDEX(競技会設定!$J$3:$N$47,MATCH(K1049,競技会設定!$N$3:$N$47,0),2),"")</f>
        <v>490046</v>
      </c>
      <c r="M1049" s="15" t="s">
        <v>3861</v>
      </c>
      <c r="N1049" s="17" t="str">
        <f t="shared" si="49"/>
        <v>TAKAGI, Yo</v>
      </c>
      <c r="O1049" s="17" t="str">
        <f t="shared" si="50"/>
        <v>01</v>
      </c>
    </row>
    <row r="1050" spans="1:15">
      <c r="A1050" s="17" t="str">
        <f t="shared" si="48"/>
        <v>501001049</v>
      </c>
      <c r="B1050" s="15" t="s">
        <v>7620</v>
      </c>
      <c r="C1050" s="15" t="s">
        <v>4286</v>
      </c>
      <c r="D1050" s="15" t="s">
        <v>4287</v>
      </c>
      <c r="E1050" s="313" t="s">
        <v>4483</v>
      </c>
      <c r="F1050" s="313" t="s">
        <v>4484</v>
      </c>
      <c r="G1050" s="16" t="s">
        <v>4638</v>
      </c>
      <c r="H1050" s="15" t="s">
        <v>4029</v>
      </c>
      <c r="I1050" s="15" t="s">
        <v>4039</v>
      </c>
      <c r="J1050" s="15" t="s">
        <v>4054</v>
      </c>
      <c r="K1050" s="17" t="str">
        <f>IFERROR(INDEX(競技会設定!$J$3:$O$47,MATCH(J1050,競技会設定!$M$3:$M$47,0),5),"")</f>
        <v>三重大</v>
      </c>
      <c r="L1050" s="17" t="str">
        <f>IFERROR(INDEX(競技会設定!$J$3:$N$47,MATCH(K1050,競技会設定!$N$3:$N$47,0),2),"")</f>
        <v>490046</v>
      </c>
      <c r="M1050" s="15" t="s">
        <v>3861</v>
      </c>
      <c r="N1050" s="17" t="str">
        <f t="shared" si="49"/>
        <v>MORIMOTO, Naoya</v>
      </c>
      <c r="O1050" s="17" t="str">
        <f t="shared" si="50"/>
        <v>01</v>
      </c>
    </row>
    <row r="1051" spans="1:15">
      <c r="A1051" s="17" t="str">
        <f t="shared" si="48"/>
        <v>501001050</v>
      </c>
      <c r="B1051" s="15" t="s">
        <v>7621</v>
      </c>
      <c r="C1051" s="15" t="s">
        <v>4288</v>
      </c>
      <c r="D1051" s="15" t="s">
        <v>4289</v>
      </c>
      <c r="E1051" s="313" t="s">
        <v>4485</v>
      </c>
      <c r="F1051" s="313" t="s">
        <v>4486</v>
      </c>
      <c r="G1051" s="16" t="s">
        <v>3357</v>
      </c>
      <c r="H1051" s="15" t="s">
        <v>4029</v>
      </c>
      <c r="I1051" s="15" t="s">
        <v>4039</v>
      </c>
      <c r="J1051" s="15" t="s">
        <v>4054</v>
      </c>
      <c r="K1051" s="17" t="str">
        <f>IFERROR(INDEX(競技会設定!$J$3:$O$47,MATCH(J1051,競技会設定!$M$3:$M$47,0),5),"")</f>
        <v>三重大</v>
      </c>
      <c r="L1051" s="17" t="str">
        <f>IFERROR(INDEX(競技会設定!$J$3:$N$47,MATCH(K1051,競技会設定!$N$3:$N$47,0),2),"")</f>
        <v>490046</v>
      </c>
      <c r="M1051" s="15" t="s">
        <v>3861</v>
      </c>
      <c r="N1051" s="17" t="str">
        <f t="shared" si="49"/>
        <v>YAMAUCHI , Kentaro</v>
      </c>
      <c r="O1051" s="17" t="str">
        <f t="shared" si="50"/>
        <v>00</v>
      </c>
    </row>
    <row r="1052" spans="1:15">
      <c r="A1052" s="17" t="str">
        <f t="shared" si="48"/>
        <v>501001051</v>
      </c>
      <c r="B1052" s="15" t="s">
        <v>7622</v>
      </c>
      <c r="C1052" s="15" t="s">
        <v>4290</v>
      </c>
      <c r="D1052" s="15" t="s">
        <v>4291</v>
      </c>
      <c r="E1052" s="313" t="s">
        <v>4487</v>
      </c>
      <c r="F1052" s="313" t="s">
        <v>4488</v>
      </c>
      <c r="G1052" s="16" t="s">
        <v>4639</v>
      </c>
      <c r="H1052" s="15" t="s">
        <v>4025</v>
      </c>
      <c r="I1052" s="15" t="s">
        <v>4039</v>
      </c>
      <c r="J1052" s="15" t="s">
        <v>4054</v>
      </c>
      <c r="K1052" s="17" t="str">
        <f>IFERROR(INDEX(競技会設定!$J$3:$O$47,MATCH(J1052,競技会設定!$M$3:$M$47,0),5),"")</f>
        <v>三重大</v>
      </c>
      <c r="L1052" s="17" t="str">
        <f>IFERROR(INDEX(競技会設定!$J$3:$N$47,MATCH(K1052,競技会設定!$N$3:$N$47,0),2),"")</f>
        <v>490046</v>
      </c>
      <c r="M1052" s="15" t="s">
        <v>3861</v>
      </c>
      <c r="N1052" s="17" t="str">
        <f t="shared" si="49"/>
        <v>NAGATO, Yutaro</v>
      </c>
      <c r="O1052" s="17" t="str">
        <f t="shared" si="50"/>
        <v>98</v>
      </c>
    </row>
    <row r="1053" spans="1:15">
      <c r="A1053" s="17" t="str">
        <f t="shared" si="48"/>
        <v>501001052</v>
      </c>
      <c r="B1053" s="15">
        <v>1052</v>
      </c>
      <c r="C1053" s="15" t="s">
        <v>4292</v>
      </c>
      <c r="D1053" s="15" t="s">
        <v>4293</v>
      </c>
      <c r="E1053" s="313" t="s">
        <v>4489</v>
      </c>
      <c r="F1053" s="313" t="s">
        <v>4490</v>
      </c>
      <c r="G1053" s="16" t="s">
        <v>3170</v>
      </c>
      <c r="H1053" s="15" t="s">
        <v>4029</v>
      </c>
      <c r="I1053" s="15" t="s">
        <v>4039</v>
      </c>
      <c r="J1053" s="15" t="s">
        <v>4043</v>
      </c>
      <c r="K1053" s="17" t="str">
        <f>IFERROR(INDEX(競技会設定!$J$3:$O$47,MATCH(J1053,競技会設定!$M$3:$M$47,0),5),"")</f>
        <v>愛知教育大</v>
      </c>
      <c r="L1053" s="17" t="str">
        <f>IFERROR(INDEX(競技会設定!$J$3:$N$47,MATCH(K1053,競技会設定!$N$3:$N$47,0),2),"")</f>
        <v>490044</v>
      </c>
      <c r="M1053" s="15" t="s">
        <v>3859</v>
      </c>
      <c r="N1053" s="17" t="str">
        <f t="shared" si="49"/>
        <v>IWAI, Shoei</v>
      </c>
      <c r="O1053" s="17" t="str">
        <f t="shared" si="50"/>
        <v>01</v>
      </c>
    </row>
    <row r="1054" spans="1:15">
      <c r="A1054" s="17" t="str">
        <f t="shared" si="48"/>
        <v>501001053</v>
      </c>
      <c r="B1054" s="15">
        <v>1053</v>
      </c>
      <c r="C1054" s="15" t="s">
        <v>4294</v>
      </c>
      <c r="D1054" s="15" t="s">
        <v>4295</v>
      </c>
      <c r="E1054" s="313" t="s">
        <v>4479</v>
      </c>
      <c r="F1054" s="313" t="s">
        <v>4491</v>
      </c>
      <c r="G1054" s="16" t="s">
        <v>4640</v>
      </c>
      <c r="H1054" s="15" t="s">
        <v>4029</v>
      </c>
      <c r="I1054" s="15" t="s">
        <v>4039</v>
      </c>
      <c r="J1054" s="15" t="s">
        <v>4043</v>
      </c>
      <c r="K1054" s="17" t="str">
        <f>IFERROR(INDEX(競技会設定!$J$3:$O$47,MATCH(J1054,競技会設定!$M$3:$M$47,0),5),"")</f>
        <v>愛知教育大</v>
      </c>
      <c r="L1054" s="17" t="str">
        <f>IFERROR(INDEX(競技会設定!$J$3:$N$47,MATCH(K1054,競技会設定!$N$3:$N$47,0),2),"")</f>
        <v>490044</v>
      </c>
      <c r="M1054" s="15" t="s">
        <v>3859</v>
      </c>
      <c r="N1054" s="17" t="str">
        <f t="shared" si="49"/>
        <v>YASUNAGA, Eiki</v>
      </c>
      <c r="O1054" s="17" t="str">
        <f t="shared" si="50"/>
        <v>02</v>
      </c>
    </row>
    <row r="1055" spans="1:15">
      <c r="A1055" s="17" t="str">
        <f t="shared" si="48"/>
        <v>501001054</v>
      </c>
      <c r="B1055" s="15">
        <v>1054</v>
      </c>
      <c r="C1055" s="15" t="s">
        <v>4296</v>
      </c>
      <c r="D1055" s="15" t="s">
        <v>4297</v>
      </c>
      <c r="E1055" s="313" t="s">
        <v>4492</v>
      </c>
      <c r="F1055" s="313" t="s">
        <v>4493</v>
      </c>
      <c r="G1055" s="16" t="s">
        <v>4641</v>
      </c>
      <c r="H1055" s="15" t="s">
        <v>4029</v>
      </c>
      <c r="I1055" s="15" t="s">
        <v>4039</v>
      </c>
      <c r="J1055" s="15" t="s">
        <v>4044</v>
      </c>
      <c r="K1055" s="17" t="str">
        <f>IFERROR(INDEX(競技会設定!$J$3:$O$47,MATCH(J1055,競技会設定!$M$3:$M$47,0),5),"")</f>
        <v>愛知工業大</v>
      </c>
      <c r="L1055" s="17" t="str">
        <f>IFERROR(INDEX(競技会設定!$J$3:$N$47,MATCH(K1055,競技会設定!$N$3:$N$47,0),2),"")</f>
        <v>492168</v>
      </c>
      <c r="M1055" s="15" t="s">
        <v>3859</v>
      </c>
      <c r="N1055" s="17" t="str">
        <f t="shared" si="49"/>
        <v>YOKOYAMA, Ryuki</v>
      </c>
      <c r="O1055" s="17" t="str">
        <f t="shared" si="50"/>
        <v>01</v>
      </c>
    </row>
    <row r="1056" spans="1:15">
      <c r="A1056" s="17" t="str">
        <f t="shared" si="48"/>
        <v>501001055</v>
      </c>
      <c r="B1056" s="15">
        <v>1055</v>
      </c>
      <c r="C1056" s="15" t="s">
        <v>4298</v>
      </c>
      <c r="D1056" s="15" t="s">
        <v>4299</v>
      </c>
      <c r="E1056" s="313" t="s">
        <v>4494</v>
      </c>
      <c r="F1056" s="313" t="s">
        <v>4495</v>
      </c>
      <c r="G1056" s="16" t="s">
        <v>4642</v>
      </c>
      <c r="H1056" s="15" t="s">
        <v>4029</v>
      </c>
      <c r="I1056" s="15" t="s">
        <v>4039</v>
      </c>
      <c r="J1056" s="15" t="s">
        <v>4044</v>
      </c>
      <c r="K1056" s="17" t="str">
        <f>IFERROR(INDEX(競技会設定!$J$3:$O$47,MATCH(J1056,競技会設定!$M$3:$M$47,0),5),"")</f>
        <v>愛知工業大</v>
      </c>
      <c r="L1056" s="17" t="str">
        <f>IFERROR(INDEX(競技会設定!$J$3:$N$47,MATCH(K1056,競技会設定!$N$3:$N$47,0),2),"")</f>
        <v>492168</v>
      </c>
      <c r="M1056" s="15" t="s">
        <v>3859</v>
      </c>
      <c r="N1056" s="17" t="str">
        <f t="shared" si="49"/>
        <v>NISHIO, Kosei</v>
      </c>
      <c r="O1056" s="17" t="str">
        <f t="shared" si="50"/>
        <v>01</v>
      </c>
    </row>
    <row r="1057" spans="1:15">
      <c r="A1057" s="17" t="str">
        <f t="shared" si="48"/>
        <v>501001056</v>
      </c>
      <c r="B1057" s="15">
        <v>1056</v>
      </c>
      <c r="C1057" s="15" t="s">
        <v>4300</v>
      </c>
      <c r="D1057" s="15" t="s">
        <v>4301</v>
      </c>
      <c r="E1057" s="313" t="s">
        <v>3045</v>
      </c>
      <c r="F1057" s="313" t="s">
        <v>4496</v>
      </c>
      <c r="G1057" s="16" t="s">
        <v>4604</v>
      </c>
      <c r="H1057" s="15" t="s">
        <v>4029</v>
      </c>
      <c r="I1057" s="15" t="s">
        <v>4039</v>
      </c>
      <c r="J1057" s="15" t="s">
        <v>4044</v>
      </c>
      <c r="K1057" s="17" t="str">
        <f>IFERROR(INDEX(競技会設定!$J$3:$O$47,MATCH(J1057,競技会設定!$M$3:$M$47,0),5),"")</f>
        <v>愛知工業大</v>
      </c>
      <c r="L1057" s="17" t="str">
        <f>IFERROR(INDEX(競技会設定!$J$3:$N$47,MATCH(K1057,競技会設定!$N$3:$N$47,0),2),"")</f>
        <v>492168</v>
      </c>
      <c r="M1057" s="15" t="s">
        <v>3859</v>
      </c>
      <c r="N1057" s="17" t="str">
        <f t="shared" si="49"/>
        <v>HAYASHI, Ryoki</v>
      </c>
      <c r="O1057" s="17" t="str">
        <f t="shared" si="50"/>
        <v>01</v>
      </c>
    </row>
    <row r="1058" spans="1:15">
      <c r="A1058" s="17" t="str">
        <f t="shared" si="48"/>
        <v>501001057</v>
      </c>
      <c r="B1058" s="15">
        <v>1057</v>
      </c>
      <c r="C1058" s="15" t="s">
        <v>4302</v>
      </c>
      <c r="D1058" s="15" t="s">
        <v>4303</v>
      </c>
      <c r="E1058" s="313" t="s">
        <v>4497</v>
      </c>
      <c r="F1058" s="313" t="s">
        <v>4498</v>
      </c>
      <c r="G1058" s="16" t="s">
        <v>4643</v>
      </c>
      <c r="H1058" s="15" t="s">
        <v>4029</v>
      </c>
      <c r="I1058" s="15" t="s">
        <v>4039</v>
      </c>
      <c r="J1058" s="15" t="s">
        <v>4044</v>
      </c>
      <c r="K1058" s="17" t="str">
        <f>IFERROR(INDEX(競技会設定!$J$3:$O$47,MATCH(J1058,競技会設定!$M$3:$M$47,0),5),"")</f>
        <v>愛知工業大</v>
      </c>
      <c r="L1058" s="17" t="str">
        <f>IFERROR(INDEX(競技会設定!$J$3:$N$47,MATCH(K1058,競技会設定!$N$3:$N$47,0),2),"")</f>
        <v>492168</v>
      </c>
      <c r="M1058" s="15" t="s">
        <v>3859</v>
      </c>
      <c r="N1058" s="17" t="str">
        <f t="shared" si="49"/>
        <v>SUGIURA, Shoichi</v>
      </c>
      <c r="O1058" s="17" t="str">
        <f t="shared" si="50"/>
        <v>01</v>
      </c>
    </row>
    <row r="1059" spans="1:15">
      <c r="A1059" s="17" t="str">
        <f t="shared" si="48"/>
        <v>501001058</v>
      </c>
      <c r="B1059" s="15">
        <v>1058</v>
      </c>
      <c r="C1059" s="15" t="s">
        <v>4304</v>
      </c>
      <c r="D1059" s="15" t="s">
        <v>4305</v>
      </c>
      <c r="E1059" s="313" t="s">
        <v>4499</v>
      </c>
      <c r="F1059" s="313" t="s">
        <v>4500</v>
      </c>
      <c r="G1059" s="16" t="s">
        <v>4644</v>
      </c>
      <c r="H1059" s="15" t="s">
        <v>4029</v>
      </c>
      <c r="I1059" s="15" t="s">
        <v>4039</v>
      </c>
      <c r="J1059" s="15" t="s">
        <v>4050</v>
      </c>
      <c r="K1059" s="17" t="str">
        <f>IFERROR(INDEX(競技会設定!$J$3:$O$47,MATCH(J1059,競技会設定!$M$3:$M$47,0),5),"")</f>
        <v>岐阜大</v>
      </c>
      <c r="L1059" s="17" t="str">
        <f>IFERROR(INDEX(競技会設定!$J$3:$N$47,MATCH(K1059,競技会設定!$N$3:$N$47,0),2),"")</f>
        <v>490041</v>
      </c>
      <c r="M1059" s="15" t="s">
        <v>3855</v>
      </c>
      <c r="N1059" s="17" t="str">
        <f t="shared" si="49"/>
        <v>KITA, Masahiro</v>
      </c>
      <c r="O1059" s="17" t="str">
        <f t="shared" si="50"/>
        <v>00</v>
      </c>
    </row>
    <row r="1060" spans="1:15">
      <c r="A1060" s="17" t="str">
        <f t="shared" si="48"/>
        <v>501001059</v>
      </c>
      <c r="B1060" s="15">
        <v>1059</v>
      </c>
      <c r="C1060" s="15" t="s">
        <v>4306</v>
      </c>
      <c r="D1060" s="15" t="s">
        <v>4307</v>
      </c>
      <c r="E1060" s="313" t="s">
        <v>4501</v>
      </c>
      <c r="F1060" s="313" t="s">
        <v>3057</v>
      </c>
      <c r="G1060" s="16" t="s">
        <v>4645</v>
      </c>
      <c r="H1060" s="15" t="s">
        <v>4029</v>
      </c>
      <c r="I1060" s="15" t="s">
        <v>4039</v>
      </c>
      <c r="J1060" s="15" t="s">
        <v>4050</v>
      </c>
      <c r="K1060" s="17" t="str">
        <f>IFERROR(INDEX(競技会設定!$J$3:$O$47,MATCH(J1060,競技会設定!$M$3:$M$47,0),5),"")</f>
        <v>岐阜大</v>
      </c>
      <c r="L1060" s="17" t="str">
        <f>IFERROR(INDEX(競技会設定!$J$3:$N$47,MATCH(K1060,競技会設定!$N$3:$N$47,0),2),"")</f>
        <v>490041</v>
      </c>
      <c r="M1060" s="15" t="s">
        <v>3855</v>
      </c>
      <c r="N1060" s="17" t="str">
        <f t="shared" si="49"/>
        <v>KIDOKORO, Shota</v>
      </c>
      <c r="O1060" s="17" t="str">
        <f t="shared" si="50"/>
        <v>02</v>
      </c>
    </row>
    <row r="1061" spans="1:15">
      <c r="A1061" s="17" t="str">
        <f t="shared" si="48"/>
        <v>501001060</v>
      </c>
      <c r="B1061" s="15">
        <v>1060</v>
      </c>
      <c r="C1061" s="15" t="s">
        <v>4308</v>
      </c>
      <c r="D1061" s="15" t="s">
        <v>4309</v>
      </c>
      <c r="E1061" s="313" t="s">
        <v>4502</v>
      </c>
      <c r="F1061" s="313" t="s">
        <v>4503</v>
      </c>
      <c r="G1061" s="16" t="s">
        <v>4646</v>
      </c>
      <c r="H1061" s="15" t="s">
        <v>3760</v>
      </c>
      <c r="I1061" s="15" t="s">
        <v>4039</v>
      </c>
      <c r="J1061" s="15" t="s">
        <v>4078</v>
      </c>
      <c r="K1061" s="17" t="str">
        <f>IFERROR(INDEX(競技会設定!$J$3:$O$47,MATCH(J1061,競技会設定!$M$3:$M$47,0),5),"")</f>
        <v>沼津工業高専</v>
      </c>
      <c r="L1061" s="17" t="str">
        <f>IFERROR(INDEX(競技会設定!$J$3:$N$47,MATCH(K1061,競技会設定!$N$3:$N$47,0),2),"")</f>
        <v>496024</v>
      </c>
      <c r="M1061" s="15" t="s">
        <v>3857</v>
      </c>
      <c r="N1061" s="17" t="str">
        <f t="shared" si="49"/>
        <v>TAKIGUCHI, Amane</v>
      </c>
      <c r="O1061" s="17" t="str">
        <f t="shared" si="50"/>
        <v>99</v>
      </c>
    </row>
    <row r="1062" spans="1:15">
      <c r="A1062" s="17" t="str">
        <f t="shared" si="48"/>
        <v>501001086</v>
      </c>
      <c r="B1062" s="15">
        <v>1086</v>
      </c>
      <c r="C1062" s="15" t="s">
        <v>4310</v>
      </c>
      <c r="D1062" s="15" t="s">
        <v>4311</v>
      </c>
      <c r="E1062" s="313" t="s">
        <v>3015</v>
      </c>
      <c r="F1062" s="313" t="s">
        <v>4504</v>
      </c>
      <c r="G1062" s="16" t="s">
        <v>3174</v>
      </c>
      <c r="H1062" s="15" t="s">
        <v>4029</v>
      </c>
      <c r="I1062" s="15" t="s">
        <v>4039</v>
      </c>
      <c r="J1062" s="15" t="s">
        <v>4076</v>
      </c>
      <c r="K1062" s="17" t="str">
        <f>IFERROR(INDEX(競技会設定!$J$3:$O$47,MATCH(J1062,競技会設定!$M$3:$M$47,0),5),"")</f>
        <v>常葉大</v>
      </c>
      <c r="L1062" s="17" t="str">
        <f>IFERROR(INDEX(競技会設定!$J$3:$N$47,MATCH(K1062,競技会設定!$N$3:$N$47,0),2),"")</f>
        <v>492320</v>
      </c>
      <c r="M1062" s="15" t="s">
        <v>3857</v>
      </c>
      <c r="N1062" s="17" t="str">
        <f t="shared" si="49"/>
        <v>SUZUKI, Manaya</v>
      </c>
      <c r="O1062" s="17" t="str">
        <f t="shared" si="50"/>
        <v>02</v>
      </c>
    </row>
    <row r="1063" spans="1:15">
      <c r="A1063" s="17" t="str">
        <f t="shared" si="48"/>
        <v>501001087</v>
      </c>
      <c r="B1063" s="15">
        <v>1087</v>
      </c>
      <c r="C1063" s="15" t="s">
        <v>4312</v>
      </c>
      <c r="D1063" s="15" t="s">
        <v>4313</v>
      </c>
      <c r="E1063" s="313" t="s">
        <v>4505</v>
      </c>
      <c r="F1063" s="313" t="s">
        <v>4506</v>
      </c>
      <c r="G1063" s="16" t="s">
        <v>4647</v>
      </c>
      <c r="H1063" s="15" t="s">
        <v>4029</v>
      </c>
      <c r="I1063" s="15" t="s">
        <v>4039</v>
      </c>
      <c r="J1063" s="15" t="s">
        <v>4076</v>
      </c>
      <c r="K1063" s="17" t="str">
        <f>IFERROR(INDEX(競技会設定!$J$3:$O$47,MATCH(J1063,競技会設定!$M$3:$M$47,0),5),"")</f>
        <v>常葉大</v>
      </c>
      <c r="L1063" s="17" t="str">
        <f>IFERROR(INDEX(競技会設定!$J$3:$N$47,MATCH(K1063,競技会設定!$N$3:$N$47,0),2),"")</f>
        <v>492320</v>
      </c>
      <c r="M1063" s="15" t="s">
        <v>3857</v>
      </c>
      <c r="N1063" s="17" t="str">
        <f t="shared" si="49"/>
        <v>HAKAMATA, Misaki</v>
      </c>
      <c r="O1063" s="17" t="str">
        <f t="shared" si="50"/>
        <v>01</v>
      </c>
    </row>
    <row r="1064" spans="1:15">
      <c r="A1064" s="17" t="str">
        <f t="shared" si="48"/>
        <v>501001088</v>
      </c>
      <c r="B1064" s="15">
        <v>1088</v>
      </c>
      <c r="C1064" s="15" t="s">
        <v>4314</v>
      </c>
      <c r="D1064" s="15" t="s">
        <v>4315</v>
      </c>
      <c r="E1064" s="313" t="s">
        <v>3012</v>
      </c>
      <c r="F1064" s="313" t="s">
        <v>3019</v>
      </c>
      <c r="G1064" s="16" t="s">
        <v>3628</v>
      </c>
      <c r="H1064" s="15" t="s">
        <v>4029</v>
      </c>
      <c r="I1064" s="15" t="s">
        <v>4039</v>
      </c>
      <c r="J1064" s="15" t="s">
        <v>4076</v>
      </c>
      <c r="K1064" s="17" t="str">
        <f>IFERROR(INDEX(競技会設定!$J$3:$O$47,MATCH(J1064,競技会設定!$M$3:$M$47,0),5),"")</f>
        <v>常葉大</v>
      </c>
      <c r="L1064" s="17" t="str">
        <f>IFERROR(INDEX(競技会設定!$J$3:$N$47,MATCH(K1064,競技会設定!$N$3:$N$47,0),2),"")</f>
        <v>492320</v>
      </c>
      <c r="M1064" s="15" t="s">
        <v>3857</v>
      </c>
      <c r="N1064" s="17" t="str">
        <f t="shared" si="49"/>
        <v>MURAMATSU, Yuya</v>
      </c>
      <c r="O1064" s="17" t="str">
        <f t="shared" si="50"/>
        <v>01</v>
      </c>
    </row>
    <row r="1065" spans="1:15">
      <c r="A1065" s="17" t="str">
        <f t="shared" si="48"/>
        <v>501001089</v>
      </c>
      <c r="B1065" s="15">
        <v>1089</v>
      </c>
      <c r="C1065" s="15" t="s">
        <v>4316</v>
      </c>
      <c r="D1065" s="15" t="s">
        <v>4317</v>
      </c>
      <c r="E1065" s="313" t="s">
        <v>4507</v>
      </c>
      <c r="F1065" s="313" t="s">
        <v>4488</v>
      </c>
      <c r="G1065" s="16" t="s">
        <v>4648</v>
      </c>
      <c r="H1065" s="15" t="s">
        <v>4029</v>
      </c>
      <c r="I1065" s="15" t="s">
        <v>4039</v>
      </c>
      <c r="J1065" s="15" t="s">
        <v>4076</v>
      </c>
      <c r="K1065" s="17" t="str">
        <f>IFERROR(INDEX(競技会設定!$J$3:$O$47,MATCH(J1065,競技会設定!$M$3:$M$47,0),5),"")</f>
        <v>常葉大</v>
      </c>
      <c r="L1065" s="17" t="str">
        <f>IFERROR(INDEX(競技会設定!$J$3:$N$47,MATCH(K1065,競技会設定!$N$3:$N$47,0),2),"")</f>
        <v>492320</v>
      </c>
      <c r="M1065" s="15" t="s">
        <v>3857</v>
      </c>
      <c r="N1065" s="17" t="str">
        <f t="shared" si="49"/>
        <v>YAMAZAKI, Yutaro</v>
      </c>
      <c r="O1065" s="17" t="str">
        <f t="shared" si="50"/>
        <v>02</v>
      </c>
    </row>
    <row r="1066" spans="1:15">
      <c r="A1066" s="17" t="str">
        <f t="shared" si="48"/>
        <v>501001090</v>
      </c>
      <c r="B1066" s="15">
        <v>1090</v>
      </c>
      <c r="C1066" s="15" t="s">
        <v>4318</v>
      </c>
      <c r="D1066" s="15" t="s">
        <v>4319</v>
      </c>
      <c r="E1066" s="313" t="s">
        <v>3022</v>
      </c>
      <c r="F1066" s="313" t="s">
        <v>4508</v>
      </c>
      <c r="G1066" s="16" t="s">
        <v>4649</v>
      </c>
      <c r="H1066" s="15" t="s">
        <v>4029</v>
      </c>
      <c r="I1066" s="15" t="s">
        <v>4039</v>
      </c>
      <c r="J1066" s="15" t="s">
        <v>4069</v>
      </c>
      <c r="K1066" s="17" t="str">
        <f>IFERROR(INDEX(競技会設定!$J$3:$O$47,MATCH(J1066,競技会設定!$M$3:$M$47,0),5),"")</f>
        <v>静岡産業大</v>
      </c>
      <c r="L1066" s="17" t="str">
        <f>IFERROR(INDEX(競技会設定!$J$3:$N$47,MATCH(K1066,競技会設定!$N$3:$N$47,0),2),"")</f>
        <v>492398</v>
      </c>
      <c r="M1066" s="15" t="s">
        <v>3857</v>
      </c>
      <c r="N1066" s="17" t="str">
        <f t="shared" si="49"/>
        <v>UNNO, Ryuto</v>
      </c>
      <c r="O1066" s="17" t="str">
        <f t="shared" si="50"/>
        <v>02</v>
      </c>
    </row>
    <row r="1067" spans="1:15">
      <c r="A1067" s="17" t="str">
        <f t="shared" si="48"/>
        <v>501001091</v>
      </c>
      <c r="B1067" s="15">
        <v>1091</v>
      </c>
      <c r="C1067" s="15" t="s">
        <v>7623</v>
      </c>
      <c r="D1067" s="15" t="s">
        <v>7624</v>
      </c>
      <c r="E1067" s="313" t="s">
        <v>7730</v>
      </c>
      <c r="F1067" s="313" t="s">
        <v>7731</v>
      </c>
      <c r="G1067" s="16" t="s">
        <v>3260</v>
      </c>
      <c r="H1067" s="15" t="s">
        <v>4026</v>
      </c>
      <c r="I1067" s="15" t="s">
        <v>4039</v>
      </c>
      <c r="J1067" s="15" t="s">
        <v>4066</v>
      </c>
      <c r="K1067" s="17" t="str">
        <f>IFERROR(INDEX(競技会設定!$J$3:$O$47,MATCH(J1067,競技会設定!$M$3:$M$47,0),5),"")</f>
        <v>名城大</v>
      </c>
      <c r="L1067" s="17" t="str">
        <f>IFERROR(INDEX(競技会設定!$J$3:$N$47,MATCH(K1067,競技会設定!$N$3:$N$47,0),2),"")</f>
        <v>492184</v>
      </c>
      <c r="M1067" s="15" t="s">
        <v>3859</v>
      </c>
      <c r="N1067" s="17" t="str">
        <f t="shared" si="49"/>
        <v>AMANO, Seigo</v>
      </c>
      <c r="O1067" s="17" t="str">
        <f t="shared" si="50"/>
        <v>00</v>
      </c>
    </row>
    <row r="1068" spans="1:15">
      <c r="A1068" s="17" t="str">
        <f t="shared" si="48"/>
        <v>501001092</v>
      </c>
      <c r="B1068" s="15">
        <v>1092</v>
      </c>
      <c r="C1068" s="15" t="s">
        <v>7625</v>
      </c>
      <c r="D1068" s="15" t="s">
        <v>7626</v>
      </c>
      <c r="E1068" s="313" t="s">
        <v>4507</v>
      </c>
      <c r="F1068" s="313" t="s">
        <v>7732</v>
      </c>
      <c r="G1068" s="16" t="s">
        <v>3174</v>
      </c>
      <c r="H1068" s="15" t="s">
        <v>4029</v>
      </c>
      <c r="I1068" s="15" t="s">
        <v>4039</v>
      </c>
      <c r="J1068" s="15" t="s">
        <v>4045</v>
      </c>
      <c r="K1068" s="17" t="str">
        <f>IFERROR(INDEX(競技会設定!$J$3:$O$47,MATCH(J1068,競技会設定!$M$3:$M$47,0),5),"")</f>
        <v>愛知淑徳大</v>
      </c>
      <c r="L1068" s="17" t="str">
        <f>IFERROR(INDEX(競技会設定!$J$3:$N$47,MATCH(K1068,競技会設定!$N$3:$N$47,0),2),"")</f>
        <v>492301</v>
      </c>
      <c r="M1068" s="15" t="s">
        <v>3859</v>
      </c>
      <c r="N1068" s="17" t="str">
        <f t="shared" si="49"/>
        <v>YAMAZAKI, Junpei</v>
      </c>
      <c r="O1068" s="17" t="str">
        <f t="shared" si="50"/>
        <v>02</v>
      </c>
    </row>
    <row r="1069" spans="1:15">
      <c r="A1069" s="17" t="str">
        <f t="shared" si="48"/>
        <v>501001093</v>
      </c>
      <c r="B1069" s="15">
        <v>1093</v>
      </c>
      <c r="C1069" s="15" t="s">
        <v>7627</v>
      </c>
      <c r="D1069" s="15" t="s">
        <v>7628</v>
      </c>
      <c r="E1069" s="313" t="s">
        <v>5977</v>
      </c>
      <c r="F1069" s="313" t="s">
        <v>7733</v>
      </c>
      <c r="G1069" s="16" t="s">
        <v>7749</v>
      </c>
      <c r="H1069" s="15" t="s">
        <v>4029</v>
      </c>
      <c r="I1069" s="15" t="s">
        <v>4039</v>
      </c>
      <c r="J1069" s="15" t="s">
        <v>4049</v>
      </c>
      <c r="K1069" s="17" t="str">
        <f>IFERROR(INDEX(競技会設定!$J$3:$O$47,MATCH(J1069,競技会設定!$M$3:$M$47,0),5),"")</f>
        <v>岐阜聖徳学園大</v>
      </c>
      <c r="L1069" s="17" t="str">
        <f>IFERROR(INDEX(競技会設定!$J$3:$N$47,MATCH(K1069,競技会設定!$N$3:$N$47,0),2),"")</f>
        <v>492164</v>
      </c>
      <c r="M1069" s="15" t="s">
        <v>3855</v>
      </c>
      <c r="N1069" s="17" t="str">
        <f t="shared" si="49"/>
        <v>KINOSHITA, Mutsuki</v>
      </c>
      <c r="O1069" s="17" t="str">
        <f t="shared" si="50"/>
        <v>01</v>
      </c>
    </row>
    <row r="1070" spans="1:15">
      <c r="A1070" s="17" t="str">
        <f t="shared" si="48"/>
        <v>501001094</v>
      </c>
      <c r="B1070" s="15">
        <v>1094</v>
      </c>
      <c r="C1070" s="15" t="s">
        <v>7629</v>
      </c>
      <c r="D1070" s="15" t="s">
        <v>7630</v>
      </c>
      <c r="E1070" s="313" t="s">
        <v>7734</v>
      </c>
      <c r="F1070" s="313" t="s">
        <v>4530</v>
      </c>
      <c r="G1070" s="16" t="s">
        <v>3646</v>
      </c>
      <c r="H1070" s="15" t="s">
        <v>4029</v>
      </c>
      <c r="I1070" s="15" t="s">
        <v>4039</v>
      </c>
      <c r="J1070" s="15" t="s">
        <v>4077</v>
      </c>
      <c r="K1070" s="17" t="str">
        <f>IFERROR(INDEX(競技会設定!$J$3:$O$47,MATCH(J1070,競技会設定!$M$3:$M$47,0),5),"")</f>
        <v>静岡大</v>
      </c>
      <c r="L1070" s="17" t="str">
        <f>IFERROR(INDEX(競技会設定!$J$3:$N$47,MATCH(K1070,競技会設定!$N$3:$N$47,0),2),"")</f>
        <v>490042</v>
      </c>
      <c r="M1070" s="15" t="s">
        <v>3857</v>
      </c>
      <c r="N1070" s="17" t="str">
        <f t="shared" si="49"/>
        <v>MIYAGAWA, Tomoya</v>
      </c>
      <c r="O1070" s="17" t="str">
        <f t="shared" si="50"/>
        <v>01</v>
      </c>
    </row>
    <row r="1071" spans="1:15">
      <c r="A1071" s="17" t="str">
        <f t="shared" si="48"/>
        <v>501001095</v>
      </c>
      <c r="B1071" s="15">
        <v>1095</v>
      </c>
      <c r="C1071" s="15" t="s">
        <v>7631</v>
      </c>
      <c r="D1071" s="15" t="s">
        <v>7632</v>
      </c>
      <c r="E1071" s="313" t="s">
        <v>3053</v>
      </c>
      <c r="F1071" s="313" t="s">
        <v>4493</v>
      </c>
      <c r="G1071" s="16" t="s">
        <v>3618</v>
      </c>
      <c r="H1071" s="15" t="s">
        <v>4029</v>
      </c>
      <c r="I1071" s="15" t="s">
        <v>4039</v>
      </c>
      <c r="J1071" s="15" t="s">
        <v>4077</v>
      </c>
      <c r="K1071" s="17" t="str">
        <f>IFERROR(INDEX(競技会設定!$J$3:$O$47,MATCH(J1071,競技会設定!$M$3:$M$47,0),5),"")</f>
        <v>静岡大</v>
      </c>
      <c r="L1071" s="17" t="str">
        <f>IFERROR(INDEX(競技会設定!$J$3:$N$47,MATCH(K1071,競技会設定!$N$3:$N$47,0),2),"")</f>
        <v>490042</v>
      </c>
      <c r="M1071" s="15" t="s">
        <v>3857</v>
      </c>
      <c r="N1071" s="17" t="str">
        <f t="shared" si="49"/>
        <v>NISHIMURA, Ryuki</v>
      </c>
      <c r="O1071" s="17" t="str">
        <f t="shared" si="50"/>
        <v>01</v>
      </c>
    </row>
    <row r="1072" spans="1:15">
      <c r="A1072" s="17" t="str">
        <f t="shared" si="48"/>
        <v>501001096</v>
      </c>
      <c r="B1072" s="15">
        <v>1096</v>
      </c>
      <c r="C1072" s="15" t="s">
        <v>7633</v>
      </c>
      <c r="D1072" s="15" t="s">
        <v>7634</v>
      </c>
      <c r="E1072" s="313" t="s">
        <v>7735</v>
      </c>
      <c r="F1072" s="313" t="s">
        <v>7736</v>
      </c>
      <c r="G1072" s="16" t="s">
        <v>7750</v>
      </c>
      <c r="H1072" s="15" t="s">
        <v>4029</v>
      </c>
      <c r="I1072" s="15" t="s">
        <v>4039</v>
      </c>
      <c r="J1072" s="15" t="s">
        <v>4059</v>
      </c>
      <c r="K1072" s="17" t="str">
        <f>IFERROR(INDEX(競技会設定!$J$3:$O$47,MATCH(J1072,競技会設定!$M$3:$M$47,0),5),"")</f>
        <v>中部大</v>
      </c>
      <c r="L1072" s="17" t="str">
        <f>IFERROR(INDEX(競技会設定!$J$3:$N$47,MATCH(K1072,競技会設定!$N$3:$N$47,0),2),"")</f>
        <v>492175</v>
      </c>
      <c r="M1072" s="15" t="s">
        <v>3859</v>
      </c>
      <c r="N1072" s="17" t="str">
        <f t="shared" si="49"/>
        <v>MATSUHANA, Kousuke</v>
      </c>
      <c r="O1072" s="17" t="str">
        <f t="shared" si="50"/>
        <v>01</v>
      </c>
    </row>
    <row r="1073" spans="1:15">
      <c r="A1073" s="17" t="str">
        <f t="shared" si="48"/>
        <v>501001097</v>
      </c>
      <c r="B1073" s="15">
        <v>1097</v>
      </c>
      <c r="C1073" s="15" t="s">
        <v>7635</v>
      </c>
      <c r="D1073" s="15" t="s">
        <v>7636</v>
      </c>
      <c r="E1073" s="313" t="s">
        <v>3050</v>
      </c>
      <c r="F1073" s="313" t="s">
        <v>3028</v>
      </c>
      <c r="G1073" s="16" t="s">
        <v>7751</v>
      </c>
      <c r="H1073" s="15" t="s">
        <v>4029</v>
      </c>
      <c r="I1073" s="15" t="s">
        <v>4039</v>
      </c>
      <c r="J1073" s="15" t="s">
        <v>4072</v>
      </c>
      <c r="K1073" s="17" t="str">
        <f>IFERROR(INDEX(競技会設定!$J$3:$O$47,MATCH(J1073,競技会設定!$M$3:$M$47,0),5),"")</f>
        <v>名古屋工業大</v>
      </c>
      <c r="L1073" s="17" t="str">
        <f>IFERROR(INDEX(競技会設定!$J$3:$N$47,MATCH(K1073,競技会設定!$N$3:$N$47,0),2),"")</f>
        <v>490045</v>
      </c>
      <c r="M1073" s="15" t="s">
        <v>3859</v>
      </c>
      <c r="N1073" s="17" t="str">
        <f t="shared" si="49"/>
        <v>YAMAMOTO, Yuta</v>
      </c>
      <c r="O1073" s="17" t="str">
        <f t="shared" si="50"/>
        <v>01</v>
      </c>
    </row>
    <row r="1074" spans="1:15">
      <c r="A1074" s="17" t="str">
        <f t="shared" si="48"/>
        <v>501001098</v>
      </c>
      <c r="B1074" s="15">
        <v>1098</v>
      </c>
      <c r="C1074" s="15" t="s">
        <v>7637</v>
      </c>
      <c r="D1074" s="15" t="s">
        <v>7638</v>
      </c>
      <c r="E1074" s="313" t="s">
        <v>7737</v>
      </c>
      <c r="F1074" s="313" t="s">
        <v>7738</v>
      </c>
      <c r="G1074" s="16" t="s">
        <v>7752</v>
      </c>
      <c r="H1074" s="15" t="s">
        <v>4029</v>
      </c>
      <c r="I1074" s="15" t="s">
        <v>4039</v>
      </c>
      <c r="J1074" s="15" t="s">
        <v>4072</v>
      </c>
      <c r="K1074" s="17" t="str">
        <f>IFERROR(INDEX(競技会設定!$J$3:$O$47,MATCH(J1074,競技会設定!$M$3:$M$47,0),5),"")</f>
        <v>名古屋工業大</v>
      </c>
      <c r="L1074" s="17" t="str">
        <f>IFERROR(INDEX(競技会設定!$J$3:$N$47,MATCH(K1074,競技会設定!$N$3:$N$47,0),2),"")</f>
        <v>490045</v>
      </c>
      <c r="M1074" s="15" t="s">
        <v>3859</v>
      </c>
      <c r="N1074" s="17" t="str">
        <f t="shared" si="49"/>
        <v>SUGITA, Riki</v>
      </c>
      <c r="O1074" s="17" t="str">
        <f t="shared" si="50"/>
        <v>00</v>
      </c>
    </row>
    <row r="1075" spans="1:15">
      <c r="A1075" s="17" t="str">
        <f t="shared" si="48"/>
        <v>501001099</v>
      </c>
      <c r="B1075" s="15">
        <v>1099</v>
      </c>
      <c r="C1075" s="15" t="s">
        <v>7639</v>
      </c>
      <c r="D1075" s="15" t="s">
        <v>7640</v>
      </c>
      <c r="E1075" s="313" t="s">
        <v>7739</v>
      </c>
      <c r="F1075" s="313" t="s">
        <v>3020</v>
      </c>
      <c r="G1075" s="16" t="s">
        <v>3431</v>
      </c>
      <c r="H1075" s="15" t="s">
        <v>4029</v>
      </c>
      <c r="I1075" s="15" t="s">
        <v>4039</v>
      </c>
      <c r="J1075" s="15" t="s">
        <v>4072</v>
      </c>
      <c r="K1075" s="17" t="str">
        <f>IFERROR(INDEX(競技会設定!$J$3:$O$47,MATCH(J1075,競技会設定!$M$3:$M$47,0),5),"")</f>
        <v>名古屋工業大</v>
      </c>
      <c r="L1075" s="17" t="str">
        <f>IFERROR(INDEX(競技会設定!$J$3:$N$47,MATCH(K1075,競技会設定!$N$3:$N$47,0),2),"")</f>
        <v>490045</v>
      </c>
      <c r="M1075" s="15" t="s">
        <v>3859</v>
      </c>
      <c r="N1075" s="17" t="str">
        <f t="shared" si="49"/>
        <v>TSUCHIDA, Taisei</v>
      </c>
      <c r="O1075" s="17" t="str">
        <f t="shared" si="50"/>
        <v>02</v>
      </c>
    </row>
    <row r="1076" spans="1:15">
      <c r="A1076" s="17" t="str">
        <f t="shared" si="48"/>
        <v>501001100</v>
      </c>
      <c r="B1076" s="15">
        <v>1100</v>
      </c>
      <c r="C1076" s="15" t="s">
        <v>7641</v>
      </c>
      <c r="D1076" s="15" t="s">
        <v>7642</v>
      </c>
      <c r="E1076" s="313" t="s">
        <v>6188</v>
      </c>
      <c r="F1076" s="313" t="s">
        <v>3020</v>
      </c>
      <c r="G1076" s="16" t="s">
        <v>6502</v>
      </c>
      <c r="H1076" s="15">
        <v>1</v>
      </c>
      <c r="I1076" s="15" t="s">
        <v>4039</v>
      </c>
      <c r="J1076" s="15" t="s">
        <v>4061</v>
      </c>
      <c r="K1076" s="17" t="str">
        <f>IFERROR(INDEX(競技会設定!$J$3:$O$47,MATCH(J1076,競技会設定!$M$3:$M$47,0),5),"")</f>
        <v>日本福祉大</v>
      </c>
      <c r="L1076" s="17">
        <f>IFERROR(INDEX(競技会設定!$J$3:$N$47,MATCH(K1076,競技会設定!$N$3:$N$47,0),2),"")</f>
        <v>492183</v>
      </c>
      <c r="M1076" s="15" t="s">
        <v>3859</v>
      </c>
      <c r="N1076" s="17" t="str">
        <f t="shared" si="49"/>
        <v>MORITA, Taisei</v>
      </c>
      <c r="O1076" s="17" t="str">
        <f t="shared" si="50"/>
        <v>01</v>
      </c>
    </row>
    <row r="1077" spans="1:15">
      <c r="A1077" s="17" t="str">
        <f t="shared" si="48"/>
        <v>501001101</v>
      </c>
      <c r="B1077" s="15">
        <v>1101</v>
      </c>
      <c r="C1077" s="15" t="s">
        <v>7643</v>
      </c>
      <c r="D1077" s="15" t="s">
        <v>7644</v>
      </c>
      <c r="E1077" s="313" t="s">
        <v>6160</v>
      </c>
      <c r="F1077" s="313" t="s">
        <v>7740</v>
      </c>
      <c r="G1077" s="16" t="s">
        <v>3702</v>
      </c>
      <c r="H1077" s="15">
        <v>1</v>
      </c>
      <c r="I1077" s="15" t="s">
        <v>4039</v>
      </c>
      <c r="J1077" s="15" t="s">
        <v>4061</v>
      </c>
      <c r="K1077" s="17" t="str">
        <f>IFERROR(INDEX(競技会設定!$J$3:$O$47,MATCH(J1077,競技会設定!$M$3:$M$47,0),5),"")</f>
        <v>日本福祉大</v>
      </c>
      <c r="L1077" s="17">
        <f>IFERROR(INDEX(競技会設定!$J$3:$N$47,MATCH(K1077,競技会設定!$N$3:$N$47,0),2),"")</f>
        <v>492183</v>
      </c>
      <c r="M1077" s="15" t="s">
        <v>3859</v>
      </c>
      <c r="N1077" s="17" t="str">
        <f t="shared" si="49"/>
        <v>NAKANISHI, Kotaro</v>
      </c>
      <c r="O1077" s="17" t="str">
        <f t="shared" si="50"/>
        <v>01</v>
      </c>
    </row>
    <row r="1078" spans="1:15">
      <c r="A1078" s="17" t="str">
        <f t="shared" si="48"/>
        <v>501001102</v>
      </c>
      <c r="B1078" s="15">
        <v>1102</v>
      </c>
      <c r="C1078" s="15" t="s">
        <v>7645</v>
      </c>
      <c r="D1078" s="15" t="s">
        <v>7646</v>
      </c>
      <c r="E1078" s="313" t="s">
        <v>7741</v>
      </c>
      <c r="F1078" s="313" t="s">
        <v>7742</v>
      </c>
      <c r="G1078" s="16" t="s">
        <v>7753</v>
      </c>
      <c r="H1078" s="15">
        <v>1</v>
      </c>
      <c r="I1078" s="15" t="s">
        <v>4039</v>
      </c>
      <c r="J1078" s="15" t="s">
        <v>4061</v>
      </c>
      <c r="K1078" s="17" t="str">
        <f>IFERROR(INDEX(競技会設定!$J$3:$O$47,MATCH(J1078,競技会設定!$M$3:$M$47,0),5),"")</f>
        <v>日本福祉大</v>
      </c>
      <c r="L1078" s="17">
        <f>IFERROR(INDEX(競技会設定!$J$3:$N$47,MATCH(K1078,競技会設定!$N$3:$N$47,0),2),"")</f>
        <v>492183</v>
      </c>
      <c r="M1078" s="15" t="s">
        <v>3859</v>
      </c>
      <c r="N1078" s="17" t="str">
        <f t="shared" si="49"/>
        <v xml:space="preserve">HARUTA, Kosaku </v>
      </c>
      <c r="O1078" s="17" t="str">
        <f t="shared" si="50"/>
        <v>01</v>
      </c>
    </row>
    <row r="1079" spans="1:15">
      <c r="A1079" s="17" t="str">
        <f t="shared" si="48"/>
        <v>501001103</v>
      </c>
      <c r="B1079" s="15">
        <v>1103</v>
      </c>
      <c r="C1079" s="15" t="s">
        <v>7647</v>
      </c>
      <c r="D1079" s="15" t="s">
        <v>237</v>
      </c>
      <c r="E1079" s="313" t="s">
        <v>3021</v>
      </c>
      <c r="F1079" s="313" t="s">
        <v>7743</v>
      </c>
      <c r="G1079" s="16" t="s">
        <v>3646</v>
      </c>
      <c r="H1079" s="15">
        <v>1</v>
      </c>
      <c r="I1079" s="15" t="s">
        <v>4039</v>
      </c>
      <c r="J1079" s="15" t="s">
        <v>4061</v>
      </c>
      <c r="K1079" s="17" t="str">
        <f>IFERROR(INDEX(競技会設定!$J$3:$O$47,MATCH(J1079,競技会設定!$M$3:$M$47,0),5),"")</f>
        <v>日本福祉大</v>
      </c>
      <c r="L1079" s="17">
        <f>IFERROR(INDEX(競技会設定!$J$3:$N$47,MATCH(K1079,競技会設定!$N$3:$N$47,0),2),"")</f>
        <v>492183</v>
      </c>
      <c r="M1079" s="15" t="s">
        <v>3859</v>
      </c>
      <c r="N1079" s="17" t="str">
        <f t="shared" si="49"/>
        <v>ITO, Sota</v>
      </c>
      <c r="O1079" s="17" t="str">
        <f t="shared" si="50"/>
        <v>01</v>
      </c>
    </row>
    <row r="1080" spans="1:15">
      <c r="A1080" s="17" t="str">
        <f t="shared" si="48"/>
        <v>501001104</v>
      </c>
      <c r="B1080" s="15">
        <v>1104</v>
      </c>
      <c r="C1080" s="15" t="s">
        <v>7648</v>
      </c>
      <c r="D1080" s="15" t="s">
        <v>7649</v>
      </c>
      <c r="E1080" s="313" t="s">
        <v>7744</v>
      </c>
      <c r="F1080" s="313" t="s">
        <v>6171</v>
      </c>
      <c r="G1080" s="16" t="s">
        <v>6519</v>
      </c>
      <c r="H1080" s="15">
        <v>1</v>
      </c>
      <c r="I1080" s="15" t="s">
        <v>4039</v>
      </c>
      <c r="J1080" s="15" t="s">
        <v>4061</v>
      </c>
      <c r="K1080" s="17" t="str">
        <f>IFERROR(INDEX(競技会設定!$J$3:$O$47,MATCH(J1080,競技会設定!$M$3:$M$47,0),5),"")</f>
        <v>日本福祉大</v>
      </c>
      <c r="L1080" s="17">
        <f>IFERROR(INDEX(競技会設定!$J$3:$N$47,MATCH(K1080,競技会設定!$N$3:$N$47,0),2),"")</f>
        <v>492183</v>
      </c>
      <c r="M1080" s="15" t="s">
        <v>3859</v>
      </c>
      <c r="N1080" s="17" t="str">
        <f t="shared" si="49"/>
        <v>HIRAMATSU, Ayumu</v>
      </c>
      <c r="O1080" s="17" t="str">
        <f t="shared" si="50"/>
        <v>01</v>
      </c>
    </row>
    <row r="1081" spans="1:15">
      <c r="A1081" s="17" t="str">
        <f t="shared" si="48"/>
        <v>501001105</v>
      </c>
      <c r="B1081" s="15">
        <v>1105</v>
      </c>
      <c r="C1081" s="15" t="s">
        <v>7650</v>
      </c>
      <c r="D1081" s="15" t="s">
        <v>7651</v>
      </c>
      <c r="E1081" s="313" t="s">
        <v>7745</v>
      </c>
      <c r="F1081" s="313" t="s">
        <v>7746</v>
      </c>
      <c r="G1081" s="16" t="s">
        <v>3629</v>
      </c>
      <c r="H1081" s="15">
        <v>1</v>
      </c>
      <c r="I1081" s="15" t="s">
        <v>6659</v>
      </c>
      <c r="J1081" s="15" t="s">
        <v>4061</v>
      </c>
      <c r="K1081" s="17" t="str">
        <f>IFERROR(INDEX(競技会設定!$J$3:$O$47,MATCH(J1081,競技会設定!$M$3:$M$47,0),5),"")</f>
        <v>日本福祉大</v>
      </c>
      <c r="L1081" s="17">
        <f>IFERROR(INDEX(競技会設定!$J$3:$N$47,MATCH(K1081,競技会設定!$N$3:$N$47,0),2),"")</f>
        <v>492183</v>
      </c>
      <c r="M1081" s="15" t="s">
        <v>3859</v>
      </c>
      <c r="N1081" s="17" t="str">
        <f t="shared" si="49"/>
        <v>MAWA FELIPPE, Setsuo</v>
      </c>
      <c r="O1081" s="17" t="str">
        <f t="shared" si="50"/>
        <v>01</v>
      </c>
    </row>
    <row r="1082" spans="1:15">
      <c r="A1082" s="17" t="str">
        <f t="shared" si="48"/>
        <v>501001141</v>
      </c>
      <c r="B1082" s="15">
        <v>1141</v>
      </c>
      <c r="C1082" s="15" t="s">
        <v>4320</v>
      </c>
      <c r="D1082" s="15" t="s">
        <v>4321</v>
      </c>
      <c r="E1082" s="313" t="s">
        <v>4509</v>
      </c>
      <c r="F1082" s="313" t="s">
        <v>4510</v>
      </c>
      <c r="G1082" s="16" t="s">
        <v>3351</v>
      </c>
      <c r="H1082" s="15" t="s">
        <v>4029</v>
      </c>
      <c r="I1082" s="15" t="s">
        <v>4039</v>
      </c>
      <c r="J1082" s="15" t="s">
        <v>4077</v>
      </c>
      <c r="K1082" s="17" t="str">
        <f>IFERROR(INDEX(競技会設定!$J$3:$O$47,MATCH(J1082,競技会設定!$M$3:$M$47,0),5),"")</f>
        <v>静岡大</v>
      </c>
      <c r="L1082" s="17" t="str">
        <f>IFERROR(INDEX(競技会設定!$J$3:$N$47,MATCH(K1082,競技会設定!$N$3:$N$47,0),2),"")</f>
        <v>490042</v>
      </c>
      <c r="M1082" s="15" t="s">
        <v>3857</v>
      </c>
      <c r="N1082" s="17" t="str">
        <f t="shared" si="49"/>
        <v>NAITO, Naoto</v>
      </c>
      <c r="O1082" s="17" t="str">
        <f t="shared" si="50"/>
        <v>01</v>
      </c>
    </row>
    <row r="1083" spans="1:15">
      <c r="A1083" s="17" t="str">
        <f t="shared" si="48"/>
        <v>501001142</v>
      </c>
      <c r="B1083" s="15">
        <v>1142</v>
      </c>
      <c r="C1083" s="15" t="s">
        <v>4322</v>
      </c>
      <c r="D1083" s="15" t="s">
        <v>4323</v>
      </c>
      <c r="E1083" s="313" t="s">
        <v>4511</v>
      </c>
      <c r="F1083" s="313" t="s">
        <v>3008</v>
      </c>
      <c r="G1083" s="16" t="s">
        <v>3172</v>
      </c>
      <c r="H1083" s="15" t="s">
        <v>4029</v>
      </c>
      <c r="I1083" s="15" t="s">
        <v>4039</v>
      </c>
      <c r="J1083" s="15" t="s">
        <v>4077</v>
      </c>
      <c r="K1083" s="17" t="str">
        <f>IFERROR(INDEX(競技会設定!$J$3:$O$47,MATCH(J1083,競技会設定!$M$3:$M$47,0),5),"")</f>
        <v>静岡大</v>
      </c>
      <c r="L1083" s="17" t="str">
        <f>IFERROR(INDEX(競技会設定!$J$3:$N$47,MATCH(K1083,競技会設定!$N$3:$N$47,0),2),"")</f>
        <v>490042</v>
      </c>
      <c r="M1083" s="15" t="s">
        <v>3857</v>
      </c>
      <c r="N1083" s="17" t="str">
        <f t="shared" si="49"/>
        <v>INOTSUME, Hiroki</v>
      </c>
      <c r="O1083" s="17" t="str">
        <f t="shared" si="50"/>
        <v>01</v>
      </c>
    </row>
    <row r="1084" spans="1:15">
      <c r="A1084" s="17" t="str">
        <f t="shared" si="48"/>
        <v>501001143</v>
      </c>
      <c r="B1084" s="15">
        <v>1143</v>
      </c>
      <c r="C1084" s="15" t="s">
        <v>4324</v>
      </c>
      <c r="D1084" s="15" t="s">
        <v>4325</v>
      </c>
      <c r="E1084" s="313" t="s">
        <v>4512</v>
      </c>
      <c r="F1084" s="313" t="s">
        <v>4513</v>
      </c>
      <c r="G1084" s="16" t="s">
        <v>4650</v>
      </c>
      <c r="H1084" s="15" t="s">
        <v>4029</v>
      </c>
      <c r="I1084" s="15" t="s">
        <v>4039</v>
      </c>
      <c r="J1084" s="15" t="s">
        <v>4077</v>
      </c>
      <c r="K1084" s="17" t="str">
        <f>IFERROR(INDEX(競技会設定!$J$3:$O$47,MATCH(J1084,競技会設定!$M$3:$M$47,0),5),"")</f>
        <v>静岡大</v>
      </c>
      <c r="L1084" s="17" t="str">
        <f>IFERROR(INDEX(競技会設定!$J$3:$N$47,MATCH(K1084,競技会設定!$N$3:$N$47,0),2),"")</f>
        <v>490042</v>
      </c>
      <c r="M1084" s="15" t="s">
        <v>3857</v>
      </c>
      <c r="N1084" s="17" t="str">
        <f t="shared" si="49"/>
        <v>YAMATO, Toshinari</v>
      </c>
      <c r="O1084" s="17" t="str">
        <f t="shared" si="50"/>
        <v>01</v>
      </c>
    </row>
    <row r="1085" spans="1:15">
      <c r="A1085" s="17" t="str">
        <f t="shared" si="48"/>
        <v>501001144</v>
      </c>
      <c r="B1085" s="15">
        <v>1144</v>
      </c>
      <c r="C1085" s="15" t="s">
        <v>4326</v>
      </c>
      <c r="D1085" s="15" t="s">
        <v>4327</v>
      </c>
      <c r="E1085" s="313" t="s">
        <v>4514</v>
      </c>
      <c r="F1085" s="313" t="s">
        <v>4515</v>
      </c>
      <c r="G1085" s="16" t="s">
        <v>4651</v>
      </c>
      <c r="H1085" s="15" t="s">
        <v>4029</v>
      </c>
      <c r="I1085" s="15" t="s">
        <v>4039</v>
      </c>
      <c r="J1085" s="15" t="s">
        <v>4057</v>
      </c>
      <c r="K1085" s="17" t="str">
        <f>IFERROR(INDEX(競技会設定!$J$3:$O$47,MATCH(J1085,競技会設定!$M$3:$M$47,0),5),"")</f>
        <v>静岡県立大</v>
      </c>
      <c r="L1085" s="17" t="str">
        <f>IFERROR(INDEX(競技会設定!$J$3:$N$47,MATCH(K1085,競技会設定!$N$3:$N$47,0),2),"")</f>
        <v>491037</v>
      </c>
      <c r="M1085" s="15" t="s">
        <v>3857</v>
      </c>
      <c r="N1085" s="17" t="str">
        <f t="shared" si="49"/>
        <v>SUZUKI , Yusei</v>
      </c>
      <c r="O1085" s="17" t="str">
        <f t="shared" si="50"/>
        <v>01</v>
      </c>
    </row>
    <row r="1086" spans="1:15">
      <c r="A1086" s="17" t="str">
        <f t="shared" si="48"/>
        <v>501001145</v>
      </c>
      <c r="B1086" s="15">
        <v>1145</v>
      </c>
      <c r="C1086" s="15" t="s">
        <v>4328</v>
      </c>
      <c r="D1086" s="15" t="s">
        <v>4329</v>
      </c>
      <c r="E1086" s="313" t="s">
        <v>4516</v>
      </c>
      <c r="F1086" s="313" t="s">
        <v>4517</v>
      </c>
      <c r="G1086" s="16" t="s">
        <v>4652</v>
      </c>
      <c r="H1086" s="15" t="s">
        <v>4029</v>
      </c>
      <c r="I1086" s="15" t="s">
        <v>4039</v>
      </c>
      <c r="J1086" s="15" t="s">
        <v>4040</v>
      </c>
      <c r="K1086" s="17" t="str">
        <f>IFERROR(INDEX(競技会設定!$J$3:$O$47,MATCH(J1086,競技会設定!$M$3:$M$47,0),5),"")</f>
        <v>中京大</v>
      </c>
      <c r="L1086" s="17" t="str">
        <f>IFERROR(INDEX(競技会設定!$J$3:$N$47,MATCH(K1086,競技会設定!$N$3:$N$47,0),2),"")</f>
        <v>492173</v>
      </c>
      <c r="M1086" s="15" t="s">
        <v>3859</v>
      </c>
      <c r="N1086" s="17" t="str">
        <f t="shared" si="49"/>
        <v>UMETANI, Daiki</v>
      </c>
      <c r="O1086" s="17" t="str">
        <f t="shared" si="50"/>
        <v>01</v>
      </c>
    </row>
    <row r="1087" spans="1:15">
      <c r="A1087" s="17" t="str">
        <f t="shared" si="48"/>
        <v>501001146</v>
      </c>
      <c r="B1087" s="15">
        <v>1146</v>
      </c>
      <c r="C1087" s="15" t="s">
        <v>4330</v>
      </c>
      <c r="D1087" s="15" t="s">
        <v>4331</v>
      </c>
      <c r="E1087" s="313" t="s">
        <v>4518</v>
      </c>
      <c r="F1087" s="313" t="s">
        <v>3025</v>
      </c>
      <c r="G1087" s="16" t="s">
        <v>4567</v>
      </c>
      <c r="H1087" s="15" t="s">
        <v>4029</v>
      </c>
      <c r="I1087" s="15" t="s">
        <v>4039</v>
      </c>
      <c r="J1087" s="15" t="s">
        <v>4040</v>
      </c>
      <c r="K1087" s="17" t="str">
        <f>IFERROR(INDEX(競技会設定!$J$3:$O$47,MATCH(J1087,競技会設定!$M$3:$M$47,0),5),"")</f>
        <v>中京大</v>
      </c>
      <c r="L1087" s="17" t="str">
        <f>IFERROR(INDEX(競技会設定!$J$3:$N$47,MATCH(K1087,競技会設定!$N$3:$N$47,0),2),"")</f>
        <v>492173</v>
      </c>
      <c r="M1087" s="15" t="s">
        <v>3893</v>
      </c>
      <c r="N1087" s="17" t="str">
        <f t="shared" si="49"/>
        <v>EMURA, Kazuki</v>
      </c>
      <c r="O1087" s="17" t="str">
        <f t="shared" si="50"/>
        <v>01</v>
      </c>
    </row>
    <row r="1088" spans="1:15">
      <c r="A1088" s="17" t="str">
        <f t="shared" si="48"/>
        <v>501001147</v>
      </c>
      <c r="B1088" s="15">
        <v>1147</v>
      </c>
      <c r="C1088" s="15" t="s">
        <v>4332</v>
      </c>
      <c r="D1088" s="15" t="s">
        <v>4333</v>
      </c>
      <c r="E1088" s="313" t="s">
        <v>3039</v>
      </c>
      <c r="F1088" s="313" t="s">
        <v>4519</v>
      </c>
      <c r="G1088" s="16" t="s">
        <v>4653</v>
      </c>
      <c r="H1088" s="15" t="s">
        <v>4029</v>
      </c>
      <c r="I1088" s="15" t="s">
        <v>4039</v>
      </c>
      <c r="J1088" s="15" t="s">
        <v>4040</v>
      </c>
      <c r="K1088" s="17" t="str">
        <f>IFERROR(INDEX(競技会設定!$J$3:$O$47,MATCH(J1088,競技会設定!$M$3:$M$47,0),5),"")</f>
        <v>中京大</v>
      </c>
      <c r="L1088" s="17" t="str">
        <f>IFERROR(INDEX(競技会設定!$J$3:$N$47,MATCH(K1088,競技会設定!$N$3:$N$47,0),2),"")</f>
        <v>492173</v>
      </c>
      <c r="M1088" s="15" t="s">
        <v>3859</v>
      </c>
      <c r="N1088" s="17" t="str">
        <f t="shared" si="49"/>
        <v>OKUBO, Toshiya</v>
      </c>
      <c r="O1088" s="17" t="str">
        <f t="shared" si="50"/>
        <v>01</v>
      </c>
    </row>
    <row r="1089" spans="1:15">
      <c r="A1089" s="17" t="str">
        <f t="shared" si="48"/>
        <v>501001148</v>
      </c>
      <c r="B1089" s="15">
        <v>1148</v>
      </c>
      <c r="C1089" s="15" t="s">
        <v>4262</v>
      </c>
      <c r="D1089" s="15" t="s">
        <v>4263</v>
      </c>
      <c r="E1089" s="313" t="s">
        <v>4520</v>
      </c>
      <c r="F1089" s="313" t="s">
        <v>3023</v>
      </c>
      <c r="G1089" s="16" t="s">
        <v>4626</v>
      </c>
      <c r="H1089" s="15" t="s">
        <v>4029</v>
      </c>
      <c r="I1089" s="15" t="s">
        <v>4039</v>
      </c>
      <c r="J1089" s="15" t="s">
        <v>4040</v>
      </c>
      <c r="K1089" s="17" t="str">
        <f>IFERROR(INDEX(競技会設定!$J$3:$O$47,MATCH(J1089,競技会設定!$M$3:$M$47,0),5),"")</f>
        <v>中京大</v>
      </c>
      <c r="L1089" s="17" t="str">
        <f>IFERROR(INDEX(競技会設定!$J$3:$N$47,MATCH(K1089,競技会設定!$N$3:$N$47,0),2),"")</f>
        <v>492173</v>
      </c>
      <c r="M1089" s="15" t="s">
        <v>3859</v>
      </c>
      <c r="N1089" s="17" t="str">
        <f t="shared" si="49"/>
        <v>OHARA , Kai</v>
      </c>
      <c r="O1089" s="17" t="str">
        <f t="shared" si="50"/>
        <v>01</v>
      </c>
    </row>
    <row r="1090" spans="1:15">
      <c r="A1090" s="17" t="str">
        <f t="shared" si="48"/>
        <v>501001149</v>
      </c>
      <c r="B1090" s="15">
        <v>1149</v>
      </c>
      <c r="C1090" s="15" t="s">
        <v>4334</v>
      </c>
      <c r="D1090" s="15" t="s">
        <v>4335</v>
      </c>
      <c r="E1090" s="313" t="s">
        <v>4521</v>
      </c>
      <c r="F1090" s="313" t="s">
        <v>4522</v>
      </c>
      <c r="G1090" s="16" t="s">
        <v>4654</v>
      </c>
      <c r="H1090" s="15" t="s">
        <v>4029</v>
      </c>
      <c r="I1090" s="15" t="s">
        <v>4039</v>
      </c>
      <c r="J1090" s="15" t="s">
        <v>4040</v>
      </c>
      <c r="K1090" s="17" t="str">
        <f>IFERROR(INDEX(競技会設定!$J$3:$O$47,MATCH(J1090,競技会設定!$M$3:$M$47,0),5),"")</f>
        <v>中京大</v>
      </c>
      <c r="L1090" s="17" t="str">
        <f>IFERROR(INDEX(競技会設定!$J$3:$N$47,MATCH(K1090,競技会設定!$N$3:$N$47,0),2),"")</f>
        <v>492173</v>
      </c>
      <c r="M1090" s="15" t="s">
        <v>3859</v>
      </c>
      <c r="N1090" s="17" t="str">
        <f t="shared" si="49"/>
        <v>SAKAUE , Taiyo</v>
      </c>
      <c r="O1090" s="17" t="str">
        <f t="shared" si="50"/>
        <v>01</v>
      </c>
    </row>
    <row r="1091" spans="1:15">
      <c r="A1091" s="17" t="str">
        <f t="shared" ref="A1091:A1121" si="51">IF(B1091="","","501"&amp;TEXT(B1091,"000000"))</f>
        <v>501001150</v>
      </c>
      <c r="B1091" s="15">
        <v>1150</v>
      </c>
      <c r="C1091" s="15" t="s">
        <v>4336</v>
      </c>
      <c r="D1091" s="15" t="s">
        <v>4337</v>
      </c>
      <c r="E1091" s="313" t="s">
        <v>4523</v>
      </c>
      <c r="F1091" s="313" t="s">
        <v>3009</v>
      </c>
      <c r="G1091" s="16" t="s">
        <v>4626</v>
      </c>
      <c r="H1091" s="15" t="s">
        <v>4029</v>
      </c>
      <c r="I1091" s="15" t="s">
        <v>4039</v>
      </c>
      <c r="J1091" s="15" t="s">
        <v>4040</v>
      </c>
      <c r="K1091" s="17" t="str">
        <f>IFERROR(INDEX(競技会設定!$J$3:$O$47,MATCH(J1091,競技会設定!$M$3:$M$47,0),5),"")</f>
        <v>中京大</v>
      </c>
      <c r="L1091" s="17" t="str">
        <f>IFERROR(INDEX(競技会設定!$J$3:$N$47,MATCH(K1091,競技会設定!$N$3:$N$47,0),2),"")</f>
        <v>492173</v>
      </c>
      <c r="M1091" s="15" t="s">
        <v>3818</v>
      </c>
      <c r="N1091" s="17" t="str">
        <f t="shared" ref="N1091:N1121" si="52">IF(E1091="","",E1091&amp;", "&amp;F1091)</f>
        <v>HURUSATO, Yuki</v>
      </c>
      <c r="O1091" s="17" t="str">
        <f t="shared" ref="O1091:O1121" si="53">IFERROR(TEXT(INT(LEFT(G1091,2)),"00"),"")</f>
        <v>01</v>
      </c>
    </row>
    <row r="1092" spans="1:15">
      <c r="A1092" s="17" t="str">
        <f t="shared" si="51"/>
        <v>501001151</v>
      </c>
      <c r="B1092" s="15">
        <v>1151</v>
      </c>
      <c r="C1092" s="15" t="s">
        <v>4338</v>
      </c>
      <c r="D1092" s="15" t="s">
        <v>4339</v>
      </c>
      <c r="E1092" s="313" t="s">
        <v>4524</v>
      </c>
      <c r="F1092" s="313" t="s">
        <v>4525</v>
      </c>
      <c r="G1092" s="16" t="s">
        <v>3469</v>
      </c>
      <c r="H1092" s="15" t="s">
        <v>4029</v>
      </c>
      <c r="I1092" s="15" t="s">
        <v>4039</v>
      </c>
      <c r="J1092" s="15" t="s">
        <v>4040</v>
      </c>
      <c r="K1092" s="17" t="str">
        <f>IFERROR(INDEX(競技会設定!$J$3:$O$47,MATCH(J1092,競技会設定!$M$3:$M$47,0),5),"")</f>
        <v>中京大</v>
      </c>
      <c r="L1092" s="17" t="str">
        <f>IFERROR(INDEX(競技会設定!$J$3:$N$47,MATCH(K1092,競技会設定!$N$3:$N$47,0),2),"")</f>
        <v>492173</v>
      </c>
      <c r="M1092" s="15" t="s">
        <v>3843</v>
      </c>
      <c r="N1092" s="17" t="str">
        <f t="shared" si="52"/>
        <v>MORI , Shiro</v>
      </c>
      <c r="O1092" s="17" t="str">
        <f t="shared" si="53"/>
        <v>01</v>
      </c>
    </row>
    <row r="1093" spans="1:15">
      <c r="A1093" s="17" t="str">
        <f t="shared" si="51"/>
        <v>501001152</v>
      </c>
      <c r="B1093" s="15">
        <v>1152</v>
      </c>
      <c r="C1093" s="15" t="s">
        <v>4340</v>
      </c>
      <c r="D1093" s="15" t="s">
        <v>4341</v>
      </c>
      <c r="E1093" s="313" t="s">
        <v>4526</v>
      </c>
      <c r="F1093" s="313" t="s">
        <v>4522</v>
      </c>
      <c r="G1093" s="16" t="s">
        <v>3506</v>
      </c>
      <c r="H1093" s="15" t="s">
        <v>4029</v>
      </c>
      <c r="I1093" s="15" t="s">
        <v>4039</v>
      </c>
      <c r="J1093" s="15" t="s">
        <v>4040</v>
      </c>
      <c r="K1093" s="17" t="str">
        <f>IFERROR(INDEX(競技会設定!$J$3:$O$47,MATCH(J1093,競技会設定!$M$3:$M$47,0),5),"")</f>
        <v>中京大</v>
      </c>
      <c r="L1093" s="17" t="str">
        <f>IFERROR(INDEX(競技会設定!$J$3:$N$47,MATCH(K1093,競技会設定!$N$3:$N$47,0),2),"")</f>
        <v>492173</v>
      </c>
      <c r="M1093" s="15" t="s">
        <v>3859</v>
      </c>
      <c r="N1093" s="17" t="str">
        <f t="shared" si="52"/>
        <v>YUNOSAWA, Taiyo</v>
      </c>
      <c r="O1093" s="17" t="str">
        <f t="shared" si="53"/>
        <v>01</v>
      </c>
    </row>
    <row r="1094" spans="1:15">
      <c r="A1094" s="17" t="str">
        <f t="shared" si="51"/>
        <v>501001153</v>
      </c>
      <c r="B1094" s="15">
        <v>1153</v>
      </c>
      <c r="C1094" s="15" t="s">
        <v>4342</v>
      </c>
      <c r="D1094" s="15" t="s">
        <v>4343</v>
      </c>
      <c r="E1094" s="313" t="s">
        <v>4527</v>
      </c>
      <c r="F1094" s="313" t="s">
        <v>4528</v>
      </c>
      <c r="G1094" s="16" t="s">
        <v>4655</v>
      </c>
      <c r="H1094" s="15" t="s">
        <v>4029</v>
      </c>
      <c r="I1094" s="15" t="s">
        <v>4039</v>
      </c>
      <c r="J1094" s="15" t="s">
        <v>4040</v>
      </c>
      <c r="K1094" s="17" t="str">
        <f>IFERROR(INDEX(競技会設定!$J$3:$O$47,MATCH(J1094,競技会設定!$M$3:$M$47,0),5),"")</f>
        <v>中京大</v>
      </c>
      <c r="L1094" s="17" t="str">
        <f>IFERROR(INDEX(競技会設定!$J$3:$N$47,MATCH(K1094,競技会設定!$N$3:$N$47,0),2),"")</f>
        <v>492173</v>
      </c>
      <c r="M1094" s="15" t="s">
        <v>3859</v>
      </c>
      <c r="N1094" s="17" t="str">
        <f t="shared" si="52"/>
        <v>KATUYA, Mikuto</v>
      </c>
      <c r="O1094" s="17" t="str">
        <f t="shared" si="53"/>
        <v>00</v>
      </c>
    </row>
    <row r="1095" spans="1:15">
      <c r="A1095" s="17" t="str">
        <f t="shared" si="51"/>
        <v>501001154</v>
      </c>
      <c r="B1095" s="15">
        <v>1154</v>
      </c>
      <c r="C1095" s="15" t="s">
        <v>4344</v>
      </c>
      <c r="D1095" s="15" t="s">
        <v>4345</v>
      </c>
      <c r="E1095" s="313" t="s">
        <v>4529</v>
      </c>
      <c r="F1095" s="313" t="s">
        <v>4530</v>
      </c>
      <c r="G1095" s="16" t="s">
        <v>4656</v>
      </c>
      <c r="H1095" s="15" t="s">
        <v>4026</v>
      </c>
      <c r="I1095" s="15" t="s">
        <v>4039</v>
      </c>
      <c r="J1095" s="15" t="s">
        <v>4059</v>
      </c>
      <c r="K1095" s="17" t="str">
        <f>IFERROR(INDEX(競技会設定!$J$3:$O$47,MATCH(J1095,競技会設定!$M$3:$M$47,0),5),"")</f>
        <v>中部大</v>
      </c>
      <c r="L1095" s="17" t="str">
        <f>IFERROR(INDEX(競技会設定!$J$3:$N$47,MATCH(K1095,競技会設定!$N$3:$N$47,0),2),"")</f>
        <v>492175</v>
      </c>
      <c r="M1095" s="15" t="s">
        <v>3857</v>
      </c>
      <c r="N1095" s="17" t="str">
        <f t="shared" si="52"/>
        <v>ISHIKAWA, Tomoya</v>
      </c>
      <c r="O1095" s="17" t="str">
        <f t="shared" si="53"/>
        <v>00</v>
      </c>
    </row>
    <row r="1096" spans="1:15">
      <c r="A1096" s="17" t="str">
        <f t="shared" si="51"/>
        <v>501001155</v>
      </c>
      <c r="B1096" s="15">
        <v>1155</v>
      </c>
      <c r="C1096" s="15" t="s">
        <v>4346</v>
      </c>
      <c r="D1096" s="15" t="s">
        <v>4347</v>
      </c>
      <c r="E1096" s="313" t="s">
        <v>4531</v>
      </c>
      <c r="F1096" s="313" t="s">
        <v>4532</v>
      </c>
      <c r="G1096" s="16" t="s">
        <v>4657</v>
      </c>
      <c r="H1096" s="15" t="s">
        <v>4029</v>
      </c>
      <c r="I1096" s="15" t="s">
        <v>4039</v>
      </c>
      <c r="J1096" s="15" t="s">
        <v>4059</v>
      </c>
      <c r="K1096" s="17" t="str">
        <f>IFERROR(INDEX(競技会設定!$J$3:$O$47,MATCH(J1096,競技会設定!$M$3:$M$47,0),5),"")</f>
        <v>中部大</v>
      </c>
      <c r="L1096" s="17" t="str">
        <f>IFERROR(INDEX(競技会設定!$J$3:$N$47,MATCH(K1096,競技会設定!$N$3:$N$47,0),2),"")</f>
        <v>492175</v>
      </c>
      <c r="M1096" s="15" t="s">
        <v>3855</v>
      </c>
      <c r="N1096" s="17" t="str">
        <f t="shared" si="52"/>
        <v>KOIKE, Mahiro</v>
      </c>
      <c r="O1096" s="17" t="str">
        <f t="shared" si="53"/>
        <v>01</v>
      </c>
    </row>
    <row r="1097" spans="1:15">
      <c r="A1097" s="17" t="str">
        <f t="shared" si="51"/>
        <v>501001156</v>
      </c>
      <c r="B1097" s="15">
        <v>1156</v>
      </c>
      <c r="C1097" s="15" t="s">
        <v>4348</v>
      </c>
      <c r="D1097" s="15" t="s">
        <v>4349</v>
      </c>
      <c r="E1097" s="313" t="s">
        <v>4533</v>
      </c>
      <c r="F1097" s="313" t="s">
        <v>3008</v>
      </c>
      <c r="G1097" s="16" t="s">
        <v>3345</v>
      </c>
      <c r="H1097" s="15" t="s">
        <v>4029</v>
      </c>
      <c r="I1097" s="15" t="s">
        <v>4039</v>
      </c>
      <c r="J1097" s="15" t="s">
        <v>4059</v>
      </c>
      <c r="K1097" s="17" t="str">
        <f>IFERROR(INDEX(競技会設定!$J$3:$O$47,MATCH(J1097,競技会設定!$M$3:$M$47,0),5),"")</f>
        <v>中部大</v>
      </c>
      <c r="L1097" s="17" t="str">
        <f>IFERROR(INDEX(競技会設定!$J$3:$N$47,MATCH(K1097,競技会設定!$N$3:$N$47,0),2),"")</f>
        <v>492175</v>
      </c>
      <c r="M1097" s="15" t="s">
        <v>3859</v>
      </c>
      <c r="N1097" s="17" t="str">
        <f t="shared" si="52"/>
        <v>TSUJII, Hiroki</v>
      </c>
      <c r="O1097" s="17" t="str">
        <f t="shared" si="53"/>
        <v>02</v>
      </c>
    </row>
    <row r="1098" spans="1:15">
      <c r="A1098" s="17" t="str">
        <f t="shared" si="51"/>
        <v>501001157</v>
      </c>
      <c r="B1098" s="15">
        <v>1157</v>
      </c>
      <c r="C1098" s="15" t="s">
        <v>4350</v>
      </c>
      <c r="D1098" s="15" t="s">
        <v>4351</v>
      </c>
      <c r="E1098" s="313" t="s">
        <v>4497</v>
      </c>
      <c r="F1098" s="313" t="s">
        <v>4493</v>
      </c>
      <c r="G1098" s="16" t="s">
        <v>3509</v>
      </c>
      <c r="H1098" s="15" t="s">
        <v>4024</v>
      </c>
      <c r="I1098" s="15" t="s">
        <v>4039</v>
      </c>
      <c r="J1098" s="15" t="s">
        <v>4059</v>
      </c>
      <c r="K1098" s="17" t="str">
        <f>IFERROR(INDEX(競技会設定!$J$3:$O$47,MATCH(J1098,競技会設定!$M$3:$M$47,0),5),"")</f>
        <v>中部大</v>
      </c>
      <c r="L1098" s="17" t="str">
        <f>IFERROR(INDEX(競技会設定!$J$3:$N$47,MATCH(K1098,競技会設定!$N$3:$N$47,0),2),"")</f>
        <v>492175</v>
      </c>
      <c r="M1098" s="15" t="s">
        <v>3859</v>
      </c>
      <c r="N1098" s="17" t="str">
        <f t="shared" si="52"/>
        <v>SUGIURA, Ryuki</v>
      </c>
      <c r="O1098" s="17" t="str">
        <f t="shared" si="53"/>
        <v>98</v>
      </c>
    </row>
    <row r="1099" spans="1:15">
      <c r="A1099" s="17" t="str">
        <f t="shared" si="51"/>
        <v>501001158</v>
      </c>
      <c r="B1099" s="15">
        <v>1158</v>
      </c>
      <c r="C1099" s="15" t="s">
        <v>4352</v>
      </c>
      <c r="D1099" s="15" t="s">
        <v>4353</v>
      </c>
      <c r="E1099" s="313" t="s">
        <v>4534</v>
      </c>
      <c r="F1099" s="313" t="s">
        <v>3034</v>
      </c>
      <c r="G1099" s="16" t="s">
        <v>3728</v>
      </c>
      <c r="H1099" s="15" t="s">
        <v>4029</v>
      </c>
      <c r="I1099" s="15" t="s">
        <v>4039</v>
      </c>
      <c r="J1099" s="15" t="s">
        <v>4059</v>
      </c>
      <c r="K1099" s="17" t="str">
        <f>IFERROR(INDEX(競技会設定!$J$3:$O$47,MATCH(J1099,競技会設定!$M$3:$M$47,0),5),"")</f>
        <v>中部大</v>
      </c>
      <c r="L1099" s="17" t="str">
        <f>IFERROR(INDEX(競技会設定!$J$3:$N$47,MATCH(K1099,競技会設定!$N$3:$N$47,0),2),"")</f>
        <v>492175</v>
      </c>
      <c r="M1099" s="15" t="s">
        <v>3859</v>
      </c>
      <c r="N1099" s="17" t="str">
        <f t="shared" si="52"/>
        <v>TATSUMI, Ryo</v>
      </c>
      <c r="O1099" s="17" t="str">
        <f t="shared" si="53"/>
        <v>01</v>
      </c>
    </row>
    <row r="1100" spans="1:15">
      <c r="A1100" s="17" t="str">
        <f t="shared" si="51"/>
        <v>501001159</v>
      </c>
      <c r="B1100" s="15">
        <v>1159</v>
      </c>
      <c r="C1100" s="15" t="s">
        <v>4354</v>
      </c>
      <c r="D1100" s="15" t="s">
        <v>4355</v>
      </c>
      <c r="E1100" s="313" t="s">
        <v>3016</v>
      </c>
      <c r="F1100" s="313" t="s">
        <v>3034</v>
      </c>
      <c r="G1100" s="16" t="s">
        <v>4658</v>
      </c>
      <c r="H1100" s="15" t="s">
        <v>4029</v>
      </c>
      <c r="I1100" s="15" t="s">
        <v>4039</v>
      </c>
      <c r="J1100" s="15" t="s">
        <v>4059</v>
      </c>
      <c r="K1100" s="17" t="str">
        <f>IFERROR(INDEX(競技会設定!$J$3:$O$47,MATCH(J1100,競技会設定!$M$3:$M$47,0),5),"")</f>
        <v>中部大</v>
      </c>
      <c r="L1100" s="17" t="str">
        <f>IFERROR(INDEX(競技会設定!$J$3:$N$47,MATCH(K1100,競技会設定!$N$3:$N$47,0),2),"")</f>
        <v>492175</v>
      </c>
      <c r="M1100" s="15" t="s">
        <v>3859</v>
      </c>
      <c r="N1100" s="17" t="str">
        <f t="shared" si="52"/>
        <v>TANAKA, Ryo</v>
      </c>
      <c r="O1100" s="17" t="str">
        <f t="shared" si="53"/>
        <v>01</v>
      </c>
    </row>
    <row r="1101" spans="1:15">
      <c r="A1101" s="17" t="str">
        <f t="shared" si="51"/>
        <v>501001160</v>
      </c>
      <c r="B1101" s="15">
        <v>1160</v>
      </c>
      <c r="C1101" s="15" t="s">
        <v>4356</v>
      </c>
      <c r="D1101" s="15" t="s">
        <v>4357</v>
      </c>
      <c r="E1101" s="313" t="s">
        <v>4535</v>
      </c>
      <c r="F1101" s="313" t="s">
        <v>4536</v>
      </c>
      <c r="G1101" s="16" t="s">
        <v>4659</v>
      </c>
      <c r="H1101" s="15" t="s">
        <v>4029</v>
      </c>
      <c r="I1101" s="15" t="s">
        <v>4039</v>
      </c>
      <c r="J1101" s="15" t="s">
        <v>4059</v>
      </c>
      <c r="K1101" s="17" t="str">
        <f>IFERROR(INDEX(競技会設定!$J$3:$O$47,MATCH(J1101,競技会設定!$M$3:$M$47,0),5),"")</f>
        <v>中部大</v>
      </c>
      <c r="L1101" s="17" t="str">
        <f>IFERROR(INDEX(競技会設定!$J$3:$N$47,MATCH(K1101,競技会設定!$N$3:$N$47,0),2),"")</f>
        <v>492175</v>
      </c>
      <c r="M1101" s="15" t="s">
        <v>3859</v>
      </c>
      <c r="N1101" s="17" t="str">
        <f t="shared" si="52"/>
        <v>TERASAKI, Shuichi</v>
      </c>
      <c r="O1101" s="17" t="str">
        <f t="shared" si="53"/>
        <v>02</v>
      </c>
    </row>
    <row r="1102" spans="1:15">
      <c r="A1102" s="17" t="str">
        <f t="shared" si="51"/>
        <v>501001161</v>
      </c>
      <c r="B1102" s="15">
        <v>1161</v>
      </c>
      <c r="C1102" s="15" t="s">
        <v>4358</v>
      </c>
      <c r="D1102" s="15" t="s">
        <v>4359</v>
      </c>
      <c r="E1102" s="313" t="s">
        <v>4537</v>
      </c>
      <c r="F1102" s="313" t="s">
        <v>4484</v>
      </c>
      <c r="G1102" s="16" t="s">
        <v>4660</v>
      </c>
      <c r="H1102" s="15" t="s">
        <v>4029</v>
      </c>
      <c r="I1102" s="15" t="s">
        <v>4039</v>
      </c>
      <c r="J1102" s="15" t="s">
        <v>4059</v>
      </c>
      <c r="K1102" s="17" t="str">
        <f>IFERROR(INDEX(競技会設定!$J$3:$O$47,MATCH(J1102,競技会設定!$M$3:$M$47,0),5),"")</f>
        <v>中部大</v>
      </c>
      <c r="L1102" s="17" t="str">
        <f>IFERROR(INDEX(競技会設定!$J$3:$N$47,MATCH(K1102,競技会設定!$N$3:$N$47,0),2),"")</f>
        <v>492175</v>
      </c>
      <c r="M1102" s="15" t="s">
        <v>3859</v>
      </c>
      <c r="N1102" s="17" t="str">
        <f t="shared" si="52"/>
        <v>NAGASAKA, Naoya</v>
      </c>
      <c r="O1102" s="17" t="str">
        <f t="shared" si="53"/>
        <v>01</v>
      </c>
    </row>
    <row r="1103" spans="1:15">
      <c r="A1103" s="17" t="str">
        <f t="shared" si="51"/>
        <v>501001162</v>
      </c>
      <c r="B1103" s="15">
        <v>1162</v>
      </c>
      <c r="C1103" s="15" t="s">
        <v>4360</v>
      </c>
      <c r="D1103" s="15" t="s">
        <v>4361</v>
      </c>
      <c r="E1103" s="313" t="s">
        <v>4538</v>
      </c>
      <c r="F1103" s="313" t="s">
        <v>3014</v>
      </c>
      <c r="G1103" s="16" t="s">
        <v>4661</v>
      </c>
      <c r="H1103" s="15" t="s">
        <v>4029</v>
      </c>
      <c r="I1103" s="15" t="s">
        <v>4039</v>
      </c>
      <c r="J1103" s="15" t="s">
        <v>4060</v>
      </c>
      <c r="K1103" s="17" t="str">
        <f>IFERROR(INDEX(競技会設定!$J$3:$O$47,MATCH(J1103,競技会設定!$M$3:$M$47,0),5),"")</f>
        <v>南山大</v>
      </c>
      <c r="L1103" s="17" t="str">
        <f>IFERROR(INDEX(競技会設定!$J$3:$N$47,MATCH(K1103,競技会設定!$N$3:$N$47,0),2),"")</f>
        <v>492182</v>
      </c>
      <c r="M1103" s="15" t="s">
        <v>3861</v>
      </c>
      <c r="N1103" s="17" t="str">
        <f t="shared" si="52"/>
        <v>AOI, Takumi</v>
      </c>
      <c r="O1103" s="17" t="str">
        <f t="shared" si="53"/>
        <v>01</v>
      </c>
    </row>
    <row r="1104" spans="1:15">
      <c r="A1104" s="17" t="str">
        <f t="shared" si="51"/>
        <v>501001163</v>
      </c>
      <c r="B1104" s="15">
        <v>1163</v>
      </c>
      <c r="C1104" s="15" t="s">
        <v>4362</v>
      </c>
      <c r="D1104" s="15" t="s">
        <v>4363</v>
      </c>
      <c r="E1104" s="313" t="s">
        <v>3021</v>
      </c>
      <c r="F1104" s="313" t="s">
        <v>4539</v>
      </c>
      <c r="G1104" s="16" t="s">
        <v>4662</v>
      </c>
      <c r="H1104" s="15" t="s">
        <v>4029</v>
      </c>
      <c r="I1104" s="15" t="s">
        <v>4039</v>
      </c>
      <c r="J1104" s="15" t="s">
        <v>4060</v>
      </c>
      <c r="K1104" s="17" t="str">
        <f>IFERROR(INDEX(競技会設定!$J$3:$O$47,MATCH(J1104,競技会設定!$M$3:$M$47,0),5),"")</f>
        <v>南山大</v>
      </c>
      <c r="L1104" s="17" t="str">
        <f>IFERROR(INDEX(競技会設定!$J$3:$N$47,MATCH(K1104,競技会設定!$N$3:$N$47,0),2),"")</f>
        <v>492182</v>
      </c>
      <c r="M1104" s="15" t="s">
        <v>3861</v>
      </c>
      <c r="N1104" s="17" t="str">
        <f t="shared" si="52"/>
        <v>ITO, Shoun</v>
      </c>
      <c r="O1104" s="17" t="str">
        <f t="shared" si="53"/>
        <v>01</v>
      </c>
    </row>
    <row r="1105" spans="1:15">
      <c r="A1105" s="17" t="str">
        <f t="shared" si="51"/>
        <v>501001164</v>
      </c>
      <c r="B1105" s="15">
        <v>1164</v>
      </c>
      <c r="C1105" s="15" t="s">
        <v>4364</v>
      </c>
      <c r="D1105" s="15" t="s">
        <v>4365</v>
      </c>
      <c r="E1105" s="313" t="s">
        <v>3015</v>
      </c>
      <c r="F1105" s="313" t="s">
        <v>4540</v>
      </c>
      <c r="G1105" s="16" t="s">
        <v>3585</v>
      </c>
      <c r="H1105" s="15" t="s">
        <v>4029</v>
      </c>
      <c r="I1105" s="15" t="s">
        <v>4039</v>
      </c>
      <c r="J1105" s="15" t="s">
        <v>4060</v>
      </c>
      <c r="K1105" s="17" t="str">
        <f>IFERROR(INDEX(競技会設定!$J$3:$O$47,MATCH(J1105,競技会設定!$M$3:$M$47,0),5),"")</f>
        <v>南山大</v>
      </c>
      <c r="L1105" s="17" t="str">
        <f>IFERROR(INDEX(競技会設定!$J$3:$N$47,MATCH(K1105,競技会設定!$N$3:$N$47,0),2),"")</f>
        <v>492182</v>
      </c>
      <c r="M1105" s="15" t="s">
        <v>3859</v>
      </c>
      <c r="N1105" s="17" t="str">
        <f t="shared" si="52"/>
        <v>SUZUKI, Ryuya</v>
      </c>
      <c r="O1105" s="17" t="str">
        <f t="shared" si="53"/>
        <v>01</v>
      </c>
    </row>
    <row r="1106" spans="1:15">
      <c r="A1106" s="17" t="str">
        <f t="shared" si="51"/>
        <v>501001165</v>
      </c>
      <c r="B1106" s="15">
        <v>1165</v>
      </c>
      <c r="C1106" s="15" t="s">
        <v>4366</v>
      </c>
      <c r="D1106" s="15" t="s">
        <v>4367</v>
      </c>
      <c r="E1106" s="313" t="s">
        <v>4541</v>
      </c>
      <c r="F1106" s="313" t="s">
        <v>4542</v>
      </c>
      <c r="G1106" s="15" t="s">
        <v>4622</v>
      </c>
      <c r="H1106" s="15" t="s">
        <v>4029</v>
      </c>
      <c r="I1106" s="15" t="s">
        <v>4039</v>
      </c>
      <c r="J1106" s="15" t="s">
        <v>4060</v>
      </c>
      <c r="K1106" s="17" t="str">
        <f>IFERROR(INDEX(競技会設定!$J$3:$O$47,MATCH(J1106,競技会設定!$M$3:$M$47,0),5),"")</f>
        <v>南山大</v>
      </c>
      <c r="L1106" s="17" t="str">
        <f>IFERROR(INDEX(競技会設定!$J$3:$N$47,MATCH(K1106,競技会設定!$N$3:$N$47,0),2),"")</f>
        <v>492182</v>
      </c>
      <c r="M1106" s="15" t="s">
        <v>3859</v>
      </c>
      <c r="N1106" s="17" t="str">
        <f t="shared" si="52"/>
        <v>TOMITA, Tairi</v>
      </c>
      <c r="O1106" s="17" t="str">
        <f t="shared" si="53"/>
        <v>01</v>
      </c>
    </row>
    <row r="1107" spans="1:15">
      <c r="A1107" s="17" t="str">
        <f t="shared" si="51"/>
        <v>501001166</v>
      </c>
      <c r="B1107" s="15">
        <v>1166</v>
      </c>
      <c r="C1107" s="15" t="s">
        <v>4368</v>
      </c>
      <c r="D1107" s="15" t="s">
        <v>4369</v>
      </c>
      <c r="E1107" s="313" t="s">
        <v>4543</v>
      </c>
      <c r="F1107" s="313" t="s">
        <v>4544</v>
      </c>
      <c r="G1107" s="15" t="s">
        <v>4653</v>
      </c>
      <c r="H1107" s="15" t="s">
        <v>4029</v>
      </c>
      <c r="I1107" s="15" t="s">
        <v>4039</v>
      </c>
      <c r="J1107" s="15" t="s">
        <v>4060</v>
      </c>
      <c r="K1107" s="17" t="str">
        <f>IFERROR(INDEX(競技会設定!$J$3:$O$47,MATCH(J1107,競技会設定!$M$3:$M$47,0),5),"")</f>
        <v>南山大</v>
      </c>
      <c r="L1107" s="17" t="str">
        <f>IFERROR(INDEX(競技会設定!$J$3:$N$47,MATCH(K1107,競技会設定!$N$3:$N$47,0),2),"")</f>
        <v>492182</v>
      </c>
      <c r="M1107" s="15" t="s">
        <v>3859</v>
      </c>
      <c r="N1107" s="17" t="str">
        <f t="shared" si="52"/>
        <v>TOYAMA, Yuri</v>
      </c>
      <c r="O1107" s="17" t="str">
        <f t="shared" si="53"/>
        <v>01</v>
      </c>
    </row>
    <row r="1108" spans="1:15">
      <c r="A1108" s="17" t="str">
        <f t="shared" si="51"/>
        <v>501001167</v>
      </c>
      <c r="B1108" s="15">
        <v>1167</v>
      </c>
      <c r="C1108" s="15" t="s">
        <v>4370</v>
      </c>
      <c r="D1108" s="15" t="s">
        <v>4371</v>
      </c>
      <c r="E1108" s="313" t="s">
        <v>4545</v>
      </c>
      <c r="F1108" s="313" t="s">
        <v>4546</v>
      </c>
      <c r="G1108" s="15" t="s">
        <v>4663</v>
      </c>
      <c r="H1108" s="15" t="s">
        <v>4029</v>
      </c>
      <c r="I1108" s="15" t="s">
        <v>4039</v>
      </c>
      <c r="J1108" s="15" t="s">
        <v>4060</v>
      </c>
      <c r="K1108" s="17" t="str">
        <f>IFERROR(INDEX(競技会設定!$J$3:$O$47,MATCH(J1108,競技会設定!$M$3:$M$47,0),5),"")</f>
        <v>南山大</v>
      </c>
      <c r="L1108" s="17" t="str">
        <f>IFERROR(INDEX(競技会設定!$J$3:$N$47,MATCH(K1108,競技会設定!$N$3:$N$47,0),2),"")</f>
        <v>492182</v>
      </c>
      <c r="M1108" s="15" t="s">
        <v>3859</v>
      </c>
      <c r="N1108" s="17" t="str">
        <f t="shared" si="52"/>
        <v>HORIE, Sotaro</v>
      </c>
      <c r="O1108" s="17" t="str">
        <f t="shared" si="53"/>
        <v>01</v>
      </c>
    </row>
    <row r="1109" spans="1:15">
      <c r="A1109" s="17" t="str">
        <f t="shared" si="51"/>
        <v>501001168</v>
      </c>
      <c r="B1109" s="15">
        <v>1168</v>
      </c>
      <c r="C1109" s="15" t="s">
        <v>4372</v>
      </c>
      <c r="D1109" s="15" t="s">
        <v>4373</v>
      </c>
      <c r="E1109" s="313" t="s">
        <v>4547</v>
      </c>
      <c r="F1109" s="313" t="s">
        <v>4495</v>
      </c>
      <c r="G1109" s="15" t="s">
        <v>3488</v>
      </c>
      <c r="H1109" s="15" t="s">
        <v>4029</v>
      </c>
      <c r="I1109" s="15" t="s">
        <v>4039</v>
      </c>
      <c r="J1109" s="15" t="s">
        <v>4060</v>
      </c>
      <c r="K1109" s="17" t="str">
        <f>IFERROR(INDEX(競技会設定!$J$3:$O$47,MATCH(J1109,競技会設定!$M$3:$M$47,0),5),"")</f>
        <v>南山大</v>
      </c>
      <c r="L1109" s="17" t="str">
        <f>IFERROR(INDEX(競技会設定!$J$3:$N$47,MATCH(K1109,競技会設定!$N$3:$N$47,0),2),"")</f>
        <v>492182</v>
      </c>
      <c r="M1109" s="15" t="s">
        <v>3855</v>
      </c>
      <c r="N1109" s="17" t="str">
        <f t="shared" si="52"/>
        <v>SAKAKIMA, Kosei</v>
      </c>
      <c r="O1109" s="17" t="str">
        <f t="shared" si="53"/>
        <v>00</v>
      </c>
    </row>
    <row r="1110" spans="1:15">
      <c r="A1110" s="17" t="str">
        <f t="shared" si="51"/>
        <v>501001169</v>
      </c>
      <c r="B1110" s="15">
        <v>1169</v>
      </c>
      <c r="C1110" s="15" t="s">
        <v>4374</v>
      </c>
      <c r="D1110" s="15" t="s">
        <v>4375</v>
      </c>
      <c r="E1110" s="313" t="s">
        <v>4548</v>
      </c>
      <c r="F1110" s="313" t="s">
        <v>4549</v>
      </c>
      <c r="G1110" s="15" t="s">
        <v>3651</v>
      </c>
      <c r="H1110" s="15" t="s">
        <v>4029</v>
      </c>
      <c r="I1110" s="15" t="s">
        <v>4039</v>
      </c>
      <c r="J1110" s="15" t="s">
        <v>4060</v>
      </c>
      <c r="K1110" s="17" t="str">
        <f>IFERROR(INDEX(競技会設定!$J$3:$O$47,MATCH(J1110,競技会設定!$M$3:$M$47,0),5),"")</f>
        <v>南山大</v>
      </c>
      <c r="L1110" s="17" t="str">
        <f>IFERROR(INDEX(競技会設定!$J$3:$N$47,MATCH(K1110,競技会設定!$N$3:$N$47,0),2),"")</f>
        <v>492182</v>
      </c>
      <c r="M1110" s="15" t="s">
        <v>3855</v>
      </c>
      <c r="N1110" s="17" t="str">
        <f t="shared" si="52"/>
        <v>YASUDA, Naoki</v>
      </c>
      <c r="O1110" s="17" t="str">
        <f t="shared" si="53"/>
        <v>01</v>
      </c>
    </row>
    <row r="1111" spans="1:15">
      <c r="A1111" s="17" t="str">
        <f t="shared" si="51"/>
        <v>501001170</v>
      </c>
      <c r="B1111" s="15">
        <v>1170</v>
      </c>
      <c r="C1111" s="15" t="s">
        <v>4376</v>
      </c>
      <c r="D1111" s="15" t="s">
        <v>4377</v>
      </c>
      <c r="E1111" s="313" t="s">
        <v>4550</v>
      </c>
      <c r="F1111" s="313" t="s">
        <v>3030</v>
      </c>
      <c r="G1111" s="15" t="s">
        <v>3614</v>
      </c>
      <c r="H1111" s="15" t="s">
        <v>4029</v>
      </c>
      <c r="I1111" s="15" t="s">
        <v>4039</v>
      </c>
      <c r="J1111" s="15" t="s">
        <v>4062</v>
      </c>
      <c r="K1111" s="17" t="str">
        <f>IFERROR(INDEX(競技会設定!$J$3:$O$47,MATCH(J1111,競技会設定!$M$3:$M$47,0),5),"")</f>
        <v>浜松医科大</v>
      </c>
      <c r="L1111" s="17" t="str">
        <f>IFERROR(INDEX(競技会設定!$J$3:$N$47,MATCH(K1111,競技会設定!$N$3:$N$47,0),2),"")</f>
        <v>490079</v>
      </c>
      <c r="M1111" s="15" t="s">
        <v>3857</v>
      </c>
      <c r="N1111" s="17" t="str">
        <f t="shared" si="52"/>
        <v>INAOKA, Yuto</v>
      </c>
      <c r="O1111" s="17" t="str">
        <f t="shared" si="53"/>
        <v>01</v>
      </c>
    </row>
    <row r="1112" spans="1:15">
      <c r="A1112" s="17" t="str">
        <f t="shared" si="51"/>
        <v>501001171</v>
      </c>
      <c r="B1112" s="15">
        <v>1171</v>
      </c>
      <c r="C1112" s="15" t="s">
        <v>4378</v>
      </c>
      <c r="D1112" s="15" t="s">
        <v>4379</v>
      </c>
      <c r="E1112" s="313" t="s">
        <v>4551</v>
      </c>
      <c r="F1112" s="313" t="s">
        <v>4552</v>
      </c>
      <c r="G1112" s="15" t="s">
        <v>3647</v>
      </c>
      <c r="H1112" s="15" t="s">
        <v>4029</v>
      </c>
      <c r="I1112" s="15" t="s">
        <v>4039</v>
      </c>
      <c r="J1112" s="15" t="s">
        <v>4071</v>
      </c>
      <c r="K1112" s="17" t="str">
        <f>IFERROR(INDEX(競技会設定!$J$3:$O$47,MATCH(J1112,競技会設定!$M$3:$M$47,0),5),"")</f>
        <v>名古屋学院大</v>
      </c>
      <c r="L1112" s="17" t="str">
        <f>IFERROR(INDEX(競技会設定!$J$3:$N$47,MATCH(K1112,競技会設定!$N$3:$N$47,0),2),"")</f>
        <v>492177</v>
      </c>
      <c r="M1112" s="15" t="s">
        <v>3849</v>
      </c>
      <c r="N1112" s="17" t="str">
        <f t="shared" si="52"/>
        <v>FUNAKI, Haruto</v>
      </c>
      <c r="O1112" s="17" t="str">
        <f t="shared" si="53"/>
        <v>01</v>
      </c>
    </row>
    <row r="1113" spans="1:15">
      <c r="A1113" s="17" t="str">
        <f t="shared" si="51"/>
        <v>501001172</v>
      </c>
      <c r="B1113" s="15">
        <v>1172</v>
      </c>
      <c r="C1113" s="15" t="s">
        <v>4380</v>
      </c>
      <c r="D1113" s="15" t="s">
        <v>4381</v>
      </c>
      <c r="E1113" s="313" t="s">
        <v>4553</v>
      </c>
      <c r="F1113" s="313" t="s">
        <v>4554</v>
      </c>
      <c r="G1113" s="15" t="s">
        <v>3167</v>
      </c>
      <c r="H1113" s="15" t="s">
        <v>4029</v>
      </c>
      <c r="I1113" s="15" t="s">
        <v>4039</v>
      </c>
      <c r="J1113" s="15" t="s">
        <v>4071</v>
      </c>
      <c r="K1113" s="17" t="str">
        <f>IFERROR(INDEX(競技会設定!$J$3:$O$47,MATCH(J1113,競技会設定!$M$3:$M$47,0),5),"")</f>
        <v>名古屋学院大</v>
      </c>
      <c r="L1113" s="17" t="str">
        <f>IFERROR(INDEX(競技会設定!$J$3:$N$47,MATCH(K1113,競技会設定!$N$3:$N$47,0),2),"")</f>
        <v>492177</v>
      </c>
      <c r="M1113" s="15" t="s">
        <v>3859</v>
      </c>
      <c r="N1113" s="17" t="str">
        <f t="shared" si="52"/>
        <v>BUNNO, Ryota</v>
      </c>
      <c r="O1113" s="17" t="str">
        <f t="shared" si="53"/>
        <v>01</v>
      </c>
    </row>
    <row r="1114" spans="1:15">
      <c r="A1114" s="17" t="str">
        <f t="shared" si="51"/>
        <v>501001173</v>
      </c>
      <c r="B1114" s="15">
        <v>1173</v>
      </c>
      <c r="C1114" s="15" t="s">
        <v>4382</v>
      </c>
      <c r="D1114" s="15" t="s">
        <v>4383</v>
      </c>
      <c r="E1114" s="313" t="s">
        <v>4555</v>
      </c>
      <c r="F1114" s="313" t="s">
        <v>4556</v>
      </c>
      <c r="G1114" s="15" t="s">
        <v>4664</v>
      </c>
      <c r="H1114" s="15" t="s">
        <v>4029</v>
      </c>
      <c r="I1114" s="15" t="s">
        <v>4039</v>
      </c>
      <c r="J1114" s="15" t="s">
        <v>4063</v>
      </c>
      <c r="K1114" s="17" t="str">
        <f>IFERROR(INDEX(競技会設定!$J$3:$O$47,MATCH(J1114,競技会設定!$M$3:$M$47,0),5),"")</f>
        <v>名古屋市立大</v>
      </c>
      <c r="L1114" s="17" t="str">
        <f>IFERROR(INDEX(競技会設定!$J$3:$N$47,MATCH(K1114,競技会設定!$N$3:$N$47,0),2),"")</f>
        <v>491013</v>
      </c>
      <c r="M1114" s="15" t="s">
        <v>3859</v>
      </c>
      <c r="N1114" s="17" t="str">
        <f t="shared" si="52"/>
        <v>ONDA, Reki</v>
      </c>
      <c r="O1114" s="17" t="str">
        <f t="shared" si="53"/>
        <v>01</v>
      </c>
    </row>
    <row r="1115" spans="1:15">
      <c r="A1115" s="17" t="str">
        <f t="shared" si="51"/>
        <v>501001174</v>
      </c>
      <c r="B1115" s="15">
        <v>1174</v>
      </c>
      <c r="C1115" s="15" t="s">
        <v>4384</v>
      </c>
      <c r="D1115" s="15" t="s">
        <v>4385</v>
      </c>
      <c r="E1115" s="313" t="s">
        <v>4557</v>
      </c>
      <c r="F1115" s="313" t="s">
        <v>4558</v>
      </c>
      <c r="G1115" s="15" t="s">
        <v>4665</v>
      </c>
      <c r="H1115" s="15" t="s">
        <v>4029</v>
      </c>
      <c r="I1115" s="15" t="s">
        <v>4039</v>
      </c>
      <c r="J1115" s="15" t="s">
        <v>4063</v>
      </c>
      <c r="K1115" s="17" t="str">
        <f>IFERROR(INDEX(競技会設定!$J$3:$O$47,MATCH(J1115,競技会設定!$M$3:$M$47,0),5),"")</f>
        <v>名古屋市立大</v>
      </c>
      <c r="L1115" s="17" t="str">
        <f>IFERROR(INDEX(競技会設定!$J$3:$N$47,MATCH(K1115,競技会設定!$N$3:$N$47,0),2),"")</f>
        <v>491013</v>
      </c>
      <c r="M1115" s="15" t="s">
        <v>3859</v>
      </c>
      <c r="N1115" s="17" t="str">
        <f t="shared" si="52"/>
        <v>NISHIGAKI, Takehiro</v>
      </c>
      <c r="O1115" s="17" t="str">
        <f t="shared" si="53"/>
        <v>02</v>
      </c>
    </row>
    <row r="1116" spans="1:15">
      <c r="A1116" s="17" t="str">
        <f t="shared" si="51"/>
        <v>501001175</v>
      </c>
      <c r="B1116" s="15">
        <v>1175</v>
      </c>
      <c r="C1116" s="15" t="s">
        <v>4386</v>
      </c>
      <c r="D1116" s="15" t="s">
        <v>4387</v>
      </c>
      <c r="E1116" s="313" t="s">
        <v>4559</v>
      </c>
      <c r="F1116" s="313" t="s">
        <v>4560</v>
      </c>
      <c r="G1116" s="15" t="s">
        <v>4666</v>
      </c>
      <c r="H1116" s="15" t="s">
        <v>4029</v>
      </c>
      <c r="I1116" s="15" t="s">
        <v>4039</v>
      </c>
      <c r="J1116" s="15" t="s">
        <v>4063</v>
      </c>
      <c r="K1116" s="17" t="str">
        <f>IFERROR(INDEX(競技会設定!$J$3:$O$47,MATCH(J1116,競技会設定!$M$3:$M$47,0),5),"")</f>
        <v>名古屋市立大</v>
      </c>
      <c r="L1116" s="17" t="str">
        <f>IFERROR(INDEX(競技会設定!$J$3:$N$47,MATCH(K1116,競技会設定!$N$3:$N$47,0),2),"")</f>
        <v>491013</v>
      </c>
      <c r="M1116" s="15" t="s">
        <v>3859</v>
      </c>
      <c r="N1116" s="17" t="str">
        <f t="shared" si="52"/>
        <v>OZAKI, Futa</v>
      </c>
      <c r="O1116" s="17" t="str">
        <f t="shared" si="53"/>
        <v>01</v>
      </c>
    </row>
    <row r="1117" spans="1:15">
      <c r="A1117" s="17" t="str">
        <f t="shared" si="51"/>
        <v>501001176</v>
      </c>
      <c r="B1117" s="15">
        <v>1176</v>
      </c>
      <c r="C1117" s="15" t="s">
        <v>4388</v>
      </c>
      <c r="D1117" s="15" t="s">
        <v>4389</v>
      </c>
      <c r="E1117" s="313" t="s">
        <v>4561</v>
      </c>
      <c r="F1117" s="313" t="s">
        <v>3008</v>
      </c>
      <c r="G1117" s="15" t="s">
        <v>4667</v>
      </c>
      <c r="H1117" s="15" t="s">
        <v>4029</v>
      </c>
      <c r="I1117" s="15" t="s">
        <v>4039</v>
      </c>
      <c r="J1117" s="15" t="s">
        <v>4065</v>
      </c>
      <c r="K1117" s="17" t="str">
        <f>IFERROR(INDEX(競技会設定!$J$3:$O$47,MATCH(J1117,競技会設定!$M$3:$M$47,0),5),"")</f>
        <v>名古屋大</v>
      </c>
      <c r="L1117" s="17" t="str">
        <f>IFERROR(INDEX(競技会設定!$J$3:$N$47,MATCH(K1117,競技会設定!$N$3:$N$47,0),2),"")</f>
        <v>490043</v>
      </c>
      <c r="M1117" s="15" t="s">
        <v>3859</v>
      </c>
      <c r="N1117" s="17" t="str">
        <f t="shared" si="52"/>
        <v>KURA, Hiroki</v>
      </c>
      <c r="O1117" s="17" t="str">
        <f t="shared" si="53"/>
        <v>00</v>
      </c>
    </row>
    <row r="1118" spans="1:15">
      <c r="A1118" s="17" t="str">
        <f t="shared" si="51"/>
        <v>501001177</v>
      </c>
      <c r="B1118" s="15">
        <v>1177</v>
      </c>
      <c r="C1118" s="15" t="s">
        <v>7652</v>
      </c>
      <c r="D1118" s="15" t="s">
        <v>7653</v>
      </c>
      <c r="E1118" s="313" t="s">
        <v>7747</v>
      </c>
      <c r="F1118" s="313" t="s">
        <v>7748</v>
      </c>
      <c r="G1118" s="15" t="s">
        <v>7754</v>
      </c>
      <c r="H1118" s="15" t="s">
        <v>4030</v>
      </c>
      <c r="I1118" s="15" t="s">
        <v>4039</v>
      </c>
      <c r="J1118" s="15" t="s">
        <v>4040</v>
      </c>
      <c r="K1118" s="17" t="str">
        <f>IFERROR(INDEX(競技会設定!$J$3:$O$47,MATCH(J1118,競技会設定!$M$3:$M$47,0),5),"")</f>
        <v>中京大</v>
      </c>
      <c r="L1118" s="17" t="str">
        <f>IFERROR(INDEX(競技会設定!$J$3:$N$47,MATCH(K1118,競技会設定!$N$3:$N$47,0),2),"")</f>
        <v>492173</v>
      </c>
      <c r="M1118" s="15" t="s">
        <v>3820</v>
      </c>
      <c r="N1118" s="17" t="str">
        <f t="shared" si="52"/>
        <v>SHOJI, Kazuma</v>
      </c>
      <c r="O1118" s="17" t="str">
        <f t="shared" si="53"/>
        <v>98</v>
      </c>
    </row>
    <row r="1119" spans="1:15">
      <c r="A1119" s="17" t="str">
        <f t="shared" si="51"/>
        <v>501001178</v>
      </c>
      <c r="B1119" s="15">
        <v>1178</v>
      </c>
      <c r="C1119" s="15" t="s">
        <v>4390</v>
      </c>
      <c r="D1119" s="15" t="s">
        <v>4391</v>
      </c>
      <c r="E1119" s="313" t="s">
        <v>3007</v>
      </c>
      <c r="F1119" s="313" t="s">
        <v>4562</v>
      </c>
      <c r="G1119" s="15" t="s">
        <v>4668</v>
      </c>
      <c r="H1119" s="15" t="s">
        <v>4029</v>
      </c>
      <c r="I1119" s="15" t="s">
        <v>4039</v>
      </c>
      <c r="J1119" s="15" t="s">
        <v>4056</v>
      </c>
      <c r="K1119" s="17" t="str">
        <f>IFERROR(INDEX(競技会設定!$J$3:$O$47,MATCH(J1119,競技会設定!$M$3:$M$47,0),5),"")</f>
        <v>至学館大</v>
      </c>
      <c r="L1119" s="17" t="str">
        <f>IFERROR(INDEX(競技会設定!$J$3:$N$47,MATCH(K1119,競技会設定!$N$3:$N$47,0),2),"")</f>
        <v>492174</v>
      </c>
      <c r="M1119" s="15" t="s">
        <v>3859</v>
      </c>
      <c r="N1119" s="17" t="str">
        <f t="shared" si="52"/>
        <v>MIZUNO, Keito</v>
      </c>
      <c r="O1119" s="17" t="str">
        <f t="shared" si="53"/>
        <v>01</v>
      </c>
    </row>
    <row r="1120" spans="1:15">
      <c r="A1120" s="17" t="str">
        <f t="shared" si="51"/>
        <v>501001179</v>
      </c>
      <c r="B1120" s="15">
        <v>1179</v>
      </c>
      <c r="C1120" s="15" t="s">
        <v>4392</v>
      </c>
      <c r="D1120" s="15" t="s">
        <v>4393</v>
      </c>
      <c r="E1120" s="313" t="s">
        <v>4563</v>
      </c>
      <c r="F1120" s="313" t="s">
        <v>3047</v>
      </c>
      <c r="G1120" s="15" t="s">
        <v>3345</v>
      </c>
      <c r="H1120" s="15" t="s">
        <v>4029</v>
      </c>
      <c r="I1120" s="15" t="s">
        <v>4039</v>
      </c>
      <c r="J1120" s="15" t="s">
        <v>4056</v>
      </c>
      <c r="K1120" s="17" t="str">
        <f>IFERROR(INDEX(競技会設定!$J$3:$O$47,MATCH(J1120,競技会設定!$M$3:$M$47,0),5),"")</f>
        <v>至学館大</v>
      </c>
      <c r="L1120" s="17" t="str">
        <f>IFERROR(INDEX(競技会設定!$J$3:$N$47,MATCH(K1120,競技会設定!$N$3:$N$47,0),2),"")</f>
        <v>492174</v>
      </c>
      <c r="M1120" s="15" t="s">
        <v>3857</v>
      </c>
      <c r="N1120" s="17" t="str">
        <f t="shared" si="52"/>
        <v>SOUMA, Yuito</v>
      </c>
      <c r="O1120" s="17" t="str">
        <f t="shared" si="53"/>
        <v>02</v>
      </c>
    </row>
    <row r="1121" spans="1:15">
      <c r="A1121" s="17" t="str">
        <f t="shared" si="51"/>
        <v>501001180</v>
      </c>
      <c r="B1121" s="15">
        <v>1180</v>
      </c>
      <c r="C1121" s="15" t="s">
        <v>4394</v>
      </c>
      <c r="D1121" s="15" t="s">
        <v>4395</v>
      </c>
      <c r="E1121" s="313" t="s">
        <v>4564</v>
      </c>
      <c r="F1121" s="313" t="s">
        <v>4565</v>
      </c>
      <c r="G1121" s="15" t="s">
        <v>4669</v>
      </c>
      <c r="H1121" s="15" t="s">
        <v>4029</v>
      </c>
      <c r="I1121" s="15" t="s">
        <v>4039</v>
      </c>
      <c r="J1121" s="15" t="s">
        <v>4056</v>
      </c>
      <c r="K1121" s="17" t="str">
        <f>IFERROR(INDEX(競技会設定!$J$3:$O$47,MATCH(J1121,競技会設定!$M$3:$M$47,0),5),"")</f>
        <v>至学館大</v>
      </c>
      <c r="L1121" s="17" t="str">
        <f>IFERROR(INDEX(競技会設定!$J$3:$N$47,MATCH(K1121,競技会設定!$N$3:$N$47,0),2),"")</f>
        <v>492174</v>
      </c>
      <c r="M1121" s="15" t="s">
        <v>3859</v>
      </c>
      <c r="N1121" s="17" t="str">
        <f t="shared" si="52"/>
        <v>DAIKU, Kagura</v>
      </c>
      <c r="O1121" s="17" t="str">
        <f t="shared" si="53"/>
        <v>01</v>
      </c>
    </row>
  </sheetData>
  <phoneticPr fontId="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FB2A-DCFE-4E7B-BA6F-4F65713DAA32}">
  <sheetPr codeName="Sheet14"/>
  <dimension ref="A1:O444"/>
  <sheetViews>
    <sheetView workbookViewId="0"/>
  </sheetViews>
  <sheetFormatPr defaultRowHeight="13.2"/>
  <cols>
    <col min="1" max="1" width="8.796875" style="96"/>
    <col min="2" max="10" width="8.796875" style="15"/>
    <col min="11" max="12" width="8.796875" style="96"/>
    <col min="13" max="13" width="8.796875" style="15"/>
    <col min="14" max="15" width="8.796875" style="96"/>
    <col min="16" max="16384" width="8.796875" style="8"/>
  </cols>
  <sheetData>
    <row r="1" spans="1:15" s="95" customFormat="1">
      <c r="A1" s="93" t="s">
        <v>3753</v>
      </c>
      <c r="B1" s="94" t="s">
        <v>3764</v>
      </c>
      <c r="C1" s="94" t="s">
        <v>209</v>
      </c>
      <c r="D1" s="94" t="s">
        <v>210</v>
      </c>
      <c r="E1" s="94" t="s">
        <v>212</v>
      </c>
      <c r="F1" s="94" t="s">
        <v>211</v>
      </c>
      <c r="G1" s="94" t="s">
        <v>213</v>
      </c>
      <c r="H1" s="94" t="s">
        <v>214</v>
      </c>
      <c r="I1" s="94" t="s">
        <v>215</v>
      </c>
      <c r="J1" s="94" t="s">
        <v>218</v>
      </c>
      <c r="K1" s="93" t="s">
        <v>7757</v>
      </c>
      <c r="L1" s="93" t="s">
        <v>7758</v>
      </c>
      <c r="M1" s="94" t="s">
        <v>216</v>
      </c>
      <c r="N1" s="93" t="s">
        <v>7756</v>
      </c>
      <c r="O1" s="93" t="s">
        <v>6917</v>
      </c>
    </row>
    <row r="2" spans="1:15">
      <c r="A2" s="96" t="str">
        <f>IF(B2="","","502"&amp;TEXT(B2,"000000"))</f>
        <v>502002001</v>
      </c>
      <c r="B2" s="15" t="s">
        <v>4670</v>
      </c>
      <c r="C2" s="15" t="s">
        <v>4671</v>
      </c>
      <c r="D2" s="15" t="s">
        <v>4672</v>
      </c>
      <c r="E2" s="15" t="s">
        <v>5964</v>
      </c>
      <c r="F2" s="15" t="s">
        <v>5965</v>
      </c>
      <c r="G2" s="15" t="s">
        <v>3545</v>
      </c>
      <c r="H2" s="15" t="s">
        <v>4025</v>
      </c>
      <c r="I2" s="15" t="s">
        <v>4039</v>
      </c>
      <c r="J2" s="15" t="s">
        <v>4040</v>
      </c>
      <c r="K2" s="96" t="str">
        <f>IFERROR(INDEX(競技会設定!$J$3:$O$47,MATCH(J2,競技会設定!$M$3:$M$47,0),5),"")</f>
        <v>中京大</v>
      </c>
      <c r="L2" s="96" t="str">
        <f>IFERROR(INDEX(競技会設定!$J$3:$N$47,MATCH(K2,競技会設定!$N$3:$N$47,0),2),"")</f>
        <v>492173</v>
      </c>
      <c r="M2" s="15" t="s">
        <v>3883</v>
      </c>
      <c r="N2" s="96" t="str">
        <f>IF(E2="","",E2&amp;", "&amp;F2)</f>
        <v>KITAMURA, Ai</v>
      </c>
      <c r="O2" s="96" t="str">
        <f>IFERROR(TEXT(INT(LEFT(G2,2)),"00"),"")</f>
        <v>98</v>
      </c>
    </row>
    <row r="3" spans="1:15">
      <c r="A3" s="96" t="str">
        <f t="shared" ref="A3:A66" si="0">IF(B3="","","502"&amp;TEXT(B3,"000000"))</f>
        <v>502002002</v>
      </c>
      <c r="B3" s="15" t="s">
        <v>4673</v>
      </c>
      <c r="C3" s="15" t="s">
        <v>4674</v>
      </c>
      <c r="D3" s="15" t="s">
        <v>4675</v>
      </c>
      <c r="E3" s="15" t="s">
        <v>5966</v>
      </c>
      <c r="F3" s="15" t="s">
        <v>5967</v>
      </c>
      <c r="G3" s="15" t="s">
        <v>6475</v>
      </c>
      <c r="H3" s="15" t="s">
        <v>4024</v>
      </c>
      <c r="I3" s="15" t="s">
        <v>4039</v>
      </c>
      <c r="J3" s="15" t="s">
        <v>4040</v>
      </c>
      <c r="K3" s="96" t="str">
        <f>IFERROR(INDEX(競技会設定!$J$3:$O$47,MATCH(J3,競技会設定!$M$3:$M$47,0),5),"")</f>
        <v>中京大</v>
      </c>
      <c r="L3" s="96" t="str">
        <f>IFERROR(INDEX(競技会設定!$J$3:$N$47,MATCH(K3,競技会設定!$N$3:$N$47,0),2),"")</f>
        <v>492173</v>
      </c>
      <c r="M3" s="15" t="s">
        <v>3859</v>
      </c>
      <c r="N3" s="96" t="str">
        <f t="shared" ref="N3:N66" si="1">IF(E3="","",E3&amp;", "&amp;F3)</f>
        <v>KAWAMURA, Mizuki</v>
      </c>
      <c r="O3" s="96" t="str">
        <f t="shared" ref="O3:O66" si="2">IFERROR(TEXT(INT(LEFT(G3,2)),"00"),"")</f>
        <v>99</v>
      </c>
    </row>
    <row r="4" spans="1:15">
      <c r="A4" s="96" t="str">
        <f t="shared" si="0"/>
        <v>502002003</v>
      </c>
      <c r="B4" s="15" t="s">
        <v>4676</v>
      </c>
      <c r="C4" s="15" t="s">
        <v>4677</v>
      </c>
      <c r="D4" s="15" t="s">
        <v>4678</v>
      </c>
      <c r="E4" s="15" t="s">
        <v>5968</v>
      </c>
      <c r="F4" s="15" t="s">
        <v>5969</v>
      </c>
      <c r="G4" s="15" t="s">
        <v>6476</v>
      </c>
      <c r="H4" s="15" t="s">
        <v>4026</v>
      </c>
      <c r="I4" s="15" t="s">
        <v>4039</v>
      </c>
      <c r="J4" s="15" t="s">
        <v>4040</v>
      </c>
      <c r="K4" s="96" t="str">
        <f>IFERROR(INDEX(競技会設定!$J$3:$O$47,MATCH(J4,競技会設定!$M$3:$M$47,0),5),"")</f>
        <v>中京大</v>
      </c>
      <c r="L4" s="96" t="str">
        <f>IFERROR(INDEX(競技会設定!$J$3:$N$47,MATCH(K4,競技会設定!$N$3:$N$47,0),2),"")</f>
        <v>492173</v>
      </c>
      <c r="M4" s="15" t="s">
        <v>3859</v>
      </c>
      <c r="N4" s="96" t="str">
        <f t="shared" si="1"/>
        <v>SUGIYAMA, Sora</v>
      </c>
      <c r="O4" s="96" t="str">
        <f t="shared" si="2"/>
        <v>00</v>
      </c>
    </row>
    <row r="5" spans="1:15">
      <c r="A5" s="96" t="str">
        <f t="shared" si="0"/>
        <v>502002004</v>
      </c>
      <c r="B5" s="15" t="s">
        <v>4679</v>
      </c>
      <c r="C5" s="15" t="s">
        <v>4680</v>
      </c>
      <c r="D5" s="15" t="s">
        <v>4681</v>
      </c>
      <c r="E5" s="15" t="s">
        <v>5970</v>
      </c>
      <c r="F5" s="15" t="s">
        <v>3049</v>
      </c>
      <c r="G5" s="15" t="s">
        <v>3267</v>
      </c>
      <c r="H5" s="15" t="s">
        <v>4025</v>
      </c>
      <c r="I5" s="15" t="s">
        <v>4039</v>
      </c>
      <c r="J5" s="15" t="s">
        <v>4040</v>
      </c>
      <c r="K5" s="96" t="str">
        <f>IFERROR(INDEX(競技会設定!$J$3:$O$47,MATCH(J5,競技会設定!$M$3:$M$47,0),5),"")</f>
        <v>中京大</v>
      </c>
      <c r="L5" s="96" t="str">
        <f>IFERROR(INDEX(競技会設定!$J$3:$N$47,MATCH(K5,競技会設定!$N$3:$N$47,0),2),"")</f>
        <v>492173</v>
      </c>
      <c r="M5" s="15" t="s">
        <v>3859</v>
      </c>
      <c r="N5" s="96" t="str">
        <f t="shared" si="1"/>
        <v>AKEBOSHI, Hikaru</v>
      </c>
      <c r="O5" s="96" t="str">
        <f t="shared" si="2"/>
        <v>98</v>
      </c>
    </row>
    <row r="6" spans="1:15">
      <c r="A6" s="96" t="str">
        <f t="shared" si="0"/>
        <v>502002005</v>
      </c>
      <c r="B6" s="15" t="s">
        <v>4682</v>
      </c>
      <c r="C6" s="15" t="s">
        <v>4683</v>
      </c>
      <c r="D6" s="15" t="s">
        <v>4684</v>
      </c>
      <c r="E6" s="15" t="s">
        <v>5971</v>
      </c>
      <c r="F6" s="15" t="s">
        <v>5972</v>
      </c>
      <c r="G6" s="15" t="s">
        <v>4574</v>
      </c>
      <c r="H6" s="15" t="s">
        <v>4025</v>
      </c>
      <c r="I6" s="15" t="s">
        <v>4039</v>
      </c>
      <c r="J6" s="15" t="s">
        <v>4040</v>
      </c>
      <c r="K6" s="96" t="str">
        <f>IFERROR(INDEX(競技会設定!$J$3:$O$47,MATCH(J6,競技会設定!$M$3:$M$47,0),5),"")</f>
        <v>中京大</v>
      </c>
      <c r="L6" s="96" t="str">
        <f>IFERROR(INDEX(競技会設定!$J$3:$N$47,MATCH(K6,競技会設定!$N$3:$N$47,0),2),"")</f>
        <v>492173</v>
      </c>
      <c r="M6" s="15" t="s">
        <v>3863</v>
      </c>
      <c r="N6" s="96" t="str">
        <f t="shared" si="1"/>
        <v>SAITOU, Ayaka</v>
      </c>
      <c r="O6" s="96" t="str">
        <f t="shared" si="2"/>
        <v>98</v>
      </c>
    </row>
    <row r="7" spans="1:15">
      <c r="A7" s="96" t="str">
        <f t="shared" si="0"/>
        <v>502002006</v>
      </c>
      <c r="B7" s="15" t="s">
        <v>4685</v>
      </c>
      <c r="C7" s="15" t="s">
        <v>4686</v>
      </c>
      <c r="D7" s="15" t="s">
        <v>4687</v>
      </c>
      <c r="E7" s="15" t="s">
        <v>5973</v>
      </c>
      <c r="F7" s="15" t="s">
        <v>5974</v>
      </c>
      <c r="G7" s="15" t="s">
        <v>6477</v>
      </c>
      <c r="H7" s="15" t="s">
        <v>4025</v>
      </c>
      <c r="I7" s="15" t="s">
        <v>4039</v>
      </c>
      <c r="J7" s="15" t="s">
        <v>4040</v>
      </c>
      <c r="K7" s="96" t="str">
        <f>IFERROR(INDEX(競技会設定!$J$3:$O$47,MATCH(J7,競技会設定!$M$3:$M$47,0),5),"")</f>
        <v>中京大</v>
      </c>
      <c r="L7" s="96" t="str">
        <f>IFERROR(INDEX(競技会設定!$J$3:$N$47,MATCH(K7,競技会設定!$N$3:$N$47,0),2),"")</f>
        <v>492173</v>
      </c>
      <c r="M7" s="15" t="s">
        <v>3859</v>
      </c>
      <c r="N7" s="96" t="str">
        <f t="shared" si="1"/>
        <v>TOYONAGA, Kanon</v>
      </c>
      <c r="O7" s="96" t="str">
        <f t="shared" si="2"/>
        <v>98</v>
      </c>
    </row>
    <row r="8" spans="1:15">
      <c r="A8" s="96" t="str">
        <f t="shared" si="0"/>
        <v>502002007</v>
      </c>
      <c r="B8" s="15" t="s">
        <v>4688</v>
      </c>
      <c r="C8" s="15" t="s">
        <v>4689</v>
      </c>
      <c r="D8" s="15" t="s">
        <v>4690</v>
      </c>
      <c r="E8" s="15" t="s">
        <v>5975</v>
      </c>
      <c r="F8" s="15" t="s">
        <v>5976</v>
      </c>
      <c r="G8" s="15" t="s">
        <v>6478</v>
      </c>
      <c r="H8" s="15" t="s">
        <v>4025</v>
      </c>
      <c r="I8" s="15" t="s">
        <v>4039</v>
      </c>
      <c r="J8" s="15" t="s">
        <v>4040</v>
      </c>
      <c r="K8" s="96" t="str">
        <f>IFERROR(INDEX(競技会設定!$J$3:$O$47,MATCH(J8,競技会設定!$M$3:$M$47,0),5),"")</f>
        <v>中京大</v>
      </c>
      <c r="L8" s="96" t="str">
        <f>IFERROR(INDEX(競技会設定!$J$3:$N$47,MATCH(K8,競技会設定!$N$3:$N$47,0),2),"")</f>
        <v>492173</v>
      </c>
      <c r="M8" s="15" t="s">
        <v>3859</v>
      </c>
      <c r="N8" s="96" t="str">
        <f t="shared" si="1"/>
        <v>NAGAYA, Mitsuki</v>
      </c>
      <c r="O8" s="96" t="str">
        <f t="shared" si="2"/>
        <v>99</v>
      </c>
    </row>
    <row r="9" spans="1:15">
      <c r="A9" s="96" t="str">
        <f t="shared" si="0"/>
        <v>502002008</v>
      </c>
      <c r="B9" s="15" t="s">
        <v>4691</v>
      </c>
      <c r="C9" s="15" t="s">
        <v>4692</v>
      </c>
      <c r="D9" s="15" t="s">
        <v>4693</v>
      </c>
      <c r="E9" s="15" t="s">
        <v>5977</v>
      </c>
      <c r="F9" s="15" t="s">
        <v>5978</v>
      </c>
      <c r="G9" s="15" t="s">
        <v>6479</v>
      </c>
      <c r="H9" s="15" t="s">
        <v>4025</v>
      </c>
      <c r="I9" s="15" t="s">
        <v>4039</v>
      </c>
      <c r="J9" s="15" t="s">
        <v>4040</v>
      </c>
      <c r="K9" s="96" t="str">
        <f>IFERROR(INDEX(競技会設定!$J$3:$O$47,MATCH(J9,競技会設定!$M$3:$M$47,0),5),"")</f>
        <v>中京大</v>
      </c>
      <c r="L9" s="96" t="str">
        <f>IFERROR(INDEX(競技会設定!$J$3:$N$47,MATCH(K9,競技会設定!$N$3:$N$47,0),2),"")</f>
        <v>492173</v>
      </c>
      <c r="M9" s="15" t="s">
        <v>3859</v>
      </c>
      <c r="N9" s="96" t="str">
        <f t="shared" si="1"/>
        <v>KINOSHITA, Mayuka</v>
      </c>
      <c r="O9" s="96" t="str">
        <f t="shared" si="2"/>
        <v>98</v>
      </c>
    </row>
    <row r="10" spans="1:15">
      <c r="A10" s="96" t="str">
        <f t="shared" si="0"/>
        <v>502002009</v>
      </c>
      <c r="B10" s="15" t="s">
        <v>4694</v>
      </c>
      <c r="C10" s="15" t="s">
        <v>4695</v>
      </c>
      <c r="D10" s="15" t="s">
        <v>4696</v>
      </c>
      <c r="E10" s="15" t="s">
        <v>5979</v>
      </c>
      <c r="F10" s="15" t="s">
        <v>5980</v>
      </c>
      <c r="G10" s="15" t="s">
        <v>6480</v>
      </c>
      <c r="H10" s="15" t="s">
        <v>4025</v>
      </c>
      <c r="I10" s="15" t="s">
        <v>4039</v>
      </c>
      <c r="J10" s="15" t="s">
        <v>4040</v>
      </c>
      <c r="K10" s="96" t="str">
        <f>IFERROR(INDEX(競技会設定!$J$3:$O$47,MATCH(J10,競技会設定!$M$3:$M$47,0),5),"")</f>
        <v>中京大</v>
      </c>
      <c r="L10" s="96" t="str">
        <f>IFERROR(INDEX(競技会設定!$J$3:$N$47,MATCH(K10,競技会設定!$N$3:$N$47,0),2),"")</f>
        <v>492173</v>
      </c>
      <c r="M10" s="15" t="s">
        <v>3859</v>
      </c>
      <c r="N10" s="96" t="str">
        <f t="shared" si="1"/>
        <v>GOTO, Rina</v>
      </c>
      <c r="O10" s="96" t="str">
        <f t="shared" si="2"/>
        <v>98</v>
      </c>
    </row>
    <row r="11" spans="1:15">
      <c r="A11" s="96" t="str">
        <f t="shared" si="0"/>
        <v>502002010</v>
      </c>
      <c r="B11" s="15" t="s">
        <v>4697</v>
      </c>
      <c r="C11" s="15" t="s">
        <v>4698</v>
      </c>
      <c r="D11" s="15" t="s">
        <v>4699</v>
      </c>
      <c r="E11" s="15" t="s">
        <v>5981</v>
      </c>
      <c r="F11" s="15" t="s">
        <v>5982</v>
      </c>
      <c r="G11" s="15" t="s">
        <v>3391</v>
      </c>
      <c r="H11" s="15" t="s">
        <v>4025</v>
      </c>
      <c r="I11" s="15" t="s">
        <v>4039</v>
      </c>
      <c r="J11" s="15" t="s">
        <v>4040</v>
      </c>
      <c r="K11" s="96" t="str">
        <f>IFERROR(INDEX(競技会設定!$J$3:$O$47,MATCH(J11,競技会設定!$M$3:$M$47,0),5),"")</f>
        <v>中京大</v>
      </c>
      <c r="L11" s="96" t="str">
        <f>IFERROR(INDEX(競技会設定!$J$3:$N$47,MATCH(K11,競技会設定!$N$3:$N$47,0),2),"")</f>
        <v>492173</v>
      </c>
      <c r="M11" s="15" t="s">
        <v>3857</v>
      </c>
      <c r="N11" s="96" t="str">
        <f t="shared" si="1"/>
        <v>OTANI, Nanako</v>
      </c>
      <c r="O11" s="96" t="str">
        <f t="shared" si="2"/>
        <v>99</v>
      </c>
    </row>
    <row r="12" spans="1:15">
      <c r="A12" s="96" t="str">
        <f t="shared" si="0"/>
        <v>502002011</v>
      </c>
      <c r="B12" s="15" t="s">
        <v>4700</v>
      </c>
      <c r="C12" s="15" t="s">
        <v>4701</v>
      </c>
      <c r="D12" s="15" t="s">
        <v>4702</v>
      </c>
      <c r="E12" s="15" t="s">
        <v>5983</v>
      </c>
      <c r="F12" s="15" t="s">
        <v>5984</v>
      </c>
      <c r="G12" s="15" t="s">
        <v>3636</v>
      </c>
      <c r="H12" s="15" t="s">
        <v>4025</v>
      </c>
      <c r="I12" s="15" t="s">
        <v>4039</v>
      </c>
      <c r="J12" s="15" t="s">
        <v>4040</v>
      </c>
      <c r="K12" s="96" t="str">
        <f>IFERROR(INDEX(競技会設定!$J$3:$O$47,MATCH(J12,競技会設定!$M$3:$M$47,0),5),"")</f>
        <v>中京大</v>
      </c>
      <c r="L12" s="96" t="str">
        <f>IFERROR(INDEX(競技会設定!$J$3:$N$47,MATCH(K12,競技会設定!$N$3:$N$47,0),2),"")</f>
        <v>492173</v>
      </c>
      <c r="M12" s="15" t="s">
        <v>3859</v>
      </c>
      <c r="N12" s="96" t="str">
        <f t="shared" si="1"/>
        <v>YAGI, Maika</v>
      </c>
      <c r="O12" s="96" t="str">
        <f t="shared" si="2"/>
        <v>99</v>
      </c>
    </row>
    <row r="13" spans="1:15">
      <c r="A13" s="96" t="str">
        <f t="shared" si="0"/>
        <v>502002012</v>
      </c>
      <c r="B13" s="15" t="s">
        <v>4703</v>
      </c>
      <c r="C13" s="15" t="s">
        <v>4704</v>
      </c>
      <c r="D13" s="15" t="s">
        <v>4705</v>
      </c>
      <c r="E13" s="15" t="s">
        <v>5985</v>
      </c>
      <c r="F13" s="15" t="s">
        <v>4544</v>
      </c>
      <c r="G13" s="15" t="s">
        <v>3076</v>
      </c>
      <c r="H13" s="15" t="s">
        <v>4025</v>
      </c>
      <c r="I13" s="15" t="s">
        <v>4039</v>
      </c>
      <c r="J13" s="15" t="s">
        <v>4040</v>
      </c>
      <c r="K13" s="96" t="str">
        <f>IFERROR(INDEX(競技会設定!$J$3:$O$47,MATCH(J13,競技会設定!$M$3:$M$47,0),5),"")</f>
        <v>中京大</v>
      </c>
      <c r="L13" s="96" t="str">
        <f>IFERROR(INDEX(競技会設定!$J$3:$N$47,MATCH(K13,競技会設定!$N$3:$N$47,0),2),"")</f>
        <v>492173</v>
      </c>
      <c r="M13" s="15" t="s">
        <v>3859</v>
      </c>
      <c r="N13" s="96" t="str">
        <f t="shared" si="1"/>
        <v>KASUYA, Yuri</v>
      </c>
      <c r="O13" s="96" t="str">
        <f t="shared" si="2"/>
        <v>98</v>
      </c>
    </row>
    <row r="14" spans="1:15">
      <c r="A14" s="96" t="str">
        <f t="shared" si="0"/>
        <v>502002013</v>
      </c>
      <c r="B14" s="15" t="s">
        <v>4706</v>
      </c>
      <c r="C14" s="15" t="s">
        <v>4707</v>
      </c>
      <c r="D14" s="15" t="s">
        <v>4708</v>
      </c>
      <c r="E14" s="15" t="s">
        <v>5986</v>
      </c>
      <c r="F14" s="15" t="s">
        <v>5972</v>
      </c>
      <c r="G14" s="15" t="s">
        <v>6481</v>
      </c>
      <c r="H14" s="15" t="s">
        <v>4025</v>
      </c>
      <c r="I14" s="15" t="s">
        <v>4039</v>
      </c>
      <c r="J14" s="15" t="s">
        <v>4040</v>
      </c>
      <c r="K14" s="96" t="str">
        <f>IFERROR(INDEX(競技会設定!$J$3:$O$47,MATCH(J14,競技会設定!$M$3:$M$47,0),5),"")</f>
        <v>中京大</v>
      </c>
      <c r="L14" s="96" t="str">
        <f>IFERROR(INDEX(競技会設定!$J$3:$N$47,MATCH(K14,競技会設定!$N$3:$N$47,0),2),"")</f>
        <v>492173</v>
      </c>
      <c r="M14" s="15" t="s">
        <v>3859</v>
      </c>
      <c r="N14" s="96" t="str">
        <f t="shared" si="1"/>
        <v>TAKATA, Ayaka</v>
      </c>
      <c r="O14" s="96" t="str">
        <f t="shared" si="2"/>
        <v>98</v>
      </c>
    </row>
    <row r="15" spans="1:15">
      <c r="A15" s="96" t="str">
        <f t="shared" si="0"/>
        <v>502002014</v>
      </c>
      <c r="B15" s="15" t="s">
        <v>4709</v>
      </c>
      <c r="C15" s="15" t="s">
        <v>4710</v>
      </c>
      <c r="D15" s="15" t="s">
        <v>4711</v>
      </c>
      <c r="E15" s="15" t="s">
        <v>5987</v>
      </c>
      <c r="F15" s="15" t="s">
        <v>5988</v>
      </c>
      <c r="G15" s="15" t="s">
        <v>6482</v>
      </c>
      <c r="H15" s="15" t="s">
        <v>4025</v>
      </c>
      <c r="I15" s="15" t="s">
        <v>4039</v>
      </c>
      <c r="J15" s="15" t="s">
        <v>4040</v>
      </c>
      <c r="K15" s="96" t="str">
        <f>IFERROR(INDEX(競技会設定!$J$3:$O$47,MATCH(J15,競技会設定!$M$3:$M$47,0),5),"")</f>
        <v>中京大</v>
      </c>
      <c r="L15" s="96" t="str">
        <f>IFERROR(INDEX(競技会設定!$J$3:$N$47,MATCH(K15,競技会設定!$N$3:$N$47,0),2),"")</f>
        <v>492173</v>
      </c>
      <c r="M15" s="15" t="s">
        <v>3863</v>
      </c>
      <c r="N15" s="96" t="str">
        <f t="shared" si="1"/>
        <v>NAMBU, Juri</v>
      </c>
      <c r="O15" s="96" t="str">
        <f t="shared" si="2"/>
        <v>98</v>
      </c>
    </row>
    <row r="16" spans="1:15">
      <c r="A16" s="96" t="str">
        <f t="shared" si="0"/>
        <v>502002015</v>
      </c>
      <c r="B16" s="15" t="s">
        <v>4712</v>
      </c>
      <c r="C16" s="15" t="s">
        <v>4713</v>
      </c>
      <c r="D16" s="15" t="s">
        <v>4714</v>
      </c>
      <c r="E16" s="15" t="s">
        <v>5989</v>
      </c>
      <c r="F16" s="15" t="s">
        <v>5990</v>
      </c>
      <c r="G16" s="15" t="s">
        <v>6483</v>
      </c>
      <c r="H16" s="15" t="s">
        <v>4025</v>
      </c>
      <c r="I16" s="15" t="s">
        <v>4039</v>
      </c>
      <c r="J16" s="15" t="s">
        <v>4040</v>
      </c>
      <c r="K16" s="96" t="str">
        <f>IFERROR(INDEX(競技会設定!$J$3:$O$47,MATCH(J16,競技会設定!$M$3:$M$47,0),5),"")</f>
        <v>中京大</v>
      </c>
      <c r="L16" s="96" t="str">
        <f>IFERROR(INDEX(競技会設定!$J$3:$N$47,MATCH(K16,競技会設定!$N$3:$N$47,0),2),"")</f>
        <v>492173</v>
      </c>
      <c r="M16" s="15" t="s">
        <v>3861</v>
      </c>
      <c r="N16" s="96" t="str">
        <f t="shared" si="1"/>
        <v>URATA, Anna</v>
      </c>
      <c r="O16" s="96" t="str">
        <f t="shared" si="2"/>
        <v>99</v>
      </c>
    </row>
    <row r="17" spans="1:15">
      <c r="A17" s="96" t="str">
        <f t="shared" si="0"/>
        <v>502002016</v>
      </c>
      <c r="B17" s="15" t="s">
        <v>4715</v>
      </c>
      <c r="C17" s="15" t="s">
        <v>4716</v>
      </c>
      <c r="D17" s="15" t="s">
        <v>4717</v>
      </c>
      <c r="E17" s="15" t="s">
        <v>5991</v>
      </c>
      <c r="F17" s="15" t="s">
        <v>5992</v>
      </c>
      <c r="G17" s="15" t="s">
        <v>3365</v>
      </c>
      <c r="H17" s="15" t="s">
        <v>4025</v>
      </c>
      <c r="I17" s="15" t="s">
        <v>4039</v>
      </c>
      <c r="J17" s="15" t="s">
        <v>4040</v>
      </c>
      <c r="K17" s="96" t="str">
        <f>IFERROR(INDEX(競技会設定!$J$3:$O$47,MATCH(J17,競技会設定!$M$3:$M$47,0),5),"")</f>
        <v>中京大</v>
      </c>
      <c r="L17" s="96" t="str">
        <f>IFERROR(INDEX(競技会設定!$J$3:$N$47,MATCH(K17,競技会設定!$N$3:$N$47,0),2),"")</f>
        <v>492173</v>
      </c>
      <c r="M17" s="15" t="s">
        <v>3899</v>
      </c>
      <c r="N17" s="96" t="str">
        <f t="shared" si="1"/>
        <v>KOTO, Nene</v>
      </c>
      <c r="O17" s="96" t="str">
        <f t="shared" si="2"/>
        <v>99</v>
      </c>
    </row>
    <row r="18" spans="1:15">
      <c r="A18" s="96" t="str">
        <f t="shared" si="0"/>
        <v>502002017</v>
      </c>
      <c r="B18" s="15" t="s">
        <v>4718</v>
      </c>
      <c r="C18" s="15" t="s">
        <v>4719</v>
      </c>
      <c r="D18" s="15" t="s">
        <v>4720</v>
      </c>
      <c r="E18" s="15" t="s">
        <v>3036</v>
      </c>
      <c r="F18" s="15" t="s">
        <v>5993</v>
      </c>
      <c r="G18" s="15" t="s">
        <v>6484</v>
      </c>
      <c r="H18" s="15" t="s">
        <v>4025</v>
      </c>
      <c r="I18" s="15" t="s">
        <v>4039</v>
      </c>
      <c r="J18" s="15" t="s">
        <v>4040</v>
      </c>
      <c r="K18" s="96" t="str">
        <f>IFERROR(INDEX(競技会設定!$J$3:$O$47,MATCH(J18,競技会設定!$M$3:$M$47,0),5),"")</f>
        <v>中京大</v>
      </c>
      <c r="L18" s="96" t="str">
        <f>IFERROR(INDEX(競技会設定!$J$3:$N$47,MATCH(K18,競技会設定!$N$3:$N$47,0),2),"")</f>
        <v>492173</v>
      </c>
      <c r="M18" s="15" t="s">
        <v>3870</v>
      </c>
      <c r="N18" s="96" t="str">
        <f t="shared" si="1"/>
        <v>FUJIMOTO, Sara</v>
      </c>
      <c r="O18" s="96" t="str">
        <f t="shared" si="2"/>
        <v>98</v>
      </c>
    </row>
    <row r="19" spans="1:15">
      <c r="A19" s="96" t="str">
        <f t="shared" si="0"/>
        <v>502002018</v>
      </c>
      <c r="B19" s="15" t="s">
        <v>4721</v>
      </c>
      <c r="C19" s="15" t="s">
        <v>4722</v>
      </c>
      <c r="D19" s="15" t="s">
        <v>4723</v>
      </c>
      <c r="E19" s="15" t="s">
        <v>5994</v>
      </c>
      <c r="F19" s="15" t="s">
        <v>5995</v>
      </c>
      <c r="G19" s="15" t="s">
        <v>3278</v>
      </c>
      <c r="H19" s="15" t="s">
        <v>4025</v>
      </c>
      <c r="I19" s="15" t="s">
        <v>4039</v>
      </c>
      <c r="J19" s="15" t="s">
        <v>4040</v>
      </c>
      <c r="K19" s="96" t="str">
        <f>IFERROR(INDEX(競技会設定!$J$3:$O$47,MATCH(J19,競技会設定!$M$3:$M$47,0),5),"")</f>
        <v>中京大</v>
      </c>
      <c r="L19" s="96" t="str">
        <f>IFERROR(INDEX(競技会設定!$J$3:$N$47,MATCH(K19,競技会設定!$N$3:$N$47,0),2),"")</f>
        <v>492173</v>
      </c>
      <c r="M19" s="15" t="s">
        <v>3901</v>
      </c>
      <c r="N19" s="96" t="str">
        <f t="shared" si="1"/>
        <v>HORITA, Hatsuki</v>
      </c>
      <c r="O19" s="96" t="str">
        <f t="shared" si="2"/>
        <v>98</v>
      </c>
    </row>
    <row r="20" spans="1:15">
      <c r="A20" s="96" t="str">
        <f t="shared" si="0"/>
        <v>502002019</v>
      </c>
      <c r="B20" s="15" t="s">
        <v>4724</v>
      </c>
      <c r="C20" s="15" t="s">
        <v>4725</v>
      </c>
      <c r="D20" s="15" t="s">
        <v>4726</v>
      </c>
      <c r="E20" s="15" t="s">
        <v>5996</v>
      </c>
      <c r="F20" s="15" t="s">
        <v>5997</v>
      </c>
      <c r="G20" s="15" t="s">
        <v>6485</v>
      </c>
      <c r="H20" s="15" t="s">
        <v>4025</v>
      </c>
      <c r="I20" s="15" t="s">
        <v>4039</v>
      </c>
      <c r="J20" s="15" t="s">
        <v>4040</v>
      </c>
      <c r="K20" s="96" t="str">
        <f>IFERROR(INDEX(競技会設定!$J$3:$O$47,MATCH(J20,競技会設定!$M$3:$M$47,0),5),"")</f>
        <v>中京大</v>
      </c>
      <c r="L20" s="96" t="str">
        <f>IFERROR(INDEX(競技会設定!$J$3:$N$47,MATCH(K20,競技会設定!$N$3:$N$47,0),2),"")</f>
        <v>492173</v>
      </c>
      <c r="M20" s="15" t="s">
        <v>3857</v>
      </c>
      <c r="N20" s="96" t="str">
        <f t="shared" si="1"/>
        <v>MASUDA, Nao</v>
      </c>
      <c r="O20" s="96" t="str">
        <f t="shared" si="2"/>
        <v>98</v>
      </c>
    </row>
    <row r="21" spans="1:15">
      <c r="A21" s="96" t="str">
        <f t="shared" si="0"/>
        <v>502002020</v>
      </c>
      <c r="B21" s="15" t="s">
        <v>4727</v>
      </c>
      <c r="C21" s="15" t="s">
        <v>4728</v>
      </c>
      <c r="D21" s="15" t="s">
        <v>4729</v>
      </c>
      <c r="E21" s="15" t="s">
        <v>3027</v>
      </c>
      <c r="F21" s="15" t="s">
        <v>3054</v>
      </c>
      <c r="G21" s="15" t="s">
        <v>6486</v>
      </c>
      <c r="H21" s="15" t="s">
        <v>4025</v>
      </c>
      <c r="I21" s="15" t="s">
        <v>4039</v>
      </c>
      <c r="J21" s="15" t="s">
        <v>4040</v>
      </c>
      <c r="K21" s="96" t="str">
        <f>IFERROR(INDEX(競技会設定!$J$3:$O$47,MATCH(J21,競技会設定!$M$3:$M$47,0),5),"")</f>
        <v>中京大</v>
      </c>
      <c r="L21" s="96" t="str">
        <f>IFERROR(INDEX(競技会設定!$J$3:$N$47,MATCH(K21,競技会設定!$N$3:$N$47,0),2),"")</f>
        <v>492173</v>
      </c>
      <c r="M21" s="15" t="s">
        <v>3859</v>
      </c>
      <c r="N21" s="96" t="str">
        <f t="shared" si="1"/>
        <v>SHIMIZU, Haru</v>
      </c>
      <c r="O21" s="96" t="str">
        <f t="shared" si="2"/>
        <v>99</v>
      </c>
    </row>
    <row r="22" spans="1:15">
      <c r="A22" s="96" t="str">
        <f t="shared" si="0"/>
        <v>502002021</v>
      </c>
      <c r="B22" s="15" t="s">
        <v>4730</v>
      </c>
      <c r="C22" s="15" t="s">
        <v>4731</v>
      </c>
      <c r="D22" s="15" t="s">
        <v>4732</v>
      </c>
      <c r="E22" s="15" t="s">
        <v>5998</v>
      </c>
      <c r="F22" s="15" t="s">
        <v>5999</v>
      </c>
      <c r="G22" s="15" t="s">
        <v>3671</v>
      </c>
      <c r="H22" s="15" t="s">
        <v>4025</v>
      </c>
      <c r="I22" s="15" t="s">
        <v>4039</v>
      </c>
      <c r="J22" s="15" t="s">
        <v>4040</v>
      </c>
      <c r="K22" s="96" t="str">
        <f>IFERROR(INDEX(競技会設定!$J$3:$O$47,MATCH(J22,競技会設定!$M$3:$M$47,0),5),"")</f>
        <v>中京大</v>
      </c>
      <c r="L22" s="96" t="str">
        <f>IFERROR(INDEX(競技会設定!$J$3:$N$47,MATCH(K22,競技会設定!$N$3:$N$47,0),2),"")</f>
        <v>492173</v>
      </c>
      <c r="M22" s="15" t="s">
        <v>3855</v>
      </c>
      <c r="N22" s="96" t="str">
        <f t="shared" si="1"/>
        <v>CHINO, Miyuki</v>
      </c>
      <c r="O22" s="96" t="str">
        <f t="shared" si="2"/>
        <v>98</v>
      </c>
    </row>
    <row r="23" spans="1:15">
      <c r="A23" s="96" t="str">
        <f t="shared" si="0"/>
        <v>502002022</v>
      </c>
      <c r="B23" s="15" t="s">
        <v>4733</v>
      </c>
      <c r="C23" s="15" t="s">
        <v>4734</v>
      </c>
      <c r="D23" s="15" t="s">
        <v>4735</v>
      </c>
      <c r="E23" s="15" t="s">
        <v>6000</v>
      </c>
      <c r="F23" s="15" t="s">
        <v>6001</v>
      </c>
      <c r="G23" s="15" t="s">
        <v>3394</v>
      </c>
      <c r="H23" s="15" t="s">
        <v>4025</v>
      </c>
      <c r="I23" s="15" t="s">
        <v>4039</v>
      </c>
      <c r="J23" s="15" t="s">
        <v>4040</v>
      </c>
      <c r="K23" s="96" t="str">
        <f>IFERROR(INDEX(競技会設定!$J$3:$O$47,MATCH(J23,競技会設定!$M$3:$M$47,0),5),"")</f>
        <v>中京大</v>
      </c>
      <c r="L23" s="96" t="str">
        <f>IFERROR(INDEX(競技会設定!$J$3:$N$47,MATCH(K23,競技会設定!$N$3:$N$47,0),2),"")</f>
        <v>492173</v>
      </c>
      <c r="M23" s="15" t="s">
        <v>3859</v>
      </c>
      <c r="N23" s="96" t="str">
        <f t="shared" si="1"/>
        <v>KAWAI, Hirono</v>
      </c>
      <c r="O23" s="96" t="str">
        <f t="shared" si="2"/>
        <v>98</v>
      </c>
    </row>
    <row r="24" spans="1:15">
      <c r="A24" s="96" t="str">
        <f t="shared" si="0"/>
        <v>502002023</v>
      </c>
      <c r="B24" s="15" t="s">
        <v>4736</v>
      </c>
      <c r="C24" s="15" t="s">
        <v>4737</v>
      </c>
      <c r="D24" s="15" t="s">
        <v>4738</v>
      </c>
      <c r="E24" s="15" t="s">
        <v>3021</v>
      </c>
      <c r="F24" s="15" t="s">
        <v>6002</v>
      </c>
      <c r="G24" s="15" t="s">
        <v>6487</v>
      </c>
      <c r="H24" s="15" t="s">
        <v>4024</v>
      </c>
      <c r="I24" s="15" t="s">
        <v>4039</v>
      </c>
      <c r="J24" s="15" t="s">
        <v>4040</v>
      </c>
      <c r="K24" s="96" t="str">
        <f>IFERROR(INDEX(競技会設定!$J$3:$O$47,MATCH(J24,競技会設定!$M$3:$M$47,0),5),"")</f>
        <v>中京大</v>
      </c>
      <c r="L24" s="96" t="str">
        <f>IFERROR(INDEX(競技会設定!$J$3:$N$47,MATCH(K24,競技会設定!$N$3:$N$47,0),2),"")</f>
        <v>492173</v>
      </c>
      <c r="M24" s="15" t="s">
        <v>3857</v>
      </c>
      <c r="N24" s="96" t="str">
        <f t="shared" si="1"/>
        <v>ITO, Kao</v>
      </c>
      <c r="O24" s="96" t="str">
        <f t="shared" si="2"/>
        <v>99</v>
      </c>
    </row>
    <row r="25" spans="1:15">
      <c r="A25" s="96" t="str">
        <f t="shared" si="0"/>
        <v>502002024</v>
      </c>
      <c r="B25" s="15" t="s">
        <v>4739</v>
      </c>
      <c r="C25" s="15" t="s">
        <v>4740</v>
      </c>
      <c r="D25" s="15" t="s">
        <v>4741</v>
      </c>
      <c r="E25" s="15" t="s">
        <v>3021</v>
      </c>
      <c r="F25" s="15" t="s">
        <v>6003</v>
      </c>
      <c r="G25" s="15" t="s">
        <v>6488</v>
      </c>
      <c r="H25" s="15" t="s">
        <v>4024</v>
      </c>
      <c r="I25" s="15" t="s">
        <v>4039</v>
      </c>
      <c r="J25" s="15" t="s">
        <v>4040</v>
      </c>
      <c r="K25" s="96" t="str">
        <f>IFERROR(INDEX(競技会設定!$J$3:$O$47,MATCH(J25,競技会設定!$M$3:$M$47,0),5),"")</f>
        <v>中京大</v>
      </c>
      <c r="L25" s="96" t="str">
        <f>IFERROR(INDEX(競技会設定!$J$3:$N$47,MATCH(K25,競技会設定!$N$3:$N$47,0),2),"")</f>
        <v>492173</v>
      </c>
      <c r="M25" s="15" t="s">
        <v>3859</v>
      </c>
      <c r="N25" s="96" t="str">
        <f t="shared" si="1"/>
        <v>ITO, Ruria</v>
      </c>
      <c r="O25" s="96" t="str">
        <f t="shared" si="2"/>
        <v>99</v>
      </c>
    </row>
    <row r="26" spans="1:15">
      <c r="A26" s="96" t="str">
        <f t="shared" si="0"/>
        <v>502002025</v>
      </c>
      <c r="B26" s="15" t="s">
        <v>4742</v>
      </c>
      <c r="C26" s="15" t="s">
        <v>4743</v>
      </c>
      <c r="D26" s="15" t="s">
        <v>4744</v>
      </c>
      <c r="E26" s="15" t="s">
        <v>6004</v>
      </c>
      <c r="F26" s="15" t="s">
        <v>6005</v>
      </c>
      <c r="G26" s="15" t="s">
        <v>3541</v>
      </c>
      <c r="H26" s="15" t="s">
        <v>4024</v>
      </c>
      <c r="I26" s="15" t="s">
        <v>4039</v>
      </c>
      <c r="J26" s="15" t="s">
        <v>4040</v>
      </c>
      <c r="K26" s="96" t="str">
        <f>IFERROR(INDEX(競技会設定!$J$3:$O$47,MATCH(J26,競技会設定!$M$3:$M$47,0),5),"")</f>
        <v>中京大</v>
      </c>
      <c r="L26" s="96" t="str">
        <f>IFERROR(INDEX(競技会設定!$J$3:$N$47,MATCH(K26,競技会設定!$N$3:$N$47,0),2),"")</f>
        <v>492173</v>
      </c>
      <c r="M26" s="15" t="s">
        <v>3859</v>
      </c>
      <c r="N26" s="96" t="str">
        <f t="shared" si="1"/>
        <v>SHIBASAKI, Mei</v>
      </c>
      <c r="O26" s="96" t="str">
        <f t="shared" si="2"/>
        <v>99</v>
      </c>
    </row>
    <row r="27" spans="1:15">
      <c r="A27" s="96" t="str">
        <f t="shared" si="0"/>
        <v>502002026</v>
      </c>
      <c r="B27" s="15" t="s">
        <v>4745</v>
      </c>
      <c r="C27" s="15" t="s">
        <v>4746</v>
      </c>
      <c r="D27" s="15" t="s">
        <v>4747</v>
      </c>
      <c r="E27" s="15" t="s">
        <v>6006</v>
      </c>
      <c r="F27" s="15" t="s">
        <v>6007</v>
      </c>
      <c r="G27" s="15" t="s">
        <v>3182</v>
      </c>
      <c r="H27" s="15" t="s">
        <v>4024</v>
      </c>
      <c r="I27" s="15" t="s">
        <v>4039</v>
      </c>
      <c r="J27" s="15" t="s">
        <v>4040</v>
      </c>
      <c r="K27" s="96" t="str">
        <f>IFERROR(INDEX(競技会設定!$J$3:$O$47,MATCH(J27,競技会設定!$M$3:$M$47,0),5),"")</f>
        <v>中京大</v>
      </c>
      <c r="L27" s="96" t="str">
        <f>IFERROR(INDEX(競技会設定!$J$3:$N$47,MATCH(K27,競技会設定!$N$3:$N$47,0),2),"")</f>
        <v>492173</v>
      </c>
      <c r="M27" s="15" t="s">
        <v>3859</v>
      </c>
      <c r="N27" s="96" t="str">
        <f t="shared" si="1"/>
        <v>SAKAKIBARA, Rumi</v>
      </c>
      <c r="O27" s="96" t="str">
        <f t="shared" si="2"/>
        <v>99</v>
      </c>
    </row>
    <row r="28" spans="1:15">
      <c r="A28" s="96" t="str">
        <f t="shared" si="0"/>
        <v>502002027</v>
      </c>
      <c r="B28" s="15" t="s">
        <v>4748</v>
      </c>
      <c r="C28" s="15" t="s">
        <v>4749</v>
      </c>
      <c r="D28" s="15" t="s">
        <v>4750</v>
      </c>
      <c r="E28" s="15" t="s">
        <v>3015</v>
      </c>
      <c r="F28" s="15" t="s">
        <v>6008</v>
      </c>
      <c r="G28" s="15" t="s">
        <v>6489</v>
      </c>
      <c r="H28" s="15" t="s">
        <v>4024</v>
      </c>
      <c r="I28" s="15" t="s">
        <v>4039</v>
      </c>
      <c r="J28" s="15" t="s">
        <v>4040</v>
      </c>
      <c r="K28" s="96" t="str">
        <f>IFERROR(INDEX(競技会設定!$J$3:$O$47,MATCH(J28,競技会設定!$M$3:$M$47,0),5),"")</f>
        <v>中京大</v>
      </c>
      <c r="L28" s="96" t="str">
        <f>IFERROR(INDEX(競技会設定!$J$3:$N$47,MATCH(K28,競技会設定!$N$3:$N$47,0),2),"")</f>
        <v>492173</v>
      </c>
      <c r="M28" s="15" t="s">
        <v>3859</v>
      </c>
      <c r="N28" s="96" t="str">
        <f t="shared" si="1"/>
        <v>SUZUKI, Akane</v>
      </c>
      <c r="O28" s="96" t="str">
        <f t="shared" si="2"/>
        <v>99</v>
      </c>
    </row>
    <row r="29" spans="1:15">
      <c r="A29" s="96" t="str">
        <f t="shared" si="0"/>
        <v>502002028</v>
      </c>
      <c r="B29" s="15" t="s">
        <v>4751</v>
      </c>
      <c r="C29" s="15" t="s">
        <v>4752</v>
      </c>
      <c r="D29" s="15" t="s">
        <v>4753</v>
      </c>
      <c r="E29" s="15" t="s">
        <v>6009</v>
      </c>
      <c r="F29" s="15" t="s">
        <v>6010</v>
      </c>
      <c r="G29" s="15" t="s">
        <v>3287</v>
      </c>
      <c r="H29" s="15" t="s">
        <v>4024</v>
      </c>
      <c r="I29" s="15" t="s">
        <v>4039</v>
      </c>
      <c r="J29" s="15" t="s">
        <v>4040</v>
      </c>
      <c r="K29" s="96" t="str">
        <f>IFERROR(INDEX(競技会設定!$J$3:$O$47,MATCH(J29,競技会設定!$M$3:$M$47,0),5),"")</f>
        <v>中京大</v>
      </c>
      <c r="L29" s="96" t="str">
        <f>IFERROR(INDEX(競技会設定!$J$3:$N$47,MATCH(K29,競技会設定!$N$3:$N$47,0),2),"")</f>
        <v>492173</v>
      </c>
      <c r="M29" s="15" t="s">
        <v>3867</v>
      </c>
      <c r="N29" s="96" t="str">
        <f t="shared" si="1"/>
        <v>HAYAMA, Hinata</v>
      </c>
      <c r="O29" s="96" t="str">
        <f t="shared" si="2"/>
        <v>99</v>
      </c>
    </row>
    <row r="30" spans="1:15">
      <c r="A30" s="96" t="str">
        <f t="shared" si="0"/>
        <v>502002029</v>
      </c>
      <c r="B30" s="15" t="s">
        <v>4754</v>
      </c>
      <c r="C30" s="15" t="s">
        <v>4755</v>
      </c>
      <c r="D30" s="15" t="s">
        <v>4756</v>
      </c>
      <c r="E30" s="15" t="s">
        <v>6011</v>
      </c>
      <c r="F30" s="15" t="s">
        <v>6012</v>
      </c>
      <c r="G30" s="15" t="s">
        <v>3288</v>
      </c>
      <c r="H30" s="15" t="s">
        <v>4024</v>
      </c>
      <c r="I30" s="15" t="s">
        <v>4039</v>
      </c>
      <c r="J30" s="15" t="s">
        <v>4040</v>
      </c>
      <c r="K30" s="96" t="str">
        <f>IFERROR(INDEX(競技会設定!$J$3:$O$47,MATCH(J30,競技会設定!$M$3:$M$47,0),5),"")</f>
        <v>中京大</v>
      </c>
      <c r="L30" s="96" t="str">
        <f>IFERROR(INDEX(競技会設定!$J$3:$N$47,MATCH(K30,競技会設定!$N$3:$N$47,0),2),"")</f>
        <v>492173</v>
      </c>
      <c r="M30" s="15" t="s">
        <v>3859</v>
      </c>
      <c r="N30" s="96" t="str">
        <f t="shared" si="1"/>
        <v>MITSUYA, Hitomi</v>
      </c>
      <c r="O30" s="96" t="str">
        <f t="shared" si="2"/>
        <v>00</v>
      </c>
    </row>
    <row r="31" spans="1:15">
      <c r="A31" s="96" t="str">
        <f t="shared" si="0"/>
        <v>502002030</v>
      </c>
      <c r="B31" s="15" t="s">
        <v>4757</v>
      </c>
      <c r="C31" s="15" t="s">
        <v>4758</v>
      </c>
      <c r="D31" s="15" t="s">
        <v>4759</v>
      </c>
      <c r="E31" s="15" t="s">
        <v>5983</v>
      </c>
      <c r="F31" s="15" t="s">
        <v>6013</v>
      </c>
      <c r="G31" s="15" t="s">
        <v>6490</v>
      </c>
      <c r="H31" s="15" t="s">
        <v>4024</v>
      </c>
      <c r="I31" s="15" t="s">
        <v>4039</v>
      </c>
      <c r="J31" s="15" t="s">
        <v>4040</v>
      </c>
      <c r="K31" s="96" t="str">
        <f>IFERROR(INDEX(競技会設定!$J$3:$O$47,MATCH(J31,競技会設定!$M$3:$M$47,0),5),"")</f>
        <v>中京大</v>
      </c>
      <c r="L31" s="96" t="str">
        <f>IFERROR(INDEX(競技会設定!$J$3:$N$47,MATCH(K31,競技会設定!$N$3:$N$47,0),2),"")</f>
        <v>492173</v>
      </c>
      <c r="M31" s="15" t="s">
        <v>3859</v>
      </c>
      <c r="N31" s="96" t="str">
        <f t="shared" si="1"/>
        <v>YAGI, Akari</v>
      </c>
      <c r="O31" s="96" t="str">
        <f t="shared" si="2"/>
        <v>99</v>
      </c>
    </row>
    <row r="32" spans="1:15">
      <c r="A32" s="96" t="str">
        <f t="shared" si="0"/>
        <v>502002031</v>
      </c>
      <c r="B32" s="15" t="s">
        <v>4760</v>
      </c>
      <c r="C32" s="15" t="s">
        <v>4761</v>
      </c>
      <c r="D32" s="15" t="s">
        <v>4762</v>
      </c>
      <c r="E32" s="15" t="s">
        <v>4534</v>
      </c>
      <c r="F32" s="15" t="s">
        <v>6014</v>
      </c>
      <c r="G32" s="15" t="s">
        <v>6491</v>
      </c>
      <c r="H32" s="15" t="s">
        <v>4024</v>
      </c>
      <c r="I32" s="15" t="s">
        <v>4039</v>
      </c>
      <c r="J32" s="15" t="s">
        <v>4040</v>
      </c>
      <c r="K32" s="96" t="str">
        <f>IFERROR(INDEX(競技会設定!$J$3:$O$47,MATCH(J32,競技会設定!$M$3:$M$47,0),5),"")</f>
        <v>中京大</v>
      </c>
      <c r="L32" s="96" t="str">
        <f>IFERROR(INDEX(競技会設定!$J$3:$N$47,MATCH(K32,競技会設定!$N$3:$N$47,0),2),"")</f>
        <v>492173</v>
      </c>
      <c r="M32" s="15" t="s">
        <v>3857</v>
      </c>
      <c r="N32" s="96" t="str">
        <f t="shared" si="1"/>
        <v>TATSUMI, Mao</v>
      </c>
      <c r="O32" s="96" t="str">
        <f t="shared" si="2"/>
        <v>00</v>
      </c>
    </row>
    <row r="33" spans="1:15">
      <c r="A33" s="96" t="str">
        <f t="shared" si="0"/>
        <v>502002032</v>
      </c>
      <c r="B33" s="15" t="s">
        <v>4763</v>
      </c>
      <c r="C33" s="15" t="s">
        <v>4764</v>
      </c>
      <c r="D33" s="15" t="s">
        <v>4765</v>
      </c>
      <c r="E33" s="15" t="s">
        <v>3051</v>
      </c>
      <c r="F33" s="15" t="s">
        <v>3009</v>
      </c>
      <c r="G33" s="15" t="s">
        <v>3189</v>
      </c>
      <c r="H33" s="15" t="s">
        <v>4024</v>
      </c>
      <c r="I33" s="15" t="s">
        <v>4039</v>
      </c>
      <c r="J33" s="15" t="s">
        <v>4040</v>
      </c>
      <c r="K33" s="96" t="str">
        <f>IFERROR(INDEX(競技会設定!$J$3:$O$47,MATCH(J33,競技会設定!$M$3:$M$47,0),5),"")</f>
        <v>中京大</v>
      </c>
      <c r="L33" s="96" t="str">
        <f>IFERROR(INDEX(競技会設定!$J$3:$N$47,MATCH(K33,競技会設定!$N$3:$N$47,0),2),"")</f>
        <v>492173</v>
      </c>
      <c r="M33" s="15" t="s">
        <v>3857</v>
      </c>
      <c r="N33" s="96" t="str">
        <f t="shared" si="1"/>
        <v>KAMIYA, Yuki</v>
      </c>
      <c r="O33" s="96" t="str">
        <f t="shared" si="2"/>
        <v>99</v>
      </c>
    </row>
    <row r="34" spans="1:15">
      <c r="A34" s="96" t="str">
        <f t="shared" si="0"/>
        <v>502002033</v>
      </c>
      <c r="B34" s="15" t="s">
        <v>4766</v>
      </c>
      <c r="C34" s="15" t="s">
        <v>4767</v>
      </c>
      <c r="D34" s="15" t="s">
        <v>4768</v>
      </c>
      <c r="E34" s="15" t="s">
        <v>3015</v>
      </c>
      <c r="F34" s="15" t="s">
        <v>6015</v>
      </c>
      <c r="G34" s="15" t="s">
        <v>6492</v>
      </c>
      <c r="H34" s="15" t="s">
        <v>4024</v>
      </c>
      <c r="I34" s="15" t="s">
        <v>4039</v>
      </c>
      <c r="J34" s="15" t="s">
        <v>4040</v>
      </c>
      <c r="K34" s="96" t="str">
        <f>IFERROR(INDEX(競技会設定!$J$3:$O$47,MATCH(J34,競技会設定!$M$3:$M$47,0),5),"")</f>
        <v>中京大</v>
      </c>
      <c r="L34" s="96" t="str">
        <f>IFERROR(INDEX(競技会設定!$J$3:$N$47,MATCH(K34,競技会設定!$N$3:$N$47,0),2),"")</f>
        <v>492173</v>
      </c>
      <c r="M34" s="15" t="s">
        <v>3859</v>
      </c>
      <c r="N34" s="96" t="str">
        <f t="shared" si="1"/>
        <v>SUZUKI, Rion</v>
      </c>
      <c r="O34" s="96" t="str">
        <f t="shared" si="2"/>
        <v>99</v>
      </c>
    </row>
    <row r="35" spans="1:15">
      <c r="A35" s="96" t="str">
        <f t="shared" si="0"/>
        <v>502002034</v>
      </c>
      <c r="B35" s="15" t="s">
        <v>4769</v>
      </c>
      <c r="C35" s="15" t="s">
        <v>4770</v>
      </c>
      <c r="D35" s="15" t="s">
        <v>4771</v>
      </c>
      <c r="E35" s="15" t="s">
        <v>3058</v>
      </c>
      <c r="F35" s="15" t="s">
        <v>6016</v>
      </c>
      <c r="G35" s="15" t="s">
        <v>3130</v>
      </c>
      <c r="H35" s="15" t="s">
        <v>4024</v>
      </c>
      <c r="I35" s="15" t="s">
        <v>4039</v>
      </c>
      <c r="J35" s="15" t="s">
        <v>4040</v>
      </c>
      <c r="K35" s="96" t="str">
        <f>IFERROR(INDEX(競技会設定!$J$3:$O$47,MATCH(J35,競技会設定!$M$3:$M$47,0),5),"")</f>
        <v>中京大</v>
      </c>
      <c r="L35" s="96" t="str">
        <f>IFERROR(INDEX(競技会設定!$J$3:$N$47,MATCH(K35,競技会設定!$N$3:$N$47,0),2),"")</f>
        <v>492173</v>
      </c>
      <c r="M35" s="15" t="s">
        <v>3859</v>
      </c>
      <c r="N35" s="96" t="str">
        <f t="shared" si="1"/>
        <v>KONDO, Sana</v>
      </c>
      <c r="O35" s="96" t="str">
        <f t="shared" si="2"/>
        <v>99</v>
      </c>
    </row>
    <row r="36" spans="1:15">
      <c r="A36" s="96" t="str">
        <f t="shared" si="0"/>
        <v>502002035</v>
      </c>
      <c r="B36" s="15" t="s">
        <v>4772</v>
      </c>
      <c r="C36" s="15" t="s">
        <v>4773</v>
      </c>
      <c r="D36" s="15" t="s">
        <v>4774</v>
      </c>
      <c r="E36" s="15" t="s">
        <v>6017</v>
      </c>
      <c r="F36" s="15" t="s">
        <v>6018</v>
      </c>
      <c r="G36" s="15" t="s">
        <v>6493</v>
      </c>
      <c r="H36" s="15" t="s">
        <v>4024</v>
      </c>
      <c r="I36" s="15" t="s">
        <v>4039</v>
      </c>
      <c r="J36" s="15" t="s">
        <v>4040</v>
      </c>
      <c r="K36" s="96" t="str">
        <f>IFERROR(INDEX(競技会設定!$J$3:$O$47,MATCH(J36,競技会設定!$M$3:$M$47,0),5),"")</f>
        <v>中京大</v>
      </c>
      <c r="L36" s="96" t="str">
        <f>IFERROR(INDEX(競技会設定!$J$3:$N$47,MATCH(K36,競技会設定!$N$3:$N$47,0),2),"")</f>
        <v>492173</v>
      </c>
      <c r="M36" s="15" t="s">
        <v>3905</v>
      </c>
      <c r="N36" s="96" t="str">
        <f t="shared" si="1"/>
        <v>TOMIOKA, Minori</v>
      </c>
      <c r="O36" s="96" t="str">
        <f t="shared" si="2"/>
        <v>99</v>
      </c>
    </row>
    <row r="37" spans="1:15">
      <c r="A37" s="96" t="str">
        <f t="shared" si="0"/>
        <v>502002036</v>
      </c>
      <c r="B37" s="15" t="s">
        <v>4775</v>
      </c>
      <c r="C37" s="15" t="s">
        <v>4776</v>
      </c>
      <c r="D37" s="15" t="s">
        <v>4777</v>
      </c>
      <c r="E37" s="15" t="s">
        <v>6019</v>
      </c>
      <c r="F37" s="15" t="s">
        <v>6020</v>
      </c>
      <c r="G37" s="15" t="s">
        <v>6492</v>
      </c>
      <c r="H37" s="15" t="s">
        <v>4024</v>
      </c>
      <c r="I37" s="15" t="s">
        <v>4039</v>
      </c>
      <c r="J37" s="15" t="s">
        <v>4040</v>
      </c>
      <c r="K37" s="96" t="str">
        <f>IFERROR(INDEX(競技会設定!$J$3:$O$47,MATCH(J37,競技会設定!$M$3:$M$47,0),5),"")</f>
        <v>中京大</v>
      </c>
      <c r="L37" s="96" t="str">
        <f>IFERROR(INDEX(競技会設定!$J$3:$N$47,MATCH(K37,競技会設定!$N$3:$N$47,0),2),"")</f>
        <v>492173</v>
      </c>
      <c r="M37" s="15" t="s">
        <v>3859</v>
      </c>
      <c r="N37" s="96" t="str">
        <f t="shared" si="1"/>
        <v>HIRANO, Kanna</v>
      </c>
      <c r="O37" s="96" t="str">
        <f t="shared" si="2"/>
        <v>99</v>
      </c>
    </row>
    <row r="38" spans="1:15">
      <c r="A38" s="96" t="str">
        <f t="shared" si="0"/>
        <v>502002037</v>
      </c>
      <c r="B38" s="15" t="s">
        <v>4778</v>
      </c>
      <c r="C38" s="15" t="s">
        <v>4779</v>
      </c>
      <c r="D38" s="15" t="s">
        <v>4780</v>
      </c>
      <c r="E38" s="15" t="s">
        <v>6021</v>
      </c>
      <c r="F38" s="15" t="s">
        <v>6022</v>
      </c>
      <c r="G38" s="15" t="s">
        <v>3104</v>
      </c>
      <c r="H38" s="15" t="s">
        <v>4024</v>
      </c>
      <c r="I38" s="15" t="s">
        <v>4039</v>
      </c>
      <c r="J38" s="15" t="s">
        <v>4040</v>
      </c>
      <c r="K38" s="96" t="str">
        <f>IFERROR(INDEX(競技会設定!$J$3:$O$47,MATCH(J38,競技会設定!$M$3:$M$47,0),5),"")</f>
        <v>中京大</v>
      </c>
      <c r="L38" s="96" t="str">
        <f>IFERROR(INDEX(競技会設定!$J$3:$N$47,MATCH(K38,競技会設定!$N$3:$N$47,0),2),"")</f>
        <v>492173</v>
      </c>
      <c r="M38" s="15" t="s">
        <v>3861</v>
      </c>
      <c r="N38" s="96" t="str">
        <f t="shared" si="1"/>
        <v>IOKA, Maho</v>
      </c>
      <c r="O38" s="96" t="str">
        <f t="shared" si="2"/>
        <v>99</v>
      </c>
    </row>
    <row r="39" spans="1:15">
      <c r="A39" s="96" t="str">
        <f t="shared" si="0"/>
        <v>502002038</v>
      </c>
      <c r="B39" s="15" t="s">
        <v>4781</v>
      </c>
      <c r="C39" s="15" t="s">
        <v>4782</v>
      </c>
      <c r="D39" s="15" t="s">
        <v>4783</v>
      </c>
      <c r="E39" s="15" t="s">
        <v>6023</v>
      </c>
      <c r="F39" s="15" t="s">
        <v>6024</v>
      </c>
      <c r="G39" s="15" t="s">
        <v>3109</v>
      </c>
      <c r="H39" s="15" t="s">
        <v>4024</v>
      </c>
      <c r="I39" s="15" t="s">
        <v>4039</v>
      </c>
      <c r="J39" s="15" t="s">
        <v>4040</v>
      </c>
      <c r="K39" s="96" t="str">
        <f>IFERROR(INDEX(競技会設定!$J$3:$O$47,MATCH(J39,競技会設定!$M$3:$M$47,0),5),"")</f>
        <v>中京大</v>
      </c>
      <c r="L39" s="96" t="str">
        <f>IFERROR(INDEX(競技会設定!$J$3:$N$47,MATCH(K39,競技会設定!$N$3:$N$47,0),2),"")</f>
        <v>492173</v>
      </c>
      <c r="M39" s="15" t="s">
        <v>3855</v>
      </c>
      <c r="N39" s="96" t="str">
        <f t="shared" si="1"/>
        <v>TAKASE, Yuina</v>
      </c>
      <c r="O39" s="96" t="str">
        <f t="shared" si="2"/>
        <v>99</v>
      </c>
    </row>
    <row r="40" spans="1:15">
      <c r="A40" s="96" t="str">
        <f t="shared" si="0"/>
        <v>502002039</v>
      </c>
      <c r="B40" s="15" t="s">
        <v>4784</v>
      </c>
      <c r="C40" s="15" t="s">
        <v>4785</v>
      </c>
      <c r="D40" s="15" t="s">
        <v>4786</v>
      </c>
      <c r="E40" s="15" t="s">
        <v>6025</v>
      </c>
      <c r="F40" s="15" t="s">
        <v>6026</v>
      </c>
      <c r="G40" s="15" t="s">
        <v>3122</v>
      </c>
      <c r="H40" s="15" t="s">
        <v>4024</v>
      </c>
      <c r="I40" s="15" t="s">
        <v>4039</v>
      </c>
      <c r="J40" s="15" t="s">
        <v>4040</v>
      </c>
      <c r="K40" s="96" t="str">
        <f>IFERROR(INDEX(競技会設定!$J$3:$O$47,MATCH(J40,競技会設定!$M$3:$M$47,0),5),"")</f>
        <v>中京大</v>
      </c>
      <c r="L40" s="96" t="str">
        <f>IFERROR(INDEX(競技会設定!$J$3:$N$47,MATCH(K40,競技会設定!$N$3:$N$47,0),2),"")</f>
        <v>492173</v>
      </c>
      <c r="M40" s="15" t="s">
        <v>3859</v>
      </c>
      <c r="N40" s="96" t="str">
        <f t="shared" si="1"/>
        <v>SHIOUCHI, Masayo</v>
      </c>
      <c r="O40" s="96" t="str">
        <f t="shared" si="2"/>
        <v>99</v>
      </c>
    </row>
    <row r="41" spans="1:15">
      <c r="A41" s="96" t="str">
        <f t="shared" si="0"/>
        <v>502002040</v>
      </c>
      <c r="B41" s="15" t="s">
        <v>4787</v>
      </c>
      <c r="C41" s="15" t="s">
        <v>4788</v>
      </c>
      <c r="D41" s="15" t="s">
        <v>4789</v>
      </c>
      <c r="E41" s="15" t="s">
        <v>6027</v>
      </c>
      <c r="F41" s="15" t="s">
        <v>6028</v>
      </c>
      <c r="G41" s="15" t="s">
        <v>6494</v>
      </c>
      <c r="H41" s="15" t="s">
        <v>4026</v>
      </c>
      <c r="I41" s="15" t="s">
        <v>4039</v>
      </c>
      <c r="J41" s="15" t="s">
        <v>4040</v>
      </c>
      <c r="K41" s="96" t="str">
        <f>IFERROR(INDEX(競技会設定!$J$3:$O$47,MATCH(J41,競技会設定!$M$3:$M$47,0),5),"")</f>
        <v>中京大</v>
      </c>
      <c r="L41" s="96" t="str">
        <f>IFERROR(INDEX(競技会設定!$J$3:$N$47,MATCH(K41,競技会設定!$N$3:$N$47,0),2),"")</f>
        <v>492173</v>
      </c>
      <c r="M41" s="15" t="s">
        <v>3859</v>
      </c>
      <c r="N41" s="96" t="str">
        <f t="shared" si="1"/>
        <v>ASAOKA, Naho</v>
      </c>
      <c r="O41" s="96" t="str">
        <f t="shared" si="2"/>
        <v>00</v>
      </c>
    </row>
    <row r="42" spans="1:15">
      <c r="A42" s="96" t="str">
        <f t="shared" si="0"/>
        <v>502002041</v>
      </c>
      <c r="B42" s="15" t="s">
        <v>4790</v>
      </c>
      <c r="C42" s="15" t="s">
        <v>4791</v>
      </c>
      <c r="D42" s="15" t="s">
        <v>4792</v>
      </c>
      <c r="E42" s="15" t="s">
        <v>6029</v>
      </c>
      <c r="F42" s="15" t="s">
        <v>6030</v>
      </c>
      <c r="G42" s="15" t="s">
        <v>3225</v>
      </c>
      <c r="H42" s="15" t="s">
        <v>4026</v>
      </c>
      <c r="I42" s="15" t="s">
        <v>4039</v>
      </c>
      <c r="J42" s="15" t="s">
        <v>4040</v>
      </c>
      <c r="K42" s="96" t="str">
        <f>IFERROR(INDEX(競技会設定!$J$3:$O$47,MATCH(J42,競技会設定!$M$3:$M$47,0),5),"")</f>
        <v>中京大</v>
      </c>
      <c r="L42" s="96" t="str">
        <f>IFERROR(INDEX(競技会設定!$J$3:$N$47,MATCH(K42,競技会設定!$N$3:$N$47,0),2),"")</f>
        <v>492173</v>
      </c>
      <c r="M42" s="15" t="s">
        <v>3859</v>
      </c>
      <c r="N42" s="96" t="str">
        <f t="shared" si="1"/>
        <v>IKUTA, Naoko</v>
      </c>
      <c r="O42" s="96" t="str">
        <f t="shared" si="2"/>
        <v>00</v>
      </c>
    </row>
    <row r="43" spans="1:15">
      <c r="A43" s="96" t="str">
        <f t="shared" si="0"/>
        <v>502002042</v>
      </c>
      <c r="B43" s="15" t="s">
        <v>4793</v>
      </c>
      <c r="C43" s="15" t="s">
        <v>4794</v>
      </c>
      <c r="D43" s="15" t="s">
        <v>4795</v>
      </c>
      <c r="E43" s="15" t="s">
        <v>6031</v>
      </c>
      <c r="F43" s="15" t="s">
        <v>6032</v>
      </c>
      <c r="G43" s="15" t="s">
        <v>3157</v>
      </c>
      <c r="H43" s="15" t="s">
        <v>4026</v>
      </c>
      <c r="I43" s="15" t="s">
        <v>4039</v>
      </c>
      <c r="J43" s="15" t="s">
        <v>4040</v>
      </c>
      <c r="K43" s="96" t="str">
        <f>IFERROR(INDEX(競技会設定!$J$3:$O$47,MATCH(J43,競技会設定!$M$3:$M$47,0),5),"")</f>
        <v>中京大</v>
      </c>
      <c r="L43" s="96" t="str">
        <f>IFERROR(INDEX(競技会設定!$J$3:$N$47,MATCH(K43,競技会設定!$N$3:$N$47,0),2),"")</f>
        <v>492173</v>
      </c>
      <c r="M43" s="15" t="s">
        <v>3893</v>
      </c>
      <c r="N43" s="96" t="str">
        <f t="shared" si="1"/>
        <v>IKEDA, Kanako</v>
      </c>
      <c r="O43" s="96" t="str">
        <f t="shared" si="2"/>
        <v>00</v>
      </c>
    </row>
    <row r="44" spans="1:15">
      <c r="A44" s="96" t="str">
        <f t="shared" si="0"/>
        <v>502002043</v>
      </c>
      <c r="B44" s="15" t="s">
        <v>4796</v>
      </c>
      <c r="C44" s="15" t="s">
        <v>4797</v>
      </c>
      <c r="D44" s="15" t="s">
        <v>4798</v>
      </c>
      <c r="E44" s="15" t="s">
        <v>6033</v>
      </c>
      <c r="F44" s="15" t="s">
        <v>6034</v>
      </c>
      <c r="G44" s="15" t="s">
        <v>6495</v>
      </c>
      <c r="H44" s="15" t="s">
        <v>4026</v>
      </c>
      <c r="I44" s="15" t="s">
        <v>4039</v>
      </c>
      <c r="J44" s="15" t="s">
        <v>4040</v>
      </c>
      <c r="K44" s="96" t="str">
        <f>IFERROR(INDEX(競技会設定!$J$3:$O$47,MATCH(J44,競技会設定!$M$3:$M$47,0),5),"")</f>
        <v>中京大</v>
      </c>
      <c r="L44" s="96" t="str">
        <f>IFERROR(INDEX(競技会設定!$J$3:$N$47,MATCH(K44,競技会設定!$N$3:$N$47,0),2),"")</f>
        <v>492173</v>
      </c>
      <c r="M44" s="15" t="s">
        <v>3883</v>
      </c>
      <c r="N44" s="96" t="str">
        <f t="shared" si="1"/>
        <v>KANETSUKI, Shizuka</v>
      </c>
      <c r="O44" s="96" t="str">
        <f t="shared" si="2"/>
        <v>01</v>
      </c>
    </row>
    <row r="45" spans="1:15">
      <c r="A45" s="96" t="str">
        <f t="shared" si="0"/>
        <v>502002044</v>
      </c>
      <c r="B45" s="15" t="s">
        <v>4799</v>
      </c>
      <c r="C45" s="15" t="s">
        <v>4800</v>
      </c>
      <c r="D45" s="15" t="s">
        <v>4801</v>
      </c>
      <c r="E45" s="15" t="s">
        <v>3021</v>
      </c>
      <c r="F45" s="15" t="s">
        <v>6035</v>
      </c>
      <c r="G45" s="15" t="s">
        <v>3148</v>
      </c>
      <c r="H45" s="15" t="s">
        <v>4026</v>
      </c>
      <c r="I45" s="15" t="s">
        <v>4039</v>
      </c>
      <c r="J45" s="15" t="s">
        <v>4040</v>
      </c>
      <c r="K45" s="96" t="str">
        <f>IFERROR(INDEX(競技会設定!$J$3:$O$47,MATCH(J45,競技会設定!$M$3:$M$47,0),5),"")</f>
        <v>中京大</v>
      </c>
      <c r="L45" s="96" t="str">
        <f>IFERROR(INDEX(競技会設定!$J$3:$N$47,MATCH(K45,競技会設定!$N$3:$N$47,0),2),"")</f>
        <v>492173</v>
      </c>
      <c r="M45" s="15" t="s">
        <v>3855</v>
      </c>
      <c r="N45" s="96" t="str">
        <f t="shared" si="1"/>
        <v>ITO, Yui</v>
      </c>
      <c r="O45" s="96" t="str">
        <f t="shared" si="2"/>
        <v>00</v>
      </c>
    </row>
    <row r="46" spans="1:15">
      <c r="A46" s="96" t="str">
        <f t="shared" si="0"/>
        <v>502002045</v>
      </c>
      <c r="B46" s="15" t="s">
        <v>4802</v>
      </c>
      <c r="C46" s="15" t="s">
        <v>4803</v>
      </c>
      <c r="D46" s="15" t="s">
        <v>4804</v>
      </c>
      <c r="E46" s="15" t="s">
        <v>6036</v>
      </c>
      <c r="F46" s="15" t="s">
        <v>5967</v>
      </c>
      <c r="G46" s="15" t="s">
        <v>6496</v>
      </c>
      <c r="H46" s="15" t="s">
        <v>4026</v>
      </c>
      <c r="I46" s="15" t="s">
        <v>4039</v>
      </c>
      <c r="J46" s="15" t="s">
        <v>4040</v>
      </c>
      <c r="K46" s="96" t="str">
        <f>IFERROR(INDEX(競技会設定!$J$3:$O$47,MATCH(J46,競技会設定!$M$3:$M$47,0),5),"")</f>
        <v>中京大</v>
      </c>
      <c r="L46" s="96" t="str">
        <f>IFERROR(INDEX(競技会設定!$J$3:$N$47,MATCH(K46,競技会設定!$N$3:$N$47,0),2),"")</f>
        <v>492173</v>
      </c>
      <c r="M46" s="15" t="s">
        <v>3859</v>
      </c>
      <c r="N46" s="96" t="str">
        <f t="shared" si="1"/>
        <v>SHIRASAKA, Mizuki</v>
      </c>
      <c r="O46" s="96" t="str">
        <f t="shared" si="2"/>
        <v>00</v>
      </c>
    </row>
    <row r="47" spans="1:15">
      <c r="A47" s="96" t="str">
        <f t="shared" si="0"/>
        <v>502002046</v>
      </c>
      <c r="B47" s="15" t="s">
        <v>4805</v>
      </c>
      <c r="C47" s="15" t="s">
        <v>4806</v>
      </c>
      <c r="D47" s="15" t="s">
        <v>4807</v>
      </c>
      <c r="E47" s="15" t="s">
        <v>6037</v>
      </c>
      <c r="F47" s="15" t="s">
        <v>6038</v>
      </c>
      <c r="G47" s="15" t="s">
        <v>6497</v>
      </c>
      <c r="H47" s="15" t="s">
        <v>4026</v>
      </c>
      <c r="I47" s="15" t="s">
        <v>4039</v>
      </c>
      <c r="J47" s="15" t="s">
        <v>4040</v>
      </c>
      <c r="K47" s="96" t="str">
        <f>IFERROR(INDEX(競技会設定!$J$3:$O$47,MATCH(J47,競技会設定!$M$3:$M$47,0),5),"")</f>
        <v>中京大</v>
      </c>
      <c r="L47" s="96" t="str">
        <f>IFERROR(INDEX(競技会設定!$J$3:$N$47,MATCH(K47,競技会設定!$N$3:$N$47,0),2),"")</f>
        <v>492173</v>
      </c>
      <c r="M47" s="15" t="s">
        <v>3859</v>
      </c>
      <c r="N47" s="96" t="str">
        <f t="shared" si="1"/>
        <v>INAYOSHI, Tubaki</v>
      </c>
      <c r="O47" s="96" t="str">
        <f t="shared" si="2"/>
        <v>01</v>
      </c>
    </row>
    <row r="48" spans="1:15">
      <c r="A48" s="96" t="str">
        <f t="shared" si="0"/>
        <v>502002047</v>
      </c>
      <c r="B48" s="15" t="s">
        <v>4808</v>
      </c>
      <c r="C48" s="15" t="s">
        <v>4809</v>
      </c>
      <c r="D48" s="15" t="s">
        <v>4810</v>
      </c>
      <c r="E48" s="15" t="s">
        <v>3031</v>
      </c>
      <c r="F48" s="15" t="s">
        <v>6039</v>
      </c>
      <c r="G48" s="15" t="s">
        <v>6498</v>
      </c>
      <c r="H48" s="15" t="s">
        <v>4026</v>
      </c>
      <c r="I48" s="15" t="s">
        <v>4039</v>
      </c>
      <c r="J48" s="15" t="s">
        <v>4040</v>
      </c>
      <c r="K48" s="96" t="str">
        <f>IFERROR(INDEX(競技会設定!$J$3:$O$47,MATCH(J48,競技会設定!$M$3:$M$47,0),5),"")</f>
        <v>中京大</v>
      </c>
      <c r="L48" s="96" t="str">
        <f>IFERROR(INDEX(競技会設定!$J$3:$N$47,MATCH(K48,競技会設定!$N$3:$N$47,0),2),"")</f>
        <v>492173</v>
      </c>
      <c r="M48" s="15" t="s">
        <v>3853</v>
      </c>
      <c r="N48" s="96" t="str">
        <f t="shared" si="1"/>
        <v>OCHIAI, Hayane</v>
      </c>
      <c r="O48" s="96" t="str">
        <f t="shared" si="2"/>
        <v>00</v>
      </c>
    </row>
    <row r="49" spans="1:15">
      <c r="A49" s="96" t="str">
        <f t="shared" si="0"/>
        <v>502002048</v>
      </c>
      <c r="B49" s="15" t="s">
        <v>4811</v>
      </c>
      <c r="C49" s="15" t="s">
        <v>4812</v>
      </c>
      <c r="D49" s="15" t="s">
        <v>4813</v>
      </c>
      <c r="E49" s="15" t="s">
        <v>6040</v>
      </c>
      <c r="F49" s="15" t="s">
        <v>6041</v>
      </c>
      <c r="G49" s="15" t="s">
        <v>6499</v>
      </c>
      <c r="H49" s="15" t="s">
        <v>4026</v>
      </c>
      <c r="I49" s="15" t="s">
        <v>4039</v>
      </c>
      <c r="J49" s="15" t="s">
        <v>4040</v>
      </c>
      <c r="K49" s="96" t="str">
        <f>IFERROR(INDEX(競技会設定!$J$3:$O$47,MATCH(J49,競技会設定!$M$3:$M$47,0),5),"")</f>
        <v>中京大</v>
      </c>
      <c r="L49" s="96" t="str">
        <f>IFERROR(INDEX(競技会設定!$J$3:$N$47,MATCH(K49,競技会設定!$N$3:$N$47,0),2),"")</f>
        <v>492173</v>
      </c>
      <c r="M49" s="15" t="s">
        <v>3859</v>
      </c>
      <c r="N49" s="96" t="str">
        <f t="shared" si="1"/>
        <v>KAMMORI, Kayo</v>
      </c>
      <c r="O49" s="96" t="str">
        <f t="shared" si="2"/>
        <v>00</v>
      </c>
    </row>
    <row r="50" spans="1:15">
      <c r="A50" s="96" t="str">
        <f t="shared" si="0"/>
        <v>502002049</v>
      </c>
      <c r="B50" s="15" t="s">
        <v>4814</v>
      </c>
      <c r="C50" s="15" t="s">
        <v>4815</v>
      </c>
      <c r="D50" s="15" t="s">
        <v>4816</v>
      </c>
      <c r="E50" s="15" t="s">
        <v>6042</v>
      </c>
      <c r="F50" s="15" t="s">
        <v>6043</v>
      </c>
      <c r="G50" s="15" t="s">
        <v>3486</v>
      </c>
      <c r="H50" s="15" t="s">
        <v>4026</v>
      </c>
      <c r="I50" s="15" t="s">
        <v>4039</v>
      </c>
      <c r="J50" s="15" t="s">
        <v>4040</v>
      </c>
      <c r="K50" s="96" t="str">
        <f>IFERROR(INDEX(競技会設定!$J$3:$O$47,MATCH(J50,競技会設定!$M$3:$M$47,0),5),"")</f>
        <v>中京大</v>
      </c>
      <c r="L50" s="96" t="str">
        <f>IFERROR(INDEX(競技会設定!$J$3:$N$47,MATCH(K50,競技会設定!$N$3:$N$47,0),2),"")</f>
        <v>492173</v>
      </c>
      <c r="M50" s="15" t="s">
        <v>3857</v>
      </c>
      <c r="N50" s="96" t="str">
        <f t="shared" si="1"/>
        <v>MUROFUSHI, Wakana</v>
      </c>
      <c r="O50" s="96" t="str">
        <f t="shared" si="2"/>
        <v>01</v>
      </c>
    </row>
    <row r="51" spans="1:15">
      <c r="A51" s="96" t="str">
        <f t="shared" si="0"/>
        <v>502002050</v>
      </c>
      <c r="B51" s="15" t="s">
        <v>4817</v>
      </c>
      <c r="C51" s="15" t="s">
        <v>4818</v>
      </c>
      <c r="D51" s="15" t="s">
        <v>4819</v>
      </c>
      <c r="E51" s="15" t="s">
        <v>6044</v>
      </c>
      <c r="F51" s="15" t="s">
        <v>6045</v>
      </c>
      <c r="G51" s="15" t="s">
        <v>6500</v>
      </c>
      <c r="H51" s="15" t="s">
        <v>4026</v>
      </c>
      <c r="I51" s="15" t="s">
        <v>4039</v>
      </c>
      <c r="J51" s="15" t="s">
        <v>4040</v>
      </c>
      <c r="K51" s="96" t="str">
        <f>IFERROR(INDEX(競技会設定!$J$3:$O$47,MATCH(J51,競技会設定!$M$3:$M$47,0),5),"")</f>
        <v>中京大</v>
      </c>
      <c r="L51" s="96" t="str">
        <f>IFERROR(INDEX(競技会設定!$J$3:$N$47,MATCH(K51,競技会設定!$N$3:$N$47,0),2),"")</f>
        <v>492173</v>
      </c>
      <c r="M51" s="15" t="s">
        <v>3861</v>
      </c>
      <c r="N51" s="96" t="str">
        <f t="shared" si="1"/>
        <v>NAKAYAMA, Miyu</v>
      </c>
      <c r="O51" s="96" t="str">
        <f t="shared" si="2"/>
        <v>00</v>
      </c>
    </row>
    <row r="52" spans="1:15">
      <c r="A52" s="96" t="str">
        <f t="shared" si="0"/>
        <v>502002051</v>
      </c>
      <c r="B52" s="15" t="s">
        <v>4820</v>
      </c>
      <c r="C52" s="15" t="s">
        <v>4821</v>
      </c>
      <c r="D52" s="15" t="s">
        <v>4822</v>
      </c>
      <c r="E52" s="15" t="s">
        <v>6046</v>
      </c>
      <c r="F52" s="15" t="s">
        <v>6047</v>
      </c>
      <c r="G52" s="15" t="s">
        <v>3558</v>
      </c>
      <c r="H52" s="15" t="s">
        <v>4026</v>
      </c>
      <c r="I52" s="15" t="s">
        <v>4039</v>
      </c>
      <c r="J52" s="15" t="s">
        <v>4040</v>
      </c>
      <c r="K52" s="96" t="str">
        <f>IFERROR(INDEX(競技会設定!$J$3:$O$47,MATCH(J52,競技会設定!$M$3:$M$47,0),5),"")</f>
        <v>中京大</v>
      </c>
      <c r="L52" s="96" t="str">
        <f>IFERROR(INDEX(競技会設定!$J$3:$N$47,MATCH(K52,競技会設定!$N$3:$N$47,0),2),"")</f>
        <v>492173</v>
      </c>
      <c r="M52" s="15" t="s">
        <v>3859</v>
      </c>
      <c r="N52" s="96" t="str">
        <f t="shared" si="1"/>
        <v>TSUZUKI, Hina</v>
      </c>
      <c r="O52" s="96" t="str">
        <f t="shared" si="2"/>
        <v>00</v>
      </c>
    </row>
    <row r="53" spans="1:15">
      <c r="A53" s="96" t="str">
        <f t="shared" si="0"/>
        <v>502002052</v>
      </c>
      <c r="B53" s="15" t="s">
        <v>4823</v>
      </c>
      <c r="C53" s="15" t="s">
        <v>4824</v>
      </c>
      <c r="D53" s="15" t="s">
        <v>4825</v>
      </c>
      <c r="E53" s="15" t="s">
        <v>6048</v>
      </c>
      <c r="F53" s="15" t="s">
        <v>5972</v>
      </c>
      <c r="G53" s="15" t="s">
        <v>3144</v>
      </c>
      <c r="H53" s="15" t="s">
        <v>4026</v>
      </c>
      <c r="I53" s="15" t="s">
        <v>4039</v>
      </c>
      <c r="J53" s="15" t="s">
        <v>4040</v>
      </c>
      <c r="K53" s="96" t="str">
        <f>IFERROR(INDEX(競技会設定!$J$3:$O$47,MATCH(J53,競技会設定!$M$3:$M$47,0),5),"")</f>
        <v>中京大</v>
      </c>
      <c r="L53" s="96" t="str">
        <f>IFERROR(INDEX(競技会設定!$J$3:$N$47,MATCH(K53,競技会設定!$N$3:$N$47,0),2),"")</f>
        <v>492173</v>
      </c>
      <c r="M53" s="15" t="s">
        <v>3859</v>
      </c>
      <c r="N53" s="96" t="str">
        <f t="shared" si="1"/>
        <v>ISHIGAKI, Ayaka</v>
      </c>
      <c r="O53" s="96" t="str">
        <f t="shared" si="2"/>
        <v>01</v>
      </c>
    </row>
    <row r="54" spans="1:15">
      <c r="A54" s="96" t="str">
        <f t="shared" si="0"/>
        <v>502002053</v>
      </c>
      <c r="B54" s="15" t="s">
        <v>4826</v>
      </c>
      <c r="C54" s="15" t="s">
        <v>4827</v>
      </c>
      <c r="D54" s="15" t="s">
        <v>4828</v>
      </c>
      <c r="E54" s="15" t="s">
        <v>6049</v>
      </c>
      <c r="F54" s="15" t="s">
        <v>6041</v>
      </c>
      <c r="G54" s="15" t="s">
        <v>3250</v>
      </c>
      <c r="H54" s="15" t="s">
        <v>4026</v>
      </c>
      <c r="I54" s="15" t="s">
        <v>4039</v>
      </c>
      <c r="J54" s="15" t="s">
        <v>4040</v>
      </c>
      <c r="K54" s="96" t="str">
        <f>IFERROR(INDEX(競技会設定!$J$3:$O$47,MATCH(J54,競技会設定!$M$3:$M$47,0),5),"")</f>
        <v>中京大</v>
      </c>
      <c r="L54" s="96" t="str">
        <f>IFERROR(INDEX(競技会設定!$J$3:$N$47,MATCH(K54,競技会設定!$N$3:$N$47,0),2),"")</f>
        <v>492173</v>
      </c>
      <c r="M54" s="15" t="s">
        <v>3867</v>
      </c>
      <c r="N54" s="96" t="str">
        <f t="shared" si="1"/>
        <v>KURODA, Kayo</v>
      </c>
      <c r="O54" s="96" t="str">
        <f t="shared" si="2"/>
        <v>00</v>
      </c>
    </row>
    <row r="55" spans="1:15">
      <c r="A55" s="96" t="str">
        <f t="shared" si="0"/>
        <v>502002054</v>
      </c>
      <c r="B55" s="15" t="s">
        <v>4829</v>
      </c>
      <c r="C55" s="15" t="s">
        <v>4830</v>
      </c>
      <c r="D55" s="15" t="s">
        <v>4831</v>
      </c>
      <c r="E55" s="15" t="s">
        <v>3015</v>
      </c>
      <c r="F55" s="15" t="s">
        <v>6050</v>
      </c>
      <c r="G55" s="15" t="s">
        <v>3454</v>
      </c>
      <c r="H55" s="15" t="s">
        <v>4026</v>
      </c>
      <c r="I55" s="15" t="s">
        <v>4039</v>
      </c>
      <c r="J55" s="15" t="s">
        <v>4040</v>
      </c>
      <c r="K55" s="96" t="str">
        <f>IFERROR(INDEX(競技会設定!$J$3:$O$47,MATCH(J55,競技会設定!$M$3:$M$47,0),5),"")</f>
        <v>中京大</v>
      </c>
      <c r="L55" s="96" t="str">
        <f>IFERROR(INDEX(競技会設定!$J$3:$N$47,MATCH(K55,競技会設定!$N$3:$N$47,0),2),"")</f>
        <v>492173</v>
      </c>
      <c r="M55" s="15" t="s">
        <v>3867</v>
      </c>
      <c r="N55" s="96" t="str">
        <f t="shared" si="1"/>
        <v>SUZUKI, Sakura</v>
      </c>
      <c r="O55" s="96" t="str">
        <f t="shared" si="2"/>
        <v>00</v>
      </c>
    </row>
    <row r="56" spans="1:15">
      <c r="A56" s="96" t="str">
        <f t="shared" si="0"/>
        <v>502002055</v>
      </c>
      <c r="B56" s="15" t="s">
        <v>4832</v>
      </c>
      <c r="C56" s="15" t="s">
        <v>4833</v>
      </c>
      <c r="D56" s="15" t="s">
        <v>4834</v>
      </c>
      <c r="E56" s="15" t="s">
        <v>6051</v>
      </c>
      <c r="F56" s="15" t="s">
        <v>6052</v>
      </c>
      <c r="G56" s="15" t="s">
        <v>6501</v>
      </c>
      <c r="H56" s="15" t="s">
        <v>4026</v>
      </c>
      <c r="I56" s="15" t="s">
        <v>4039</v>
      </c>
      <c r="J56" s="15" t="s">
        <v>4040</v>
      </c>
      <c r="K56" s="96" t="str">
        <f>IFERROR(INDEX(競技会設定!$J$3:$O$47,MATCH(J56,競技会設定!$M$3:$M$47,0),5),"")</f>
        <v>中京大</v>
      </c>
      <c r="L56" s="96" t="str">
        <f>IFERROR(INDEX(競技会設定!$J$3:$N$47,MATCH(K56,競技会設定!$N$3:$N$47,0),2),"")</f>
        <v>492173</v>
      </c>
      <c r="M56" s="15" t="s">
        <v>3870</v>
      </c>
      <c r="N56" s="96" t="str">
        <f t="shared" si="1"/>
        <v>NAGAI, Fuka</v>
      </c>
      <c r="O56" s="96" t="str">
        <f t="shared" si="2"/>
        <v>01</v>
      </c>
    </row>
    <row r="57" spans="1:15">
      <c r="A57" s="96" t="str">
        <f t="shared" si="0"/>
        <v>502002056</v>
      </c>
      <c r="B57" s="15" t="s">
        <v>4835</v>
      </c>
      <c r="C57" s="15" t="s">
        <v>7759</v>
      </c>
      <c r="D57" s="15" t="s">
        <v>4836</v>
      </c>
      <c r="E57" s="15" t="s">
        <v>6053</v>
      </c>
      <c r="F57" s="15" t="s">
        <v>6054</v>
      </c>
      <c r="G57" s="15" t="s">
        <v>3503</v>
      </c>
      <c r="H57" s="15" t="s">
        <v>4026</v>
      </c>
      <c r="I57" s="15" t="s">
        <v>4039</v>
      </c>
      <c r="J57" s="15" t="s">
        <v>4040</v>
      </c>
      <c r="K57" s="96" t="str">
        <f>IFERROR(INDEX(競技会設定!$J$3:$O$47,MATCH(J57,競技会設定!$M$3:$M$47,0),5),"")</f>
        <v>中京大</v>
      </c>
      <c r="L57" s="96" t="str">
        <f>IFERROR(INDEX(競技会設定!$J$3:$N$47,MATCH(K57,競技会設定!$N$3:$N$47,0),2),"")</f>
        <v>492173</v>
      </c>
      <c r="M57" s="15" t="s">
        <v>3863</v>
      </c>
      <c r="N57" s="96" t="str">
        <f t="shared" si="1"/>
        <v>AIBA, Nanami</v>
      </c>
      <c r="O57" s="96" t="str">
        <f t="shared" si="2"/>
        <v>00</v>
      </c>
    </row>
    <row r="58" spans="1:15">
      <c r="A58" s="96" t="str">
        <f t="shared" si="0"/>
        <v>502002057</v>
      </c>
      <c r="B58" s="15" t="s">
        <v>4837</v>
      </c>
      <c r="C58" s="15" t="s">
        <v>4838</v>
      </c>
      <c r="D58" s="15" t="s">
        <v>4839</v>
      </c>
      <c r="E58" s="15" t="s">
        <v>6055</v>
      </c>
      <c r="F58" s="15" t="s">
        <v>6056</v>
      </c>
      <c r="G58" s="15" t="s">
        <v>3137</v>
      </c>
      <c r="H58" s="15" t="s">
        <v>4026</v>
      </c>
      <c r="I58" s="15" t="s">
        <v>4039</v>
      </c>
      <c r="J58" s="15" t="s">
        <v>4040</v>
      </c>
      <c r="K58" s="96" t="str">
        <f>IFERROR(INDEX(競技会設定!$J$3:$O$47,MATCH(J58,競技会設定!$M$3:$M$47,0),5),"")</f>
        <v>中京大</v>
      </c>
      <c r="L58" s="96" t="str">
        <f>IFERROR(INDEX(競技会設定!$J$3:$N$47,MATCH(K58,競技会設定!$N$3:$N$47,0),2),"")</f>
        <v>492173</v>
      </c>
      <c r="M58" s="15" t="s">
        <v>3867</v>
      </c>
      <c r="N58" s="96" t="str">
        <f t="shared" si="1"/>
        <v>MIZUTANI, Kaho</v>
      </c>
      <c r="O58" s="96" t="str">
        <f t="shared" si="2"/>
        <v>00</v>
      </c>
    </row>
    <row r="59" spans="1:15">
      <c r="A59" s="96" t="str">
        <f t="shared" si="0"/>
        <v>502002058</v>
      </c>
      <c r="B59" s="15" t="s">
        <v>4840</v>
      </c>
      <c r="C59" s="15" t="s">
        <v>4841</v>
      </c>
      <c r="D59" s="15" t="s">
        <v>4842</v>
      </c>
      <c r="E59" s="15" t="s">
        <v>6057</v>
      </c>
      <c r="F59" s="15" t="s">
        <v>6058</v>
      </c>
      <c r="G59" s="15" t="s">
        <v>3649</v>
      </c>
      <c r="H59" s="15" t="s">
        <v>4029</v>
      </c>
      <c r="I59" s="15" t="s">
        <v>4039</v>
      </c>
      <c r="J59" s="15" t="s">
        <v>4040</v>
      </c>
      <c r="K59" s="96" t="str">
        <f>IFERROR(INDEX(競技会設定!$J$3:$O$47,MATCH(J59,競技会設定!$M$3:$M$47,0),5),"")</f>
        <v>中京大</v>
      </c>
      <c r="L59" s="96" t="str">
        <f>IFERROR(INDEX(競技会設定!$J$3:$N$47,MATCH(K59,競技会設定!$N$3:$N$47,0),2),"")</f>
        <v>492173</v>
      </c>
      <c r="M59" s="15" t="s">
        <v>3820</v>
      </c>
      <c r="N59" s="96" t="str">
        <f t="shared" si="1"/>
        <v>INAGAKI, Ayu</v>
      </c>
      <c r="O59" s="96" t="str">
        <f t="shared" si="2"/>
        <v>01</v>
      </c>
    </row>
    <row r="60" spans="1:15">
      <c r="A60" s="96" t="str">
        <f t="shared" si="0"/>
        <v>502002059</v>
      </c>
      <c r="B60" s="15" t="s">
        <v>4843</v>
      </c>
      <c r="C60" s="15" t="s">
        <v>4844</v>
      </c>
      <c r="D60" s="15" t="s">
        <v>4845</v>
      </c>
      <c r="E60" s="15" t="s">
        <v>6059</v>
      </c>
      <c r="F60" s="15" t="s">
        <v>6060</v>
      </c>
      <c r="G60" s="15" t="s">
        <v>4622</v>
      </c>
      <c r="H60" s="15" t="s">
        <v>4029</v>
      </c>
      <c r="I60" s="15" t="s">
        <v>4039</v>
      </c>
      <c r="J60" s="15" t="s">
        <v>4040</v>
      </c>
      <c r="K60" s="96" t="str">
        <f>IFERROR(INDEX(競技会設定!$J$3:$O$47,MATCH(J60,競技会設定!$M$3:$M$47,0),5),"")</f>
        <v>中京大</v>
      </c>
      <c r="L60" s="96" t="str">
        <f>IFERROR(INDEX(競技会設定!$J$3:$N$47,MATCH(K60,競技会設定!$N$3:$N$47,0),2),"")</f>
        <v>492173</v>
      </c>
      <c r="M60" s="15" t="s">
        <v>3867</v>
      </c>
      <c r="N60" s="96" t="str">
        <f t="shared" si="1"/>
        <v>OKAMOTO, Ruka</v>
      </c>
      <c r="O60" s="96" t="str">
        <f t="shared" si="2"/>
        <v>01</v>
      </c>
    </row>
    <row r="61" spans="1:15">
      <c r="A61" s="96" t="str">
        <f t="shared" si="0"/>
        <v>502002060</v>
      </c>
      <c r="B61" s="15" t="s">
        <v>4846</v>
      </c>
      <c r="C61" s="15" t="s">
        <v>4847</v>
      </c>
      <c r="D61" s="15" t="s">
        <v>4848</v>
      </c>
      <c r="E61" s="15" t="s">
        <v>3024</v>
      </c>
      <c r="F61" s="15" t="s">
        <v>6061</v>
      </c>
      <c r="G61" s="15" t="s">
        <v>6502</v>
      </c>
      <c r="H61" s="15" t="s">
        <v>4029</v>
      </c>
      <c r="I61" s="15" t="s">
        <v>4039</v>
      </c>
      <c r="J61" s="15" t="s">
        <v>4040</v>
      </c>
      <c r="K61" s="96" t="str">
        <f>IFERROR(INDEX(競技会設定!$J$3:$O$47,MATCH(J61,競技会設定!$M$3:$M$47,0),5),"")</f>
        <v>中京大</v>
      </c>
      <c r="L61" s="96" t="str">
        <f>IFERROR(INDEX(競技会設定!$J$3:$N$47,MATCH(K61,競技会設定!$N$3:$N$47,0),2),"")</f>
        <v>492173</v>
      </c>
      <c r="M61" s="15" t="s">
        <v>3859</v>
      </c>
      <c r="N61" s="96" t="str">
        <f t="shared" si="1"/>
        <v>ONO, Kaoru</v>
      </c>
      <c r="O61" s="96" t="str">
        <f t="shared" si="2"/>
        <v>01</v>
      </c>
    </row>
    <row r="62" spans="1:15">
      <c r="A62" s="96" t="str">
        <f t="shared" si="0"/>
        <v>502002061</v>
      </c>
      <c r="B62" s="15" t="s">
        <v>4849</v>
      </c>
      <c r="C62" s="15" t="s">
        <v>4850</v>
      </c>
      <c r="D62" s="15" t="s">
        <v>4851</v>
      </c>
      <c r="E62" s="15" t="s">
        <v>6062</v>
      </c>
      <c r="F62" s="15" t="s">
        <v>6063</v>
      </c>
      <c r="G62" s="15" t="s">
        <v>3169</v>
      </c>
      <c r="H62" s="15" t="s">
        <v>4029</v>
      </c>
      <c r="I62" s="15" t="s">
        <v>4039</v>
      </c>
      <c r="J62" s="15" t="s">
        <v>4040</v>
      </c>
      <c r="K62" s="96" t="str">
        <f>IFERROR(INDEX(競技会設定!$J$3:$O$47,MATCH(J62,競技会設定!$M$3:$M$47,0),5),"")</f>
        <v>中京大</v>
      </c>
      <c r="L62" s="96" t="str">
        <f>IFERROR(INDEX(競技会設定!$J$3:$N$47,MATCH(K62,競技会設定!$N$3:$N$47,0),2),"")</f>
        <v>492173</v>
      </c>
      <c r="M62" s="15" t="s">
        <v>3826</v>
      </c>
      <c r="N62" s="96" t="str">
        <f t="shared" si="1"/>
        <v>KIKUCHI, Manaka</v>
      </c>
      <c r="O62" s="96" t="str">
        <f t="shared" si="2"/>
        <v>01</v>
      </c>
    </row>
    <row r="63" spans="1:15">
      <c r="A63" s="96" t="str">
        <f t="shared" si="0"/>
        <v>502002062</v>
      </c>
      <c r="B63" s="15" t="s">
        <v>4852</v>
      </c>
      <c r="C63" s="15" t="s">
        <v>4853</v>
      </c>
      <c r="D63" s="15" t="s">
        <v>4854</v>
      </c>
      <c r="E63" s="15" t="s">
        <v>3044</v>
      </c>
      <c r="F63" s="15" t="s">
        <v>6064</v>
      </c>
      <c r="G63" s="15" t="s">
        <v>6503</v>
      </c>
      <c r="H63" s="15" t="s">
        <v>4029</v>
      </c>
      <c r="I63" s="15" t="s">
        <v>4039</v>
      </c>
      <c r="J63" s="15" t="s">
        <v>4040</v>
      </c>
      <c r="K63" s="96" t="str">
        <f>IFERROR(INDEX(競技会設定!$J$3:$O$47,MATCH(J63,競技会設定!$M$3:$M$47,0),5),"")</f>
        <v>中京大</v>
      </c>
      <c r="L63" s="96" t="str">
        <f>IFERROR(INDEX(競技会設定!$J$3:$N$47,MATCH(K63,競技会設定!$N$3:$N$47,0),2),"")</f>
        <v>492173</v>
      </c>
      <c r="M63" s="15" t="s">
        <v>3853</v>
      </c>
      <c r="N63" s="96" t="str">
        <f t="shared" si="1"/>
        <v>KOBAYASHI, Yukine</v>
      </c>
      <c r="O63" s="96" t="str">
        <f t="shared" si="2"/>
        <v>01</v>
      </c>
    </row>
    <row r="64" spans="1:15">
      <c r="A64" s="96" t="str">
        <f t="shared" si="0"/>
        <v>502002063</v>
      </c>
      <c r="B64" s="15" t="s">
        <v>4855</v>
      </c>
      <c r="C64" s="15" t="s">
        <v>4856</v>
      </c>
      <c r="D64" s="15" t="s">
        <v>4857</v>
      </c>
      <c r="E64" s="15" t="s">
        <v>6065</v>
      </c>
      <c r="F64" s="15" t="s">
        <v>3046</v>
      </c>
      <c r="G64" s="15" t="s">
        <v>6504</v>
      </c>
      <c r="H64" s="15" t="s">
        <v>4029</v>
      </c>
      <c r="I64" s="15" t="s">
        <v>4039</v>
      </c>
      <c r="J64" s="15" t="s">
        <v>4040</v>
      </c>
      <c r="K64" s="96" t="str">
        <f>IFERROR(INDEX(競技会設定!$J$3:$O$47,MATCH(J64,競技会設定!$M$3:$M$47,0),5),"")</f>
        <v>中京大</v>
      </c>
      <c r="L64" s="96" t="str">
        <f>IFERROR(INDEX(競技会設定!$J$3:$N$47,MATCH(K64,競技会設定!$N$3:$N$47,0),2),"")</f>
        <v>492173</v>
      </c>
      <c r="M64" s="15" t="s">
        <v>3859</v>
      </c>
      <c r="N64" s="96" t="str">
        <f t="shared" si="1"/>
        <v>CHIBA, Reo</v>
      </c>
      <c r="O64" s="96" t="str">
        <f t="shared" si="2"/>
        <v>01</v>
      </c>
    </row>
    <row r="65" spans="1:15">
      <c r="A65" s="96" t="str">
        <f t="shared" si="0"/>
        <v>502002064</v>
      </c>
      <c r="B65" s="15" t="s">
        <v>4858</v>
      </c>
      <c r="C65" s="15" t="s">
        <v>4859</v>
      </c>
      <c r="D65" s="15" t="s">
        <v>4860</v>
      </c>
      <c r="E65" s="15" t="s">
        <v>6066</v>
      </c>
      <c r="F65" s="15" t="s">
        <v>6032</v>
      </c>
      <c r="G65" s="15" t="s">
        <v>6505</v>
      </c>
      <c r="H65" s="15" t="s">
        <v>4029</v>
      </c>
      <c r="I65" s="15" t="s">
        <v>4039</v>
      </c>
      <c r="J65" s="15" t="s">
        <v>4040</v>
      </c>
      <c r="K65" s="96" t="str">
        <f>IFERROR(INDEX(競技会設定!$J$3:$O$47,MATCH(J65,競技会設定!$M$3:$M$47,0),5),"")</f>
        <v>中京大</v>
      </c>
      <c r="L65" s="96" t="str">
        <f>IFERROR(INDEX(競技会設定!$J$3:$N$47,MATCH(K65,競技会設定!$N$3:$N$47,0),2),"")</f>
        <v>492173</v>
      </c>
      <c r="M65" s="15" t="s">
        <v>3865</v>
      </c>
      <c r="N65" s="96" t="str">
        <f t="shared" si="1"/>
        <v>HATTORI, Kanako</v>
      </c>
      <c r="O65" s="96" t="str">
        <f t="shared" si="2"/>
        <v>02</v>
      </c>
    </row>
    <row r="66" spans="1:15">
      <c r="A66" s="96" t="str">
        <f t="shared" si="0"/>
        <v>502002065</v>
      </c>
      <c r="B66" s="15" t="s">
        <v>4861</v>
      </c>
      <c r="C66" s="15" t="s">
        <v>4862</v>
      </c>
      <c r="D66" s="15" t="s">
        <v>4863</v>
      </c>
      <c r="E66" s="15" t="s">
        <v>3033</v>
      </c>
      <c r="F66" s="15" t="s">
        <v>6067</v>
      </c>
      <c r="G66" s="15" t="s">
        <v>3689</v>
      </c>
      <c r="H66" s="15" t="s">
        <v>4029</v>
      </c>
      <c r="I66" s="15" t="s">
        <v>4039</v>
      </c>
      <c r="J66" s="15" t="s">
        <v>4040</v>
      </c>
      <c r="K66" s="96" t="str">
        <f>IFERROR(INDEX(競技会設定!$J$3:$O$47,MATCH(J66,競技会設定!$M$3:$M$47,0),5),"")</f>
        <v>中京大</v>
      </c>
      <c r="L66" s="96" t="str">
        <f>IFERROR(INDEX(競技会設定!$J$3:$N$47,MATCH(K66,競技会設定!$N$3:$N$47,0),2),"")</f>
        <v>492173</v>
      </c>
      <c r="M66" s="15" t="s">
        <v>3859</v>
      </c>
      <c r="N66" s="96" t="str">
        <f t="shared" si="1"/>
        <v>MURAKAMI, Yuzuki</v>
      </c>
      <c r="O66" s="96" t="str">
        <f t="shared" si="2"/>
        <v>02</v>
      </c>
    </row>
    <row r="67" spans="1:15">
      <c r="A67" s="96" t="str">
        <f t="shared" ref="A67:A130" si="3">IF(B67="","","502"&amp;TEXT(B67,"000000"))</f>
        <v>502002066</v>
      </c>
      <c r="B67" s="15" t="s">
        <v>4864</v>
      </c>
      <c r="C67" s="15" t="s">
        <v>4865</v>
      </c>
      <c r="D67" s="15" t="s">
        <v>4866</v>
      </c>
      <c r="E67" s="15" t="s">
        <v>3017</v>
      </c>
      <c r="F67" s="15" t="s">
        <v>6068</v>
      </c>
      <c r="G67" s="15" t="s">
        <v>3307</v>
      </c>
      <c r="H67" s="15" t="s">
        <v>4024</v>
      </c>
      <c r="I67" s="15" t="s">
        <v>4039</v>
      </c>
      <c r="J67" s="15" t="s">
        <v>4041</v>
      </c>
      <c r="K67" s="96" t="str">
        <f>IFERROR(INDEX(競技会設定!$J$3:$O$47,MATCH(J67,競技会設定!$M$3:$M$47,0),5),"")</f>
        <v>愛知医科大</v>
      </c>
      <c r="L67" s="96" t="str">
        <f>IFERROR(INDEX(競技会設定!$J$3:$N$47,MATCH(K67,競技会設定!$N$3:$N$47,0),2),"")</f>
        <v>492166</v>
      </c>
      <c r="M67" s="15" t="s">
        <v>3859</v>
      </c>
      <c r="N67" s="96" t="str">
        <f t="shared" ref="N67:N130" si="4">IF(E67="","",E67&amp;", "&amp;F67)</f>
        <v>OKADA, Hana</v>
      </c>
      <c r="O67" s="96" t="str">
        <f t="shared" ref="O67:O130" si="5">IFERROR(TEXT(INT(LEFT(G67,2)),"00"),"")</f>
        <v>99</v>
      </c>
    </row>
    <row r="68" spans="1:15">
      <c r="A68" s="96" t="str">
        <f t="shared" si="3"/>
        <v>502002067</v>
      </c>
      <c r="B68" s="15" t="s">
        <v>4867</v>
      </c>
      <c r="C68" s="15" t="s">
        <v>4868</v>
      </c>
      <c r="D68" s="15" t="s">
        <v>4869</v>
      </c>
      <c r="E68" s="15" t="s">
        <v>6069</v>
      </c>
      <c r="F68" s="15" t="s">
        <v>6070</v>
      </c>
      <c r="G68" s="15" t="s">
        <v>3088</v>
      </c>
      <c r="H68" s="15" t="s">
        <v>4025</v>
      </c>
      <c r="I68" s="15" t="s">
        <v>4039</v>
      </c>
      <c r="J68" s="15" t="s">
        <v>4042</v>
      </c>
      <c r="K68" s="96" t="str">
        <f>IFERROR(INDEX(競技会設定!$J$3:$O$47,MATCH(J68,競技会設定!$M$3:$M$47,0),5),"")</f>
        <v>愛知学院大</v>
      </c>
      <c r="L68" s="96" t="str">
        <f>IFERROR(INDEX(競技会設定!$J$3:$N$47,MATCH(K68,競技会設定!$N$3:$N$47,0),2),"")</f>
        <v>492167</v>
      </c>
      <c r="M68" s="15" t="s">
        <v>3859</v>
      </c>
      <c r="N68" s="96" t="str">
        <f t="shared" si="4"/>
        <v>KAKEGAWA, Shiori</v>
      </c>
      <c r="O68" s="96" t="str">
        <f t="shared" si="5"/>
        <v>98</v>
      </c>
    </row>
    <row r="69" spans="1:15">
      <c r="A69" s="96" t="str">
        <f t="shared" si="3"/>
        <v>502002068</v>
      </c>
      <c r="B69" s="15" t="s">
        <v>4870</v>
      </c>
      <c r="C69" s="15" t="s">
        <v>7760</v>
      </c>
      <c r="D69" s="15" t="s">
        <v>4871</v>
      </c>
      <c r="E69" s="15" t="s">
        <v>6000</v>
      </c>
      <c r="F69" s="15" t="s">
        <v>6043</v>
      </c>
      <c r="G69" s="15" t="s">
        <v>6506</v>
      </c>
      <c r="H69" s="15" t="s">
        <v>4024</v>
      </c>
      <c r="I69" s="15" t="s">
        <v>4039</v>
      </c>
      <c r="J69" s="15" t="s">
        <v>4042</v>
      </c>
      <c r="K69" s="96" t="str">
        <f>IFERROR(INDEX(競技会設定!$J$3:$O$47,MATCH(J69,競技会設定!$M$3:$M$47,0),5),"")</f>
        <v>愛知学院大</v>
      </c>
      <c r="L69" s="96" t="str">
        <f>IFERROR(INDEX(競技会設定!$J$3:$N$47,MATCH(K69,競技会設定!$N$3:$N$47,0),2),"")</f>
        <v>492167</v>
      </c>
      <c r="M69" s="15" t="s">
        <v>3859</v>
      </c>
      <c r="N69" s="96" t="str">
        <f t="shared" si="4"/>
        <v>KAWAI, Wakana</v>
      </c>
      <c r="O69" s="96" t="str">
        <f t="shared" si="5"/>
        <v>99</v>
      </c>
    </row>
    <row r="70" spans="1:15">
      <c r="A70" s="96" t="str">
        <f t="shared" si="3"/>
        <v>502002069</v>
      </c>
      <c r="B70" s="15" t="s">
        <v>4872</v>
      </c>
      <c r="C70" s="15" t="s">
        <v>4873</v>
      </c>
      <c r="D70" s="15" t="s">
        <v>4874</v>
      </c>
      <c r="E70" s="15" t="s">
        <v>6071</v>
      </c>
      <c r="F70" s="15" t="s">
        <v>6072</v>
      </c>
      <c r="G70" s="15" t="s">
        <v>3154</v>
      </c>
      <c r="H70" s="15" t="s">
        <v>4026</v>
      </c>
      <c r="I70" s="15" t="s">
        <v>4039</v>
      </c>
      <c r="J70" s="15" t="s">
        <v>4042</v>
      </c>
      <c r="K70" s="96" t="str">
        <f>IFERROR(INDEX(競技会設定!$J$3:$O$47,MATCH(J70,競技会設定!$M$3:$M$47,0),5),"")</f>
        <v>愛知学院大</v>
      </c>
      <c r="L70" s="96" t="str">
        <f>IFERROR(INDEX(競技会設定!$J$3:$N$47,MATCH(K70,競技会設定!$N$3:$N$47,0),2),"")</f>
        <v>492167</v>
      </c>
      <c r="M70" s="15" t="s">
        <v>3861</v>
      </c>
      <c r="N70" s="96" t="str">
        <f t="shared" si="4"/>
        <v>INADA, Kaede</v>
      </c>
      <c r="O70" s="96" t="str">
        <f t="shared" si="5"/>
        <v>00</v>
      </c>
    </row>
    <row r="71" spans="1:15">
      <c r="A71" s="96" t="str">
        <f t="shared" si="3"/>
        <v>502002070</v>
      </c>
      <c r="B71" s="15" t="s">
        <v>4875</v>
      </c>
      <c r="C71" s="15" t="s">
        <v>4876</v>
      </c>
      <c r="D71" s="15" t="s">
        <v>4877</v>
      </c>
      <c r="E71" s="15" t="s">
        <v>3058</v>
      </c>
      <c r="F71" s="15" t="s">
        <v>6073</v>
      </c>
      <c r="G71" s="15" t="s">
        <v>6507</v>
      </c>
      <c r="H71" s="15" t="s">
        <v>4026</v>
      </c>
      <c r="I71" s="15" t="s">
        <v>4039</v>
      </c>
      <c r="J71" s="15" t="s">
        <v>4042</v>
      </c>
      <c r="K71" s="96" t="str">
        <f>IFERROR(INDEX(競技会設定!$J$3:$O$47,MATCH(J71,競技会設定!$M$3:$M$47,0),5),"")</f>
        <v>愛知学院大</v>
      </c>
      <c r="L71" s="96" t="str">
        <f>IFERROR(INDEX(競技会設定!$J$3:$N$47,MATCH(K71,競技会設定!$N$3:$N$47,0),2),"")</f>
        <v>492167</v>
      </c>
      <c r="M71" s="15" t="s">
        <v>3859</v>
      </c>
      <c r="N71" s="96" t="str">
        <f t="shared" si="4"/>
        <v>KONDO, Satsuki</v>
      </c>
      <c r="O71" s="96" t="str">
        <f t="shared" si="5"/>
        <v>00</v>
      </c>
    </row>
    <row r="72" spans="1:15">
      <c r="A72" s="96" t="str">
        <f t="shared" si="3"/>
        <v>502002071</v>
      </c>
      <c r="B72" s="15" t="s">
        <v>4878</v>
      </c>
      <c r="C72" s="15" t="s">
        <v>4879</v>
      </c>
      <c r="D72" s="15" t="s">
        <v>4880</v>
      </c>
      <c r="E72" s="15" t="s">
        <v>6074</v>
      </c>
      <c r="F72" s="15" t="s">
        <v>6075</v>
      </c>
      <c r="G72" s="15" t="s">
        <v>3224</v>
      </c>
      <c r="H72" s="15" t="s">
        <v>4026</v>
      </c>
      <c r="I72" s="15" t="s">
        <v>4039</v>
      </c>
      <c r="J72" s="15" t="s">
        <v>4042</v>
      </c>
      <c r="K72" s="96" t="str">
        <f>IFERROR(INDEX(競技会設定!$J$3:$O$47,MATCH(J72,競技会設定!$M$3:$M$47,0),5),"")</f>
        <v>愛知学院大</v>
      </c>
      <c r="L72" s="96" t="str">
        <f>IFERROR(INDEX(競技会設定!$J$3:$N$47,MATCH(K72,競技会設定!$N$3:$N$47,0),2),"")</f>
        <v>492167</v>
      </c>
      <c r="M72" s="15" t="s">
        <v>3861</v>
      </c>
      <c r="N72" s="96" t="str">
        <f t="shared" si="4"/>
        <v>YANO, Mirei</v>
      </c>
      <c r="O72" s="96" t="str">
        <f t="shared" si="5"/>
        <v>00</v>
      </c>
    </row>
    <row r="73" spans="1:15">
      <c r="A73" s="96" t="str">
        <f t="shared" si="3"/>
        <v>502002072</v>
      </c>
      <c r="B73" s="15" t="s">
        <v>4881</v>
      </c>
      <c r="C73" s="15" t="s">
        <v>4882</v>
      </c>
      <c r="D73" s="15" t="s">
        <v>4883</v>
      </c>
      <c r="E73" s="15" t="s">
        <v>6076</v>
      </c>
      <c r="F73" s="15" t="s">
        <v>6056</v>
      </c>
      <c r="G73" s="15" t="s">
        <v>3483</v>
      </c>
      <c r="H73" s="15" t="s">
        <v>4026</v>
      </c>
      <c r="I73" s="15" t="s">
        <v>4039</v>
      </c>
      <c r="J73" s="15" t="s">
        <v>4042</v>
      </c>
      <c r="K73" s="96" t="str">
        <f>IFERROR(INDEX(競技会設定!$J$3:$O$47,MATCH(J73,競技会設定!$M$3:$M$47,0),5),"")</f>
        <v>愛知学院大</v>
      </c>
      <c r="L73" s="96" t="str">
        <f>IFERROR(INDEX(競技会設定!$J$3:$N$47,MATCH(K73,競技会設定!$N$3:$N$47,0),2),"")</f>
        <v>492167</v>
      </c>
      <c r="M73" s="15" t="s">
        <v>3891</v>
      </c>
      <c r="N73" s="96" t="str">
        <f t="shared" si="4"/>
        <v>NAKANO, Kaho</v>
      </c>
      <c r="O73" s="96" t="str">
        <f t="shared" si="5"/>
        <v>01</v>
      </c>
    </row>
    <row r="74" spans="1:15">
      <c r="A74" s="96" t="str">
        <f t="shared" si="3"/>
        <v>502002073</v>
      </c>
      <c r="B74" s="15" t="s">
        <v>4884</v>
      </c>
      <c r="C74" s="15" t="s">
        <v>4885</v>
      </c>
      <c r="D74" s="15" t="s">
        <v>4886</v>
      </c>
      <c r="E74" s="15" t="s">
        <v>6077</v>
      </c>
      <c r="F74" s="15" t="s">
        <v>3038</v>
      </c>
      <c r="G74" s="15" t="s">
        <v>3067</v>
      </c>
      <c r="H74" s="15" t="s">
        <v>4025</v>
      </c>
      <c r="I74" s="15" t="s">
        <v>4039</v>
      </c>
      <c r="J74" s="15" t="s">
        <v>4043</v>
      </c>
      <c r="K74" s="96" t="str">
        <f>IFERROR(INDEX(競技会設定!$J$3:$O$47,MATCH(J74,競技会設定!$M$3:$M$47,0),5),"")</f>
        <v>愛知教育大</v>
      </c>
      <c r="L74" s="96" t="str">
        <f>IFERROR(INDEX(競技会設定!$J$3:$N$47,MATCH(K74,競技会設定!$N$3:$N$47,0),2),"")</f>
        <v>490044</v>
      </c>
      <c r="M74" s="15" t="s">
        <v>3855</v>
      </c>
      <c r="N74" s="96" t="str">
        <f t="shared" si="4"/>
        <v>SONOHARA, Akira</v>
      </c>
      <c r="O74" s="96" t="str">
        <f t="shared" si="5"/>
        <v>98</v>
      </c>
    </row>
    <row r="75" spans="1:15">
      <c r="A75" s="96" t="str">
        <f t="shared" si="3"/>
        <v>502002074</v>
      </c>
      <c r="B75" s="15" t="s">
        <v>4887</v>
      </c>
      <c r="C75" s="15" t="s">
        <v>4888</v>
      </c>
      <c r="D75" s="15" t="s">
        <v>4889</v>
      </c>
      <c r="E75" s="15" t="s">
        <v>6078</v>
      </c>
      <c r="F75" s="15" t="s">
        <v>6079</v>
      </c>
      <c r="G75" s="15" t="s">
        <v>6508</v>
      </c>
      <c r="H75" s="15" t="s">
        <v>4025</v>
      </c>
      <c r="I75" s="15" t="s">
        <v>4039</v>
      </c>
      <c r="J75" s="15" t="s">
        <v>4043</v>
      </c>
      <c r="K75" s="96" t="str">
        <f>IFERROR(INDEX(競技会設定!$J$3:$O$47,MATCH(J75,競技会設定!$M$3:$M$47,0),5),"")</f>
        <v>愛知教育大</v>
      </c>
      <c r="L75" s="96" t="str">
        <f>IFERROR(INDEX(競技会設定!$J$3:$N$47,MATCH(K75,競技会設定!$N$3:$N$47,0),2),"")</f>
        <v>490044</v>
      </c>
      <c r="M75" s="15" t="s">
        <v>3859</v>
      </c>
      <c r="N75" s="96" t="str">
        <f t="shared" si="4"/>
        <v>FUJII, Saika</v>
      </c>
      <c r="O75" s="96" t="str">
        <f t="shared" si="5"/>
        <v>98</v>
      </c>
    </row>
    <row r="76" spans="1:15">
      <c r="A76" s="96" t="str">
        <f t="shared" si="3"/>
        <v>502002075</v>
      </c>
      <c r="B76" s="15" t="s">
        <v>4890</v>
      </c>
      <c r="C76" s="15" t="s">
        <v>4891</v>
      </c>
      <c r="D76" s="15" t="s">
        <v>4892</v>
      </c>
      <c r="E76" s="15" t="s">
        <v>6080</v>
      </c>
      <c r="F76" s="15" t="s">
        <v>6081</v>
      </c>
      <c r="G76" s="15" t="s">
        <v>6509</v>
      </c>
      <c r="H76" s="15" t="s">
        <v>4025</v>
      </c>
      <c r="I76" s="15" t="s">
        <v>4039</v>
      </c>
      <c r="J76" s="15" t="s">
        <v>4043</v>
      </c>
      <c r="K76" s="96" t="str">
        <f>IFERROR(INDEX(競技会設定!$J$3:$O$47,MATCH(J76,競技会設定!$M$3:$M$47,0),5),"")</f>
        <v>愛知教育大</v>
      </c>
      <c r="L76" s="96" t="str">
        <f>IFERROR(INDEX(競技会設定!$J$3:$N$47,MATCH(K76,競技会設定!$N$3:$N$47,0),2),"")</f>
        <v>490044</v>
      </c>
      <c r="M76" s="15" t="s">
        <v>3859</v>
      </c>
      <c r="N76" s="96" t="str">
        <f t="shared" si="4"/>
        <v>TAKANO, Aika</v>
      </c>
      <c r="O76" s="96" t="str">
        <f t="shared" si="5"/>
        <v>98</v>
      </c>
    </row>
    <row r="77" spans="1:15">
      <c r="A77" s="96" t="str">
        <f t="shared" si="3"/>
        <v>502002076</v>
      </c>
      <c r="B77" s="15" t="s">
        <v>4893</v>
      </c>
      <c r="C77" s="15" t="s">
        <v>4894</v>
      </c>
      <c r="D77" s="15" t="s">
        <v>4895</v>
      </c>
      <c r="E77" s="15" t="s">
        <v>3027</v>
      </c>
      <c r="F77" s="15" t="s">
        <v>6082</v>
      </c>
      <c r="G77" s="15" t="s">
        <v>6510</v>
      </c>
      <c r="H77" s="15" t="s">
        <v>4025</v>
      </c>
      <c r="I77" s="15" t="s">
        <v>4039</v>
      </c>
      <c r="J77" s="15" t="s">
        <v>4043</v>
      </c>
      <c r="K77" s="96" t="str">
        <f>IFERROR(INDEX(競技会設定!$J$3:$O$47,MATCH(J77,競技会設定!$M$3:$M$47,0),5),"")</f>
        <v>愛知教育大</v>
      </c>
      <c r="L77" s="96" t="str">
        <f>IFERROR(INDEX(競技会設定!$J$3:$N$47,MATCH(K77,競技会設定!$N$3:$N$47,0),2),"")</f>
        <v>490044</v>
      </c>
      <c r="M77" s="15" t="s">
        <v>3855</v>
      </c>
      <c r="N77" s="96" t="str">
        <f t="shared" si="4"/>
        <v>SHIMIZU, Yukika</v>
      </c>
      <c r="O77" s="96" t="str">
        <f t="shared" si="5"/>
        <v>99</v>
      </c>
    </row>
    <row r="78" spans="1:15">
      <c r="A78" s="96" t="str">
        <f t="shared" si="3"/>
        <v>502002077</v>
      </c>
      <c r="B78" s="15" t="s">
        <v>4896</v>
      </c>
      <c r="C78" s="15" t="s">
        <v>4897</v>
      </c>
      <c r="D78" s="15" t="s">
        <v>4898</v>
      </c>
      <c r="E78" s="15" t="s">
        <v>3051</v>
      </c>
      <c r="F78" s="15" t="s">
        <v>6083</v>
      </c>
      <c r="G78" s="15" t="s">
        <v>6511</v>
      </c>
      <c r="H78" s="15" t="s">
        <v>4024</v>
      </c>
      <c r="I78" s="15" t="s">
        <v>4039</v>
      </c>
      <c r="J78" s="15" t="s">
        <v>4043</v>
      </c>
      <c r="K78" s="96" t="str">
        <f>IFERROR(INDEX(競技会設定!$J$3:$O$47,MATCH(J78,競技会設定!$M$3:$M$47,0),5),"")</f>
        <v>愛知教育大</v>
      </c>
      <c r="L78" s="96" t="str">
        <f>IFERROR(INDEX(競技会設定!$J$3:$N$47,MATCH(K78,競技会設定!$N$3:$N$47,0),2),"")</f>
        <v>490044</v>
      </c>
      <c r="M78" s="15" t="s">
        <v>3859</v>
      </c>
      <c r="N78" s="96" t="str">
        <f t="shared" si="4"/>
        <v>KAMIYA, Yuna</v>
      </c>
      <c r="O78" s="96" t="str">
        <f t="shared" si="5"/>
        <v>99</v>
      </c>
    </row>
    <row r="79" spans="1:15">
      <c r="A79" s="96" t="str">
        <f t="shared" si="3"/>
        <v>502002078</v>
      </c>
      <c r="B79" s="15" t="s">
        <v>4899</v>
      </c>
      <c r="C79" s="15" t="s">
        <v>4900</v>
      </c>
      <c r="D79" s="15" t="s">
        <v>4901</v>
      </c>
      <c r="E79" s="15" t="s">
        <v>6084</v>
      </c>
      <c r="F79" s="15" t="s">
        <v>3009</v>
      </c>
      <c r="G79" s="15" t="s">
        <v>6512</v>
      </c>
      <c r="H79" s="15" t="s">
        <v>4024</v>
      </c>
      <c r="I79" s="15" t="s">
        <v>4039</v>
      </c>
      <c r="J79" s="15" t="s">
        <v>4043</v>
      </c>
      <c r="K79" s="96" t="str">
        <f>IFERROR(INDEX(競技会設定!$J$3:$O$47,MATCH(J79,競技会設定!$M$3:$M$47,0),5),"")</f>
        <v>愛知教育大</v>
      </c>
      <c r="L79" s="96" t="str">
        <f>IFERROR(INDEX(競技会設定!$J$3:$N$47,MATCH(K79,競技会設定!$N$3:$N$47,0),2),"")</f>
        <v>490044</v>
      </c>
      <c r="M79" s="15" t="s">
        <v>3859</v>
      </c>
      <c r="N79" s="96" t="str">
        <f t="shared" si="4"/>
        <v>UNO, Yuki</v>
      </c>
      <c r="O79" s="96" t="str">
        <f t="shared" si="5"/>
        <v>99</v>
      </c>
    </row>
    <row r="80" spans="1:15">
      <c r="A80" s="96" t="str">
        <f t="shared" si="3"/>
        <v>502002079</v>
      </c>
      <c r="B80" s="15" t="s">
        <v>4902</v>
      </c>
      <c r="C80" s="15" t="s">
        <v>4903</v>
      </c>
      <c r="D80" s="15" t="s">
        <v>4904</v>
      </c>
      <c r="E80" s="15" t="s">
        <v>6085</v>
      </c>
      <c r="F80" s="15" t="s">
        <v>6086</v>
      </c>
      <c r="G80" s="15" t="s">
        <v>3215</v>
      </c>
      <c r="H80" s="15" t="s">
        <v>4024</v>
      </c>
      <c r="I80" s="15" t="s">
        <v>4039</v>
      </c>
      <c r="J80" s="15" t="s">
        <v>4043</v>
      </c>
      <c r="K80" s="96" t="str">
        <f>IFERROR(INDEX(競技会設定!$J$3:$O$47,MATCH(J80,競技会設定!$M$3:$M$47,0),5),"")</f>
        <v>愛知教育大</v>
      </c>
      <c r="L80" s="96" t="str">
        <f>IFERROR(INDEX(競技会設定!$J$3:$N$47,MATCH(K80,競技会設定!$N$3:$N$47,0),2),"")</f>
        <v>490044</v>
      </c>
      <c r="M80" s="15" t="s">
        <v>3859</v>
      </c>
      <c r="N80" s="96" t="str">
        <f t="shared" si="4"/>
        <v>SANO, Fumika</v>
      </c>
      <c r="O80" s="96" t="str">
        <f t="shared" si="5"/>
        <v>99</v>
      </c>
    </row>
    <row r="81" spans="1:15">
      <c r="A81" s="96" t="str">
        <f t="shared" si="3"/>
        <v>502002080</v>
      </c>
      <c r="B81" s="15" t="s">
        <v>4905</v>
      </c>
      <c r="C81" s="15" t="s">
        <v>4906</v>
      </c>
      <c r="D81" s="15" t="s">
        <v>4907</v>
      </c>
      <c r="E81" s="15" t="s">
        <v>6087</v>
      </c>
      <c r="F81" s="15" t="s">
        <v>6088</v>
      </c>
      <c r="G81" s="15" t="s">
        <v>3287</v>
      </c>
      <c r="H81" s="15" t="s">
        <v>4024</v>
      </c>
      <c r="I81" s="15" t="s">
        <v>4039</v>
      </c>
      <c r="J81" s="15" t="s">
        <v>4043</v>
      </c>
      <c r="K81" s="96" t="str">
        <f>IFERROR(INDEX(競技会設定!$J$3:$O$47,MATCH(J81,競技会設定!$M$3:$M$47,0),5),"")</f>
        <v>愛知教育大</v>
      </c>
      <c r="L81" s="96" t="str">
        <f>IFERROR(INDEX(競技会設定!$J$3:$N$47,MATCH(K81,競技会設定!$N$3:$N$47,0),2),"")</f>
        <v>490044</v>
      </c>
      <c r="M81" s="15" t="s">
        <v>3857</v>
      </c>
      <c r="N81" s="96" t="str">
        <f t="shared" si="4"/>
        <v>INABA, Sae</v>
      </c>
      <c r="O81" s="96" t="str">
        <f t="shared" si="5"/>
        <v>99</v>
      </c>
    </row>
    <row r="82" spans="1:15">
      <c r="A82" s="96" t="str">
        <f t="shared" si="3"/>
        <v>502002081</v>
      </c>
      <c r="B82" s="15" t="s">
        <v>4908</v>
      </c>
      <c r="C82" s="15" t="s">
        <v>4909</v>
      </c>
      <c r="D82" s="15" t="s">
        <v>4910</v>
      </c>
      <c r="E82" s="15" t="s">
        <v>6089</v>
      </c>
      <c r="F82" s="15" t="s">
        <v>6090</v>
      </c>
      <c r="G82" s="15" t="s">
        <v>6513</v>
      </c>
      <c r="H82" s="15" t="s">
        <v>4024</v>
      </c>
      <c r="I82" s="15" t="s">
        <v>4039</v>
      </c>
      <c r="J82" s="15" t="s">
        <v>4043</v>
      </c>
      <c r="K82" s="96" t="str">
        <f>IFERROR(INDEX(競技会設定!$J$3:$O$47,MATCH(J82,競技会設定!$M$3:$M$47,0),5),"")</f>
        <v>愛知教育大</v>
      </c>
      <c r="L82" s="96" t="str">
        <f>IFERROR(INDEX(競技会設定!$J$3:$N$47,MATCH(K82,競技会設定!$N$3:$N$47,0),2),"")</f>
        <v>490044</v>
      </c>
      <c r="M82" s="15" t="s">
        <v>3859</v>
      </c>
      <c r="N82" s="96" t="str">
        <f t="shared" si="4"/>
        <v>KASHIWAYA, Miku</v>
      </c>
      <c r="O82" s="96" t="str">
        <f t="shared" si="5"/>
        <v>99</v>
      </c>
    </row>
    <row r="83" spans="1:15">
      <c r="A83" s="96" t="str">
        <f t="shared" si="3"/>
        <v>502002082</v>
      </c>
      <c r="B83" s="15" t="s">
        <v>4911</v>
      </c>
      <c r="C83" s="15" t="s">
        <v>4912</v>
      </c>
      <c r="D83" s="15" t="s">
        <v>4913</v>
      </c>
      <c r="E83" s="15" t="s">
        <v>3029</v>
      </c>
      <c r="F83" s="15" t="s">
        <v>6068</v>
      </c>
      <c r="G83" s="15" t="s">
        <v>6514</v>
      </c>
      <c r="H83" s="15" t="s">
        <v>4024</v>
      </c>
      <c r="I83" s="15" t="s">
        <v>4039</v>
      </c>
      <c r="J83" s="15" t="s">
        <v>4043</v>
      </c>
      <c r="K83" s="96" t="str">
        <f>IFERROR(INDEX(競技会設定!$J$3:$O$47,MATCH(J83,競技会設定!$M$3:$M$47,0),5),"")</f>
        <v>愛知教育大</v>
      </c>
      <c r="L83" s="96" t="str">
        <f>IFERROR(INDEX(競技会設定!$J$3:$N$47,MATCH(K83,競技会設定!$N$3:$N$47,0),2),"")</f>
        <v>490044</v>
      </c>
      <c r="M83" s="15" t="s">
        <v>3859</v>
      </c>
      <c r="N83" s="96" t="str">
        <f t="shared" si="4"/>
        <v>MATSUI, Hana</v>
      </c>
      <c r="O83" s="96" t="str">
        <f t="shared" si="5"/>
        <v>99</v>
      </c>
    </row>
    <row r="84" spans="1:15">
      <c r="A84" s="96" t="str">
        <f t="shared" si="3"/>
        <v>502002083</v>
      </c>
      <c r="B84" s="15" t="s">
        <v>4914</v>
      </c>
      <c r="C84" s="15" t="s">
        <v>4915</v>
      </c>
      <c r="D84" s="15" t="s">
        <v>4916</v>
      </c>
      <c r="E84" s="15" t="s">
        <v>6091</v>
      </c>
      <c r="F84" s="15" t="s">
        <v>6092</v>
      </c>
      <c r="G84" s="15" t="s">
        <v>3218</v>
      </c>
      <c r="H84" s="15" t="s">
        <v>4024</v>
      </c>
      <c r="I84" s="15" t="s">
        <v>4039</v>
      </c>
      <c r="J84" s="15" t="s">
        <v>4043</v>
      </c>
      <c r="K84" s="96" t="str">
        <f>IFERROR(INDEX(競技会設定!$J$3:$O$47,MATCH(J84,競技会設定!$M$3:$M$47,0),5),"")</f>
        <v>愛知教育大</v>
      </c>
      <c r="L84" s="96" t="str">
        <f>IFERROR(INDEX(競技会設定!$J$3:$N$47,MATCH(K84,競技会設定!$N$3:$N$47,0),2),"")</f>
        <v>490044</v>
      </c>
      <c r="M84" s="15" t="s">
        <v>3859</v>
      </c>
      <c r="N84" s="96" t="str">
        <f t="shared" si="4"/>
        <v>YOSHIMURA, Tsukino</v>
      </c>
      <c r="O84" s="96" t="str">
        <f t="shared" si="5"/>
        <v>99</v>
      </c>
    </row>
    <row r="85" spans="1:15">
      <c r="A85" s="96" t="str">
        <f t="shared" si="3"/>
        <v>502002084</v>
      </c>
      <c r="B85" s="15" t="s">
        <v>4917</v>
      </c>
      <c r="C85" s="15" t="s">
        <v>4918</v>
      </c>
      <c r="D85" s="15" t="s">
        <v>4919</v>
      </c>
      <c r="E85" s="15" t="s">
        <v>6093</v>
      </c>
      <c r="F85" s="15" t="s">
        <v>6052</v>
      </c>
      <c r="G85" s="15" t="s">
        <v>6515</v>
      </c>
      <c r="H85" s="15" t="s">
        <v>4024</v>
      </c>
      <c r="I85" s="15" t="s">
        <v>4039</v>
      </c>
      <c r="J85" s="15" t="s">
        <v>4043</v>
      </c>
      <c r="K85" s="96" t="str">
        <f>IFERROR(INDEX(競技会設定!$J$3:$O$47,MATCH(J85,競技会設定!$M$3:$M$47,0),5),"")</f>
        <v>愛知教育大</v>
      </c>
      <c r="L85" s="96" t="str">
        <f>IFERROR(INDEX(競技会設定!$J$3:$N$47,MATCH(K85,競技会設定!$N$3:$N$47,0),2),"")</f>
        <v>490044</v>
      </c>
      <c r="M85" s="15" t="s">
        <v>3843</v>
      </c>
      <c r="N85" s="96" t="str">
        <f t="shared" si="4"/>
        <v>HOSHINO, Fuka</v>
      </c>
      <c r="O85" s="96" t="str">
        <f t="shared" si="5"/>
        <v>99</v>
      </c>
    </row>
    <row r="86" spans="1:15">
      <c r="A86" s="96" t="str">
        <f t="shared" si="3"/>
        <v>502002085</v>
      </c>
      <c r="B86" s="15" t="s">
        <v>4920</v>
      </c>
      <c r="C86" s="15" t="s">
        <v>4921</v>
      </c>
      <c r="D86" s="15" t="s">
        <v>4922</v>
      </c>
      <c r="E86" s="15" t="s">
        <v>3040</v>
      </c>
      <c r="F86" s="15" t="s">
        <v>6013</v>
      </c>
      <c r="G86" s="15" t="s">
        <v>4592</v>
      </c>
      <c r="H86" s="15" t="s">
        <v>4026</v>
      </c>
      <c r="I86" s="15" t="s">
        <v>4039</v>
      </c>
      <c r="J86" s="15" t="s">
        <v>4043</v>
      </c>
      <c r="K86" s="96" t="str">
        <f>IFERROR(INDEX(競技会設定!$J$3:$O$47,MATCH(J86,競技会設定!$M$3:$M$47,0),5),"")</f>
        <v>愛知教育大</v>
      </c>
      <c r="L86" s="96" t="str">
        <f>IFERROR(INDEX(競技会設定!$J$3:$N$47,MATCH(K86,競技会設定!$N$3:$N$47,0),2),"")</f>
        <v>490044</v>
      </c>
      <c r="M86" s="15" t="s">
        <v>3859</v>
      </c>
      <c r="N86" s="96" t="str">
        <f t="shared" si="4"/>
        <v>ANDO, Akari</v>
      </c>
      <c r="O86" s="96" t="str">
        <f t="shared" si="5"/>
        <v>00</v>
      </c>
    </row>
    <row r="87" spans="1:15">
      <c r="A87" s="96" t="str">
        <f t="shared" si="3"/>
        <v>502002086</v>
      </c>
      <c r="B87" s="15" t="s">
        <v>4923</v>
      </c>
      <c r="C87" s="15" t="s">
        <v>4924</v>
      </c>
      <c r="D87" s="15" t="s">
        <v>4925</v>
      </c>
      <c r="E87" s="15" t="s">
        <v>3026</v>
      </c>
      <c r="F87" s="15" t="s">
        <v>6094</v>
      </c>
      <c r="G87" s="15" t="s">
        <v>4655</v>
      </c>
      <c r="H87" s="15" t="s">
        <v>4026</v>
      </c>
      <c r="I87" s="15" t="s">
        <v>4039</v>
      </c>
      <c r="J87" s="15" t="s">
        <v>4043</v>
      </c>
      <c r="K87" s="96" t="str">
        <f>IFERROR(INDEX(競技会設定!$J$3:$O$47,MATCH(J87,競技会設定!$M$3:$M$47,0),5),"")</f>
        <v>愛知教育大</v>
      </c>
      <c r="L87" s="96" t="str">
        <f>IFERROR(INDEX(競技会設定!$J$3:$N$47,MATCH(K87,競技会設定!$N$3:$N$47,0),2),"")</f>
        <v>490044</v>
      </c>
      <c r="M87" s="15" t="s">
        <v>3859</v>
      </c>
      <c r="N87" s="96" t="str">
        <f t="shared" si="4"/>
        <v>KATO, Mayu</v>
      </c>
      <c r="O87" s="96" t="str">
        <f t="shared" si="5"/>
        <v>00</v>
      </c>
    </row>
    <row r="88" spans="1:15">
      <c r="A88" s="96" t="str">
        <f t="shared" si="3"/>
        <v>502002087</v>
      </c>
      <c r="B88" s="15" t="s">
        <v>4926</v>
      </c>
      <c r="C88" s="15" t="s">
        <v>4927</v>
      </c>
      <c r="D88" s="15" t="s">
        <v>4928</v>
      </c>
      <c r="E88" s="15" t="s">
        <v>6095</v>
      </c>
      <c r="F88" s="15" t="s">
        <v>6096</v>
      </c>
      <c r="G88" s="15" t="s">
        <v>6516</v>
      </c>
      <c r="H88" s="15" t="s">
        <v>4026</v>
      </c>
      <c r="I88" s="15" t="s">
        <v>4039</v>
      </c>
      <c r="J88" s="15" t="s">
        <v>4043</v>
      </c>
      <c r="K88" s="96" t="str">
        <f>IFERROR(INDEX(競技会設定!$J$3:$O$47,MATCH(J88,競技会設定!$M$3:$M$47,0),5),"")</f>
        <v>愛知教育大</v>
      </c>
      <c r="L88" s="96" t="str">
        <f>IFERROR(INDEX(競技会設定!$J$3:$N$47,MATCH(K88,競技会設定!$N$3:$N$47,0),2),"")</f>
        <v>490044</v>
      </c>
      <c r="M88" s="15" t="s">
        <v>3859</v>
      </c>
      <c r="N88" s="96" t="str">
        <f t="shared" si="4"/>
        <v>WATANABE, Ayana</v>
      </c>
      <c r="O88" s="96" t="str">
        <f t="shared" si="5"/>
        <v>00</v>
      </c>
    </row>
    <row r="89" spans="1:15">
      <c r="A89" s="96" t="str">
        <f t="shared" si="3"/>
        <v>502002088</v>
      </c>
      <c r="B89" s="15" t="s">
        <v>4929</v>
      </c>
      <c r="C89" s="15" t="s">
        <v>4930</v>
      </c>
      <c r="D89" s="15" t="s">
        <v>4931</v>
      </c>
      <c r="E89" s="15" t="s">
        <v>5968</v>
      </c>
      <c r="F89" s="15" t="s">
        <v>6061</v>
      </c>
      <c r="G89" s="15" t="s">
        <v>3222</v>
      </c>
      <c r="H89" s="15" t="s">
        <v>4026</v>
      </c>
      <c r="I89" s="15" t="s">
        <v>4039</v>
      </c>
      <c r="J89" s="15" t="s">
        <v>4043</v>
      </c>
      <c r="K89" s="96" t="str">
        <f>IFERROR(INDEX(競技会設定!$J$3:$O$47,MATCH(J89,競技会設定!$M$3:$M$47,0),5),"")</f>
        <v>愛知教育大</v>
      </c>
      <c r="L89" s="96" t="str">
        <f>IFERROR(INDEX(競技会設定!$J$3:$N$47,MATCH(K89,競技会設定!$N$3:$N$47,0),2),"")</f>
        <v>490044</v>
      </c>
      <c r="M89" s="15" t="s">
        <v>3859</v>
      </c>
      <c r="N89" s="96" t="str">
        <f t="shared" si="4"/>
        <v>SUGIYAMA, Kaoru</v>
      </c>
      <c r="O89" s="96" t="str">
        <f t="shared" si="5"/>
        <v>00</v>
      </c>
    </row>
    <row r="90" spans="1:15">
      <c r="A90" s="96" t="str">
        <f t="shared" si="3"/>
        <v>502002089</v>
      </c>
      <c r="B90" s="15" t="s">
        <v>4932</v>
      </c>
      <c r="C90" s="15" t="s">
        <v>4933</v>
      </c>
      <c r="D90" s="15" t="s">
        <v>4934</v>
      </c>
      <c r="E90" s="15" t="s">
        <v>6097</v>
      </c>
      <c r="F90" s="15" t="s">
        <v>6098</v>
      </c>
      <c r="G90" s="15" t="s">
        <v>6517</v>
      </c>
      <c r="H90" s="15" t="s">
        <v>4026</v>
      </c>
      <c r="I90" s="15" t="s">
        <v>4039</v>
      </c>
      <c r="J90" s="15" t="s">
        <v>4043</v>
      </c>
      <c r="K90" s="96" t="str">
        <f>IFERROR(INDEX(競技会設定!$J$3:$O$47,MATCH(J90,競技会設定!$M$3:$M$47,0),5),"")</f>
        <v>愛知教育大</v>
      </c>
      <c r="L90" s="96" t="str">
        <f>IFERROR(INDEX(競技会設定!$J$3:$N$47,MATCH(K90,競技会設定!$N$3:$N$47,0),2),"")</f>
        <v>490044</v>
      </c>
      <c r="M90" s="15" t="s">
        <v>3859</v>
      </c>
      <c r="N90" s="96" t="str">
        <f t="shared" si="4"/>
        <v>KOIZUMI, Mana</v>
      </c>
      <c r="O90" s="96" t="str">
        <f t="shared" si="5"/>
        <v>00</v>
      </c>
    </row>
    <row r="91" spans="1:15">
      <c r="A91" s="96" t="str">
        <f t="shared" si="3"/>
        <v>502002090</v>
      </c>
      <c r="B91" s="15" t="s">
        <v>4935</v>
      </c>
      <c r="C91" s="15" t="s">
        <v>4936</v>
      </c>
      <c r="D91" s="15" t="s">
        <v>4937</v>
      </c>
      <c r="E91" s="15" t="s">
        <v>4509</v>
      </c>
      <c r="F91" s="15" t="s">
        <v>6099</v>
      </c>
      <c r="G91" s="15" t="s">
        <v>3340</v>
      </c>
      <c r="H91" s="15" t="s">
        <v>4026</v>
      </c>
      <c r="I91" s="15" t="s">
        <v>4039</v>
      </c>
      <c r="J91" s="15" t="s">
        <v>4043</v>
      </c>
      <c r="K91" s="96" t="str">
        <f>IFERROR(INDEX(競技会設定!$J$3:$O$47,MATCH(J91,競技会設定!$M$3:$M$47,0),5),"")</f>
        <v>愛知教育大</v>
      </c>
      <c r="L91" s="96" t="str">
        <f>IFERROR(INDEX(競技会設定!$J$3:$N$47,MATCH(K91,競技会設定!$N$3:$N$47,0),2),"")</f>
        <v>490044</v>
      </c>
      <c r="M91" s="15" t="s">
        <v>3859</v>
      </c>
      <c r="N91" s="96" t="str">
        <f t="shared" si="4"/>
        <v>NAITO, Nozomi</v>
      </c>
      <c r="O91" s="96" t="str">
        <f t="shared" si="5"/>
        <v>00</v>
      </c>
    </row>
    <row r="92" spans="1:15">
      <c r="A92" s="96" t="str">
        <f t="shared" si="3"/>
        <v>502002091</v>
      </c>
      <c r="B92" s="15" t="s">
        <v>4938</v>
      </c>
      <c r="C92" s="15" t="s">
        <v>4939</v>
      </c>
      <c r="D92" s="15" t="s">
        <v>4940</v>
      </c>
      <c r="E92" s="15" t="s">
        <v>3027</v>
      </c>
      <c r="F92" s="15" t="s">
        <v>6100</v>
      </c>
      <c r="G92" s="15" t="s">
        <v>3667</v>
      </c>
      <c r="H92" s="15" t="s">
        <v>4026</v>
      </c>
      <c r="I92" s="15" t="s">
        <v>4039</v>
      </c>
      <c r="J92" s="15" t="s">
        <v>4043</v>
      </c>
      <c r="K92" s="96" t="str">
        <f>IFERROR(INDEX(競技会設定!$J$3:$O$47,MATCH(J92,競技会設定!$M$3:$M$47,0),5),"")</f>
        <v>愛知教育大</v>
      </c>
      <c r="L92" s="96" t="str">
        <f>IFERROR(INDEX(競技会設定!$J$3:$N$47,MATCH(K92,競技会設定!$N$3:$N$47,0),2),"")</f>
        <v>490044</v>
      </c>
      <c r="M92" s="15" t="s">
        <v>3859</v>
      </c>
      <c r="N92" s="96" t="str">
        <f t="shared" si="4"/>
        <v>SHIMIZU, Sakiho</v>
      </c>
      <c r="O92" s="96" t="str">
        <f t="shared" si="5"/>
        <v>00</v>
      </c>
    </row>
    <row r="93" spans="1:15">
      <c r="A93" s="96" t="str">
        <f t="shared" si="3"/>
        <v>502002092</v>
      </c>
      <c r="B93" s="15" t="s">
        <v>4941</v>
      </c>
      <c r="C93" s="15" t="s">
        <v>4942</v>
      </c>
      <c r="D93" s="15" t="s">
        <v>4943</v>
      </c>
      <c r="E93" s="15" t="s">
        <v>6101</v>
      </c>
      <c r="F93" s="15" t="s">
        <v>6032</v>
      </c>
      <c r="G93" s="15" t="s">
        <v>6518</v>
      </c>
      <c r="H93" s="15" t="s">
        <v>4026</v>
      </c>
      <c r="I93" s="15" t="s">
        <v>4039</v>
      </c>
      <c r="J93" s="15" t="s">
        <v>4043</v>
      </c>
      <c r="K93" s="96" t="str">
        <f>IFERROR(INDEX(競技会設定!$J$3:$O$47,MATCH(J93,競技会設定!$M$3:$M$47,0),5),"")</f>
        <v>愛知教育大</v>
      </c>
      <c r="L93" s="96" t="str">
        <f>IFERROR(INDEX(競技会設定!$J$3:$N$47,MATCH(K93,競技会設定!$N$3:$N$47,0),2),"")</f>
        <v>490044</v>
      </c>
      <c r="M93" s="15" t="s">
        <v>3859</v>
      </c>
      <c r="N93" s="96" t="str">
        <f t="shared" si="4"/>
        <v>ONISHI, Kanako</v>
      </c>
      <c r="O93" s="96" t="str">
        <f t="shared" si="5"/>
        <v>01</v>
      </c>
    </row>
    <row r="94" spans="1:15">
      <c r="A94" s="96" t="str">
        <f t="shared" si="3"/>
        <v>502002093</v>
      </c>
      <c r="B94" s="15" t="s">
        <v>4944</v>
      </c>
      <c r="C94" s="15" t="s">
        <v>4945</v>
      </c>
      <c r="D94" s="15" t="s">
        <v>4946</v>
      </c>
      <c r="E94" s="15" t="s">
        <v>6102</v>
      </c>
      <c r="F94" s="15" t="s">
        <v>6096</v>
      </c>
      <c r="G94" s="15" t="s">
        <v>6519</v>
      </c>
      <c r="H94" s="15" t="s">
        <v>4029</v>
      </c>
      <c r="I94" s="15" t="s">
        <v>4039</v>
      </c>
      <c r="J94" s="15" t="s">
        <v>4043</v>
      </c>
      <c r="K94" s="96" t="str">
        <f>IFERROR(INDEX(競技会設定!$J$3:$O$47,MATCH(J94,競技会設定!$M$3:$M$47,0),5),"")</f>
        <v>愛知教育大</v>
      </c>
      <c r="L94" s="96" t="str">
        <f>IFERROR(INDEX(競技会設定!$J$3:$N$47,MATCH(K94,競技会設定!$N$3:$N$47,0),2),"")</f>
        <v>490044</v>
      </c>
      <c r="M94" s="15" t="s">
        <v>3859</v>
      </c>
      <c r="N94" s="96" t="str">
        <f t="shared" si="4"/>
        <v>MANABE, Ayana</v>
      </c>
      <c r="O94" s="96" t="str">
        <f t="shared" si="5"/>
        <v>01</v>
      </c>
    </row>
    <row r="95" spans="1:15">
      <c r="A95" s="96" t="str">
        <f t="shared" si="3"/>
        <v>502002094</v>
      </c>
      <c r="B95" s="15" t="s">
        <v>4947</v>
      </c>
      <c r="C95" s="15" t="s">
        <v>4948</v>
      </c>
      <c r="D95" s="15" t="s">
        <v>4949</v>
      </c>
      <c r="E95" s="15" t="s">
        <v>6103</v>
      </c>
      <c r="F95" s="15" t="s">
        <v>6104</v>
      </c>
      <c r="G95" s="15" t="s">
        <v>6520</v>
      </c>
      <c r="H95" s="15" t="s">
        <v>4026</v>
      </c>
      <c r="I95" s="15" t="s">
        <v>4039</v>
      </c>
      <c r="J95" s="15" t="s">
        <v>4045</v>
      </c>
      <c r="K95" s="96" t="str">
        <f>IFERROR(INDEX(競技会設定!$J$3:$O$47,MATCH(J95,競技会設定!$M$3:$M$47,0),5),"")</f>
        <v>愛知淑徳大</v>
      </c>
      <c r="L95" s="96" t="str">
        <f>IFERROR(INDEX(競技会設定!$J$3:$N$47,MATCH(K95,競技会設定!$N$3:$N$47,0),2),"")</f>
        <v>492301</v>
      </c>
      <c r="M95" s="15" t="s">
        <v>3859</v>
      </c>
      <c r="N95" s="96" t="str">
        <f t="shared" si="4"/>
        <v>KUBODERA, Momoka</v>
      </c>
      <c r="O95" s="96" t="str">
        <f t="shared" si="5"/>
        <v>01</v>
      </c>
    </row>
    <row r="96" spans="1:15">
      <c r="A96" s="96" t="str">
        <f t="shared" si="3"/>
        <v>502002095</v>
      </c>
      <c r="B96" s="15" t="s">
        <v>4950</v>
      </c>
      <c r="C96" s="15" t="s">
        <v>4951</v>
      </c>
      <c r="D96" s="15" t="s">
        <v>4952</v>
      </c>
      <c r="E96" s="15" t="s">
        <v>6105</v>
      </c>
      <c r="F96" s="15" t="s">
        <v>6068</v>
      </c>
      <c r="G96" s="15" t="s">
        <v>3181</v>
      </c>
      <c r="H96" s="15" t="s">
        <v>4025</v>
      </c>
      <c r="I96" s="15" t="s">
        <v>4039</v>
      </c>
      <c r="J96" s="15" t="s">
        <v>4045</v>
      </c>
      <c r="K96" s="96" t="str">
        <f>IFERROR(INDEX(競技会設定!$J$3:$O$47,MATCH(J96,競技会設定!$M$3:$M$47,0),5),"")</f>
        <v>愛知淑徳大</v>
      </c>
      <c r="L96" s="96" t="str">
        <f>IFERROR(INDEX(競技会設定!$J$3:$N$47,MATCH(K96,競技会設定!$N$3:$N$47,0),2),"")</f>
        <v>492301</v>
      </c>
      <c r="M96" s="15" t="s">
        <v>3859</v>
      </c>
      <c r="N96" s="96" t="str">
        <f t="shared" si="4"/>
        <v>YAMAGUCHI, Hana</v>
      </c>
      <c r="O96" s="96" t="str">
        <f t="shared" si="5"/>
        <v>98</v>
      </c>
    </row>
    <row r="97" spans="1:15">
      <c r="A97" s="96" t="str">
        <f t="shared" si="3"/>
        <v>502002096</v>
      </c>
      <c r="B97" s="15" t="s">
        <v>4953</v>
      </c>
      <c r="C97" s="15" t="s">
        <v>4954</v>
      </c>
      <c r="D97" s="15" t="s">
        <v>4955</v>
      </c>
      <c r="E97" s="15" t="s">
        <v>6106</v>
      </c>
      <c r="F97" s="15" t="s">
        <v>6107</v>
      </c>
      <c r="G97" s="15" t="s">
        <v>6521</v>
      </c>
      <c r="H97" s="15" t="s">
        <v>4026</v>
      </c>
      <c r="I97" s="15" t="s">
        <v>4039</v>
      </c>
      <c r="J97" s="15" t="s">
        <v>4045</v>
      </c>
      <c r="K97" s="96" t="str">
        <f>IFERROR(INDEX(競技会設定!$J$3:$O$47,MATCH(J97,競技会設定!$M$3:$M$47,0),5),"")</f>
        <v>愛知淑徳大</v>
      </c>
      <c r="L97" s="96" t="str">
        <f>IFERROR(INDEX(競技会設定!$J$3:$N$47,MATCH(K97,競技会設定!$N$3:$N$47,0),2),"")</f>
        <v>492301</v>
      </c>
      <c r="M97" s="15" t="s">
        <v>3861</v>
      </c>
      <c r="N97" s="96" t="str">
        <f t="shared" si="4"/>
        <v>MURATA, Yuka</v>
      </c>
      <c r="O97" s="96" t="str">
        <f t="shared" si="5"/>
        <v>99</v>
      </c>
    </row>
    <row r="98" spans="1:15">
      <c r="A98" s="96" t="str">
        <f t="shared" si="3"/>
        <v>502002097</v>
      </c>
      <c r="B98" s="15" t="s">
        <v>4956</v>
      </c>
      <c r="C98" s="15" t="s">
        <v>4957</v>
      </c>
      <c r="D98" s="15" t="s">
        <v>4958</v>
      </c>
      <c r="E98" s="15" t="s">
        <v>6108</v>
      </c>
      <c r="F98" s="15" t="s">
        <v>5982</v>
      </c>
      <c r="G98" s="15" t="s">
        <v>6522</v>
      </c>
      <c r="H98" s="15" t="s">
        <v>4025</v>
      </c>
      <c r="I98" s="15" t="s">
        <v>4039</v>
      </c>
      <c r="J98" s="15" t="s">
        <v>4045</v>
      </c>
      <c r="K98" s="96" t="str">
        <f>IFERROR(INDEX(競技会設定!$J$3:$O$47,MATCH(J98,競技会設定!$M$3:$M$47,0),5),"")</f>
        <v>愛知淑徳大</v>
      </c>
      <c r="L98" s="96" t="str">
        <f>IFERROR(INDEX(競技会設定!$J$3:$N$47,MATCH(K98,競技会設定!$N$3:$N$47,0),2),"")</f>
        <v>492301</v>
      </c>
      <c r="M98" s="15" t="s">
        <v>3855</v>
      </c>
      <c r="N98" s="96" t="str">
        <f t="shared" si="4"/>
        <v>KIRIYAMA, Nanako</v>
      </c>
      <c r="O98" s="96" t="str">
        <f t="shared" si="5"/>
        <v>99</v>
      </c>
    </row>
    <row r="99" spans="1:15">
      <c r="A99" s="96" t="str">
        <f t="shared" si="3"/>
        <v>502002098</v>
      </c>
      <c r="B99" s="15" t="s">
        <v>4959</v>
      </c>
      <c r="C99" s="15" t="s">
        <v>4960</v>
      </c>
      <c r="D99" s="15" t="s">
        <v>4961</v>
      </c>
      <c r="E99" s="15" t="s">
        <v>6109</v>
      </c>
      <c r="F99" s="15" t="s">
        <v>6110</v>
      </c>
      <c r="G99" s="15" t="s">
        <v>6523</v>
      </c>
      <c r="H99" s="15" t="s">
        <v>4026</v>
      </c>
      <c r="I99" s="15" t="s">
        <v>4039</v>
      </c>
      <c r="J99" s="15" t="s">
        <v>4045</v>
      </c>
      <c r="K99" s="96" t="str">
        <f>IFERROR(INDEX(競技会設定!$J$3:$O$47,MATCH(J99,競技会設定!$M$3:$M$47,0),5),"")</f>
        <v>愛知淑徳大</v>
      </c>
      <c r="L99" s="96" t="str">
        <f>IFERROR(INDEX(競技会設定!$J$3:$N$47,MATCH(K99,競技会設定!$N$3:$N$47,0),2),"")</f>
        <v>492301</v>
      </c>
      <c r="M99" s="15" t="s">
        <v>3859</v>
      </c>
      <c r="N99" s="96" t="str">
        <f t="shared" si="4"/>
        <v>ITO , Mai</v>
      </c>
      <c r="O99" s="96" t="str">
        <f t="shared" si="5"/>
        <v>00</v>
      </c>
    </row>
    <row r="100" spans="1:15">
      <c r="A100" s="96" t="str">
        <f t="shared" si="3"/>
        <v>502002099</v>
      </c>
      <c r="B100" s="15" t="s">
        <v>4962</v>
      </c>
      <c r="C100" s="15" t="s">
        <v>4963</v>
      </c>
      <c r="D100" s="15" t="s">
        <v>4964</v>
      </c>
      <c r="E100" s="15" t="s">
        <v>4497</v>
      </c>
      <c r="F100" s="15" t="s">
        <v>5997</v>
      </c>
      <c r="G100" s="15" t="s">
        <v>3293</v>
      </c>
      <c r="H100" s="15" t="s">
        <v>4024</v>
      </c>
      <c r="I100" s="15" t="s">
        <v>4039</v>
      </c>
      <c r="J100" s="15" t="s">
        <v>4045</v>
      </c>
      <c r="K100" s="96" t="str">
        <f>IFERROR(INDEX(競技会設定!$J$3:$O$47,MATCH(J100,競技会設定!$M$3:$M$47,0),5),"")</f>
        <v>愛知淑徳大</v>
      </c>
      <c r="L100" s="96" t="str">
        <f>IFERROR(INDEX(競技会設定!$J$3:$N$47,MATCH(K100,競技会設定!$N$3:$N$47,0),2),"")</f>
        <v>492301</v>
      </c>
      <c r="M100" s="15" t="s">
        <v>3859</v>
      </c>
      <c r="N100" s="96" t="str">
        <f t="shared" si="4"/>
        <v>SUGIURA, Nao</v>
      </c>
      <c r="O100" s="96" t="str">
        <f t="shared" si="5"/>
        <v>99</v>
      </c>
    </row>
    <row r="101" spans="1:15">
      <c r="A101" s="96" t="str">
        <f t="shared" si="3"/>
        <v>502002100</v>
      </c>
      <c r="B101" s="15" t="s">
        <v>4965</v>
      </c>
      <c r="C101" s="15" t="s">
        <v>4966</v>
      </c>
      <c r="D101" s="15" t="s">
        <v>4967</v>
      </c>
      <c r="E101" s="15" t="s">
        <v>6111</v>
      </c>
      <c r="F101" s="15" t="s">
        <v>6112</v>
      </c>
      <c r="G101" s="15" t="s">
        <v>3697</v>
      </c>
      <c r="H101" s="15" t="s">
        <v>4024</v>
      </c>
      <c r="I101" s="15" t="s">
        <v>4039</v>
      </c>
      <c r="J101" s="15" t="s">
        <v>4045</v>
      </c>
      <c r="K101" s="96" t="str">
        <f>IFERROR(INDEX(競技会設定!$J$3:$O$47,MATCH(J101,競技会設定!$M$3:$M$47,0),5),"")</f>
        <v>愛知淑徳大</v>
      </c>
      <c r="L101" s="96" t="str">
        <f>IFERROR(INDEX(競技会設定!$J$3:$N$47,MATCH(K101,競技会設定!$N$3:$N$47,0),2),"")</f>
        <v>492301</v>
      </c>
      <c r="M101" s="15" t="s">
        <v>3859</v>
      </c>
      <c r="N101" s="96" t="str">
        <f t="shared" si="4"/>
        <v>NONAKA , Konatsu</v>
      </c>
      <c r="O101" s="96" t="str">
        <f t="shared" si="5"/>
        <v>99</v>
      </c>
    </row>
    <row r="102" spans="1:15">
      <c r="A102" s="96" t="str">
        <f t="shared" si="3"/>
        <v>502002101</v>
      </c>
      <c r="B102" s="15" t="s">
        <v>4968</v>
      </c>
      <c r="C102" s="15" t="s">
        <v>4969</v>
      </c>
      <c r="D102" s="15" t="s">
        <v>4970</v>
      </c>
      <c r="E102" s="15" t="s">
        <v>6113</v>
      </c>
      <c r="F102" s="15" t="s">
        <v>6114</v>
      </c>
      <c r="G102" s="15" t="s">
        <v>3422</v>
      </c>
      <c r="H102" s="15" t="s">
        <v>4026</v>
      </c>
      <c r="I102" s="15" t="s">
        <v>4039</v>
      </c>
      <c r="J102" s="15" t="s">
        <v>4046</v>
      </c>
      <c r="K102" s="96" t="str">
        <f>IFERROR(INDEX(競技会設定!$J$3:$O$47,MATCH(J102,競技会設定!$M$3:$M$47,0),5),"")</f>
        <v>愛知大</v>
      </c>
      <c r="L102" s="96" t="str">
        <f>IFERROR(INDEX(競技会設定!$J$3:$N$47,MATCH(K102,競技会設定!$N$3:$N$47,0),2),"")</f>
        <v>492165</v>
      </c>
      <c r="M102" s="15" t="s">
        <v>3859</v>
      </c>
      <c r="N102" s="96" t="str">
        <f t="shared" si="4"/>
        <v>NAKAMURA, Saki</v>
      </c>
      <c r="O102" s="96" t="str">
        <f t="shared" si="5"/>
        <v>00</v>
      </c>
    </row>
    <row r="103" spans="1:15">
      <c r="A103" s="96" t="str">
        <f t="shared" si="3"/>
        <v>502002102</v>
      </c>
      <c r="B103" s="15" t="s">
        <v>4971</v>
      </c>
      <c r="C103" s="15" t="s">
        <v>4972</v>
      </c>
      <c r="D103" s="15" t="s">
        <v>4973</v>
      </c>
      <c r="E103" s="15" t="s">
        <v>6115</v>
      </c>
      <c r="F103" s="15" t="s">
        <v>6116</v>
      </c>
      <c r="G103" s="15" t="s">
        <v>3413</v>
      </c>
      <c r="H103" s="15" t="s">
        <v>4024</v>
      </c>
      <c r="I103" s="15" t="s">
        <v>4039</v>
      </c>
      <c r="J103" s="15" t="s">
        <v>4046</v>
      </c>
      <c r="K103" s="96" t="str">
        <f>IFERROR(INDEX(競技会設定!$J$3:$O$47,MATCH(J103,競技会設定!$M$3:$M$47,0),5),"")</f>
        <v>愛知大</v>
      </c>
      <c r="L103" s="96" t="str">
        <f>IFERROR(INDEX(競技会設定!$J$3:$N$47,MATCH(K103,競技会設定!$N$3:$N$47,0),2),"")</f>
        <v>492165</v>
      </c>
      <c r="M103" s="15" t="s">
        <v>3859</v>
      </c>
      <c r="N103" s="96" t="str">
        <f t="shared" si="4"/>
        <v>IYODA, Ayane</v>
      </c>
      <c r="O103" s="96" t="str">
        <f t="shared" si="5"/>
        <v>99</v>
      </c>
    </row>
    <row r="104" spans="1:15">
      <c r="A104" s="96" t="str">
        <f t="shared" si="3"/>
        <v>502002103</v>
      </c>
      <c r="B104" s="15" t="s">
        <v>4974</v>
      </c>
      <c r="C104" s="15" t="s">
        <v>4975</v>
      </c>
      <c r="D104" s="15" t="s">
        <v>4976</v>
      </c>
      <c r="E104" s="15" t="s">
        <v>6117</v>
      </c>
      <c r="F104" s="15" t="s">
        <v>6118</v>
      </c>
      <c r="G104" s="15" t="s">
        <v>6524</v>
      </c>
      <c r="H104" s="15" t="s">
        <v>4025</v>
      </c>
      <c r="I104" s="15" t="s">
        <v>4039</v>
      </c>
      <c r="J104" s="15" t="s">
        <v>4047</v>
      </c>
      <c r="K104" s="96" t="str">
        <f>IFERROR(INDEX(競技会設定!$J$3:$O$47,MATCH(J104,競技会設定!$M$3:$M$47,0),5),"")</f>
        <v>岐阜協立大</v>
      </c>
      <c r="L104" s="96" t="str">
        <f>IFERROR(INDEX(競技会設定!$J$3:$N$47,MATCH(K104,競技会設定!$N$3:$N$47,0),2),"")</f>
        <v>492161</v>
      </c>
      <c r="M104" s="15" t="s">
        <v>3855</v>
      </c>
      <c r="N104" s="96" t="str">
        <f t="shared" si="4"/>
        <v>ADACHI, Moeno</v>
      </c>
      <c r="O104" s="96" t="str">
        <f t="shared" si="5"/>
        <v>98</v>
      </c>
    </row>
    <row r="105" spans="1:15">
      <c r="A105" s="96" t="str">
        <f t="shared" si="3"/>
        <v>502002104</v>
      </c>
      <c r="B105" s="15" t="s">
        <v>4977</v>
      </c>
      <c r="C105" s="15" t="s">
        <v>4978</v>
      </c>
      <c r="D105" s="15" t="s">
        <v>4979</v>
      </c>
      <c r="E105" s="15" t="s">
        <v>6119</v>
      </c>
      <c r="F105" s="15" t="s">
        <v>6120</v>
      </c>
      <c r="G105" s="15" t="s">
        <v>6525</v>
      </c>
      <c r="H105" s="15" t="s">
        <v>4025</v>
      </c>
      <c r="I105" s="15" t="s">
        <v>4039</v>
      </c>
      <c r="J105" s="15" t="s">
        <v>4047</v>
      </c>
      <c r="K105" s="96" t="str">
        <f>IFERROR(INDEX(競技会設定!$J$3:$O$47,MATCH(J105,競技会設定!$M$3:$M$47,0),5),"")</f>
        <v>岐阜協立大</v>
      </c>
      <c r="L105" s="96" t="str">
        <f>IFERROR(INDEX(競技会設定!$J$3:$N$47,MATCH(K105,競技会設定!$N$3:$N$47,0),2),"")</f>
        <v>492161</v>
      </c>
      <c r="M105" s="15" t="s">
        <v>3905</v>
      </c>
      <c r="N105" s="96" t="str">
        <f t="shared" si="4"/>
        <v>KAWANO, Reina</v>
      </c>
      <c r="O105" s="96" t="str">
        <f t="shared" si="5"/>
        <v>98</v>
      </c>
    </row>
    <row r="106" spans="1:15">
      <c r="A106" s="96" t="str">
        <f t="shared" si="3"/>
        <v>502002105</v>
      </c>
      <c r="B106" s="15" t="s">
        <v>4980</v>
      </c>
      <c r="C106" s="15" t="s">
        <v>4981</v>
      </c>
      <c r="D106" s="15" t="s">
        <v>4982</v>
      </c>
      <c r="E106" s="15" t="s">
        <v>6121</v>
      </c>
      <c r="F106" s="15" t="s">
        <v>6035</v>
      </c>
      <c r="G106" s="15" t="s">
        <v>6526</v>
      </c>
      <c r="H106" s="15" t="s">
        <v>4025</v>
      </c>
      <c r="I106" s="15" t="s">
        <v>4039</v>
      </c>
      <c r="J106" s="15" t="s">
        <v>4047</v>
      </c>
      <c r="K106" s="96" t="str">
        <f>IFERROR(INDEX(競技会設定!$J$3:$O$47,MATCH(J106,競技会設定!$M$3:$M$47,0),5),"")</f>
        <v>岐阜協立大</v>
      </c>
      <c r="L106" s="96" t="str">
        <f>IFERROR(INDEX(競技会設定!$J$3:$N$47,MATCH(K106,競技会設定!$N$3:$N$47,0),2),"")</f>
        <v>492161</v>
      </c>
      <c r="M106" s="15" t="s">
        <v>3865</v>
      </c>
      <c r="N106" s="96" t="str">
        <f t="shared" si="4"/>
        <v>TAMADA, Yui</v>
      </c>
      <c r="O106" s="96" t="str">
        <f t="shared" si="5"/>
        <v>98</v>
      </c>
    </row>
    <row r="107" spans="1:15">
      <c r="A107" s="96" t="str">
        <f t="shared" si="3"/>
        <v>502002106</v>
      </c>
      <c r="B107" s="15" t="s">
        <v>4983</v>
      </c>
      <c r="C107" s="15" t="s">
        <v>4984</v>
      </c>
      <c r="D107" s="15" t="s">
        <v>4985</v>
      </c>
      <c r="E107" s="15" t="s">
        <v>4541</v>
      </c>
      <c r="F107" s="15" t="s">
        <v>6122</v>
      </c>
      <c r="G107" s="15" t="s">
        <v>3073</v>
      </c>
      <c r="H107" s="15" t="s">
        <v>4025</v>
      </c>
      <c r="I107" s="15" t="s">
        <v>4039</v>
      </c>
      <c r="J107" s="15" t="s">
        <v>4047</v>
      </c>
      <c r="K107" s="96" t="str">
        <f>IFERROR(INDEX(競技会設定!$J$3:$O$47,MATCH(J107,競技会設定!$M$3:$M$47,0),5),"")</f>
        <v>岐阜協立大</v>
      </c>
      <c r="L107" s="96" t="str">
        <f>IFERROR(INDEX(競技会設定!$J$3:$N$47,MATCH(K107,競技会設定!$N$3:$N$47,0),2),"")</f>
        <v>492161</v>
      </c>
      <c r="M107" s="15" t="s">
        <v>3889</v>
      </c>
      <c r="N107" s="96" t="str">
        <f t="shared" si="4"/>
        <v>TOMITA, Tamami</v>
      </c>
      <c r="O107" s="96" t="str">
        <f t="shared" si="5"/>
        <v>98</v>
      </c>
    </row>
    <row r="108" spans="1:15">
      <c r="A108" s="96" t="str">
        <f t="shared" si="3"/>
        <v>502002107</v>
      </c>
      <c r="B108" s="15" t="s">
        <v>4986</v>
      </c>
      <c r="C108" s="15" t="s">
        <v>4987</v>
      </c>
      <c r="D108" s="15" t="s">
        <v>4988</v>
      </c>
      <c r="E108" s="15" t="s">
        <v>6113</v>
      </c>
      <c r="F108" s="15" t="s">
        <v>6123</v>
      </c>
      <c r="G108" s="15" t="s">
        <v>6527</v>
      </c>
      <c r="H108" s="15" t="s">
        <v>4025</v>
      </c>
      <c r="I108" s="15" t="s">
        <v>4039</v>
      </c>
      <c r="J108" s="15" t="s">
        <v>4047</v>
      </c>
      <c r="K108" s="96" t="str">
        <f>IFERROR(INDEX(競技会設定!$J$3:$O$47,MATCH(J108,競技会設定!$M$3:$M$47,0),5),"")</f>
        <v>岐阜協立大</v>
      </c>
      <c r="L108" s="96" t="str">
        <f>IFERROR(INDEX(競技会設定!$J$3:$N$47,MATCH(K108,競技会設定!$N$3:$N$47,0),2),"")</f>
        <v>492161</v>
      </c>
      <c r="M108" s="15" t="s">
        <v>3909</v>
      </c>
      <c r="N108" s="96" t="str">
        <f t="shared" si="4"/>
        <v>NAKAMURA, Himawari</v>
      </c>
      <c r="O108" s="96" t="str">
        <f t="shared" si="5"/>
        <v>98</v>
      </c>
    </row>
    <row r="109" spans="1:15">
      <c r="A109" s="96" t="str">
        <f t="shared" si="3"/>
        <v>502002108</v>
      </c>
      <c r="B109" s="15" t="s">
        <v>4989</v>
      </c>
      <c r="C109" s="15" t="s">
        <v>4990</v>
      </c>
      <c r="D109" s="15" t="s">
        <v>4991</v>
      </c>
      <c r="E109" s="15" t="s">
        <v>6124</v>
      </c>
      <c r="F109" s="15" t="s">
        <v>3042</v>
      </c>
      <c r="G109" s="15" t="s">
        <v>6528</v>
      </c>
      <c r="H109" s="15" t="s">
        <v>4025</v>
      </c>
      <c r="I109" s="15" t="s">
        <v>4039</v>
      </c>
      <c r="J109" s="15" t="s">
        <v>4047</v>
      </c>
      <c r="K109" s="96" t="str">
        <f>IFERROR(INDEX(競技会設定!$J$3:$O$47,MATCH(J109,競技会設定!$M$3:$M$47,0),5),"")</f>
        <v>岐阜協立大</v>
      </c>
      <c r="L109" s="96" t="str">
        <f>IFERROR(INDEX(競技会設定!$J$3:$N$47,MATCH(K109,競技会設定!$N$3:$N$47,0),2),"")</f>
        <v>492161</v>
      </c>
      <c r="M109" s="15" t="s">
        <v>3857</v>
      </c>
      <c r="N109" s="96" t="str">
        <f t="shared" si="4"/>
        <v>HIRAKO, Yu</v>
      </c>
      <c r="O109" s="96" t="str">
        <f t="shared" si="5"/>
        <v>99</v>
      </c>
    </row>
    <row r="110" spans="1:15">
      <c r="A110" s="96" t="str">
        <f t="shared" si="3"/>
        <v>502002109</v>
      </c>
      <c r="B110" s="15" t="s">
        <v>4992</v>
      </c>
      <c r="C110" s="15" t="s">
        <v>4993</v>
      </c>
      <c r="D110" s="15" t="s">
        <v>4994</v>
      </c>
      <c r="E110" s="15" t="s">
        <v>6125</v>
      </c>
      <c r="F110" s="15" t="s">
        <v>6126</v>
      </c>
      <c r="G110" s="15" t="s">
        <v>3294</v>
      </c>
      <c r="H110" s="15" t="s">
        <v>4024</v>
      </c>
      <c r="I110" s="15" t="s">
        <v>4039</v>
      </c>
      <c r="J110" s="15" t="s">
        <v>4047</v>
      </c>
      <c r="K110" s="96" t="str">
        <f>IFERROR(INDEX(競技会設定!$J$3:$O$47,MATCH(J110,競技会設定!$M$3:$M$47,0),5),"")</f>
        <v>岐阜協立大</v>
      </c>
      <c r="L110" s="96" t="str">
        <f>IFERROR(INDEX(競技会設定!$J$3:$N$47,MATCH(K110,競技会設定!$N$3:$N$47,0),2),"")</f>
        <v>492161</v>
      </c>
      <c r="M110" s="15" t="s">
        <v>3845</v>
      </c>
      <c r="N110" s="96" t="str">
        <f t="shared" si="4"/>
        <v>ISHIURA, Airi</v>
      </c>
      <c r="O110" s="96" t="str">
        <f t="shared" si="5"/>
        <v>99</v>
      </c>
    </row>
    <row r="111" spans="1:15">
      <c r="A111" s="96" t="str">
        <f t="shared" si="3"/>
        <v>502002110</v>
      </c>
      <c r="B111" s="15" t="s">
        <v>4995</v>
      </c>
      <c r="C111" s="15" t="s">
        <v>4996</v>
      </c>
      <c r="D111" s="15" t="s">
        <v>4997</v>
      </c>
      <c r="E111" s="15" t="s">
        <v>3044</v>
      </c>
      <c r="F111" s="15" t="s">
        <v>3038</v>
      </c>
      <c r="G111" s="15" t="s">
        <v>3298</v>
      </c>
      <c r="H111" s="15" t="s">
        <v>4024</v>
      </c>
      <c r="I111" s="15" t="s">
        <v>4039</v>
      </c>
      <c r="J111" s="15" t="s">
        <v>4047</v>
      </c>
      <c r="K111" s="96" t="str">
        <f>IFERROR(INDEX(競技会設定!$J$3:$O$47,MATCH(J111,競技会設定!$M$3:$M$47,0),5),"")</f>
        <v>岐阜協立大</v>
      </c>
      <c r="L111" s="96" t="str">
        <f>IFERROR(INDEX(競技会設定!$J$3:$N$47,MATCH(K111,競技会設定!$N$3:$N$47,0),2),"")</f>
        <v>492161</v>
      </c>
      <c r="M111" s="15" t="s">
        <v>3855</v>
      </c>
      <c r="N111" s="96" t="str">
        <f t="shared" si="4"/>
        <v>KOBAYASHI, Akira</v>
      </c>
      <c r="O111" s="96" t="str">
        <f t="shared" si="5"/>
        <v>99</v>
      </c>
    </row>
    <row r="112" spans="1:15">
      <c r="A112" s="96" t="str">
        <f t="shared" si="3"/>
        <v>502002111</v>
      </c>
      <c r="B112" s="15" t="s">
        <v>4998</v>
      </c>
      <c r="C112" s="15" t="s">
        <v>4999</v>
      </c>
      <c r="D112" s="15" t="s">
        <v>5000</v>
      </c>
      <c r="E112" s="15" t="s">
        <v>6127</v>
      </c>
      <c r="F112" s="15" t="s">
        <v>6128</v>
      </c>
      <c r="G112" s="15" t="s">
        <v>4633</v>
      </c>
      <c r="H112" s="15" t="s">
        <v>4024</v>
      </c>
      <c r="I112" s="15" t="s">
        <v>4039</v>
      </c>
      <c r="J112" s="15" t="s">
        <v>4047</v>
      </c>
      <c r="K112" s="96" t="str">
        <f>IFERROR(INDEX(競技会設定!$J$3:$O$47,MATCH(J112,競技会設定!$M$3:$M$47,0),5),"")</f>
        <v>岐阜協立大</v>
      </c>
      <c r="L112" s="96" t="str">
        <f>IFERROR(INDEX(競技会設定!$J$3:$N$47,MATCH(K112,競技会設定!$N$3:$N$47,0),2),"")</f>
        <v>492161</v>
      </c>
      <c r="M112" s="15" t="s">
        <v>3855</v>
      </c>
      <c r="N112" s="96" t="str">
        <f t="shared" si="4"/>
        <v>KONNO , Erika</v>
      </c>
      <c r="O112" s="96" t="str">
        <f t="shared" si="5"/>
        <v>99</v>
      </c>
    </row>
    <row r="113" spans="1:15">
      <c r="A113" s="96" t="str">
        <f t="shared" si="3"/>
        <v>502002112</v>
      </c>
      <c r="B113" s="15" t="s">
        <v>5001</v>
      </c>
      <c r="C113" s="15" t="s">
        <v>5002</v>
      </c>
      <c r="D113" s="15" t="s">
        <v>5003</v>
      </c>
      <c r="E113" s="15" t="s">
        <v>6129</v>
      </c>
      <c r="F113" s="15" t="s">
        <v>5999</v>
      </c>
      <c r="G113" s="15" t="s">
        <v>4583</v>
      </c>
      <c r="H113" s="15" t="s">
        <v>4024</v>
      </c>
      <c r="I113" s="15" t="s">
        <v>4039</v>
      </c>
      <c r="J113" s="15" t="s">
        <v>4047</v>
      </c>
      <c r="K113" s="96" t="str">
        <f>IFERROR(INDEX(競技会設定!$J$3:$O$47,MATCH(J113,競技会設定!$M$3:$M$47,0),5),"")</f>
        <v>岐阜協立大</v>
      </c>
      <c r="L113" s="96" t="str">
        <f>IFERROR(INDEX(競技会設定!$J$3:$N$47,MATCH(K113,競技会設定!$N$3:$N$47,0),2),"")</f>
        <v>492161</v>
      </c>
      <c r="M113" s="15" t="s">
        <v>3855</v>
      </c>
      <c r="N113" s="96" t="str">
        <f t="shared" si="4"/>
        <v>SHIODA, Miyuki</v>
      </c>
      <c r="O113" s="96" t="str">
        <f t="shared" si="5"/>
        <v>99</v>
      </c>
    </row>
    <row r="114" spans="1:15">
      <c r="A114" s="96" t="str">
        <f t="shared" si="3"/>
        <v>502002113</v>
      </c>
      <c r="B114" s="15" t="s">
        <v>5004</v>
      </c>
      <c r="C114" s="15" t="s">
        <v>5005</v>
      </c>
      <c r="D114" s="15" t="s">
        <v>5006</v>
      </c>
      <c r="E114" s="15" t="s">
        <v>6130</v>
      </c>
      <c r="F114" s="15" t="s">
        <v>6131</v>
      </c>
      <c r="G114" s="15" t="s">
        <v>3219</v>
      </c>
      <c r="H114" s="15" t="s">
        <v>4024</v>
      </c>
      <c r="I114" s="15" t="s">
        <v>4039</v>
      </c>
      <c r="J114" s="15" t="s">
        <v>4047</v>
      </c>
      <c r="K114" s="96" t="str">
        <f>IFERROR(INDEX(競技会設定!$J$3:$O$47,MATCH(J114,競技会設定!$M$3:$M$47,0),5),"")</f>
        <v>岐阜協立大</v>
      </c>
      <c r="L114" s="96" t="str">
        <f>IFERROR(INDEX(競技会設定!$J$3:$N$47,MATCH(K114,競技会設定!$N$3:$N$47,0),2),"")</f>
        <v>492161</v>
      </c>
      <c r="M114" s="15" t="s">
        <v>3855</v>
      </c>
      <c r="N114" s="96" t="str">
        <f t="shared" si="4"/>
        <v>SHIRAKI, Nanase</v>
      </c>
      <c r="O114" s="96" t="str">
        <f t="shared" si="5"/>
        <v>99</v>
      </c>
    </row>
    <row r="115" spans="1:15">
      <c r="A115" s="96" t="str">
        <f t="shared" si="3"/>
        <v>502002114</v>
      </c>
      <c r="B115" s="15" t="s">
        <v>5007</v>
      </c>
      <c r="C115" s="15" t="s">
        <v>5008</v>
      </c>
      <c r="D115" s="15" t="s">
        <v>5009</v>
      </c>
      <c r="E115" s="15" t="s">
        <v>6132</v>
      </c>
      <c r="F115" s="15" t="s">
        <v>6133</v>
      </c>
      <c r="G115" s="15" t="s">
        <v>4615</v>
      </c>
      <c r="H115" s="15" t="s">
        <v>4026</v>
      </c>
      <c r="I115" s="15" t="s">
        <v>4039</v>
      </c>
      <c r="J115" s="15" t="s">
        <v>4047</v>
      </c>
      <c r="K115" s="96" t="str">
        <f>IFERROR(INDEX(競技会設定!$J$3:$O$47,MATCH(J115,競技会設定!$M$3:$M$47,0),5),"")</f>
        <v>岐阜協立大</v>
      </c>
      <c r="L115" s="96" t="str">
        <f>IFERROR(INDEX(競技会設定!$J$3:$N$47,MATCH(K115,競技会設定!$N$3:$N$47,0),2),"")</f>
        <v>492161</v>
      </c>
      <c r="M115" s="15" t="s">
        <v>3855</v>
      </c>
      <c r="N115" s="96" t="str">
        <f t="shared" si="4"/>
        <v>USUI, Misuzu</v>
      </c>
      <c r="O115" s="96" t="str">
        <f t="shared" si="5"/>
        <v>00</v>
      </c>
    </row>
    <row r="116" spans="1:15">
      <c r="A116" s="96" t="str">
        <f t="shared" si="3"/>
        <v>502002115</v>
      </c>
      <c r="B116" s="15" t="s">
        <v>5010</v>
      </c>
      <c r="C116" s="15" t="s">
        <v>5011</v>
      </c>
      <c r="D116" s="15" t="s">
        <v>5012</v>
      </c>
      <c r="E116" s="15" t="s">
        <v>3039</v>
      </c>
      <c r="F116" s="15" t="s">
        <v>6134</v>
      </c>
      <c r="G116" s="15" t="s">
        <v>3314</v>
      </c>
      <c r="H116" s="15" t="s">
        <v>4026</v>
      </c>
      <c r="I116" s="15" t="s">
        <v>4039</v>
      </c>
      <c r="J116" s="15" t="s">
        <v>4047</v>
      </c>
      <c r="K116" s="96" t="str">
        <f>IFERROR(INDEX(競技会設定!$J$3:$O$47,MATCH(J116,競技会設定!$M$3:$M$47,0),5),"")</f>
        <v>岐阜協立大</v>
      </c>
      <c r="L116" s="96" t="str">
        <f>IFERROR(INDEX(競技会設定!$J$3:$N$47,MATCH(K116,競技会設定!$N$3:$N$47,0),2),"")</f>
        <v>492161</v>
      </c>
      <c r="M116" s="15" t="s">
        <v>3859</v>
      </c>
      <c r="N116" s="96" t="str">
        <f t="shared" si="4"/>
        <v>OKUBO, Haruka</v>
      </c>
      <c r="O116" s="96" t="str">
        <f t="shared" si="5"/>
        <v>01</v>
      </c>
    </row>
    <row r="117" spans="1:15">
      <c r="A117" s="96" t="str">
        <f t="shared" si="3"/>
        <v>502002116</v>
      </c>
      <c r="B117" s="15" t="s">
        <v>5013</v>
      </c>
      <c r="C117" s="15" t="s">
        <v>5014</v>
      </c>
      <c r="D117" s="15" t="s">
        <v>5015</v>
      </c>
      <c r="E117" s="15" t="s">
        <v>6135</v>
      </c>
      <c r="F117" s="15" t="s">
        <v>6136</v>
      </c>
      <c r="G117" s="15" t="s">
        <v>3310</v>
      </c>
      <c r="H117" s="15" t="s">
        <v>4026</v>
      </c>
      <c r="I117" s="15" t="s">
        <v>4039</v>
      </c>
      <c r="J117" s="15" t="s">
        <v>4047</v>
      </c>
      <c r="K117" s="96" t="str">
        <f>IFERROR(INDEX(競技会設定!$J$3:$O$47,MATCH(J117,競技会設定!$M$3:$M$47,0),5),"")</f>
        <v>岐阜協立大</v>
      </c>
      <c r="L117" s="96" t="str">
        <f>IFERROR(INDEX(競技会設定!$J$3:$N$47,MATCH(K117,競技会設定!$N$3:$N$47,0),2),"")</f>
        <v>492161</v>
      </c>
      <c r="M117" s="15" t="s">
        <v>3855</v>
      </c>
      <c r="N117" s="96" t="str">
        <f t="shared" si="4"/>
        <v>MIWA, Asuka</v>
      </c>
      <c r="O117" s="96" t="str">
        <f t="shared" si="5"/>
        <v>00</v>
      </c>
    </row>
    <row r="118" spans="1:15">
      <c r="A118" s="96" t="str">
        <f t="shared" si="3"/>
        <v>502002117</v>
      </c>
      <c r="B118" s="15" t="s">
        <v>5016</v>
      </c>
      <c r="C118" s="15" t="s">
        <v>5017</v>
      </c>
      <c r="D118" s="15" t="s">
        <v>5018</v>
      </c>
      <c r="E118" s="15" t="s">
        <v>3043</v>
      </c>
      <c r="F118" s="15" t="s">
        <v>6114</v>
      </c>
      <c r="G118" s="15" t="s">
        <v>3321</v>
      </c>
      <c r="H118" s="15" t="s">
        <v>4025</v>
      </c>
      <c r="I118" s="15" t="s">
        <v>4039</v>
      </c>
      <c r="J118" s="15" t="s">
        <v>4047</v>
      </c>
      <c r="K118" s="96" t="str">
        <f>IFERROR(INDEX(競技会設定!$J$3:$O$47,MATCH(J118,競技会設定!$M$3:$M$47,0),5),"")</f>
        <v>岐阜協立大</v>
      </c>
      <c r="L118" s="96" t="str">
        <f>IFERROR(INDEX(競技会設定!$J$3:$N$47,MATCH(K118,競技会設定!$N$3:$N$47,0),2),"")</f>
        <v>492161</v>
      </c>
      <c r="M118" s="15" t="s">
        <v>3855</v>
      </c>
      <c r="N118" s="96" t="str">
        <f t="shared" si="4"/>
        <v>ASANO, Saki</v>
      </c>
      <c r="O118" s="96" t="str">
        <f t="shared" si="5"/>
        <v>99</v>
      </c>
    </row>
    <row r="119" spans="1:15">
      <c r="A119" s="96" t="str">
        <f t="shared" si="3"/>
        <v>502002118</v>
      </c>
      <c r="B119" s="15" t="s">
        <v>5019</v>
      </c>
      <c r="C119" s="15" t="s">
        <v>5020</v>
      </c>
      <c r="D119" s="15" t="s">
        <v>5021</v>
      </c>
      <c r="E119" s="15" t="s">
        <v>6137</v>
      </c>
      <c r="F119" s="15" t="s">
        <v>6045</v>
      </c>
      <c r="G119" s="15" t="s">
        <v>6529</v>
      </c>
      <c r="H119" s="15" t="s">
        <v>4026</v>
      </c>
      <c r="I119" s="15" t="s">
        <v>4039</v>
      </c>
      <c r="J119" s="15" t="s">
        <v>4047</v>
      </c>
      <c r="K119" s="96" t="str">
        <f>IFERROR(INDEX(競技会設定!$J$3:$O$47,MATCH(J119,競技会設定!$M$3:$M$47,0),5),"")</f>
        <v>岐阜協立大</v>
      </c>
      <c r="L119" s="96" t="str">
        <f>IFERROR(INDEX(競技会設定!$J$3:$N$47,MATCH(K119,競技会設定!$N$3:$N$47,0),2),"")</f>
        <v>492161</v>
      </c>
      <c r="M119" s="15" t="s">
        <v>3855</v>
      </c>
      <c r="N119" s="96" t="str">
        <f t="shared" si="4"/>
        <v>SOGA, Miyu</v>
      </c>
      <c r="O119" s="96" t="str">
        <f t="shared" si="5"/>
        <v>00</v>
      </c>
    </row>
    <row r="120" spans="1:15">
      <c r="A120" s="96" t="str">
        <f t="shared" si="3"/>
        <v>502002119</v>
      </c>
      <c r="B120" s="15" t="s">
        <v>5022</v>
      </c>
      <c r="C120" s="15" t="s">
        <v>5023</v>
      </c>
      <c r="D120" s="15" t="s">
        <v>5024</v>
      </c>
      <c r="E120" s="15" t="s">
        <v>6138</v>
      </c>
      <c r="F120" s="15" t="s">
        <v>6134</v>
      </c>
      <c r="G120" s="15" t="s">
        <v>6530</v>
      </c>
      <c r="H120" s="15" t="s">
        <v>4031</v>
      </c>
      <c r="I120" s="15" t="s">
        <v>4039</v>
      </c>
      <c r="J120" s="15" t="s">
        <v>4048</v>
      </c>
      <c r="K120" s="96" t="str">
        <f>IFERROR(INDEX(競技会設定!$J$3:$O$47,MATCH(J120,競技会設定!$M$3:$M$47,0),5),"")</f>
        <v>岐阜工業高専</v>
      </c>
      <c r="L120" s="96" t="str">
        <f>IFERROR(INDEX(競技会設定!$J$3:$N$47,MATCH(K120,競技会設定!$N$3:$N$47,0),2),"")</f>
        <v>496023</v>
      </c>
      <c r="M120" s="15" t="s">
        <v>3855</v>
      </c>
      <c r="N120" s="96" t="str">
        <f t="shared" si="4"/>
        <v>SAKAI, Haruka</v>
      </c>
      <c r="O120" s="96" t="str">
        <f t="shared" si="5"/>
        <v>00</v>
      </c>
    </row>
    <row r="121" spans="1:15">
      <c r="A121" s="96" t="str">
        <f t="shared" si="3"/>
        <v>502002120</v>
      </c>
      <c r="B121" s="15" t="s">
        <v>5025</v>
      </c>
      <c r="C121" s="15" t="s">
        <v>5026</v>
      </c>
      <c r="D121" s="15" t="s">
        <v>5027</v>
      </c>
      <c r="E121" s="15" t="s">
        <v>3048</v>
      </c>
      <c r="F121" s="15" t="s">
        <v>3009</v>
      </c>
      <c r="G121" s="15" t="s">
        <v>6531</v>
      </c>
      <c r="H121" s="15" t="s">
        <v>4031</v>
      </c>
      <c r="I121" s="15" t="s">
        <v>4039</v>
      </c>
      <c r="J121" s="15" t="s">
        <v>4048</v>
      </c>
      <c r="K121" s="96" t="str">
        <f>IFERROR(INDEX(競技会設定!$J$3:$O$47,MATCH(J121,競技会設定!$M$3:$M$47,0),5),"")</f>
        <v>岐阜工業高専</v>
      </c>
      <c r="L121" s="96" t="str">
        <f>IFERROR(INDEX(競技会設定!$J$3:$N$47,MATCH(K121,競技会設定!$N$3:$N$47,0),2),"")</f>
        <v>496023</v>
      </c>
      <c r="M121" s="15" t="s">
        <v>3855</v>
      </c>
      <c r="N121" s="96" t="str">
        <f t="shared" si="4"/>
        <v>SATO, Yuki</v>
      </c>
      <c r="O121" s="96" t="str">
        <f t="shared" si="5"/>
        <v>00</v>
      </c>
    </row>
    <row r="122" spans="1:15">
      <c r="A122" s="96" t="str">
        <f t="shared" si="3"/>
        <v>502002121</v>
      </c>
      <c r="B122" s="15" t="s">
        <v>5028</v>
      </c>
      <c r="C122" s="15" t="s">
        <v>5029</v>
      </c>
      <c r="D122" s="15" t="s">
        <v>5030</v>
      </c>
      <c r="E122" s="15" t="s">
        <v>4507</v>
      </c>
      <c r="F122" s="15" t="s">
        <v>6139</v>
      </c>
      <c r="G122" s="15" t="s">
        <v>6532</v>
      </c>
      <c r="H122" s="15" t="s">
        <v>4031</v>
      </c>
      <c r="I122" s="15" t="s">
        <v>4039</v>
      </c>
      <c r="J122" s="15" t="s">
        <v>4048</v>
      </c>
      <c r="K122" s="96" t="str">
        <f>IFERROR(INDEX(競技会設定!$J$3:$O$47,MATCH(J122,競技会設定!$M$3:$M$47,0),5),"")</f>
        <v>岐阜工業高専</v>
      </c>
      <c r="L122" s="96" t="str">
        <f>IFERROR(INDEX(競技会設定!$J$3:$N$47,MATCH(K122,競技会設定!$N$3:$N$47,0),2),"")</f>
        <v>496023</v>
      </c>
      <c r="M122" s="15" t="s">
        <v>3855</v>
      </c>
      <c r="N122" s="96" t="str">
        <f t="shared" si="4"/>
        <v>YAMAZAKI, Mari</v>
      </c>
      <c r="O122" s="96" t="str">
        <f t="shared" si="5"/>
        <v>01</v>
      </c>
    </row>
    <row r="123" spans="1:15">
      <c r="A123" s="96" t="str">
        <f t="shared" si="3"/>
        <v>502002122</v>
      </c>
      <c r="B123" s="15" t="s">
        <v>5031</v>
      </c>
      <c r="C123" s="15" t="s">
        <v>5032</v>
      </c>
      <c r="D123" s="15" t="s">
        <v>5033</v>
      </c>
      <c r="E123" s="15" t="s">
        <v>6140</v>
      </c>
      <c r="F123" s="15" t="s">
        <v>6141</v>
      </c>
      <c r="G123" s="15" t="s">
        <v>6533</v>
      </c>
      <c r="H123" s="15" t="s">
        <v>4028</v>
      </c>
      <c r="I123" s="15" t="s">
        <v>4039</v>
      </c>
      <c r="J123" s="15" t="s">
        <v>4050</v>
      </c>
      <c r="K123" s="96" t="str">
        <f>IFERROR(INDEX(競技会設定!$J$3:$O$47,MATCH(J123,競技会設定!$M$3:$M$47,0),5),"")</f>
        <v>岐阜大</v>
      </c>
      <c r="L123" s="96" t="str">
        <f>IFERROR(INDEX(競技会設定!$J$3:$N$47,MATCH(K123,競技会設定!$N$3:$N$47,0),2),"")</f>
        <v>490041</v>
      </c>
      <c r="M123" s="15" t="s">
        <v>3855</v>
      </c>
      <c r="N123" s="96" t="str">
        <f t="shared" si="4"/>
        <v>KIMURA, Natsuka</v>
      </c>
      <c r="O123" s="96" t="str">
        <f t="shared" si="5"/>
        <v>95</v>
      </c>
    </row>
    <row r="124" spans="1:15">
      <c r="A124" s="96" t="str">
        <f t="shared" si="3"/>
        <v>502002123</v>
      </c>
      <c r="B124" s="15" t="s">
        <v>5034</v>
      </c>
      <c r="C124" s="15" t="s">
        <v>5035</v>
      </c>
      <c r="D124" s="15" t="s">
        <v>5036</v>
      </c>
      <c r="E124" s="15" t="s">
        <v>6142</v>
      </c>
      <c r="F124" s="15" t="s">
        <v>6143</v>
      </c>
      <c r="G124" s="15" t="s">
        <v>3561</v>
      </c>
      <c r="H124" s="15" t="s">
        <v>4024</v>
      </c>
      <c r="I124" s="15" t="s">
        <v>4039</v>
      </c>
      <c r="J124" s="15" t="s">
        <v>4050</v>
      </c>
      <c r="K124" s="96" t="str">
        <f>IFERROR(INDEX(競技会設定!$J$3:$O$47,MATCH(J124,競技会設定!$M$3:$M$47,0),5),"")</f>
        <v>岐阜大</v>
      </c>
      <c r="L124" s="96" t="str">
        <f>IFERROR(INDEX(競技会設定!$J$3:$N$47,MATCH(K124,競技会設定!$N$3:$N$47,0),2),"")</f>
        <v>490041</v>
      </c>
      <c r="M124" s="15" t="s">
        <v>3855</v>
      </c>
      <c r="N124" s="96" t="str">
        <f t="shared" si="4"/>
        <v>NAOI, Haruna</v>
      </c>
      <c r="O124" s="96" t="str">
        <f t="shared" si="5"/>
        <v>99</v>
      </c>
    </row>
    <row r="125" spans="1:15">
      <c r="A125" s="96" t="str">
        <f t="shared" si="3"/>
        <v>502002124</v>
      </c>
      <c r="B125" s="15" t="s">
        <v>5037</v>
      </c>
      <c r="C125" s="15" t="s">
        <v>5038</v>
      </c>
      <c r="D125" s="15" t="s">
        <v>5039</v>
      </c>
      <c r="E125" s="15" t="s">
        <v>6144</v>
      </c>
      <c r="F125" s="15" t="s">
        <v>6145</v>
      </c>
      <c r="G125" s="15" t="s">
        <v>3503</v>
      </c>
      <c r="H125" s="15" t="s">
        <v>4026</v>
      </c>
      <c r="I125" s="15" t="s">
        <v>4039</v>
      </c>
      <c r="J125" s="15" t="s">
        <v>4050</v>
      </c>
      <c r="K125" s="96" t="str">
        <f>IFERROR(INDEX(競技会設定!$J$3:$O$47,MATCH(J125,競技会設定!$M$3:$M$47,0),5),"")</f>
        <v>岐阜大</v>
      </c>
      <c r="L125" s="96" t="str">
        <f>IFERROR(INDEX(競技会設定!$J$3:$N$47,MATCH(K125,競技会設定!$N$3:$N$47,0),2),"")</f>
        <v>490041</v>
      </c>
      <c r="M125" s="15" t="s">
        <v>3855</v>
      </c>
      <c r="N125" s="96" t="str">
        <f t="shared" si="4"/>
        <v>MATSUURA, Asuna</v>
      </c>
      <c r="O125" s="96" t="str">
        <f t="shared" si="5"/>
        <v>00</v>
      </c>
    </row>
    <row r="126" spans="1:15">
      <c r="A126" s="96" t="str">
        <f t="shared" si="3"/>
        <v>502002125</v>
      </c>
      <c r="B126" s="15" t="s">
        <v>5040</v>
      </c>
      <c r="C126" s="15" t="s">
        <v>5041</v>
      </c>
      <c r="D126" s="15" t="s">
        <v>5042</v>
      </c>
      <c r="E126" s="15" t="s">
        <v>6146</v>
      </c>
      <c r="F126" s="15" t="s">
        <v>5972</v>
      </c>
      <c r="G126" s="15" t="s">
        <v>4593</v>
      </c>
      <c r="H126" s="15" t="s">
        <v>4026</v>
      </c>
      <c r="I126" s="15" t="s">
        <v>4039</v>
      </c>
      <c r="J126" s="15" t="s">
        <v>4050</v>
      </c>
      <c r="K126" s="96" t="str">
        <f>IFERROR(INDEX(競技会設定!$J$3:$O$47,MATCH(J126,競技会設定!$M$3:$M$47,0),5),"")</f>
        <v>岐阜大</v>
      </c>
      <c r="L126" s="96" t="str">
        <f>IFERROR(INDEX(競技会設定!$J$3:$N$47,MATCH(K126,競技会設定!$N$3:$N$47,0),2),"")</f>
        <v>490041</v>
      </c>
      <c r="M126" s="15" t="s">
        <v>3855</v>
      </c>
      <c r="N126" s="96" t="str">
        <f t="shared" si="4"/>
        <v>FUWA, Ayaka</v>
      </c>
      <c r="O126" s="96" t="str">
        <f t="shared" si="5"/>
        <v>00</v>
      </c>
    </row>
    <row r="127" spans="1:15">
      <c r="A127" s="96" t="str">
        <f t="shared" si="3"/>
        <v>502002126</v>
      </c>
      <c r="B127" s="15" t="s">
        <v>5043</v>
      </c>
      <c r="C127" s="15" t="s">
        <v>5044</v>
      </c>
      <c r="D127" s="15" t="s">
        <v>5045</v>
      </c>
      <c r="E127" s="15" t="s">
        <v>6147</v>
      </c>
      <c r="F127" s="15" t="s">
        <v>6148</v>
      </c>
      <c r="G127" s="15" t="s">
        <v>3355</v>
      </c>
      <c r="H127" s="15" t="s">
        <v>4026</v>
      </c>
      <c r="I127" s="15" t="s">
        <v>4039</v>
      </c>
      <c r="J127" s="15" t="s">
        <v>4050</v>
      </c>
      <c r="K127" s="96" t="str">
        <f>IFERROR(INDEX(競技会設定!$J$3:$O$47,MATCH(J127,競技会設定!$M$3:$M$47,0),5),"")</f>
        <v>岐阜大</v>
      </c>
      <c r="L127" s="96" t="str">
        <f>IFERROR(INDEX(競技会設定!$J$3:$N$47,MATCH(K127,競技会設定!$N$3:$N$47,0),2),"")</f>
        <v>490041</v>
      </c>
      <c r="M127" s="15" t="s">
        <v>3855</v>
      </c>
      <c r="N127" s="96" t="str">
        <f t="shared" si="4"/>
        <v>TAZOE, Riho</v>
      </c>
      <c r="O127" s="96" t="str">
        <f t="shared" si="5"/>
        <v>98</v>
      </c>
    </row>
    <row r="128" spans="1:15">
      <c r="A128" s="96" t="str">
        <f t="shared" si="3"/>
        <v>502002127</v>
      </c>
      <c r="B128" s="15" t="s">
        <v>5046</v>
      </c>
      <c r="C128" s="15" t="s">
        <v>5047</v>
      </c>
      <c r="D128" s="15" t="s">
        <v>5048</v>
      </c>
      <c r="E128" s="15" t="s">
        <v>6149</v>
      </c>
      <c r="F128" s="15" t="s">
        <v>5978</v>
      </c>
      <c r="G128" s="15" t="s">
        <v>3542</v>
      </c>
      <c r="H128" s="15" t="s">
        <v>4026</v>
      </c>
      <c r="I128" s="15" t="s">
        <v>4039</v>
      </c>
      <c r="J128" s="15" t="s">
        <v>4050</v>
      </c>
      <c r="K128" s="96" t="str">
        <f>IFERROR(INDEX(競技会設定!$J$3:$O$47,MATCH(J128,競技会設定!$M$3:$M$47,0),5),"")</f>
        <v>岐阜大</v>
      </c>
      <c r="L128" s="96" t="str">
        <f>IFERROR(INDEX(競技会設定!$J$3:$N$47,MATCH(K128,競技会設定!$N$3:$N$47,0),2),"")</f>
        <v>490041</v>
      </c>
      <c r="M128" s="15" t="s">
        <v>3847</v>
      </c>
      <c r="N128" s="96" t="str">
        <f t="shared" si="4"/>
        <v>OMORI, Mayuka</v>
      </c>
      <c r="O128" s="96" t="str">
        <f t="shared" si="5"/>
        <v>01</v>
      </c>
    </row>
    <row r="129" spans="1:15">
      <c r="A129" s="96" t="str">
        <f t="shared" si="3"/>
        <v>502002128</v>
      </c>
      <c r="B129" s="15" t="s">
        <v>5049</v>
      </c>
      <c r="C129" s="15" t="s">
        <v>5050</v>
      </c>
      <c r="D129" s="15" t="s">
        <v>5051</v>
      </c>
      <c r="E129" s="15" t="s">
        <v>6095</v>
      </c>
      <c r="F129" s="15" t="s">
        <v>6150</v>
      </c>
      <c r="G129" s="15" t="s">
        <v>3602</v>
      </c>
      <c r="H129" s="15" t="s">
        <v>4025</v>
      </c>
      <c r="I129" s="15" t="s">
        <v>4039</v>
      </c>
      <c r="J129" s="15" t="s">
        <v>6660</v>
      </c>
      <c r="K129" s="96" t="str">
        <f>IFERROR(INDEX(競技会設定!$J$3:$O$47,MATCH(J129,競技会設定!$M$3:$M$47,0),5),"")</f>
        <v>金城学院大</v>
      </c>
      <c r="L129" s="96" t="str">
        <f>IFERROR(INDEX(競技会設定!$J$3:$N$47,MATCH(K129,競技会設定!$N$3:$N$47,0),2),"")</f>
        <v>492170</v>
      </c>
      <c r="M129" s="15" t="s">
        <v>3859</v>
      </c>
      <c r="N129" s="96" t="str">
        <f t="shared" si="4"/>
        <v>WATANABE, Kotoko</v>
      </c>
      <c r="O129" s="96" t="str">
        <f t="shared" si="5"/>
        <v>98</v>
      </c>
    </row>
    <row r="130" spans="1:15">
      <c r="A130" s="96" t="str">
        <f t="shared" si="3"/>
        <v>502002129</v>
      </c>
      <c r="B130" s="15" t="s">
        <v>5052</v>
      </c>
      <c r="C130" s="15" t="s">
        <v>5053</v>
      </c>
      <c r="D130" s="15" t="s">
        <v>5054</v>
      </c>
      <c r="E130" s="15" t="s">
        <v>6151</v>
      </c>
      <c r="F130" s="15" t="s">
        <v>6126</v>
      </c>
      <c r="G130" s="15" t="s">
        <v>3266</v>
      </c>
      <c r="H130" s="15" t="s">
        <v>4025</v>
      </c>
      <c r="I130" s="15" t="s">
        <v>4039</v>
      </c>
      <c r="J130" s="15" t="s">
        <v>4052</v>
      </c>
      <c r="K130" s="96" t="str">
        <f>IFERROR(INDEX(競技会設定!$J$3:$O$47,MATCH(J130,競技会設定!$M$3:$M$47,0),5),"")</f>
        <v>皇學館大</v>
      </c>
      <c r="L130" s="96" t="str">
        <f>IFERROR(INDEX(競技会設定!$J$3:$N$47,MATCH(K130,競技会設定!$N$3:$N$47,0),2),"")</f>
        <v>492185</v>
      </c>
      <c r="M130" s="15" t="s">
        <v>3861</v>
      </c>
      <c r="N130" s="96" t="str">
        <f t="shared" si="4"/>
        <v>KAYA, Airi</v>
      </c>
      <c r="O130" s="96" t="str">
        <f t="shared" si="5"/>
        <v>99</v>
      </c>
    </row>
    <row r="131" spans="1:15">
      <c r="A131" s="96" t="str">
        <f t="shared" ref="A131:A194" si="6">IF(B131="","","502"&amp;TEXT(B131,"000000"))</f>
        <v>502002130</v>
      </c>
      <c r="B131" s="15" t="s">
        <v>5055</v>
      </c>
      <c r="C131" s="15" t="s">
        <v>5056</v>
      </c>
      <c r="D131" s="15" t="s">
        <v>5057</v>
      </c>
      <c r="E131" s="15" t="s">
        <v>6152</v>
      </c>
      <c r="F131" s="15" t="s">
        <v>6153</v>
      </c>
      <c r="G131" s="15" t="s">
        <v>3656</v>
      </c>
      <c r="H131" s="15" t="s">
        <v>4025</v>
      </c>
      <c r="I131" s="15" t="s">
        <v>4039</v>
      </c>
      <c r="J131" s="15" t="s">
        <v>4052</v>
      </c>
      <c r="K131" s="96" t="str">
        <f>IFERROR(INDEX(競技会設定!$J$3:$O$47,MATCH(J131,競技会設定!$M$3:$M$47,0),5),"")</f>
        <v>皇學館大</v>
      </c>
      <c r="L131" s="96" t="str">
        <f>IFERROR(INDEX(競技会設定!$J$3:$N$47,MATCH(K131,競技会設定!$N$3:$N$47,0),2),"")</f>
        <v>492185</v>
      </c>
      <c r="M131" s="15" t="s">
        <v>3861</v>
      </c>
      <c r="N131" s="96" t="str">
        <f t="shared" ref="N131:N194" si="7">IF(E131="","",E131&amp;", "&amp;F131)</f>
        <v>DEGUCHI, Mizuho</v>
      </c>
      <c r="O131" s="96" t="str">
        <f t="shared" ref="O131:O194" si="8">IFERROR(TEXT(INT(LEFT(G131,2)),"00"),"")</f>
        <v>99</v>
      </c>
    </row>
    <row r="132" spans="1:15">
      <c r="A132" s="96" t="str">
        <f t="shared" si="6"/>
        <v>502002131</v>
      </c>
      <c r="B132" s="15" t="s">
        <v>5058</v>
      </c>
      <c r="C132" s="15" t="s">
        <v>5059</v>
      </c>
      <c r="D132" s="15" t="s">
        <v>5060</v>
      </c>
      <c r="E132" s="15" t="s">
        <v>6066</v>
      </c>
      <c r="F132" s="15" t="s">
        <v>6154</v>
      </c>
      <c r="G132" s="15" t="s">
        <v>6483</v>
      </c>
      <c r="H132" s="15" t="s">
        <v>4025</v>
      </c>
      <c r="I132" s="15" t="s">
        <v>4039</v>
      </c>
      <c r="J132" s="15" t="s">
        <v>4052</v>
      </c>
      <c r="K132" s="96" t="str">
        <f>IFERROR(INDEX(競技会設定!$J$3:$O$47,MATCH(J132,競技会設定!$M$3:$M$47,0),5),"")</f>
        <v>皇學館大</v>
      </c>
      <c r="L132" s="96" t="str">
        <f>IFERROR(INDEX(競技会設定!$J$3:$N$47,MATCH(K132,競技会設定!$N$3:$N$47,0),2),"")</f>
        <v>492185</v>
      </c>
      <c r="M132" s="15" t="s">
        <v>3861</v>
      </c>
      <c r="N132" s="96" t="str">
        <f t="shared" si="7"/>
        <v>HATTORI, Manami</v>
      </c>
      <c r="O132" s="96" t="str">
        <f t="shared" si="8"/>
        <v>99</v>
      </c>
    </row>
    <row r="133" spans="1:15">
      <c r="A133" s="96" t="str">
        <f t="shared" si="6"/>
        <v>502002132</v>
      </c>
      <c r="B133" s="15" t="s">
        <v>5061</v>
      </c>
      <c r="C133" s="15" t="s">
        <v>5062</v>
      </c>
      <c r="D133" s="15" t="s">
        <v>5063</v>
      </c>
      <c r="E133" s="15" t="s">
        <v>3021</v>
      </c>
      <c r="F133" s="15" t="s">
        <v>5972</v>
      </c>
      <c r="G133" s="15" t="s">
        <v>4587</v>
      </c>
      <c r="H133" s="15" t="s">
        <v>4024</v>
      </c>
      <c r="I133" s="15" t="s">
        <v>4039</v>
      </c>
      <c r="J133" s="15" t="s">
        <v>4052</v>
      </c>
      <c r="K133" s="96" t="str">
        <f>IFERROR(INDEX(競技会設定!$J$3:$O$47,MATCH(J133,競技会設定!$M$3:$M$47,0),5),"")</f>
        <v>皇學館大</v>
      </c>
      <c r="L133" s="96" t="str">
        <f>IFERROR(INDEX(競技会設定!$J$3:$N$47,MATCH(K133,競技会設定!$N$3:$N$47,0),2),"")</f>
        <v>492185</v>
      </c>
      <c r="M133" s="15" t="s">
        <v>3861</v>
      </c>
      <c r="N133" s="96" t="str">
        <f t="shared" si="7"/>
        <v>ITO, Ayaka</v>
      </c>
      <c r="O133" s="96" t="str">
        <f t="shared" si="8"/>
        <v>99</v>
      </c>
    </row>
    <row r="134" spans="1:15">
      <c r="A134" s="96" t="str">
        <f t="shared" si="6"/>
        <v>502002133</v>
      </c>
      <c r="B134" s="15" t="s">
        <v>5064</v>
      </c>
      <c r="C134" s="15" t="s">
        <v>5065</v>
      </c>
      <c r="D134" s="15" t="s">
        <v>5066</v>
      </c>
      <c r="E134" s="15" t="s">
        <v>6155</v>
      </c>
      <c r="F134" s="15" t="s">
        <v>6156</v>
      </c>
      <c r="G134" s="15" t="s">
        <v>6534</v>
      </c>
      <c r="H134" s="15" t="s">
        <v>4024</v>
      </c>
      <c r="I134" s="15" t="s">
        <v>4039</v>
      </c>
      <c r="J134" s="15" t="s">
        <v>4052</v>
      </c>
      <c r="K134" s="96" t="str">
        <f>IFERROR(INDEX(競技会設定!$J$3:$O$47,MATCH(J134,競技会設定!$M$3:$M$47,0),5),"")</f>
        <v>皇學館大</v>
      </c>
      <c r="L134" s="96" t="str">
        <f>IFERROR(INDEX(競技会設定!$J$3:$N$47,MATCH(K134,競技会設定!$N$3:$N$47,0),2),"")</f>
        <v>492185</v>
      </c>
      <c r="M134" s="15" t="s">
        <v>3861</v>
      </c>
      <c r="N134" s="96" t="str">
        <f t="shared" si="7"/>
        <v xml:space="preserve">MAEMURA, Ayane </v>
      </c>
      <c r="O134" s="96" t="str">
        <f t="shared" si="8"/>
        <v>99</v>
      </c>
    </row>
    <row r="135" spans="1:15">
      <c r="A135" s="96" t="str">
        <f t="shared" si="6"/>
        <v>502002134</v>
      </c>
      <c r="B135" s="15" t="s">
        <v>5067</v>
      </c>
      <c r="C135" s="15" t="s">
        <v>5068</v>
      </c>
      <c r="D135" s="15" t="s">
        <v>5069</v>
      </c>
      <c r="E135" s="15" t="s">
        <v>6157</v>
      </c>
      <c r="F135" s="15" t="s">
        <v>6056</v>
      </c>
      <c r="G135" s="15" t="s">
        <v>3301</v>
      </c>
      <c r="H135" s="15" t="s">
        <v>4024</v>
      </c>
      <c r="I135" s="15" t="s">
        <v>4039</v>
      </c>
      <c r="J135" s="15" t="s">
        <v>4052</v>
      </c>
      <c r="K135" s="96" t="str">
        <f>IFERROR(INDEX(競技会設定!$J$3:$O$47,MATCH(J135,競技会設定!$M$3:$M$47,0),5),"")</f>
        <v>皇學館大</v>
      </c>
      <c r="L135" s="96" t="str">
        <f>IFERROR(INDEX(競技会設定!$J$3:$N$47,MATCH(K135,競技会設定!$N$3:$N$47,0),2),"")</f>
        <v>492185</v>
      </c>
      <c r="M135" s="15" t="s">
        <v>3861</v>
      </c>
      <c r="N135" s="96" t="str">
        <f t="shared" si="7"/>
        <v>MATSUSAKA, Kaho</v>
      </c>
      <c r="O135" s="96" t="str">
        <f t="shared" si="8"/>
        <v>00</v>
      </c>
    </row>
    <row r="136" spans="1:15">
      <c r="A136" s="96" t="str">
        <f t="shared" si="6"/>
        <v>502002135</v>
      </c>
      <c r="B136" s="15" t="s">
        <v>5070</v>
      </c>
      <c r="C136" s="15" t="s">
        <v>5071</v>
      </c>
      <c r="D136" s="15" t="s">
        <v>5072</v>
      </c>
      <c r="E136" s="15" t="s">
        <v>6095</v>
      </c>
      <c r="F136" s="15" t="s">
        <v>6134</v>
      </c>
      <c r="G136" s="15" t="s">
        <v>6535</v>
      </c>
      <c r="H136" s="15" t="s">
        <v>4024</v>
      </c>
      <c r="I136" s="15" t="s">
        <v>4039</v>
      </c>
      <c r="J136" s="15" t="s">
        <v>4052</v>
      </c>
      <c r="K136" s="96" t="str">
        <f>IFERROR(INDEX(競技会設定!$J$3:$O$47,MATCH(J136,競技会設定!$M$3:$M$47,0),5),"")</f>
        <v>皇學館大</v>
      </c>
      <c r="L136" s="96" t="str">
        <f>IFERROR(INDEX(競技会設定!$J$3:$N$47,MATCH(K136,競技会設定!$N$3:$N$47,0),2),"")</f>
        <v>492185</v>
      </c>
      <c r="M136" s="15" t="s">
        <v>3855</v>
      </c>
      <c r="N136" s="96" t="str">
        <f t="shared" si="7"/>
        <v>WATANABE, Haruka</v>
      </c>
      <c r="O136" s="96" t="str">
        <f t="shared" si="8"/>
        <v>00</v>
      </c>
    </row>
    <row r="137" spans="1:15">
      <c r="A137" s="96" t="str">
        <f t="shared" si="6"/>
        <v>502002136</v>
      </c>
      <c r="B137" s="15" t="s">
        <v>5073</v>
      </c>
      <c r="C137" s="15" t="s">
        <v>5074</v>
      </c>
      <c r="D137" s="15" t="s">
        <v>5075</v>
      </c>
      <c r="E137" s="15" t="s">
        <v>6059</v>
      </c>
      <c r="F137" s="15" t="s">
        <v>6158</v>
      </c>
      <c r="G137" s="15" t="s">
        <v>6536</v>
      </c>
      <c r="H137" s="15" t="s">
        <v>4026</v>
      </c>
      <c r="I137" s="15" t="s">
        <v>4039</v>
      </c>
      <c r="J137" s="15" t="s">
        <v>4052</v>
      </c>
      <c r="K137" s="96" t="str">
        <f>IFERROR(INDEX(競技会設定!$J$3:$O$47,MATCH(J137,競技会設定!$M$3:$M$47,0),5),"")</f>
        <v>皇學館大</v>
      </c>
      <c r="L137" s="96" t="str">
        <f>IFERROR(INDEX(競技会設定!$J$3:$N$47,MATCH(K137,競技会設定!$N$3:$N$47,0),2),"")</f>
        <v>492185</v>
      </c>
      <c r="M137" s="15" t="s">
        <v>3861</v>
      </c>
      <c r="N137" s="96" t="str">
        <f t="shared" si="7"/>
        <v>OKAMOTO, Nagiho</v>
      </c>
      <c r="O137" s="96" t="str">
        <f t="shared" si="8"/>
        <v>00</v>
      </c>
    </row>
    <row r="138" spans="1:15">
      <c r="A138" s="96" t="str">
        <f t="shared" si="6"/>
        <v>502002137</v>
      </c>
      <c r="B138" s="15" t="s">
        <v>5076</v>
      </c>
      <c r="C138" s="15" t="s">
        <v>5077</v>
      </c>
      <c r="D138" s="15" t="s">
        <v>5078</v>
      </c>
      <c r="E138" s="15" t="s">
        <v>4534</v>
      </c>
      <c r="F138" s="15" t="s">
        <v>6159</v>
      </c>
      <c r="G138" s="15" t="s">
        <v>6537</v>
      </c>
      <c r="H138" s="15" t="s">
        <v>4026</v>
      </c>
      <c r="I138" s="15" t="s">
        <v>4039</v>
      </c>
      <c r="J138" s="15" t="s">
        <v>4052</v>
      </c>
      <c r="K138" s="96" t="str">
        <f>IFERROR(INDEX(競技会設定!$J$3:$O$47,MATCH(J138,競技会設定!$M$3:$M$47,0),5),"")</f>
        <v>皇學館大</v>
      </c>
      <c r="L138" s="96" t="str">
        <f>IFERROR(INDEX(競技会設定!$J$3:$N$47,MATCH(K138,競技会設定!$N$3:$N$47,0),2),"")</f>
        <v>492185</v>
      </c>
      <c r="M138" s="15" t="s">
        <v>3861</v>
      </c>
      <c r="N138" s="96" t="str">
        <f t="shared" si="7"/>
        <v>TATSUMI, Nana</v>
      </c>
      <c r="O138" s="96" t="str">
        <f t="shared" si="8"/>
        <v>01</v>
      </c>
    </row>
    <row r="139" spans="1:15">
      <c r="A139" s="96" t="str">
        <f t="shared" si="6"/>
        <v>502002138</v>
      </c>
      <c r="B139" s="15" t="s">
        <v>5079</v>
      </c>
      <c r="C139" s="15" t="s">
        <v>5080</v>
      </c>
      <c r="D139" s="15" t="s">
        <v>5081</v>
      </c>
      <c r="E139" s="15" t="s">
        <v>6160</v>
      </c>
      <c r="F139" s="15" t="s">
        <v>5982</v>
      </c>
      <c r="G139" s="15" t="s">
        <v>3245</v>
      </c>
      <c r="H139" s="15" t="s">
        <v>4026</v>
      </c>
      <c r="I139" s="15" t="s">
        <v>4039</v>
      </c>
      <c r="J139" s="15" t="s">
        <v>4052</v>
      </c>
      <c r="K139" s="96" t="str">
        <f>IFERROR(INDEX(競技会設定!$J$3:$O$47,MATCH(J139,競技会設定!$M$3:$M$47,0),5),"")</f>
        <v>皇學館大</v>
      </c>
      <c r="L139" s="96" t="str">
        <f>IFERROR(INDEX(競技会設定!$J$3:$N$47,MATCH(K139,競技会設定!$N$3:$N$47,0),2),"")</f>
        <v>492185</v>
      </c>
      <c r="M139" s="15" t="s">
        <v>3861</v>
      </c>
      <c r="N139" s="96" t="str">
        <f t="shared" si="7"/>
        <v>NAKANISHI, Nanako</v>
      </c>
      <c r="O139" s="96" t="str">
        <f t="shared" si="8"/>
        <v>00</v>
      </c>
    </row>
    <row r="140" spans="1:15">
      <c r="A140" s="96" t="str">
        <f t="shared" si="6"/>
        <v>502002139</v>
      </c>
      <c r="B140" s="15" t="s">
        <v>5082</v>
      </c>
      <c r="C140" s="15" t="s">
        <v>5083</v>
      </c>
      <c r="D140" s="15" t="s">
        <v>5084</v>
      </c>
      <c r="E140" s="15" t="s">
        <v>6161</v>
      </c>
      <c r="F140" s="15" t="s">
        <v>5972</v>
      </c>
      <c r="G140" s="15" t="s">
        <v>3252</v>
      </c>
      <c r="H140" s="15" t="s">
        <v>4026</v>
      </c>
      <c r="I140" s="15" t="s">
        <v>4039</v>
      </c>
      <c r="J140" s="15" t="s">
        <v>4052</v>
      </c>
      <c r="K140" s="96" t="str">
        <f>IFERROR(INDEX(競技会設定!$J$3:$O$47,MATCH(J140,競技会設定!$M$3:$M$47,0),5),"")</f>
        <v>皇學館大</v>
      </c>
      <c r="L140" s="96" t="str">
        <f>IFERROR(INDEX(競技会設定!$J$3:$N$47,MATCH(K140,競技会設定!$N$3:$N$47,0),2),"")</f>
        <v>492185</v>
      </c>
      <c r="M140" s="15" t="s">
        <v>3861</v>
      </c>
      <c r="N140" s="96" t="str">
        <f t="shared" si="7"/>
        <v>YAMANO, Ayaka</v>
      </c>
      <c r="O140" s="96" t="str">
        <f t="shared" si="8"/>
        <v>01</v>
      </c>
    </row>
    <row r="141" spans="1:15">
      <c r="A141" s="96" t="str">
        <f t="shared" si="6"/>
        <v>502002140</v>
      </c>
      <c r="B141" s="15" t="s">
        <v>5085</v>
      </c>
      <c r="C141" s="15" t="s">
        <v>5086</v>
      </c>
      <c r="D141" s="15" t="s">
        <v>5087</v>
      </c>
      <c r="E141" s="15" t="s">
        <v>6162</v>
      </c>
      <c r="F141" s="15" t="s">
        <v>6163</v>
      </c>
      <c r="G141" s="15" t="s">
        <v>6538</v>
      </c>
      <c r="H141" s="15" t="s">
        <v>4025</v>
      </c>
      <c r="I141" s="15" t="s">
        <v>4039</v>
      </c>
      <c r="J141" s="15" t="s">
        <v>4052</v>
      </c>
      <c r="K141" s="96" t="str">
        <f>IFERROR(INDEX(競技会設定!$J$3:$O$47,MATCH(J141,競技会設定!$M$3:$M$47,0),5),"")</f>
        <v>皇學館大</v>
      </c>
      <c r="L141" s="96" t="str">
        <f>IFERROR(INDEX(競技会設定!$J$3:$N$47,MATCH(K141,競技会設定!$N$3:$N$47,0),2),"")</f>
        <v>492185</v>
      </c>
      <c r="M141" s="15" t="s">
        <v>3861</v>
      </c>
      <c r="N141" s="96" t="str">
        <f t="shared" si="7"/>
        <v>SAEKI, Honoka</v>
      </c>
      <c r="O141" s="96" t="str">
        <f t="shared" si="8"/>
        <v>99</v>
      </c>
    </row>
    <row r="142" spans="1:15">
      <c r="A142" s="96" t="str">
        <f t="shared" si="6"/>
        <v>502002141</v>
      </c>
      <c r="B142" s="15" t="s">
        <v>5088</v>
      </c>
      <c r="C142" s="15" t="s">
        <v>5089</v>
      </c>
      <c r="D142" s="15" t="s">
        <v>5090</v>
      </c>
      <c r="E142" s="15" t="s">
        <v>6164</v>
      </c>
      <c r="F142" s="15" t="s">
        <v>6165</v>
      </c>
      <c r="G142" s="15" t="s">
        <v>3127</v>
      </c>
      <c r="H142" s="15" t="s">
        <v>4024</v>
      </c>
      <c r="I142" s="15" t="s">
        <v>4039</v>
      </c>
      <c r="J142" s="15" t="s">
        <v>4052</v>
      </c>
      <c r="K142" s="96" t="str">
        <f>IFERROR(INDEX(競技会設定!$J$3:$O$47,MATCH(J142,競技会設定!$M$3:$M$47,0),5),"")</f>
        <v>皇學館大</v>
      </c>
      <c r="L142" s="96" t="str">
        <f>IFERROR(INDEX(競技会設定!$J$3:$N$47,MATCH(K142,競技会設定!$N$3:$N$47,0),2),"")</f>
        <v>492185</v>
      </c>
      <c r="M142" s="15" t="s">
        <v>3861</v>
      </c>
      <c r="N142" s="96" t="str">
        <f t="shared" si="7"/>
        <v>IWASE, Eimi</v>
      </c>
      <c r="O142" s="96" t="str">
        <f t="shared" si="8"/>
        <v>99</v>
      </c>
    </row>
    <row r="143" spans="1:15">
      <c r="A143" s="96" t="str">
        <f t="shared" si="6"/>
        <v>502002142</v>
      </c>
      <c r="B143" s="15" t="s">
        <v>5091</v>
      </c>
      <c r="C143" s="15" t="s">
        <v>5092</v>
      </c>
      <c r="D143" s="15" t="s">
        <v>5093</v>
      </c>
      <c r="E143" s="15" t="s">
        <v>3018</v>
      </c>
      <c r="F143" s="15" t="s">
        <v>6166</v>
      </c>
      <c r="G143" s="15" t="s">
        <v>6539</v>
      </c>
      <c r="H143" s="15" t="s">
        <v>4025</v>
      </c>
      <c r="I143" s="15" t="s">
        <v>4039</v>
      </c>
      <c r="J143" s="15" t="s">
        <v>4053</v>
      </c>
      <c r="K143" s="96" t="str">
        <f>IFERROR(INDEX(競技会設定!$J$3:$O$47,MATCH(J143,競技会設定!$M$3:$M$47,0),5),"")</f>
        <v>豊田工業高専</v>
      </c>
      <c r="L143" s="96" t="str">
        <f>IFERROR(INDEX(競技会設定!$J$3:$N$47,MATCH(K143,競技会設定!$N$3:$N$47,0),2),"")</f>
        <v>496025</v>
      </c>
      <c r="M143" s="15" t="s">
        <v>3859</v>
      </c>
      <c r="N143" s="96" t="str">
        <f t="shared" si="7"/>
        <v>SAITO, Aoba</v>
      </c>
      <c r="O143" s="96" t="str">
        <f t="shared" si="8"/>
        <v>00</v>
      </c>
    </row>
    <row r="144" spans="1:15">
      <c r="A144" s="96" t="str">
        <f t="shared" si="6"/>
        <v>502002143</v>
      </c>
      <c r="B144" s="15" t="s">
        <v>5094</v>
      </c>
      <c r="C144" s="15" t="s">
        <v>5095</v>
      </c>
      <c r="D144" s="15" t="s">
        <v>5096</v>
      </c>
      <c r="E144" s="15" t="s">
        <v>6167</v>
      </c>
      <c r="F144" s="15" t="s">
        <v>6136</v>
      </c>
      <c r="G144" s="15" t="s">
        <v>6478</v>
      </c>
      <c r="H144" s="15" t="s">
        <v>4025</v>
      </c>
      <c r="I144" s="15" t="s">
        <v>4039</v>
      </c>
      <c r="J144" s="15" t="s">
        <v>4056</v>
      </c>
      <c r="K144" s="96" t="str">
        <f>IFERROR(INDEX(競技会設定!$J$3:$O$47,MATCH(J144,競技会設定!$M$3:$M$47,0),5),"")</f>
        <v>至学館大</v>
      </c>
      <c r="L144" s="96" t="str">
        <f>IFERROR(INDEX(競技会設定!$J$3:$N$47,MATCH(K144,競技会設定!$N$3:$N$47,0),2),"")</f>
        <v>492174</v>
      </c>
      <c r="M144" s="15" t="s">
        <v>3859</v>
      </c>
      <c r="N144" s="96" t="str">
        <f t="shared" si="7"/>
        <v>HARADA, Asuka</v>
      </c>
      <c r="O144" s="96" t="str">
        <f t="shared" si="8"/>
        <v>99</v>
      </c>
    </row>
    <row r="145" spans="1:15">
      <c r="A145" s="96" t="str">
        <f t="shared" si="6"/>
        <v>502002144</v>
      </c>
      <c r="B145" s="15" t="s">
        <v>5097</v>
      </c>
      <c r="C145" s="15" t="s">
        <v>5098</v>
      </c>
      <c r="D145" s="15" t="s">
        <v>5099</v>
      </c>
      <c r="E145" s="15" t="s">
        <v>6168</v>
      </c>
      <c r="F145" s="15" t="s">
        <v>6169</v>
      </c>
      <c r="G145" s="15" t="s">
        <v>6540</v>
      </c>
      <c r="H145" s="15" t="s">
        <v>4024</v>
      </c>
      <c r="I145" s="15" t="s">
        <v>4039</v>
      </c>
      <c r="J145" s="15" t="s">
        <v>4056</v>
      </c>
      <c r="K145" s="96" t="str">
        <f>IFERROR(INDEX(競技会設定!$J$3:$O$47,MATCH(J145,競技会設定!$M$3:$M$47,0),5),"")</f>
        <v>至学館大</v>
      </c>
      <c r="L145" s="96" t="str">
        <f>IFERROR(INDEX(競技会設定!$J$3:$N$47,MATCH(K145,競技会設定!$N$3:$N$47,0),2),"")</f>
        <v>492174</v>
      </c>
      <c r="M145" s="15" t="s">
        <v>3859</v>
      </c>
      <c r="N145" s="96" t="str">
        <f t="shared" si="7"/>
        <v>KAGEYAMA, An</v>
      </c>
      <c r="O145" s="96" t="str">
        <f t="shared" si="8"/>
        <v>99</v>
      </c>
    </row>
    <row r="146" spans="1:15">
      <c r="A146" s="96" t="str">
        <f t="shared" si="6"/>
        <v>502002145</v>
      </c>
      <c r="B146" s="15" t="s">
        <v>5100</v>
      </c>
      <c r="C146" s="15" t="s">
        <v>5101</v>
      </c>
      <c r="D146" s="15" t="s">
        <v>5102</v>
      </c>
      <c r="E146" s="15" t="s">
        <v>6170</v>
      </c>
      <c r="F146" s="15" t="s">
        <v>6171</v>
      </c>
      <c r="G146" s="15" t="s">
        <v>6541</v>
      </c>
      <c r="H146" s="15" t="s">
        <v>4024</v>
      </c>
      <c r="I146" s="15" t="s">
        <v>4039</v>
      </c>
      <c r="J146" s="15" t="s">
        <v>4056</v>
      </c>
      <c r="K146" s="96" t="str">
        <f>IFERROR(INDEX(競技会設定!$J$3:$O$47,MATCH(J146,競技会設定!$M$3:$M$47,0),5),"")</f>
        <v>至学館大</v>
      </c>
      <c r="L146" s="96" t="str">
        <f>IFERROR(INDEX(競技会設定!$J$3:$N$47,MATCH(K146,競技会設定!$N$3:$N$47,0),2),"")</f>
        <v>492174</v>
      </c>
      <c r="M146" s="15" t="s">
        <v>3859</v>
      </c>
      <c r="N146" s="96" t="str">
        <f t="shared" si="7"/>
        <v>HONDO, Ayumu</v>
      </c>
      <c r="O146" s="96" t="str">
        <f t="shared" si="8"/>
        <v>99</v>
      </c>
    </row>
    <row r="147" spans="1:15">
      <c r="A147" s="96" t="str">
        <f t="shared" si="6"/>
        <v>502002146</v>
      </c>
      <c r="B147" s="15" t="s">
        <v>5103</v>
      </c>
      <c r="C147" s="15" t="s">
        <v>5104</v>
      </c>
      <c r="D147" s="15" t="s">
        <v>5105</v>
      </c>
      <c r="E147" s="15" t="s">
        <v>6172</v>
      </c>
      <c r="F147" s="15" t="s">
        <v>6159</v>
      </c>
      <c r="G147" s="15" t="s">
        <v>6542</v>
      </c>
      <c r="H147" s="15" t="s">
        <v>4026</v>
      </c>
      <c r="I147" s="15" t="s">
        <v>4039</v>
      </c>
      <c r="J147" s="15" t="s">
        <v>4056</v>
      </c>
      <c r="K147" s="96" t="str">
        <f>IFERROR(INDEX(競技会設定!$J$3:$O$47,MATCH(J147,競技会設定!$M$3:$M$47,0),5),"")</f>
        <v>至学館大</v>
      </c>
      <c r="L147" s="96" t="str">
        <f>IFERROR(INDEX(競技会設定!$J$3:$N$47,MATCH(K147,競技会設定!$N$3:$N$47,0),2),"")</f>
        <v>492174</v>
      </c>
      <c r="M147" s="15" t="s">
        <v>3855</v>
      </c>
      <c r="N147" s="96" t="str">
        <f t="shared" si="7"/>
        <v>CHIKAZAWA, Nana</v>
      </c>
      <c r="O147" s="96" t="str">
        <f t="shared" si="8"/>
        <v>00</v>
      </c>
    </row>
    <row r="148" spans="1:15">
      <c r="A148" s="96" t="str">
        <f t="shared" si="6"/>
        <v>502002147</v>
      </c>
      <c r="B148" s="15" t="s">
        <v>5106</v>
      </c>
      <c r="C148" s="15" t="s">
        <v>5107</v>
      </c>
      <c r="D148" s="15" t="s">
        <v>5018</v>
      </c>
      <c r="E148" s="15" t="s">
        <v>3043</v>
      </c>
      <c r="F148" s="15" t="s">
        <v>6114</v>
      </c>
      <c r="G148" s="15" t="s">
        <v>6543</v>
      </c>
      <c r="H148" s="15" t="s">
        <v>4025</v>
      </c>
      <c r="I148" s="15" t="s">
        <v>4039</v>
      </c>
      <c r="J148" s="15" t="s">
        <v>4056</v>
      </c>
      <c r="K148" s="96" t="str">
        <f>IFERROR(INDEX(競技会設定!$J$3:$O$47,MATCH(J148,競技会設定!$M$3:$M$47,0),5),"")</f>
        <v>至学館大</v>
      </c>
      <c r="L148" s="96" t="str">
        <f>IFERROR(INDEX(競技会設定!$J$3:$N$47,MATCH(K148,競技会設定!$N$3:$N$47,0),2),"")</f>
        <v>492174</v>
      </c>
      <c r="M148" s="15" t="s">
        <v>3859</v>
      </c>
      <c r="N148" s="96" t="str">
        <f t="shared" si="7"/>
        <v>ASANO, Saki</v>
      </c>
      <c r="O148" s="96" t="str">
        <f t="shared" si="8"/>
        <v>98</v>
      </c>
    </row>
    <row r="149" spans="1:15">
      <c r="A149" s="96" t="str">
        <f t="shared" si="6"/>
        <v>502002148</v>
      </c>
      <c r="B149" s="15" t="s">
        <v>5108</v>
      </c>
      <c r="C149" s="15" t="s">
        <v>5109</v>
      </c>
      <c r="D149" s="15" t="s">
        <v>5110</v>
      </c>
      <c r="E149" s="15" t="s">
        <v>6173</v>
      </c>
      <c r="F149" s="15" t="s">
        <v>6054</v>
      </c>
      <c r="G149" s="15" t="s">
        <v>6544</v>
      </c>
      <c r="H149" s="15" t="s">
        <v>4025</v>
      </c>
      <c r="I149" s="15" t="s">
        <v>4039</v>
      </c>
      <c r="J149" s="15" t="s">
        <v>4056</v>
      </c>
      <c r="K149" s="96" t="str">
        <f>IFERROR(INDEX(競技会設定!$J$3:$O$47,MATCH(J149,競技会設定!$M$3:$M$47,0),5),"")</f>
        <v>至学館大</v>
      </c>
      <c r="L149" s="96" t="str">
        <f>IFERROR(INDEX(競技会設定!$J$3:$N$47,MATCH(K149,競技会設定!$N$3:$N$47,0),2),"")</f>
        <v>492174</v>
      </c>
      <c r="M149" s="15" t="s">
        <v>3859</v>
      </c>
      <c r="N149" s="96" t="str">
        <f t="shared" si="7"/>
        <v>USUDA, Nanami</v>
      </c>
      <c r="O149" s="96" t="str">
        <f t="shared" si="8"/>
        <v>98</v>
      </c>
    </row>
    <row r="150" spans="1:15">
      <c r="A150" s="96" t="str">
        <f t="shared" si="6"/>
        <v>502002149</v>
      </c>
      <c r="B150" s="15" t="s">
        <v>5111</v>
      </c>
      <c r="C150" s="15" t="s">
        <v>5112</v>
      </c>
      <c r="D150" s="15" t="s">
        <v>5113</v>
      </c>
      <c r="E150" s="15" t="s">
        <v>6174</v>
      </c>
      <c r="F150" s="15" t="s">
        <v>6175</v>
      </c>
      <c r="G150" s="15" t="s">
        <v>3566</v>
      </c>
      <c r="H150" s="15" t="s">
        <v>4025</v>
      </c>
      <c r="I150" s="15" t="s">
        <v>4039</v>
      </c>
      <c r="J150" s="15" t="s">
        <v>4056</v>
      </c>
      <c r="K150" s="96" t="str">
        <f>IFERROR(INDEX(競技会設定!$J$3:$O$47,MATCH(J150,競技会設定!$M$3:$M$47,0),5),"")</f>
        <v>至学館大</v>
      </c>
      <c r="L150" s="96" t="str">
        <f>IFERROR(INDEX(競技会設定!$J$3:$N$47,MATCH(K150,競技会設定!$N$3:$N$47,0),2),"")</f>
        <v>492174</v>
      </c>
      <c r="M150" s="15" t="s">
        <v>3859</v>
      </c>
      <c r="N150" s="96" t="str">
        <f t="shared" si="7"/>
        <v>KODAMA, Rie</v>
      </c>
      <c r="O150" s="96" t="str">
        <f t="shared" si="8"/>
        <v>98</v>
      </c>
    </row>
    <row r="151" spans="1:15">
      <c r="A151" s="96" t="str">
        <f t="shared" si="6"/>
        <v>502002150</v>
      </c>
      <c r="B151" s="15" t="s">
        <v>5114</v>
      </c>
      <c r="C151" s="15" t="s">
        <v>5115</v>
      </c>
      <c r="D151" s="15" t="s">
        <v>5116</v>
      </c>
      <c r="E151" s="15" t="s">
        <v>6006</v>
      </c>
      <c r="F151" s="15" t="s">
        <v>6176</v>
      </c>
      <c r="G151" s="15" t="s">
        <v>6545</v>
      </c>
      <c r="H151" s="15" t="s">
        <v>4025</v>
      </c>
      <c r="I151" s="15" t="s">
        <v>4039</v>
      </c>
      <c r="J151" s="15" t="s">
        <v>4056</v>
      </c>
      <c r="K151" s="96" t="str">
        <f>IFERROR(INDEX(競技会設定!$J$3:$O$47,MATCH(J151,競技会設定!$M$3:$M$47,0),5),"")</f>
        <v>至学館大</v>
      </c>
      <c r="L151" s="96" t="str">
        <f>IFERROR(INDEX(競技会設定!$J$3:$N$47,MATCH(K151,競技会設定!$N$3:$N$47,0),2),"")</f>
        <v>492174</v>
      </c>
      <c r="M151" s="15" t="s">
        <v>3859</v>
      </c>
      <c r="N151" s="96" t="str">
        <f t="shared" si="7"/>
        <v>SAKAKIBARA, Riko</v>
      </c>
      <c r="O151" s="96" t="str">
        <f t="shared" si="8"/>
        <v>98</v>
      </c>
    </row>
    <row r="152" spans="1:15">
      <c r="A152" s="96" t="str">
        <f t="shared" si="6"/>
        <v>502002151</v>
      </c>
      <c r="B152" s="15" t="s">
        <v>5117</v>
      </c>
      <c r="C152" s="15" t="s">
        <v>5118</v>
      </c>
      <c r="D152" s="15" t="s">
        <v>5119</v>
      </c>
      <c r="E152" s="15" t="s">
        <v>6177</v>
      </c>
      <c r="F152" s="15" t="s">
        <v>6178</v>
      </c>
      <c r="G152" s="15" t="s">
        <v>6546</v>
      </c>
      <c r="H152" s="15" t="s">
        <v>4025</v>
      </c>
      <c r="I152" s="15" t="s">
        <v>4039</v>
      </c>
      <c r="J152" s="15" t="s">
        <v>4056</v>
      </c>
      <c r="K152" s="96" t="str">
        <f>IFERROR(INDEX(競技会設定!$J$3:$O$47,MATCH(J152,競技会設定!$M$3:$M$47,0),5),"")</f>
        <v>至学館大</v>
      </c>
      <c r="L152" s="96" t="str">
        <f>IFERROR(INDEX(競技会設定!$J$3:$N$47,MATCH(K152,競技会設定!$N$3:$N$47,0),2),"")</f>
        <v>492174</v>
      </c>
      <c r="M152" s="15" t="s">
        <v>3861</v>
      </c>
      <c r="N152" s="96" t="str">
        <f t="shared" si="7"/>
        <v>NAKAZAKI, Hitoe</v>
      </c>
      <c r="O152" s="96" t="str">
        <f t="shared" si="8"/>
        <v>98</v>
      </c>
    </row>
    <row r="153" spans="1:15">
      <c r="A153" s="96" t="str">
        <f t="shared" si="6"/>
        <v>502002152</v>
      </c>
      <c r="B153" s="15" t="s">
        <v>5120</v>
      </c>
      <c r="C153" s="15" t="s">
        <v>5121</v>
      </c>
      <c r="D153" s="15" t="s">
        <v>5122</v>
      </c>
      <c r="E153" s="15" t="s">
        <v>4548</v>
      </c>
      <c r="F153" s="15" t="s">
        <v>6179</v>
      </c>
      <c r="G153" s="15" t="s">
        <v>6547</v>
      </c>
      <c r="H153" s="15" t="s">
        <v>4025</v>
      </c>
      <c r="I153" s="15" t="s">
        <v>4039</v>
      </c>
      <c r="J153" s="15" t="s">
        <v>4056</v>
      </c>
      <c r="K153" s="96" t="str">
        <f>IFERROR(INDEX(競技会設定!$J$3:$O$47,MATCH(J153,競技会設定!$M$3:$M$47,0),5),"")</f>
        <v>至学館大</v>
      </c>
      <c r="L153" s="96" t="str">
        <f>IFERROR(INDEX(競技会設定!$J$3:$N$47,MATCH(K153,競技会設定!$N$3:$N$47,0),2),"")</f>
        <v>492174</v>
      </c>
      <c r="M153" s="15" t="s">
        <v>3855</v>
      </c>
      <c r="N153" s="96" t="str">
        <f t="shared" si="7"/>
        <v>YASUDA, Arisa</v>
      </c>
      <c r="O153" s="96" t="str">
        <f t="shared" si="8"/>
        <v>98</v>
      </c>
    </row>
    <row r="154" spans="1:15">
      <c r="A154" s="96" t="str">
        <f t="shared" si="6"/>
        <v>502002153</v>
      </c>
      <c r="B154" s="15" t="s">
        <v>5123</v>
      </c>
      <c r="C154" s="15" t="s">
        <v>5124</v>
      </c>
      <c r="D154" s="15" t="s">
        <v>5125</v>
      </c>
      <c r="E154" s="15" t="s">
        <v>6180</v>
      </c>
      <c r="F154" s="15" t="s">
        <v>6181</v>
      </c>
      <c r="G154" s="15" t="s">
        <v>3371</v>
      </c>
      <c r="H154" s="15" t="s">
        <v>4024</v>
      </c>
      <c r="I154" s="15" t="s">
        <v>4039</v>
      </c>
      <c r="J154" s="15" t="s">
        <v>4056</v>
      </c>
      <c r="K154" s="96" t="str">
        <f>IFERROR(INDEX(競技会設定!$J$3:$O$47,MATCH(J154,競技会設定!$M$3:$M$47,0),5),"")</f>
        <v>至学館大</v>
      </c>
      <c r="L154" s="96" t="str">
        <f>IFERROR(INDEX(競技会設定!$J$3:$N$47,MATCH(K154,競技会設定!$N$3:$N$47,0),2),"")</f>
        <v>492174</v>
      </c>
      <c r="M154" s="15" t="s">
        <v>3859</v>
      </c>
      <c r="N154" s="96" t="str">
        <f t="shared" si="7"/>
        <v>OTA, Mika</v>
      </c>
      <c r="O154" s="96" t="str">
        <f t="shared" si="8"/>
        <v>99</v>
      </c>
    </row>
    <row r="155" spans="1:15">
      <c r="A155" s="96" t="str">
        <f t="shared" si="6"/>
        <v>502002154</v>
      </c>
      <c r="B155" s="15" t="s">
        <v>5126</v>
      </c>
      <c r="C155" s="15" t="s">
        <v>5127</v>
      </c>
      <c r="D155" s="15" t="s">
        <v>5128</v>
      </c>
      <c r="E155" s="15" t="s">
        <v>3024</v>
      </c>
      <c r="F155" s="15" t="s">
        <v>6104</v>
      </c>
      <c r="G155" s="15" t="s">
        <v>3576</v>
      </c>
      <c r="H155" s="15" t="s">
        <v>4024</v>
      </c>
      <c r="I155" s="15" t="s">
        <v>4039</v>
      </c>
      <c r="J155" s="15" t="s">
        <v>4056</v>
      </c>
      <c r="K155" s="96" t="str">
        <f>IFERROR(INDEX(競技会設定!$J$3:$O$47,MATCH(J155,競技会設定!$M$3:$M$47,0),5),"")</f>
        <v>至学館大</v>
      </c>
      <c r="L155" s="96" t="str">
        <f>IFERROR(INDEX(競技会設定!$J$3:$N$47,MATCH(K155,競技会設定!$N$3:$N$47,0),2),"")</f>
        <v>492174</v>
      </c>
      <c r="M155" s="15" t="s">
        <v>3859</v>
      </c>
      <c r="N155" s="96" t="str">
        <f t="shared" si="7"/>
        <v>ONO, Momoka</v>
      </c>
      <c r="O155" s="96" t="str">
        <f t="shared" si="8"/>
        <v>99</v>
      </c>
    </row>
    <row r="156" spans="1:15">
      <c r="A156" s="96" t="str">
        <f t="shared" si="6"/>
        <v>502002155</v>
      </c>
      <c r="B156" s="15" t="s">
        <v>5129</v>
      </c>
      <c r="C156" s="15" t="s">
        <v>5130</v>
      </c>
      <c r="D156" s="15" t="s">
        <v>5131</v>
      </c>
      <c r="E156" s="15" t="s">
        <v>6182</v>
      </c>
      <c r="F156" s="15" t="s">
        <v>6154</v>
      </c>
      <c r="G156" s="15" t="s">
        <v>3333</v>
      </c>
      <c r="H156" s="15" t="s">
        <v>4024</v>
      </c>
      <c r="I156" s="15" t="s">
        <v>4039</v>
      </c>
      <c r="J156" s="15" t="s">
        <v>4056</v>
      </c>
      <c r="K156" s="96" t="str">
        <f>IFERROR(INDEX(競技会設定!$J$3:$O$47,MATCH(J156,競技会設定!$M$3:$M$47,0),5),"")</f>
        <v>至学館大</v>
      </c>
      <c r="L156" s="96" t="str">
        <f>IFERROR(INDEX(競技会設定!$J$3:$N$47,MATCH(K156,競技会設定!$N$3:$N$47,0),2),"")</f>
        <v>492174</v>
      </c>
      <c r="M156" s="15" t="s">
        <v>3855</v>
      </c>
      <c r="N156" s="96" t="str">
        <f t="shared" si="7"/>
        <v>OHASHI, Manami</v>
      </c>
      <c r="O156" s="96" t="str">
        <f t="shared" si="8"/>
        <v>99</v>
      </c>
    </row>
    <row r="157" spans="1:15">
      <c r="A157" s="96" t="str">
        <f t="shared" si="6"/>
        <v>502002156</v>
      </c>
      <c r="B157" s="15" t="s">
        <v>5132</v>
      </c>
      <c r="C157" s="15" t="s">
        <v>5133</v>
      </c>
      <c r="D157" s="15" t="s">
        <v>5134</v>
      </c>
      <c r="E157" s="15" t="s">
        <v>6183</v>
      </c>
      <c r="F157" s="15" t="s">
        <v>6184</v>
      </c>
      <c r="G157" s="15" t="s">
        <v>3575</v>
      </c>
      <c r="H157" s="15" t="s">
        <v>4024</v>
      </c>
      <c r="I157" s="15" t="s">
        <v>4039</v>
      </c>
      <c r="J157" s="15" t="s">
        <v>4056</v>
      </c>
      <c r="K157" s="96" t="str">
        <f>IFERROR(INDEX(競技会設定!$J$3:$O$47,MATCH(J157,競技会設定!$M$3:$M$47,0),5),"")</f>
        <v>至学館大</v>
      </c>
      <c r="L157" s="96" t="str">
        <f>IFERROR(INDEX(競技会設定!$J$3:$N$47,MATCH(K157,競技会設定!$N$3:$N$47,0),2),"")</f>
        <v>492174</v>
      </c>
      <c r="M157" s="15" t="s">
        <v>3861</v>
      </c>
      <c r="N157" s="96" t="str">
        <f t="shared" si="7"/>
        <v>KITAGAWA, Nodoka</v>
      </c>
      <c r="O157" s="96" t="str">
        <f t="shared" si="8"/>
        <v>99</v>
      </c>
    </row>
    <row r="158" spans="1:15">
      <c r="A158" s="96" t="str">
        <f t="shared" si="6"/>
        <v>502002157</v>
      </c>
      <c r="B158" s="15" t="s">
        <v>5135</v>
      </c>
      <c r="C158" s="15" t="s">
        <v>5136</v>
      </c>
      <c r="D158" s="15" t="s">
        <v>5137</v>
      </c>
      <c r="E158" s="15" t="s">
        <v>6185</v>
      </c>
      <c r="F158" s="15" t="s">
        <v>6186</v>
      </c>
      <c r="G158" s="15" t="s">
        <v>3306</v>
      </c>
      <c r="H158" s="15" t="s">
        <v>4024</v>
      </c>
      <c r="I158" s="15" t="s">
        <v>4039</v>
      </c>
      <c r="J158" s="15" t="s">
        <v>4056</v>
      </c>
      <c r="K158" s="96" t="str">
        <f>IFERROR(INDEX(競技会設定!$J$3:$O$47,MATCH(J158,競技会設定!$M$3:$M$47,0),5),"")</f>
        <v>至学館大</v>
      </c>
      <c r="L158" s="96" t="str">
        <f>IFERROR(INDEX(競技会設定!$J$3:$N$47,MATCH(K158,競技会設定!$N$3:$N$47,0),2),"")</f>
        <v>492174</v>
      </c>
      <c r="M158" s="15" t="s">
        <v>3857</v>
      </c>
      <c r="N158" s="96" t="str">
        <f t="shared" si="7"/>
        <v>KUBOTA, Sena</v>
      </c>
      <c r="O158" s="96" t="str">
        <f t="shared" si="8"/>
        <v>99</v>
      </c>
    </row>
    <row r="159" spans="1:15">
      <c r="A159" s="96" t="str">
        <f t="shared" si="6"/>
        <v>502002158</v>
      </c>
      <c r="B159" s="15" t="s">
        <v>5138</v>
      </c>
      <c r="C159" s="15" t="s">
        <v>5139</v>
      </c>
      <c r="D159" s="15" t="s">
        <v>5140</v>
      </c>
      <c r="E159" s="15" t="s">
        <v>3058</v>
      </c>
      <c r="F159" s="15" t="s">
        <v>6054</v>
      </c>
      <c r="G159" s="15" t="s">
        <v>6548</v>
      </c>
      <c r="H159" s="15" t="s">
        <v>4024</v>
      </c>
      <c r="I159" s="15" t="s">
        <v>4039</v>
      </c>
      <c r="J159" s="15" t="s">
        <v>4056</v>
      </c>
      <c r="K159" s="96" t="str">
        <f>IFERROR(INDEX(競技会設定!$J$3:$O$47,MATCH(J159,競技会設定!$M$3:$M$47,0),5),"")</f>
        <v>至学館大</v>
      </c>
      <c r="L159" s="96" t="str">
        <f>IFERROR(INDEX(競技会設定!$J$3:$N$47,MATCH(K159,競技会設定!$N$3:$N$47,0),2),"")</f>
        <v>492174</v>
      </c>
      <c r="M159" s="15" t="s">
        <v>3859</v>
      </c>
      <c r="N159" s="96" t="str">
        <f t="shared" si="7"/>
        <v>KONDO, Nanami</v>
      </c>
      <c r="O159" s="96" t="str">
        <f t="shared" si="8"/>
        <v>99</v>
      </c>
    </row>
    <row r="160" spans="1:15">
      <c r="A160" s="96" t="str">
        <f t="shared" si="6"/>
        <v>502002159</v>
      </c>
      <c r="B160" s="15" t="s">
        <v>5141</v>
      </c>
      <c r="C160" s="15" t="s">
        <v>5142</v>
      </c>
      <c r="D160" s="15" t="s">
        <v>5143</v>
      </c>
      <c r="E160" s="15" t="s">
        <v>4509</v>
      </c>
      <c r="F160" s="15" t="s">
        <v>6187</v>
      </c>
      <c r="G160" s="15" t="s">
        <v>3373</v>
      </c>
      <c r="H160" s="15" t="s">
        <v>4024</v>
      </c>
      <c r="I160" s="15" t="s">
        <v>4039</v>
      </c>
      <c r="J160" s="15" t="s">
        <v>4056</v>
      </c>
      <c r="K160" s="96" t="str">
        <f>IFERROR(INDEX(競技会設定!$J$3:$O$47,MATCH(J160,競技会設定!$M$3:$M$47,0),5),"")</f>
        <v>至学館大</v>
      </c>
      <c r="L160" s="96" t="str">
        <f>IFERROR(INDEX(競技会設定!$J$3:$N$47,MATCH(K160,競技会設定!$N$3:$N$47,0),2),"")</f>
        <v>492174</v>
      </c>
      <c r="M160" s="15" t="s">
        <v>3857</v>
      </c>
      <c r="N160" s="96" t="str">
        <f t="shared" si="7"/>
        <v>NAITO, Mia</v>
      </c>
      <c r="O160" s="96" t="str">
        <f t="shared" si="8"/>
        <v>00</v>
      </c>
    </row>
    <row r="161" spans="1:15">
      <c r="A161" s="96" t="str">
        <f t="shared" si="6"/>
        <v>502002160</v>
      </c>
      <c r="B161" s="15" t="s">
        <v>5144</v>
      </c>
      <c r="C161" s="15" t="s">
        <v>5145</v>
      </c>
      <c r="D161" s="15" t="s">
        <v>5146</v>
      </c>
      <c r="E161" s="15" t="s">
        <v>6188</v>
      </c>
      <c r="F161" s="15" t="s">
        <v>6189</v>
      </c>
      <c r="G161" s="15" t="s">
        <v>3370</v>
      </c>
      <c r="H161" s="15" t="s">
        <v>4024</v>
      </c>
      <c r="I161" s="15" t="s">
        <v>4039</v>
      </c>
      <c r="J161" s="15" t="s">
        <v>4056</v>
      </c>
      <c r="K161" s="96" t="str">
        <f>IFERROR(INDEX(競技会設定!$J$3:$O$47,MATCH(J161,競技会設定!$M$3:$M$47,0),5),"")</f>
        <v>至学館大</v>
      </c>
      <c r="L161" s="96" t="str">
        <f>IFERROR(INDEX(競技会設定!$J$3:$N$47,MATCH(K161,競技会設定!$N$3:$N$47,0),2),"")</f>
        <v>492174</v>
      </c>
      <c r="M161" s="15" t="s">
        <v>3859</v>
      </c>
      <c r="N161" s="96" t="str">
        <f t="shared" si="7"/>
        <v>MORITA, Yumi</v>
      </c>
      <c r="O161" s="96" t="str">
        <f t="shared" si="8"/>
        <v>99</v>
      </c>
    </row>
    <row r="162" spans="1:15">
      <c r="A162" s="96" t="str">
        <f t="shared" si="6"/>
        <v>502002161</v>
      </c>
      <c r="B162" s="15" t="s">
        <v>5147</v>
      </c>
      <c r="C162" s="15" t="s">
        <v>5148</v>
      </c>
      <c r="D162" s="15" t="s">
        <v>5149</v>
      </c>
      <c r="E162" s="15" t="s">
        <v>4492</v>
      </c>
      <c r="F162" s="15" t="s">
        <v>5972</v>
      </c>
      <c r="G162" s="15" t="s">
        <v>6535</v>
      </c>
      <c r="H162" s="15" t="s">
        <v>4024</v>
      </c>
      <c r="I162" s="15" t="s">
        <v>4039</v>
      </c>
      <c r="J162" s="15" t="s">
        <v>4056</v>
      </c>
      <c r="K162" s="96" t="str">
        <f>IFERROR(INDEX(競技会設定!$J$3:$O$47,MATCH(J162,競技会設定!$M$3:$M$47,0),5),"")</f>
        <v>至学館大</v>
      </c>
      <c r="L162" s="96" t="str">
        <f>IFERROR(INDEX(競技会設定!$J$3:$N$47,MATCH(K162,競技会設定!$N$3:$N$47,0),2),"")</f>
        <v>492174</v>
      </c>
      <c r="M162" s="15" t="s">
        <v>3861</v>
      </c>
      <c r="N162" s="96" t="str">
        <f t="shared" si="7"/>
        <v>YOKOYAMA, Ayaka</v>
      </c>
      <c r="O162" s="96" t="str">
        <f t="shared" si="8"/>
        <v>00</v>
      </c>
    </row>
    <row r="163" spans="1:15">
      <c r="A163" s="96" t="str">
        <f t="shared" si="6"/>
        <v>502002162</v>
      </c>
      <c r="B163" s="15" t="s">
        <v>5150</v>
      </c>
      <c r="C163" s="15" t="s">
        <v>5151</v>
      </c>
      <c r="D163" s="15" t="s">
        <v>5152</v>
      </c>
      <c r="E163" s="15" t="s">
        <v>6190</v>
      </c>
      <c r="F163" s="15" t="s">
        <v>6191</v>
      </c>
      <c r="G163" s="15" t="s">
        <v>6549</v>
      </c>
      <c r="H163" s="15" t="s">
        <v>4026</v>
      </c>
      <c r="I163" s="15" t="s">
        <v>4039</v>
      </c>
      <c r="J163" s="15" t="s">
        <v>4056</v>
      </c>
      <c r="K163" s="96" t="str">
        <f>IFERROR(INDEX(競技会設定!$J$3:$O$47,MATCH(J163,競技会設定!$M$3:$M$47,0),5),"")</f>
        <v>至学館大</v>
      </c>
      <c r="L163" s="96" t="str">
        <f>IFERROR(INDEX(競技会設定!$J$3:$N$47,MATCH(K163,競技会設定!$N$3:$N$47,0),2),"")</f>
        <v>492174</v>
      </c>
      <c r="M163" s="15" t="s">
        <v>3859</v>
      </c>
      <c r="N163" s="96" t="str">
        <f t="shared" si="7"/>
        <v>ISHIHARA, Rika</v>
      </c>
      <c r="O163" s="96" t="str">
        <f t="shared" si="8"/>
        <v>00</v>
      </c>
    </row>
    <row r="164" spans="1:15">
      <c r="A164" s="96" t="str">
        <f t="shared" si="6"/>
        <v>502002163</v>
      </c>
      <c r="B164" s="15" t="s">
        <v>5153</v>
      </c>
      <c r="C164" s="15" t="s">
        <v>5154</v>
      </c>
      <c r="D164" s="15" t="s">
        <v>5155</v>
      </c>
      <c r="E164" s="15" t="s">
        <v>6192</v>
      </c>
      <c r="F164" s="15" t="s">
        <v>6193</v>
      </c>
      <c r="G164" s="15" t="s">
        <v>3669</v>
      </c>
      <c r="H164" s="15" t="s">
        <v>4026</v>
      </c>
      <c r="I164" s="15" t="s">
        <v>4039</v>
      </c>
      <c r="J164" s="15" t="s">
        <v>4056</v>
      </c>
      <c r="K164" s="96" t="str">
        <f>IFERROR(INDEX(競技会設定!$J$3:$O$47,MATCH(J164,競技会設定!$M$3:$M$47,0),5),"")</f>
        <v>至学館大</v>
      </c>
      <c r="L164" s="96" t="str">
        <f>IFERROR(INDEX(競技会設定!$J$3:$N$47,MATCH(K164,競技会設定!$N$3:$N$47,0),2),"")</f>
        <v>492174</v>
      </c>
      <c r="M164" s="15" t="s">
        <v>3855</v>
      </c>
      <c r="N164" s="96" t="str">
        <f t="shared" si="7"/>
        <v>KASAI, Yuzuka</v>
      </c>
      <c r="O164" s="96" t="str">
        <f t="shared" si="8"/>
        <v>00</v>
      </c>
    </row>
    <row r="165" spans="1:15">
      <c r="A165" s="96" t="str">
        <f t="shared" si="6"/>
        <v>502002164</v>
      </c>
      <c r="B165" s="15" t="s">
        <v>5156</v>
      </c>
      <c r="C165" s="15" t="s">
        <v>5157</v>
      </c>
      <c r="D165" s="15" t="s">
        <v>5158</v>
      </c>
      <c r="E165" s="15" t="s">
        <v>6194</v>
      </c>
      <c r="F165" s="15" t="s">
        <v>6134</v>
      </c>
      <c r="G165" s="15" t="s">
        <v>3237</v>
      </c>
      <c r="H165" s="15" t="s">
        <v>4026</v>
      </c>
      <c r="I165" s="15" t="s">
        <v>4039</v>
      </c>
      <c r="J165" s="15" t="s">
        <v>4056</v>
      </c>
      <c r="K165" s="96" t="str">
        <f>IFERROR(INDEX(競技会設定!$J$3:$O$47,MATCH(J165,競技会設定!$M$3:$M$47,0),5),"")</f>
        <v>至学館大</v>
      </c>
      <c r="L165" s="96" t="str">
        <f>IFERROR(INDEX(競技会設定!$J$3:$N$47,MATCH(K165,競技会設定!$N$3:$N$47,0),2),"")</f>
        <v>492174</v>
      </c>
      <c r="M165" s="15" t="s">
        <v>3859</v>
      </c>
      <c r="N165" s="96" t="str">
        <f t="shared" si="7"/>
        <v>KOMAKI, Haruka</v>
      </c>
      <c r="O165" s="96" t="str">
        <f t="shared" si="8"/>
        <v>00</v>
      </c>
    </row>
    <row r="166" spans="1:15">
      <c r="A166" s="96" t="str">
        <f t="shared" si="6"/>
        <v>502002165</v>
      </c>
      <c r="B166" s="15" t="s">
        <v>5159</v>
      </c>
      <c r="C166" s="15" t="s">
        <v>5160</v>
      </c>
      <c r="D166" s="15" t="s">
        <v>5161</v>
      </c>
      <c r="E166" s="15" t="s">
        <v>3059</v>
      </c>
      <c r="F166" s="15" t="s">
        <v>6116</v>
      </c>
      <c r="G166" s="15" t="s">
        <v>6494</v>
      </c>
      <c r="H166" s="15" t="s">
        <v>4026</v>
      </c>
      <c r="I166" s="15" t="s">
        <v>4039</v>
      </c>
      <c r="J166" s="15" t="s">
        <v>4056</v>
      </c>
      <c r="K166" s="96" t="str">
        <f>IFERROR(INDEX(競技会設定!$J$3:$O$47,MATCH(J166,競技会設定!$M$3:$M$47,0),5),"")</f>
        <v>至学館大</v>
      </c>
      <c r="L166" s="96" t="str">
        <f>IFERROR(INDEX(競技会設定!$J$3:$N$47,MATCH(K166,競技会設定!$N$3:$N$47,0),2),"")</f>
        <v>492174</v>
      </c>
      <c r="M166" s="15" t="s">
        <v>3859</v>
      </c>
      <c r="N166" s="96" t="str">
        <f t="shared" si="7"/>
        <v>SAKAMOTO, Ayane</v>
      </c>
      <c r="O166" s="96" t="str">
        <f t="shared" si="8"/>
        <v>00</v>
      </c>
    </row>
    <row r="167" spans="1:15">
      <c r="A167" s="96" t="str">
        <f t="shared" si="6"/>
        <v>502002166</v>
      </c>
      <c r="B167" s="15" t="s">
        <v>5162</v>
      </c>
      <c r="C167" s="15" t="s">
        <v>5163</v>
      </c>
      <c r="D167" s="15" t="s">
        <v>5164</v>
      </c>
      <c r="E167" s="15" t="s">
        <v>4497</v>
      </c>
      <c r="F167" s="15" t="s">
        <v>6126</v>
      </c>
      <c r="G167" s="15" t="s">
        <v>3502</v>
      </c>
      <c r="H167" s="15" t="s">
        <v>4026</v>
      </c>
      <c r="I167" s="15" t="s">
        <v>4039</v>
      </c>
      <c r="J167" s="15" t="s">
        <v>4056</v>
      </c>
      <c r="K167" s="96" t="str">
        <f>IFERROR(INDEX(競技会設定!$J$3:$O$47,MATCH(J167,競技会設定!$M$3:$M$47,0),5),"")</f>
        <v>至学館大</v>
      </c>
      <c r="L167" s="96" t="str">
        <f>IFERROR(INDEX(競技会設定!$J$3:$N$47,MATCH(K167,競技会設定!$N$3:$N$47,0),2),"")</f>
        <v>492174</v>
      </c>
      <c r="M167" s="15" t="s">
        <v>3859</v>
      </c>
      <c r="N167" s="96" t="str">
        <f t="shared" si="7"/>
        <v>SUGIURA, Airi</v>
      </c>
      <c r="O167" s="96" t="str">
        <f t="shared" si="8"/>
        <v>00</v>
      </c>
    </row>
    <row r="168" spans="1:15">
      <c r="A168" s="96" t="str">
        <f t="shared" si="6"/>
        <v>502002167</v>
      </c>
      <c r="B168" s="15" t="s">
        <v>5165</v>
      </c>
      <c r="C168" s="15" t="s">
        <v>5166</v>
      </c>
      <c r="D168" s="15" t="s">
        <v>5167</v>
      </c>
      <c r="E168" s="15" t="s">
        <v>6046</v>
      </c>
      <c r="F168" s="15" t="s">
        <v>6195</v>
      </c>
      <c r="G168" s="15" t="s">
        <v>3351</v>
      </c>
      <c r="H168" s="15" t="s">
        <v>4026</v>
      </c>
      <c r="I168" s="15" t="s">
        <v>4039</v>
      </c>
      <c r="J168" s="15" t="s">
        <v>4056</v>
      </c>
      <c r="K168" s="96" t="str">
        <f>IFERROR(INDEX(競技会設定!$J$3:$O$47,MATCH(J168,競技会設定!$M$3:$M$47,0),5),"")</f>
        <v>至学館大</v>
      </c>
      <c r="L168" s="96" t="str">
        <f>IFERROR(INDEX(競技会設定!$J$3:$N$47,MATCH(K168,競技会設定!$N$3:$N$47,0),2),"")</f>
        <v>492174</v>
      </c>
      <c r="M168" s="15" t="s">
        <v>3859</v>
      </c>
      <c r="N168" s="96" t="str">
        <f t="shared" si="7"/>
        <v>TSUZUKI, Mion</v>
      </c>
      <c r="O168" s="96" t="str">
        <f t="shared" si="8"/>
        <v>01</v>
      </c>
    </row>
    <row r="169" spans="1:15">
      <c r="A169" s="96" t="str">
        <f t="shared" si="6"/>
        <v>502002168</v>
      </c>
      <c r="B169" s="15" t="s">
        <v>5168</v>
      </c>
      <c r="C169" s="15" t="s">
        <v>5169</v>
      </c>
      <c r="D169" s="15" t="s">
        <v>5170</v>
      </c>
      <c r="E169" s="15" t="s">
        <v>6076</v>
      </c>
      <c r="F169" s="15" t="s">
        <v>6196</v>
      </c>
      <c r="G169" s="15" t="s">
        <v>6550</v>
      </c>
      <c r="H169" s="15" t="s">
        <v>4026</v>
      </c>
      <c r="I169" s="15" t="s">
        <v>4039</v>
      </c>
      <c r="J169" s="15" t="s">
        <v>4056</v>
      </c>
      <c r="K169" s="96" t="str">
        <f>IFERROR(INDEX(競技会設定!$J$3:$O$47,MATCH(J169,競技会設定!$M$3:$M$47,0),5),"")</f>
        <v>至学館大</v>
      </c>
      <c r="L169" s="96" t="str">
        <f>IFERROR(INDEX(競技会設定!$J$3:$N$47,MATCH(K169,競技会設定!$N$3:$N$47,0),2),"")</f>
        <v>492174</v>
      </c>
      <c r="M169" s="15" t="s">
        <v>3861</v>
      </c>
      <c r="N169" s="96" t="str">
        <f t="shared" si="7"/>
        <v>NAKANO, Ran</v>
      </c>
      <c r="O169" s="96" t="str">
        <f t="shared" si="8"/>
        <v>01</v>
      </c>
    </row>
    <row r="170" spans="1:15">
      <c r="A170" s="96" t="str">
        <f t="shared" si="6"/>
        <v>502002169</v>
      </c>
      <c r="B170" s="15" t="s">
        <v>5171</v>
      </c>
      <c r="C170" s="15" t="s">
        <v>5172</v>
      </c>
      <c r="D170" s="15" t="s">
        <v>5173</v>
      </c>
      <c r="E170" s="15" t="s">
        <v>6197</v>
      </c>
      <c r="F170" s="15" t="s">
        <v>6198</v>
      </c>
      <c r="G170" s="15" t="s">
        <v>3237</v>
      </c>
      <c r="H170" s="15" t="s">
        <v>4026</v>
      </c>
      <c r="I170" s="15" t="s">
        <v>4039</v>
      </c>
      <c r="J170" s="15" t="s">
        <v>4056</v>
      </c>
      <c r="K170" s="96" t="str">
        <f>IFERROR(INDEX(競技会設定!$J$3:$O$47,MATCH(J170,競技会設定!$M$3:$M$47,0),5),"")</f>
        <v>至学館大</v>
      </c>
      <c r="L170" s="96" t="str">
        <f>IFERROR(INDEX(競技会設定!$J$3:$N$47,MATCH(K170,競技会設定!$N$3:$N$47,0),2),"")</f>
        <v>492174</v>
      </c>
      <c r="M170" s="15" t="s">
        <v>3855</v>
      </c>
      <c r="N170" s="96" t="str">
        <f t="shared" si="7"/>
        <v>MATSUSHIMA, Maya</v>
      </c>
      <c r="O170" s="96" t="str">
        <f t="shared" si="8"/>
        <v>00</v>
      </c>
    </row>
    <row r="171" spans="1:15">
      <c r="A171" s="96" t="str">
        <f t="shared" si="6"/>
        <v>502002170</v>
      </c>
      <c r="B171" s="15" t="s">
        <v>5174</v>
      </c>
      <c r="C171" s="15" t="s">
        <v>5175</v>
      </c>
      <c r="D171" s="15" t="s">
        <v>5176</v>
      </c>
      <c r="E171" s="15" t="s">
        <v>6199</v>
      </c>
      <c r="F171" s="15" t="s">
        <v>6054</v>
      </c>
      <c r="G171" s="15" t="s">
        <v>3319</v>
      </c>
      <c r="H171" s="15" t="s">
        <v>4026</v>
      </c>
      <c r="I171" s="15" t="s">
        <v>4039</v>
      </c>
      <c r="J171" s="15" t="s">
        <v>4056</v>
      </c>
      <c r="K171" s="96" t="str">
        <f>IFERROR(INDEX(競技会設定!$J$3:$O$47,MATCH(J171,競技会設定!$M$3:$M$47,0),5),"")</f>
        <v>至学館大</v>
      </c>
      <c r="L171" s="96" t="str">
        <f>IFERROR(INDEX(競技会設定!$J$3:$N$47,MATCH(K171,競技会設定!$N$3:$N$47,0),2),"")</f>
        <v>492174</v>
      </c>
      <c r="M171" s="15" t="s">
        <v>3861</v>
      </c>
      <c r="N171" s="96" t="str">
        <f t="shared" si="7"/>
        <v>MISUGI, Nanami</v>
      </c>
      <c r="O171" s="96" t="str">
        <f t="shared" si="8"/>
        <v>00</v>
      </c>
    </row>
    <row r="172" spans="1:15">
      <c r="A172" s="96" t="str">
        <f t="shared" si="6"/>
        <v>502002171</v>
      </c>
      <c r="B172" s="15" t="s">
        <v>5177</v>
      </c>
      <c r="C172" s="15" t="s">
        <v>5178</v>
      </c>
      <c r="D172" s="15" t="s">
        <v>5179</v>
      </c>
      <c r="E172" s="15" t="s">
        <v>6200</v>
      </c>
      <c r="F172" s="15" t="s">
        <v>6201</v>
      </c>
      <c r="G172" s="15" t="s">
        <v>6551</v>
      </c>
      <c r="H172" s="15" t="s">
        <v>4029</v>
      </c>
      <c r="I172" s="15" t="s">
        <v>4039</v>
      </c>
      <c r="J172" s="15" t="s">
        <v>4056</v>
      </c>
      <c r="K172" s="96" t="str">
        <f>IFERROR(INDEX(競技会設定!$J$3:$O$47,MATCH(J172,競技会設定!$M$3:$M$47,0),5),"")</f>
        <v>至学館大</v>
      </c>
      <c r="L172" s="96" t="str">
        <f>IFERROR(INDEX(競技会設定!$J$3:$N$47,MATCH(K172,競技会設定!$N$3:$N$47,0),2),"")</f>
        <v>492174</v>
      </c>
      <c r="M172" s="15" t="s">
        <v>3861</v>
      </c>
      <c r="N172" s="96" t="str">
        <f t="shared" si="7"/>
        <v>IZUMI, Konomi</v>
      </c>
      <c r="O172" s="96" t="str">
        <f t="shared" si="8"/>
        <v>01</v>
      </c>
    </row>
    <row r="173" spans="1:15">
      <c r="A173" s="96" t="str">
        <f t="shared" si="6"/>
        <v>502002172</v>
      </c>
      <c r="B173" s="15" t="s">
        <v>5180</v>
      </c>
      <c r="C173" s="15" t="s">
        <v>5181</v>
      </c>
      <c r="D173" s="15" t="s">
        <v>5182</v>
      </c>
      <c r="E173" s="15" t="s">
        <v>6202</v>
      </c>
      <c r="F173" s="15" t="s">
        <v>6203</v>
      </c>
      <c r="G173" s="15" t="s">
        <v>3703</v>
      </c>
      <c r="H173" s="15" t="s">
        <v>4029</v>
      </c>
      <c r="I173" s="15" t="s">
        <v>4039</v>
      </c>
      <c r="J173" s="15" t="s">
        <v>4056</v>
      </c>
      <c r="K173" s="96" t="str">
        <f>IFERROR(INDEX(競技会設定!$J$3:$O$47,MATCH(J173,競技会設定!$M$3:$M$47,0),5),"")</f>
        <v>至学館大</v>
      </c>
      <c r="L173" s="96" t="str">
        <f>IFERROR(INDEX(競技会設定!$J$3:$N$47,MATCH(K173,競技会設定!$N$3:$N$47,0),2),"")</f>
        <v>492174</v>
      </c>
      <c r="M173" s="15" t="s">
        <v>3861</v>
      </c>
      <c r="N173" s="96" t="str">
        <f t="shared" si="7"/>
        <v>OKUBAYASHI, Rin</v>
      </c>
      <c r="O173" s="96" t="str">
        <f t="shared" si="8"/>
        <v>01</v>
      </c>
    </row>
    <row r="174" spans="1:15">
      <c r="A174" s="96" t="str">
        <f t="shared" si="6"/>
        <v>502002173</v>
      </c>
      <c r="B174" s="15" t="s">
        <v>5183</v>
      </c>
      <c r="C174" s="15" t="s">
        <v>5184</v>
      </c>
      <c r="D174" s="15" t="s">
        <v>5185</v>
      </c>
      <c r="E174" s="15" t="s">
        <v>3016</v>
      </c>
      <c r="F174" s="15" t="s">
        <v>6204</v>
      </c>
      <c r="G174" s="15" t="s">
        <v>4666</v>
      </c>
      <c r="H174" s="15" t="s">
        <v>4029</v>
      </c>
      <c r="I174" s="15" t="s">
        <v>4039</v>
      </c>
      <c r="J174" s="15" t="s">
        <v>4056</v>
      </c>
      <c r="K174" s="96" t="str">
        <f>IFERROR(INDEX(競技会設定!$J$3:$O$47,MATCH(J174,競技会設定!$M$3:$M$47,0),5),"")</f>
        <v>至学館大</v>
      </c>
      <c r="L174" s="96" t="str">
        <f>IFERROR(INDEX(競技会設定!$J$3:$N$47,MATCH(K174,競技会設定!$N$3:$N$47,0),2),"")</f>
        <v>492174</v>
      </c>
      <c r="M174" s="15" t="s">
        <v>3859</v>
      </c>
      <c r="N174" s="96" t="str">
        <f t="shared" si="7"/>
        <v>TANAKA, Chihiro</v>
      </c>
      <c r="O174" s="96" t="str">
        <f t="shared" si="8"/>
        <v>01</v>
      </c>
    </row>
    <row r="175" spans="1:15">
      <c r="A175" s="96" t="str">
        <f t="shared" si="6"/>
        <v>502002174</v>
      </c>
      <c r="B175" s="15" t="s">
        <v>5186</v>
      </c>
      <c r="C175" s="15" t="s">
        <v>5187</v>
      </c>
      <c r="D175" s="15" t="s">
        <v>5188</v>
      </c>
      <c r="E175" s="15" t="s">
        <v>6205</v>
      </c>
      <c r="F175" s="15" t="s">
        <v>6206</v>
      </c>
      <c r="G175" s="15" t="s">
        <v>4669</v>
      </c>
      <c r="H175" s="15" t="s">
        <v>4029</v>
      </c>
      <c r="I175" s="15" t="s">
        <v>4039</v>
      </c>
      <c r="J175" s="15" t="s">
        <v>4056</v>
      </c>
      <c r="K175" s="96" t="str">
        <f>IFERROR(INDEX(競技会設定!$J$3:$O$47,MATCH(J175,競技会設定!$M$3:$M$47,0),5),"")</f>
        <v>至学館大</v>
      </c>
      <c r="L175" s="96" t="str">
        <f>IFERROR(INDEX(競技会設定!$J$3:$N$47,MATCH(K175,競技会設定!$N$3:$N$47,0),2),"")</f>
        <v>492174</v>
      </c>
      <c r="M175" s="15" t="s">
        <v>3861</v>
      </c>
      <c r="N175" s="96" t="str">
        <f t="shared" si="7"/>
        <v>HASHIGUCHI, Yoshimi</v>
      </c>
      <c r="O175" s="96" t="str">
        <f t="shared" si="8"/>
        <v>01</v>
      </c>
    </row>
    <row r="176" spans="1:15">
      <c r="A176" s="96" t="str">
        <f t="shared" si="6"/>
        <v>502002175</v>
      </c>
      <c r="B176" s="15" t="s">
        <v>5189</v>
      </c>
      <c r="C176" s="15" t="s">
        <v>5190</v>
      </c>
      <c r="D176" s="15" t="s">
        <v>5191</v>
      </c>
      <c r="E176" s="15" t="s">
        <v>6051</v>
      </c>
      <c r="F176" s="15" t="s">
        <v>6128</v>
      </c>
      <c r="G176" s="15" t="s">
        <v>3620</v>
      </c>
      <c r="H176" s="15" t="s">
        <v>4029</v>
      </c>
      <c r="I176" s="15" t="s">
        <v>4039</v>
      </c>
      <c r="J176" s="15" t="s">
        <v>4056</v>
      </c>
      <c r="K176" s="96" t="str">
        <f>IFERROR(INDEX(競技会設定!$J$3:$O$47,MATCH(J176,競技会設定!$M$3:$M$47,0),5),"")</f>
        <v>至学館大</v>
      </c>
      <c r="L176" s="96" t="str">
        <f>IFERROR(INDEX(競技会設定!$J$3:$N$47,MATCH(K176,競技会設定!$N$3:$N$47,0),2),"")</f>
        <v>492174</v>
      </c>
      <c r="M176" s="15" t="s">
        <v>3859</v>
      </c>
      <c r="N176" s="96" t="str">
        <f t="shared" si="7"/>
        <v>NAGAI, Erika</v>
      </c>
      <c r="O176" s="96" t="str">
        <f t="shared" si="8"/>
        <v>01</v>
      </c>
    </row>
    <row r="177" spans="1:15">
      <c r="A177" s="96" t="str">
        <f t="shared" si="6"/>
        <v>502002176</v>
      </c>
      <c r="B177" s="15" t="s">
        <v>5192</v>
      </c>
      <c r="C177" s="15" t="s">
        <v>5193</v>
      </c>
      <c r="D177" s="15" t="s">
        <v>5194</v>
      </c>
      <c r="E177" s="15" t="s">
        <v>6105</v>
      </c>
      <c r="F177" s="15" t="s">
        <v>6207</v>
      </c>
      <c r="G177" s="15" t="s">
        <v>4620</v>
      </c>
      <c r="H177" s="15" t="s">
        <v>4029</v>
      </c>
      <c r="I177" s="15" t="s">
        <v>4039</v>
      </c>
      <c r="J177" s="15" t="s">
        <v>4056</v>
      </c>
      <c r="K177" s="96" t="str">
        <f>IFERROR(INDEX(競技会設定!$J$3:$O$47,MATCH(J177,競技会設定!$M$3:$M$47,0),5),"")</f>
        <v>至学館大</v>
      </c>
      <c r="L177" s="96" t="str">
        <f>IFERROR(INDEX(競技会設定!$J$3:$N$47,MATCH(K177,競技会設定!$N$3:$N$47,0),2),"")</f>
        <v>492174</v>
      </c>
      <c r="M177" s="15" t="s">
        <v>3859</v>
      </c>
      <c r="N177" s="96" t="str">
        <f t="shared" si="7"/>
        <v>YAMAGUCHI, Kokoro</v>
      </c>
      <c r="O177" s="96" t="str">
        <f t="shared" si="8"/>
        <v>01</v>
      </c>
    </row>
    <row r="178" spans="1:15">
      <c r="A178" s="96" t="str">
        <f t="shared" si="6"/>
        <v>502002177</v>
      </c>
      <c r="B178" s="15" t="s">
        <v>5195</v>
      </c>
      <c r="C178" s="15" t="s">
        <v>5196</v>
      </c>
      <c r="D178" s="15" t="s">
        <v>5197</v>
      </c>
      <c r="E178" s="15" t="s">
        <v>4492</v>
      </c>
      <c r="F178" s="15" t="s">
        <v>6208</v>
      </c>
      <c r="G178" s="15" t="s">
        <v>3650</v>
      </c>
      <c r="H178" s="15" t="s">
        <v>4029</v>
      </c>
      <c r="I178" s="15" t="s">
        <v>4039</v>
      </c>
      <c r="J178" s="15" t="s">
        <v>4056</v>
      </c>
      <c r="K178" s="96" t="str">
        <f>IFERROR(INDEX(競技会設定!$J$3:$O$47,MATCH(J178,競技会設定!$M$3:$M$47,0),5),"")</f>
        <v>至学館大</v>
      </c>
      <c r="L178" s="96" t="str">
        <f>IFERROR(INDEX(競技会設定!$J$3:$N$47,MATCH(K178,競技会設定!$N$3:$N$47,0),2),"")</f>
        <v>492174</v>
      </c>
      <c r="M178" s="15" t="s">
        <v>3859</v>
      </c>
      <c r="N178" s="96" t="str">
        <f t="shared" si="7"/>
        <v>YOKOYAMA, Rio</v>
      </c>
      <c r="O178" s="96" t="str">
        <f t="shared" si="8"/>
        <v>01</v>
      </c>
    </row>
    <row r="179" spans="1:15">
      <c r="A179" s="96" t="str">
        <f t="shared" si="6"/>
        <v>502002178</v>
      </c>
      <c r="B179" s="15" t="s">
        <v>5198</v>
      </c>
      <c r="C179" s="15" t="s">
        <v>5199</v>
      </c>
      <c r="D179" s="15" t="s">
        <v>5200</v>
      </c>
      <c r="E179" s="15" t="s">
        <v>3040</v>
      </c>
      <c r="F179" s="15" t="s">
        <v>6209</v>
      </c>
      <c r="G179" s="15" t="s">
        <v>3621</v>
      </c>
      <c r="H179" s="15" t="s">
        <v>4029</v>
      </c>
      <c r="I179" s="15" t="s">
        <v>4039</v>
      </c>
      <c r="J179" s="15" t="s">
        <v>4056</v>
      </c>
      <c r="K179" s="96" t="str">
        <f>IFERROR(INDEX(競技会設定!$J$3:$O$47,MATCH(J179,競技会設定!$M$3:$M$47,0),5),"")</f>
        <v>至学館大</v>
      </c>
      <c r="L179" s="96" t="str">
        <f>IFERROR(INDEX(競技会設定!$J$3:$N$47,MATCH(K179,競技会設定!$N$3:$N$47,0),2),"")</f>
        <v>492174</v>
      </c>
      <c r="M179" s="15" t="s">
        <v>3859</v>
      </c>
      <c r="N179" s="96" t="str">
        <f t="shared" si="7"/>
        <v>ANDO, Ami</v>
      </c>
      <c r="O179" s="96" t="str">
        <f t="shared" si="8"/>
        <v>01</v>
      </c>
    </row>
    <row r="180" spans="1:15">
      <c r="A180" s="96" t="str">
        <f t="shared" si="6"/>
        <v>502002179</v>
      </c>
      <c r="B180" s="15" t="s">
        <v>5201</v>
      </c>
      <c r="C180" s="15" t="s">
        <v>5202</v>
      </c>
      <c r="D180" s="15" t="s">
        <v>5203</v>
      </c>
      <c r="E180" s="15" t="s">
        <v>6210</v>
      </c>
      <c r="F180" s="15" t="s">
        <v>5988</v>
      </c>
      <c r="G180" s="15" t="s">
        <v>6552</v>
      </c>
      <c r="H180" s="15" t="s">
        <v>4029</v>
      </c>
      <c r="I180" s="15" t="s">
        <v>4039</v>
      </c>
      <c r="J180" s="15" t="s">
        <v>4056</v>
      </c>
      <c r="K180" s="96" t="str">
        <f>IFERROR(INDEX(競技会設定!$J$3:$O$47,MATCH(J180,競技会設定!$M$3:$M$47,0),5),"")</f>
        <v>至学館大</v>
      </c>
      <c r="L180" s="96" t="str">
        <f>IFERROR(INDEX(競技会設定!$J$3:$N$47,MATCH(K180,競技会設定!$N$3:$N$47,0),2),"")</f>
        <v>492174</v>
      </c>
      <c r="M180" s="15" t="s">
        <v>3859</v>
      </c>
      <c r="N180" s="96" t="str">
        <f t="shared" si="7"/>
        <v>OSHIRO, Juri</v>
      </c>
      <c r="O180" s="96" t="str">
        <f t="shared" si="8"/>
        <v>01</v>
      </c>
    </row>
    <row r="181" spans="1:15">
      <c r="A181" s="96" t="str">
        <f t="shared" si="6"/>
        <v>502002180</v>
      </c>
      <c r="B181" s="15" t="s">
        <v>5204</v>
      </c>
      <c r="C181" s="15" t="s">
        <v>5205</v>
      </c>
      <c r="D181" s="15" t="s">
        <v>5206</v>
      </c>
      <c r="E181" s="15" t="s">
        <v>6140</v>
      </c>
      <c r="F181" s="15" t="s">
        <v>6211</v>
      </c>
      <c r="G181" s="15" t="s">
        <v>3389</v>
      </c>
      <c r="H181" s="15" t="s">
        <v>4029</v>
      </c>
      <c r="I181" s="15" t="s">
        <v>4039</v>
      </c>
      <c r="J181" s="15" t="s">
        <v>4056</v>
      </c>
      <c r="K181" s="96" t="str">
        <f>IFERROR(INDEX(競技会設定!$J$3:$O$47,MATCH(J181,競技会設定!$M$3:$M$47,0),5),"")</f>
        <v>至学館大</v>
      </c>
      <c r="L181" s="96" t="str">
        <f>IFERROR(INDEX(競技会設定!$J$3:$N$47,MATCH(K181,競技会設定!$N$3:$N$47,0),2),"")</f>
        <v>492174</v>
      </c>
      <c r="M181" s="15" t="s">
        <v>3859</v>
      </c>
      <c r="N181" s="96" t="str">
        <f t="shared" si="7"/>
        <v>KIMURA, Kano</v>
      </c>
      <c r="O181" s="96" t="str">
        <f t="shared" si="8"/>
        <v>01</v>
      </c>
    </row>
    <row r="182" spans="1:15">
      <c r="A182" s="96" t="str">
        <f t="shared" si="6"/>
        <v>502002181</v>
      </c>
      <c r="B182" s="15" t="s">
        <v>5207</v>
      </c>
      <c r="C182" s="15" t="s">
        <v>5208</v>
      </c>
      <c r="D182" s="15" t="s">
        <v>5209</v>
      </c>
      <c r="E182" s="15" t="s">
        <v>6212</v>
      </c>
      <c r="F182" s="15" t="s">
        <v>6213</v>
      </c>
      <c r="G182" s="15" t="s">
        <v>3734</v>
      </c>
      <c r="H182" s="15" t="s">
        <v>4029</v>
      </c>
      <c r="I182" s="15" t="s">
        <v>4039</v>
      </c>
      <c r="J182" s="15" t="s">
        <v>4056</v>
      </c>
      <c r="K182" s="96" t="str">
        <f>IFERROR(INDEX(競技会設定!$J$3:$O$47,MATCH(J182,競技会設定!$M$3:$M$47,0),5),"")</f>
        <v>至学館大</v>
      </c>
      <c r="L182" s="96" t="str">
        <f>IFERROR(INDEX(競技会設定!$J$3:$N$47,MATCH(K182,競技会設定!$N$3:$N$47,0),2),"")</f>
        <v>492174</v>
      </c>
      <c r="M182" s="15" t="s">
        <v>3859</v>
      </c>
      <c r="N182" s="96" t="str">
        <f t="shared" si="7"/>
        <v>SASAGE, Junna</v>
      </c>
      <c r="O182" s="96" t="str">
        <f t="shared" si="8"/>
        <v>01</v>
      </c>
    </row>
    <row r="183" spans="1:15">
      <c r="A183" s="96" t="str">
        <f t="shared" si="6"/>
        <v>502002182</v>
      </c>
      <c r="B183" s="15" t="s">
        <v>5210</v>
      </c>
      <c r="C183" s="15" t="s">
        <v>5211</v>
      </c>
      <c r="D183" s="15" t="s">
        <v>5212</v>
      </c>
      <c r="E183" s="15" t="s">
        <v>3016</v>
      </c>
      <c r="F183" s="15" t="s">
        <v>4544</v>
      </c>
      <c r="G183" s="15" t="s">
        <v>6553</v>
      </c>
      <c r="H183" s="15" t="s">
        <v>4029</v>
      </c>
      <c r="I183" s="15" t="s">
        <v>4039</v>
      </c>
      <c r="J183" s="15" t="s">
        <v>4056</v>
      </c>
      <c r="K183" s="96" t="str">
        <f>IFERROR(INDEX(競技会設定!$J$3:$O$47,MATCH(J183,競技会設定!$M$3:$M$47,0),5),"")</f>
        <v>至学館大</v>
      </c>
      <c r="L183" s="96" t="str">
        <f>IFERROR(INDEX(競技会設定!$J$3:$N$47,MATCH(K183,競技会設定!$N$3:$N$47,0),2),"")</f>
        <v>492174</v>
      </c>
      <c r="M183" s="15" t="s">
        <v>3859</v>
      </c>
      <c r="N183" s="96" t="str">
        <f t="shared" si="7"/>
        <v>TANAKA, Yuri</v>
      </c>
      <c r="O183" s="96" t="str">
        <f t="shared" si="8"/>
        <v>01</v>
      </c>
    </row>
    <row r="184" spans="1:15">
      <c r="A184" s="96" t="str">
        <f t="shared" si="6"/>
        <v>502002183</v>
      </c>
      <c r="B184" s="15" t="s">
        <v>5213</v>
      </c>
      <c r="C184" s="15" t="s">
        <v>5214</v>
      </c>
      <c r="D184" s="15" t="s">
        <v>5215</v>
      </c>
      <c r="E184" s="15" t="s">
        <v>6044</v>
      </c>
      <c r="F184" s="15" t="s">
        <v>6126</v>
      </c>
      <c r="G184" s="15" t="s">
        <v>3723</v>
      </c>
      <c r="H184" s="15" t="s">
        <v>4029</v>
      </c>
      <c r="I184" s="15" t="s">
        <v>4039</v>
      </c>
      <c r="J184" s="15" t="s">
        <v>4056</v>
      </c>
      <c r="K184" s="96" t="str">
        <f>IFERROR(INDEX(競技会設定!$J$3:$O$47,MATCH(J184,競技会設定!$M$3:$M$47,0),5),"")</f>
        <v>至学館大</v>
      </c>
      <c r="L184" s="96" t="str">
        <f>IFERROR(INDEX(競技会設定!$J$3:$N$47,MATCH(K184,競技会設定!$N$3:$N$47,0),2),"")</f>
        <v>492174</v>
      </c>
      <c r="M184" s="15" t="s">
        <v>3859</v>
      </c>
      <c r="N184" s="96" t="str">
        <f t="shared" si="7"/>
        <v>NAKAYAMA, Airi</v>
      </c>
      <c r="O184" s="96" t="str">
        <f t="shared" si="8"/>
        <v>01</v>
      </c>
    </row>
    <row r="185" spans="1:15">
      <c r="A185" s="96" t="str">
        <f t="shared" si="6"/>
        <v>502002184</v>
      </c>
      <c r="B185" s="15" t="s">
        <v>5216</v>
      </c>
      <c r="C185" s="15" t="s">
        <v>5217</v>
      </c>
      <c r="D185" s="15" t="s">
        <v>5218</v>
      </c>
      <c r="E185" s="15" t="s">
        <v>6214</v>
      </c>
      <c r="F185" s="15" t="s">
        <v>6215</v>
      </c>
      <c r="G185" s="15" t="s">
        <v>6554</v>
      </c>
      <c r="H185" s="15" t="s">
        <v>4025</v>
      </c>
      <c r="I185" s="15" t="s">
        <v>4039</v>
      </c>
      <c r="J185" s="15" t="s">
        <v>6661</v>
      </c>
      <c r="K185" s="96" t="str">
        <f>IFERROR(INDEX(競技会設定!$J$3:$O$47,MATCH(J185,競技会設定!$M$3:$M$47,0),5),"")</f>
        <v>椙山女学園大</v>
      </c>
      <c r="L185" s="96" t="str">
        <f>IFERROR(INDEX(競技会設定!$J$3:$N$47,MATCH(K185,競技会設定!$N$3:$N$47,0),2),"")</f>
        <v>492171</v>
      </c>
      <c r="M185" s="15" t="s">
        <v>3859</v>
      </c>
      <c r="N185" s="96" t="str">
        <f t="shared" si="7"/>
        <v>TAKAMA, Shiomi</v>
      </c>
      <c r="O185" s="96" t="str">
        <f t="shared" si="8"/>
        <v>98</v>
      </c>
    </row>
    <row r="186" spans="1:15">
      <c r="A186" s="96" t="str">
        <f t="shared" si="6"/>
        <v>502002185</v>
      </c>
      <c r="B186" s="15" t="s">
        <v>5219</v>
      </c>
      <c r="C186" s="15" t="s">
        <v>5220</v>
      </c>
      <c r="D186" s="15" t="s">
        <v>5221</v>
      </c>
      <c r="E186" s="15" t="s">
        <v>6216</v>
      </c>
      <c r="F186" s="15" t="s">
        <v>6217</v>
      </c>
      <c r="G186" s="15" t="s">
        <v>3658</v>
      </c>
      <c r="H186" s="15" t="s">
        <v>4025</v>
      </c>
      <c r="I186" s="15" t="s">
        <v>4039</v>
      </c>
      <c r="J186" s="15" t="s">
        <v>6661</v>
      </c>
      <c r="K186" s="96" t="str">
        <f>IFERROR(INDEX(競技会設定!$J$3:$O$47,MATCH(J186,競技会設定!$M$3:$M$47,0),5),"")</f>
        <v>椙山女学園大</v>
      </c>
      <c r="L186" s="96" t="str">
        <f>IFERROR(INDEX(競技会設定!$J$3:$N$47,MATCH(K186,競技会設定!$N$3:$N$47,0),2),"")</f>
        <v>492171</v>
      </c>
      <c r="M186" s="15" t="s">
        <v>3859</v>
      </c>
      <c r="N186" s="96" t="str">
        <f t="shared" si="7"/>
        <v>AOKI, Eri</v>
      </c>
      <c r="O186" s="96" t="str">
        <f t="shared" si="8"/>
        <v>99</v>
      </c>
    </row>
    <row r="187" spans="1:15">
      <c r="A187" s="96" t="str">
        <f t="shared" si="6"/>
        <v>502002186</v>
      </c>
      <c r="B187" s="15" t="s">
        <v>5222</v>
      </c>
      <c r="C187" s="15" t="s">
        <v>5223</v>
      </c>
      <c r="D187" s="15" t="s">
        <v>5224</v>
      </c>
      <c r="E187" s="15" t="s">
        <v>3013</v>
      </c>
      <c r="F187" s="15" t="s">
        <v>6086</v>
      </c>
      <c r="G187" s="15" t="s">
        <v>4571</v>
      </c>
      <c r="H187" s="15" t="s">
        <v>4025</v>
      </c>
      <c r="I187" s="15" t="s">
        <v>4039</v>
      </c>
      <c r="J187" s="15" t="s">
        <v>6661</v>
      </c>
      <c r="K187" s="96" t="str">
        <f>IFERROR(INDEX(競技会設定!$J$3:$O$47,MATCH(J187,競技会設定!$M$3:$M$47,0),5),"")</f>
        <v>椙山女学園大</v>
      </c>
      <c r="L187" s="96" t="str">
        <f>IFERROR(INDEX(競技会設定!$J$3:$N$47,MATCH(K187,競技会設定!$N$3:$N$47,0),2),"")</f>
        <v>492171</v>
      </c>
      <c r="M187" s="15" t="s">
        <v>3859</v>
      </c>
      <c r="N187" s="96" t="str">
        <f t="shared" si="7"/>
        <v>TAGUCHI, Fumika</v>
      </c>
      <c r="O187" s="96" t="str">
        <f t="shared" si="8"/>
        <v>99</v>
      </c>
    </row>
    <row r="188" spans="1:15">
      <c r="A188" s="96" t="str">
        <f t="shared" si="6"/>
        <v>502002187</v>
      </c>
      <c r="B188" s="15" t="s">
        <v>5225</v>
      </c>
      <c r="C188" s="15" t="s">
        <v>5226</v>
      </c>
      <c r="D188" s="15" t="s">
        <v>5227</v>
      </c>
      <c r="E188" s="15" t="s">
        <v>6218</v>
      </c>
      <c r="F188" s="15" t="s">
        <v>5972</v>
      </c>
      <c r="G188" s="15" t="s">
        <v>6555</v>
      </c>
      <c r="H188" s="15" t="s">
        <v>4024</v>
      </c>
      <c r="I188" s="15" t="s">
        <v>4039</v>
      </c>
      <c r="J188" s="15" t="s">
        <v>6661</v>
      </c>
      <c r="K188" s="96" t="str">
        <f>IFERROR(INDEX(競技会設定!$J$3:$O$47,MATCH(J188,競技会設定!$M$3:$M$47,0),5),"")</f>
        <v>椙山女学園大</v>
      </c>
      <c r="L188" s="96" t="str">
        <f>IFERROR(INDEX(競技会設定!$J$3:$N$47,MATCH(K188,競技会設定!$N$3:$N$47,0),2),"")</f>
        <v>492171</v>
      </c>
      <c r="M188" s="15" t="s">
        <v>3859</v>
      </c>
      <c r="N188" s="96" t="str">
        <f t="shared" si="7"/>
        <v>SHIMOYAMADA, Ayaka</v>
      </c>
      <c r="O188" s="96" t="str">
        <f t="shared" si="8"/>
        <v>00</v>
      </c>
    </row>
    <row r="189" spans="1:15">
      <c r="A189" s="96" t="str">
        <f t="shared" si="6"/>
        <v>502002188</v>
      </c>
      <c r="B189" s="15" t="s">
        <v>5228</v>
      </c>
      <c r="C189" s="15" t="s">
        <v>5229</v>
      </c>
      <c r="D189" s="15" t="s">
        <v>5230</v>
      </c>
      <c r="E189" s="15" t="s">
        <v>3015</v>
      </c>
      <c r="F189" s="15" t="s">
        <v>6219</v>
      </c>
      <c r="G189" s="15" t="s">
        <v>6556</v>
      </c>
      <c r="H189" s="15" t="s">
        <v>4024</v>
      </c>
      <c r="I189" s="15" t="s">
        <v>4039</v>
      </c>
      <c r="J189" s="15" t="s">
        <v>6661</v>
      </c>
      <c r="K189" s="96" t="str">
        <f>IFERROR(INDEX(競技会設定!$J$3:$O$47,MATCH(J189,競技会設定!$M$3:$M$47,0),5),"")</f>
        <v>椙山女学園大</v>
      </c>
      <c r="L189" s="96" t="str">
        <f>IFERROR(INDEX(競技会設定!$J$3:$N$47,MATCH(K189,競技会設定!$N$3:$N$47,0),2),"")</f>
        <v>492171</v>
      </c>
      <c r="M189" s="15" t="s">
        <v>3859</v>
      </c>
      <c r="N189" s="96" t="str">
        <f t="shared" si="7"/>
        <v>SUZUKI, Miho</v>
      </c>
      <c r="O189" s="96" t="str">
        <f t="shared" si="8"/>
        <v>99</v>
      </c>
    </row>
    <row r="190" spans="1:15">
      <c r="A190" s="96" t="str">
        <f t="shared" si="6"/>
        <v>502002189</v>
      </c>
      <c r="B190" s="15" t="s">
        <v>5231</v>
      </c>
      <c r="C190" s="15" t="s">
        <v>5232</v>
      </c>
      <c r="D190" s="15" t="s">
        <v>5233</v>
      </c>
      <c r="E190" s="15" t="s">
        <v>6220</v>
      </c>
      <c r="F190" s="15" t="s">
        <v>6022</v>
      </c>
      <c r="G190" s="15" t="s">
        <v>3117</v>
      </c>
      <c r="H190" s="15" t="s">
        <v>4024</v>
      </c>
      <c r="I190" s="15" t="s">
        <v>4039</v>
      </c>
      <c r="J190" s="15" t="s">
        <v>6661</v>
      </c>
      <c r="K190" s="96" t="str">
        <f>IFERROR(INDEX(競技会設定!$J$3:$O$47,MATCH(J190,競技会設定!$M$3:$M$47,0),5),"")</f>
        <v>椙山女学園大</v>
      </c>
      <c r="L190" s="96" t="str">
        <f>IFERROR(INDEX(競技会設定!$J$3:$N$47,MATCH(K190,競技会設定!$N$3:$N$47,0),2),"")</f>
        <v>492171</v>
      </c>
      <c r="M190" s="15" t="s">
        <v>3859</v>
      </c>
      <c r="N190" s="96" t="str">
        <f t="shared" si="7"/>
        <v>SEGAWA, Maho</v>
      </c>
      <c r="O190" s="96" t="str">
        <f t="shared" si="8"/>
        <v>99</v>
      </c>
    </row>
    <row r="191" spans="1:15">
      <c r="A191" s="96" t="str">
        <f t="shared" si="6"/>
        <v>502002190</v>
      </c>
      <c r="B191" s="15" t="s">
        <v>5234</v>
      </c>
      <c r="C191" s="15" t="s">
        <v>5235</v>
      </c>
      <c r="D191" s="15" t="s">
        <v>5236</v>
      </c>
      <c r="E191" s="15" t="s">
        <v>3051</v>
      </c>
      <c r="F191" s="15" t="s">
        <v>6050</v>
      </c>
      <c r="G191" s="15" t="s">
        <v>6557</v>
      </c>
      <c r="H191" s="15" t="s">
        <v>4026</v>
      </c>
      <c r="I191" s="15" t="s">
        <v>4039</v>
      </c>
      <c r="J191" s="15" t="s">
        <v>6661</v>
      </c>
      <c r="K191" s="96" t="str">
        <f>IFERROR(INDEX(競技会設定!$J$3:$O$47,MATCH(J191,競技会設定!$M$3:$M$47,0),5),"")</f>
        <v>椙山女学園大</v>
      </c>
      <c r="L191" s="96" t="str">
        <f>IFERROR(INDEX(競技会設定!$J$3:$N$47,MATCH(K191,競技会設定!$N$3:$N$47,0),2),"")</f>
        <v>492171</v>
      </c>
      <c r="M191" s="15" t="s">
        <v>3859</v>
      </c>
      <c r="N191" s="96" t="str">
        <f t="shared" si="7"/>
        <v>KAMIYA, Sakura</v>
      </c>
      <c r="O191" s="96" t="str">
        <f t="shared" si="8"/>
        <v>00</v>
      </c>
    </row>
    <row r="192" spans="1:15">
      <c r="A192" s="96" t="str">
        <f t="shared" si="6"/>
        <v>502002191</v>
      </c>
      <c r="B192" s="15" t="s">
        <v>5237</v>
      </c>
      <c r="C192" s="15" t="s">
        <v>5238</v>
      </c>
      <c r="D192" s="15" t="s">
        <v>5239</v>
      </c>
      <c r="E192" s="15" t="s">
        <v>6221</v>
      </c>
      <c r="F192" s="15" t="s">
        <v>6222</v>
      </c>
      <c r="G192" s="15" t="s">
        <v>4590</v>
      </c>
      <c r="H192" s="15" t="s">
        <v>4026</v>
      </c>
      <c r="I192" s="15" t="s">
        <v>4039</v>
      </c>
      <c r="J192" s="15" t="s">
        <v>6661</v>
      </c>
      <c r="K192" s="96" t="str">
        <f>IFERROR(INDEX(競技会設定!$J$3:$O$47,MATCH(J192,競技会設定!$M$3:$M$47,0),5),"")</f>
        <v>椙山女学園大</v>
      </c>
      <c r="L192" s="96" t="str">
        <f>IFERROR(INDEX(競技会設定!$J$3:$N$47,MATCH(K192,競技会設定!$N$3:$N$47,0),2),"")</f>
        <v>492171</v>
      </c>
      <c r="M192" s="15" t="s">
        <v>3859</v>
      </c>
      <c r="N192" s="96" t="str">
        <f t="shared" si="7"/>
        <v>NAGANAWA, Moe</v>
      </c>
      <c r="O192" s="96" t="str">
        <f t="shared" si="8"/>
        <v>00</v>
      </c>
    </row>
    <row r="193" spans="1:15">
      <c r="A193" s="96" t="str">
        <f t="shared" si="6"/>
        <v>502002192</v>
      </c>
      <c r="B193" s="15" t="s">
        <v>5240</v>
      </c>
      <c r="C193" s="15" t="s">
        <v>5241</v>
      </c>
      <c r="D193" s="15" t="s">
        <v>5242</v>
      </c>
      <c r="E193" s="15" t="s">
        <v>6223</v>
      </c>
      <c r="F193" s="15" t="s">
        <v>3042</v>
      </c>
      <c r="G193" s="15" t="s">
        <v>6558</v>
      </c>
      <c r="H193" s="15" t="s">
        <v>4026</v>
      </c>
      <c r="I193" s="15" t="s">
        <v>4039</v>
      </c>
      <c r="J193" s="15" t="s">
        <v>6661</v>
      </c>
      <c r="K193" s="96" t="str">
        <f>IFERROR(INDEX(競技会設定!$J$3:$O$47,MATCH(J193,競技会設定!$M$3:$M$47,0),5),"")</f>
        <v>椙山女学園大</v>
      </c>
      <c r="L193" s="96" t="str">
        <f>IFERROR(INDEX(競技会設定!$J$3:$N$47,MATCH(K193,競技会設定!$N$3:$N$47,0),2),"")</f>
        <v>492171</v>
      </c>
      <c r="M193" s="15" t="s">
        <v>3859</v>
      </c>
      <c r="N193" s="96" t="str">
        <f t="shared" si="7"/>
        <v>HAYAKAWA, Yu</v>
      </c>
      <c r="O193" s="96" t="str">
        <f t="shared" si="8"/>
        <v>00</v>
      </c>
    </row>
    <row r="194" spans="1:15">
      <c r="A194" s="96" t="str">
        <f t="shared" si="6"/>
        <v>502002193</v>
      </c>
      <c r="B194" s="15" t="s">
        <v>5243</v>
      </c>
      <c r="C194" s="15" t="s">
        <v>5244</v>
      </c>
      <c r="D194" s="15" t="s">
        <v>5245</v>
      </c>
      <c r="E194" s="15" t="s">
        <v>6224</v>
      </c>
      <c r="F194" s="15" t="s">
        <v>6225</v>
      </c>
      <c r="G194" s="15" t="s">
        <v>3487</v>
      </c>
      <c r="H194" s="15" t="s">
        <v>4026</v>
      </c>
      <c r="I194" s="15" t="s">
        <v>4039</v>
      </c>
      <c r="J194" s="15" t="s">
        <v>6661</v>
      </c>
      <c r="K194" s="96" t="str">
        <f>IFERROR(INDEX(競技会設定!$J$3:$O$47,MATCH(J194,競技会設定!$M$3:$M$47,0),5),"")</f>
        <v>椙山女学園大</v>
      </c>
      <c r="L194" s="96" t="str">
        <f>IFERROR(INDEX(競技会設定!$J$3:$N$47,MATCH(K194,競技会設定!$N$3:$N$47,0),2),"")</f>
        <v>492171</v>
      </c>
      <c r="M194" s="15" t="s">
        <v>3859</v>
      </c>
      <c r="N194" s="96" t="str">
        <f t="shared" si="7"/>
        <v>MIYAZAKI, Sanae</v>
      </c>
      <c r="O194" s="96" t="str">
        <f t="shared" si="8"/>
        <v>00</v>
      </c>
    </row>
    <row r="195" spans="1:15">
      <c r="A195" s="96" t="str">
        <f t="shared" ref="A195:A258" si="9">IF(B195="","","502"&amp;TEXT(B195,"000000"))</f>
        <v>502002194</v>
      </c>
      <c r="B195" s="15" t="s">
        <v>5246</v>
      </c>
      <c r="C195" s="15" t="s">
        <v>5247</v>
      </c>
      <c r="D195" s="15" t="s">
        <v>5248</v>
      </c>
      <c r="E195" s="15" t="s">
        <v>6226</v>
      </c>
      <c r="F195" s="15" t="s">
        <v>6227</v>
      </c>
      <c r="G195" s="15" t="s">
        <v>6559</v>
      </c>
      <c r="H195" s="15" t="s">
        <v>4028</v>
      </c>
      <c r="I195" s="15" t="s">
        <v>4039</v>
      </c>
      <c r="J195" s="15" t="s">
        <v>4057</v>
      </c>
      <c r="K195" s="96" t="str">
        <f>IFERROR(INDEX(競技会設定!$J$3:$O$47,MATCH(J195,競技会設定!$M$3:$M$47,0),5),"")</f>
        <v>静岡県立大</v>
      </c>
      <c r="L195" s="96" t="str">
        <f>IFERROR(INDEX(競技会設定!$J$3:$N$47,MATCH(K195,競技会設定!$N$3:$N$47,0),2),"")</f>
        <v>491037</v>
      </c>
      <c r="M195" s="15" t="s">
        <v>3857</v>
      </c>
      <c r="N195" s="96" t="str">
        <f t="shared" ref="N195:N258" si="10">IF(E195="","",E195&amp;", "&amp;F195)</f>
        <v>MAGOME, Chiho</v>
      </c>
      <c r="O195" s="96" t="str">
        <f t="shared" ref="O195:O258" si="11">IFERROR(TEXT(INT(LEFT(G195,2)),"00"),"")</f>
        <v>96</v>
      </c>
    </row>
    <row r="196" spans="1:15">
      <c r="A196" s="96" t="str">
        <f t="shared" si="9"/>
        <v>502002195</v>
      </c>
      <c r="B196" s="15" t="s">
        <v>5249</v>
      </c>
      <c r="C196" s="15" t="s">
        <v>5250</v>
      </c>
      <c r="D196" s="15" t="s">
        <v>5251</v>
      </c>
      <c r="E196" s="15" t="s">
        <v>3041</v>
      </c>
      <c r="F196" s="15" t="s">
        <v>6228</v>
      </c>
      <c r="G196" s="15" t="s">
        <v>3071</v>
      </c>
      <c r="H196" s="15" t="s">
        <v>4025</v>
      </c>
      <c r="I196" s="15" t="s">
        <v>4039</v>
      </c>
      <c r="J196" s="15" t="s">
        <v>4057</v>
      </c>
      <c r="K196" s="96" t="str">
        <f>IFERROR(INDEX(競技会設定!$J$3:$O$47,MATCH(J196,競技会設定!$M$3:$M$47,0),5),"")</f>
        <v>静岡県立大</v>
      </c>
      <c r="L196" s="96" t="str">
        <f>IFERROR(INDEX(競技会設定!$J$3:$N$47,MATCH(K196,競技会設定!$N$3:$N$47,0),2),"")</f>
        <v>491037</v>
      </c>
      <c r="M196" s="15" t="s">
        <v>3857</v>
      </c>
      <c r="N196" s="96" t="str">
        <f t="shared" si="10"/>
        <v>KAWAGUCHI, Jurina</v>
      </c>
      <c r="O196" s="96" t="str">
        <f t="shared" si="11"/>
        <v>98</v>
      </c>
    </row>
    <row r="197" spans="1:15">
      <c r="A197" s="96" t="str">
        <f t="shared" si="9"/>
        <v>502002196</v>
      </c>
      <c r="B197" s="15" t="s">
        <v>5252</v>
      </c>
      <c r="C197" s="15" t="s">
        <v>5253</v>
      </c>
      <c r="D197" s="15" t="s">
        <v>5254</v>
      </c>
      <c r="E197" s="15" t="s">
        <v>4550</v>
      </c>
      <c r="F197" s="15" t="s">
        <v>6229</v>
      </c>
      <c r="G197" s="15" t="s">
        <v>3697</v>
      </c>
      <c r="H197" s="15" t="s">
        <v>4024</v>
      </c>
      <c r="I197" s="15" t="s">
        <v>4039</v>
      </c>
      <c r="J197" s="15" t="s">
        <v>4057</v>
      </c>
      <c r="K197" s="96" t="str">
        <f>IFERROR(INDEX(競技会設定!$J$3:$O$47,MATCH(J197,競技会設定!$M$3:$M$47,0),5),"")</f>
        <v>静岡県立大</v>
      </c>
      <c r="L197" s="96" t="str">
        <f>IFERROR(INDEX(競技会設定!$J$3:$N$47,MATCH(K197,競技会設定!$N$3:$N$47,0),2),"")</f>
        <v>491037</v>
      </c>
      <c r="M197" s="15" t="s">
        <v>3857</v>
      </c>
      <c r="N197" s="96" t="str">
        <f t="shared" si="10"/>
        <v>INAOKA, Natsuki</v>
      </c>
      <c r="O197" s="96" t="str">
        <f t="shared" si="11"/>
        <v>99</v>
      </c>
    </row>
    <row r="198" spans="1:15">
      <c r="A198" s="96" t="str">
        <f t="shared" si="9"/>
        <v>502002197</v>
      </c>
      <c r="B198" s="15" t="s">
        <v>5255</v>
      </c>
      <c r="C198" s="15" t="s">
        <v>5256</v>
      </c>
      <c r="D198" s="15" t="s">
        <v>5257</v>
      </c>
      <c r="E198" s="15" t="s">
        <v>3052</v>
      </c>
      <c r="F198" s="15" t="s">
        <v>6159</v>
      </c>
      <c r="G198" s="15" t="s">
        <v>3077</v>
      </c>
      <c r="H198" s="15" t="s">
        <v>4026</v>
      </c>
      <c r="I198" s="15" t="s">
        <v>4039</v>
      </c>
      <c r="J198" s="15" t="s">
        <v>4057</v>
      </c>
      <c r="K198" s="96" t="str">
        <f>IFERROR(INDEX(競技会設定!$J$3:$O$47,MATCH(J198,競技会設定!$M$3:$M$47,0),5),"")</f>
        <v>静岡県立大</v>
      </c>
      <c r="L198" s="96" t="str">
        <f>IFERROR(INDEX(競技会設定!$J$3:$N$47,MATCH(K198,競技会設定!$N$3:$N$47,0),2),"")</f>
        <v>491037</v>
      </c>
      <c r="M198" s="15" t="s">
        <v>3857</v>
      </c>
      <c r="N198" s="96" t="str">
        <f t="shared" si="10"/>
        <v>IWATA, Nana</v>
      </c>
      <c r="O198" s="96" t="str">
        <f t="shared" si="11"/>
        <v>98</v>
      </c>
    </row>
    <row r="199" spans="1:15">
      <c r="A199" s="96" t="str">
        <f t="shared" si="9"/>
        <v>502002198</v>
      </c>
      <c r="B199" s="15" t="s">
        <v>5258</v>
      </c>
      <c r="C199" s="15" t="s">
        <v>5259</v>
      </c>
      <c r="D199" s="15" t="s">
        <v>5260</v>
      </c>
      <c r="E199" s="15" t="s">
        <v>3045</v>
      </c>
      <c r="F199" s="15" t="s">
        <v>6230</v>
      </c>
      <c r="G199" s="15" t="s">
        <v>3382</v>
      </c>
      <c r="H199" s="15" t="s">
        <v>4026</v>
      </c>
      <c r="I199" s="15" t="s">
        <v>4039</v>
      </c>
      <c r="J199" s="15" t="s">
        <v>6662</v>
      </c>
      <c r="K199" s="96" t="str">
        <f>IFERROR(INDEX(競技会設定!$J$3:$O$47,MATCH(J199,競技会設定!$M$3:$M$47,0),5),"")</f>
        <v>中京学院大</v>
      </c>
      <c r="L199" s="96" t="str">
        <f>IFERROR(INDEX(競技会設定!$J$3:$N$47,MATCH(K199,競技会設定!$N$3:$N$47,0),2),"")</f>
        <v>492389</v>
      </c>
      <c r="M199" s="15" t="s">
        <v>3903</v>
      </c>
      <c r="N199" s="96" t="str">
        <f t="shared" si="10"/>
        <v>HAYASHI, Nonoka</v>
      </c>
      <c r="O199" s="96" t="str">
        <f t="shared" si="11"/>
        <v>98</v>
      </c>
    </row>
    <row r="200" spans="1:15">
      <c r="A200" s="96" t="str">
        <f t="shared" si="9"/>
        <v>502002199</v>
      </c>
      <c r="B200" s="15" t="s">
        <v>5261</v>
      </c>
      <c r="C200" s="15" t="s">
        <v>5262</v>
      </c>
      <c r="D200" s="15" t="s">
        <v>5263</v>
      </c>
      <c r="E200" s="15" t="s">
        <v>6231</v>
      </c>
      <c r="F200" s="15" t="s">
        <v>6054</v>
      </c>
      <c r="G200" s="15" t="s">
        <v>3455</v>
      </c>
      <c r="H200" s="15" t="s">
        <v>4026</v>
      </c>
      <c r="I200" s="15" t="s">
        <v>4039</v>
      </c>
      <c r="J200" s="15" t="s">
        <v>6662</v>
      </c>
      <c r="K200" s="96" t="str">
        <f>IFERROR(INDEX(競技会設定!$J$3:$O$47,MATCH(J200,競技会設定!$M$3:$M$47,0),5),"")</f>
        <v>中京学院大</v>
      </c>
      <c r="L200" s="96" t="str">
        <f>IFERROR(INDEX(競技会設定!$J$3:$N$47,MATCH(K200,競技会設定!$N$3:$N$47,0),2),"")</f>
        <v>492389</v>
      </c>
      <c r="M200" s="15" t="s">
        <v>3855</v>
      </c>
      <c r="N200" s="96" t="str">
        <f t="shared" si="10"/>
        <v>MATSUMOTO, Nanami</v>
      </c>
      <c r="O200" s="96" t="str">
        <f t="shared" si="11"/>
        <v>00</v>
      </c>
    </row>
    <row r="201" spans="1:15">
      <c r="A201" s="96" t="str">
        <f t="shared" si="9"/>
        <v>502002200</v>
      </c>
      <c r="B201" s="15" t="s">
        <v>5264</v>
      </c>
      <c r="C201" s="15" t="s">
        <v>5265</v>
      </c>
      <c r="D201" s="15" t="s">
        <v>5266</v>
      </c>
      <c r="E201" s="15" t="s">
        <v>6095</v>
      </c>
      <c r="F201" s="15" t="s">
        <v>6232</v>
      </c>
      <c r="G201" s="15" t="s">
        <v>6560</v>
      </c>
      <c r="H201" s="15" t="s">
        <v>4026</v>
      </c>
      <c r="I201" s="15" t="s">
        <v>4039</v>
      </c>
      <c r="J201" s="15" t="s">
        <v>6662</v>
      </c>
      <c r="K201" s="96" t="str">
        <f>IFERROR(INDEX(競技会設定!$J$3:$O$47,MATCH(J201,競技会設定!$M$3:$M$47,0),5),"")</f>
        <v>中京学院大</v>
      </c>
      <c r="L201" s="96" t="str">
        <f>IFERROR(INDEX(競技会設定!$J$3:$N$47,MATCH(K201,競技会設定!$N$3:$N$47,0),2),"")</f>
        <v>492389</v>
      </c>
      <c r="M201" s="15" t="s">
        <v>3897</v>
      </c>
      <c r="N201" s="96" t="str">
        <f t="shared" si="10"/>
        <v>WATANABE, Yuuna</v>
      </c>
      <c r="O201" s="96" t="str">
        <f t="shared" si="11"/>
        <v>00</v>
      </c>
    </row>
    <row r="202" spans="1:15">
      <c r="A202" s="96" t="str">
        <f t="shared" si="9"/>
        <v>502002201</v>
      </c>
      <c r="B202" s="15" t="s">
        <v>5267</v>
      </c>
      <c r="C202" s="15" t="s">
        <v>5268</v>
      </c>
      <c r="D202" s="15" t="s">
        <v>5269</v>
      </c>
      <c r="E202" s="15" t="s">
        <v>6233</v>
      </c>
      <c r="F202" s="15" t="s">
        <v>6234</v>
      </c>
      <c r="G202" s="15" t="s">
        <v>6561</v>
      </c>
      <c r="H202" s="15" t="s">
        <v>4026</v>
      </c>
      <c r="I202" s="15" t="s">
        <v>4039</v>
      </c>
      <c r="J202" s="15" t="s">
        <v>6662</v>
      </c>
      <c r="K202" s="96" t="str">
        <f>IFERROR(INDEX(競技会設定!$J$3:$O$47,MATCH(J202,競技会設定!$M$3:$M$47,0),5),"")</f>
        <v>中京学院大</v>
      </c>
      <c r="L202" s="96" t="str">
        <f>IFERROR(INDEX(競技会設定!$J$3:$N$47,MATCH(K202,競技会設定!$N$3:$N$47,0),2),"")</f>
        <v>492389</v>
      </c>
      <c r="M202" s="15" t="s">
        <v>3847</v>
      </c>
      <c r="N202" s="96" t="str">
        <f t="shared" si="10"/>
        <v>TAKABATAKE, Hijiri</v>
      </c>
      <c r="O202" s="96" t="str">
        <f t="shared" si="11"/>
        <v>01</v>
      </c>
    </row>
    <row r="203" spans="1:15">
      <c r="A203" s="96" t="str">
        <f t="shared" si="9"/>
        <v>502002202</v>
      </c>
      <c r="B203" s="15" t="s">
        <v>5270</v>
      </c>
      <c r="C203" s="15" t="s">
        <v>5271</v>
      </c>
      <c r="D203" s="15" t="s">
        <v>5272</v>
      </c>
      <c r="E203" s="15" t="s">
        <v>6235</v>
      </c>
      <c r="F203" s="15" t="s">
        <v>6236</v>
      </c>
      <c r="G203" s="15" t="s">
        <v>6562</v>
      </c>
      <c r="H203" s="15" t="s">
        <v>4026</v>
      </c>
      <c r="I203" s="15" t="s">
        <v>4039</v>
      </c>
      <c r="J203" s="15" t="s">
        <v>6662</v>
      </c>
      <c r="K203" s="96" t="str">
        <f>IFERROR(INDEX(競技会設定!$J$3:$O$47,MATCH(J203,競技会設定!$M$3:$M$47,0),5),"")</f>
        <v>中京学院大</v>
      </c>
      <c r="L203" s="96" t="str">
        <f>IFERROR(INDEX(競技会設定!$J$3:$N$47,MATCH(K203,競技会設定!$N$3:$N$47,0),2),"")</f>
        <v>492389</v>
      </c>
      <c r="M203" s="15" t="s">
        <v>3853</v>
      </c>
      <c r="N203" s="96" t="str">
        <f t="shared" si="10"/>
        <v>OSAMI, Kyouka</v>
      </c>
      <c r="O203" s="96" t="str">
        <f t="shared" si="11"/>
        <v>00</v>
      </c>
    </row>
    <row r="204" spans="1:15">
      <c r="A204" s="96" t="str">
        <f t="shared" si="9"/>
        <v>502002203</v>
      </c>
      <c r="B204" s="15" t="s">
        <v>5273</v>
      </c>
      <c r="C204" s="15" t="s">
        <v>5274</v>
      </c>
      <c r="D204" s="15" t="s">
        <v>5275</v>
      </c>
      <c r="E204" s="15" t="s">
        <v>6237</v>
      </c>
      <c r="F204" s="15" t="s">
        <v>6114</v>
      </c>
      <c r="G204" s="15" t="s">
        <v>6563</v>
      </c>
      <c r="H204" s="15" t="s">
        <v>4026</v>
      </c>
      <c r="I204" s="15" t="s">
        <v>4039</v>
      </c>
      <c r="J204" s="15" t="s">
        <v>6662</v>
      </c>
      <c r="K204" s="96" t="str">
        <f>IFERROR(INDEX(競技会設定!$J$3:$O$47,MATCH(J204,競技会設定!$M$3:$M$47,0),5),"")</f>
        <v>中京学院大</v>
      </c>
      <c r="L204" s="96" t="str">
        <f>IFERROR(INDEX(競技会設定!$J$3:$N$47,MATCH(K204,競技会設定!$N$3:$N$47,0),2),"")</f>
        <v>492389</v>
      </c>
      <c r="M204" s="15" t="s">
        <v>3895</v>
      </c>
      <c r="N204" s="96" t="str">
        <f t="shared" si="10"/>
        <v>IWAMURO, Saki</v>
      </c>
      <c r="O204" s="96" t="str">
        <f t="shared" si="11"/>
        <v>00</v>
      </c>
    </row>
    <row r="205" spans="1:15">
      <c r="A205" s="96" t="str">
        <f t="shared" si="9"/>
        <v>502002204</v>
      </c>
      <c r="B205" s="15" t="s">
        <v>5276</v>
      </c>
      <c r="C205" s="15" t="s">
        <v>5277</v>
      </c>
      <c r="D205" s="15" t="s">
        <v>5278</v>
      </c>
      <c r="E205" s="15" t="s">
        <v>6238</v>
      </c>
      <c r="F205" s="15" t="s">
        <v>6239</v>
      </c>
      <c r="G205" s="15" t="s">
        <v>6564</v>
      </c>
      <c r="H205" s="15" t="s">
        <v>4026</v>
      </c>
      <c r="I205" s="15" t="s">
        <v>4039</v>
      </c>
      <c r="J205" s="15" t="s">
        <v>6662</v>
      </c>
      <c r="K205" s="96" t="str">
        <f>IFERROR(INDEX(競技会設定!$J$3:$O$47,MATCH(J205,競技会設定!$M$3:$M$47,0),5),"")</f>
        <v>中京学院大</v>
      </c>
      <c r="L205" s="96" t="str">
        <f>IFERROR(INDEX(競技会設定!$J$3:$N$47,MATCH(K205,競技会設定!$N$3:$N$47,0),2),"")</f>
        <v>492389</v>
      </c>
      <c r="M205" s="15" t="s">
        <v>3909</v>
      </c>
      <c r="N205" s="96" t="str">
        <f t="shared" si="10"/>
        <v>NAKAZATO, Aya</v>
      </c>
      <c r="O205" s="96" t="str">
        <f t="shared" si="11"/>
        <v>00</v>
      </c>
    </row>
    <row r="206" spans="1:15">
      <c r="A206" s="96" t="str">
        <f t="shared" si="9"/>
        <v>502002205</v>
      </c>
      <c r="B206" s="15" t="s">
        <v>5279</v>
      </c>
      <c r="C206" s="15" t="s">
        <v>5280</v>
      </c>
      <c r="D206" s="15" t="s">
        <v>5281</v>
      </c>
      <c r="E206" s="15" t="s">
        <v>6240</v>
      </c>
      <c r="F206" s="15" t="s">
        <v>6208</v>
      </c>
      <c r="G206" s="15" t="s">
        <v>6565</v>
      </c>
      <c r="H206" s="15" t="s">
        <v>4026</v>
      </c>
      <c r="I206" s="15" t="s">
        <v>4039</v>
      </c>
      <c r="J206" s="15" t="s">
        <v>6662</v>
      </c>
      <c r="K206" s="96" t="str">
        <f>IFERROR(INDEX(競技会設定!$J$3:$O$47,MATCH(J206,競技会設定!$M$3:$M$47,0),5),"")</f>
        <v>中京学院大</v>
      </c>
      <c r="L206" s="96" t="str">
        <f>IFERROR(INDEX(競技会設定!$J$3:$N$47,MATCH(K206,競技会設定!$N$3:$N$47,0),2),"")</f>
        <v>492389</v>
      </c>
      <c r="M206" s="15" t="s">
        <v>3855</v>
      </c>
      <c r="N206" s="96" t="str">
        <f t="shared" si="10"/>
        <v>MIMURA, Rio</v>
      </c>
      <c r="O206" s="96" t="str">
        <f t="shared" si="11"/>
        <v>01</v>
      </c>
    </row>
    <row r="207" spans="1:15">
      <c r="A207" s="96" t="str">
        <f t="shared" si="9"/>
        <v>502002206</v>
      </c>
      <c r="B207" s="15" t="s">
        <v>5282</v>
      </c>
      <c r="C207" s="15" t="s">
        <v>5283</v>
      </c>
      <c r="D207" s="15" t="s">
        <v>5284</v>
      </c>
      <c r="E207" s="15" t="s">
        <v>6241</v>
      </c>
      <c r="F207" s="15" t="s">
        <v>6242</v>
      </c>
      <c r="G207" s="15" t="s">
        <v>3751</v>
      </c>
      <c r="H207" s="15" t="s">
        <v>4029</v>
      </c>
      <c r="I207" s="15" t="s">
        <v>4039</v>
      </c>
      <c r="J207" s="15" t="s">
        <v>6662</v>
      </c>
      <c r="K207" s="96" t="str">
        <f>IFERROR(INDEX(競技会設定!$J$3:$O$47,MATCH(J207,競技会設定!$M$3:$M$47,0),5),"")</f>
        <v>中京学院大</v>
      </c>
      <c r="L207" s="96" t="str">
        <f>IFERROR(INDEX(競技会設定!$J$3:$N$47,MATCH(K207,競技会設定!$N$3:$N$47,0),2),"")</f>
        <v>492389</v>
      </c>
      <c r="M207" s="15" t="s">
        <v>3855</v>
      </c>
      <c r="N207" s="96" t="str">
        <f t="shared" si="10"/>
        <v>KATOU, Ayumi</v>
      </c>
      <c r="O207" s="96" t="str">
        <f t="shared" si="11"/>
        <v>01</v>
      </c>
    </row>
    <row r="208" spans="1:15">
      <c r="A208" s="96" t="str">
        <f t="shared" si="9"/>
        <v>502002207</v>
      </c>
      <c r="B208" s="15" t="s">
        <v>5285</v>
      </c>
      <c r="C208" s="15" t="s">
        <v>5286</v>
      </c>
      <c r="D208" s="15" t="s">
        <v>5287</v>
      </c>
      <c r="E208" s="15" t="s">
        <v>6241</v>
      </c>
      <c r="F208" s="15" t="s">
        <v>6243</v>
      </c>
      <c r="G208" s="15" t="s">
        <v>3751</v>
      </c>
      <c r="H208" s="15" t="s">
        <v>4029</v>
      </c>
      <c r="I208" s="15" t="s">
        <v>4039</v>
      </c>
      <c r="J208" s="15" t="s">
        <v>6662</v>
      </c>
      <c r="K208" s="96" t="str">
        <f>IFERROR(INDEX(競技会設定!$J$3:$O$47,MATCH(J208,競技会設定!$M$3:$M$47,0),5),"")</f>
        <v>中京学院大</v>
      </c>
      <c r="L208" s="96" t="str">
        <f>IFERROR(INDEX(競技会設定!$J$3:$N$47,MATCH(K208,競技会設定!$N$3:$N$47,0),2),"")</f>
        <v>492389</v>
      </c>
      <c r="M208" s="15" t="s">
        <v>3855</v>
      </c>
      <c r="N208" s="96" t="str">
        <f t="shared" si="10"/>
        <v>KATOU, Wakaba</v>
      </c>
      <c r="O208" s="96" t="str">
        <f t="shared" si="11"/>
        <v>01</v>
      </c>
    </row>
    <row r="209" spans="1:15">
      <c r="A209" s="96" t="str">
        <f t="shared" si="9"/>
        <v>502002208</v>
      </c>
      <c r="B209" s="15" t="s">
        <v>5288</v>
      </c>
      <c r="C209" s="15" t="s">
        <v>5289</v>
      </c>
      <c r="D209" s="15" t="s">
        <v>5290</v>
      </c>
      <c r="E209" s="15" t="s">
        <v>6244</v>
      </c>
      <c r="F209" s="15" t="s">
        <v>6245</v>
      </c>
      <c r="G209" s="15" t="s">
        <v>4566</v>
      </c>
      <c r="H209" s="15" t="s">
        <v>4029</v>
      </c>
      <c r="I209" s="15" t="s">
        <v>4039</v>
      </c>
      <c r="J209" s="15" t="s">
        <v>6662</v>
      </c>
      <c r="K209" s="96" t="str">
        <f>IFERROR(INDEX(競技会設定!$J$3:$O$47,MATCH(J209,競技会設定!$M$3:$M$47,0),5),"")</f>
        <v>中京学院大</v>
      </c>
      <c r="L209" s="96" t="str">
        <f>IFERROR(INDEX(競技会設定!$J$3:$N$47,MATCH(K209,競技会設定!$N$3:$N$47,0),2),"")</f>
        <v>492389</v>
      </c>
      <c r="M209" s="15" t="s">
        <v>3855</v>
      </c>
      <c r="N209" s="96" t="str">
        <f t="shared" si="10"/>
        <v>FUJITA, Yuu</v>
      </c>
      <c r="O209" s="96" t="str">
        <f t="shared" si="11"/>
        <v>01</v>
      </c>
    </row>
    <row r="210" spans="1:15">
      <c r="A210" s="96" t="str">
        <f t="shared" si="9"/>
        <v>502002209</v>
      </c>
      <c r="B210" s="15" t="s">
        <v>5291</v>
      </c>
      <c r="C210" s="15" t="s">
        <v>5292</v>
      </c>
      <c r="D210" s="15" t="s">
        <v>5293</v>
      </c>
      <c r="E210" s="15" t="s">
        <v>6246</v>
      </c>
      <c r="F210" s="15" t="s">
        <v>6247</v>
      </c>
      <c r="G210" s="15" t="s">
        <v>3688</v>
      </c>
      <c r="H210" s="15" t="s">
        <v>4029</v>
      </c>
      <c r="I210" s="15" t="s">
        <v>4039</v>
      </c>
      <c r="J210" s="15" t="s">
        <v>6662</v>
      </c>
      <c r="K210" s="96" t="str">
        <f>IFERROR(INDEX(競技会設定!$J$3:$O$47,MATCH(J210,競技会設定!$M$3:$M$47,0),5),"")</f>
        <v>中京学院大</v>
      </c>
      <c r="L210" s="96" t="str">
        <f>IFERROR(INDEX(競技会設定!$J$3:$N$47,MATCH(K210,競技会設定!$N$3:$N$47,0),2),"")</f>
        <v>492389</v>
      </c>
      <c r="M210" s="15" t="s">
        <v>3855</v>
      </c>
      <c r="N210" s="96" t="str">
        <f t="shared" si="10"/>
        <v>ARATAKE, Yuika</v>
      </c>
      <c r="O210" s="96" t="str">
        <f t="shared" si="11"/>
        <v>01</v>
      </c>
    </row>
    <row r="211" spans="1:15">
      <c r="A211" s="96" t="str">
        <f t="shared" si="9"/>
        <v>502002210</v>
      </c>
      <c r="B211" s="15" t="s">
        <v>5294</v>
      </c>
      <c r="C211" s="15" t="s">
        <v>5295</v>
      </c>
      <c r="D211" s="15" t="s">
        <v>5296</v>
      </c>
      <c r="E211" s="15" t="s">
        <v>6248</v>
      </c>
      <c r="F211" s="15" t="s">
        <v>5965</v>
      </c>
      <c r="G211" s="15" t="s">
        <v>6566</v>
      </c>
      <c r="H211" s="15" t="s">
        <v>4029</v>
      </c>
      <c r="I211" s="15" t="s">
        <v>4039</v>
      </c>
      <c r="J211" s="15" t="s">
        <v>6662</v>
      </c>
      <c r="K211" s="96" t="str">
        <f>IFERROR(INDEX(競技会設定!$J$3:$O$47,MATCH(J211,競技会設定!$M$3:$M$47,0),5),"")</f>
        <v>中京学院大</v>
      </c>
      <c r="L211" s="96" t="str">
        <f>IFERROR(INDEX(競技会設定!$J$3:$N$47,MATCH(K211,競技会設定!$N$3:$N$47,0),2),"")</f>
        <v>492389</v>
      </c>
      <c r="M211" s="15" t="s">
        <v>3909</v>
      </c>
      <c r="N211" s="96" t="str">
        <f t="shared" si="10"/>
        <v>OOSHIRO, Ai</v>
      </c>
      <c r="O211" s="96" t="str">
        <f t="shared" si="11"/>
        <v>01</v>
      </c>
    </row>
    <row r="212" spans="1:15">
      <c r="A212" s="96" t="str">
        <f t="shared" si="9"/>
        <v>502002211</v>
      </c>
      <c r="B212" s="15" t="s">
        <v>5297</v>
      </c>
      <c r="C212" s="15" t="s">
        <v>5298</v>
      </c>
      <c r="D212" s="15" t="s">
        <v>5299</v>
      </c>
      <c r="E212" s="15" t="s">
        <v>6249</v>
      </c>
      <c r="F212" s="15" t="s">
        <v>6250</v>
      </c>
      <c r="G212" s="15" t="s">
        <v>3387</v>
      </c>
      <c r="H212" s="15" t="s">
        <v>4029</v>
      </c>
      <c r="I212" s="15" t="s">
        <v>4039</v>
      </c>
      <c r="J212" s="15" t="s">
        <v>6662</v>
      </c>
      <c r="K212" s="96" t="str">
        <f>IFERROR(INDEX(競技会設定!$J$3:$O$47,MATCH(J212,競技会設定!$M$3:$M$47,0),5),"")</f>
        <v>中京学院大</v>
      </c>
      <c r="L212" s="96" t="str">
        <f>IFERROR(INDEX(競技会設定!$J$3:$N$47,MATCH(K212,競技会設定!$N$3:$N$47,0),2),"")</f>
        <v>492389</v>
      </c>
      <c r="M212" s="15" t="s">
        <v>3853</v>
      </c>
      <c r="N212" s="96" t="str">
        <f t="shared" si="10"/>
        <v>ARUGA, Yukie</v>
      </c>
      <c r="O212" s="96" t="str">
        <f t="shared" si="11"/>
        <v>01</v>
      </c>
    </row>
    <row r="213" spans="1:15">
      <c r="A213" s="96" t="str">
        <f t="shared" si="9"/>
        <v>502002212</v>
      </c>
      <c r="B213" s="15" t="s">
        <v>5300</v>
      </c>
      <c r="C213" s="15" t="s">
        <v>5301</v>
      </c>
      <c r="D213" s="15" t="s">
        <v>5302</v>
      </c>
      <c r="E213" s="15" t="s">
        <v>6087</v>
      </c>
      <c r="F213" s="15" t="s">
        <v>6251</v>
      </c>
      <c r="G213" s="15" t="s">
        <v>3469</v>
      </c>
      <c r="H213" s="15" t="s">
        <v>4029</v>
      </c>
      <c r="I213" s="15" t="s">
        <v>4039</v>
      </c>
      <c r="J213" s="15" t="s">
        <v>6662</v>
      </c>
      <c r="K213" s="96" t="str">
        <f>IFERROR(INDEX(競技会設定!$J$3:$O$47,MATCH(J213,競技会設定!$M$3:$M$47,0),5),"")</f>
        <v>中京学院大</v>
      </c>
      <c r="L213" s="96" t="str">
        <f>IFERROR(INDEX(競技会設定!$J$3:$N$47,MATCH(K213,競技会設定!$N$3:$N$47,0),2),"")</f>
        <v>492389</v>
      </c>
      <c r="M213" s="15" t="s">
        <v>3861</v>
      </c>
      <c r="N213" s="96" t="str">
        <f t="shared" si="10"/>
        <v>INABA, Yumeka</v>
      </c>
      <c r="O213" s="96" t="str">
        <f t="shared" si="11"/>
        <v>01</v>
      </c>
    </row>
    <row r="214" spans="1:15">
      <c r="A214" s="96" t="str">
        <f t="shared" si="9"/>
        <v>502002213</v>
      </c>
      <c r="B214" s="15" t="s">
        <v>5303</v>
      </c>
      <c r="C214" s="15" t="s">
        <v>5304</v>
      </c>
      <c r="D214" s="15" t="s">
        <v>5305</v>
      </c>
      <c r="E214" s="15" t="s">
        <v>3017</v>
      </c>
      <c r="F214" s="15" t="s">
        <v>6252</v>
      </c>
      <c r="G214" s="15" t="s">
        <v>3689</v>
      </c>
      <c r="H214" s="15" t="s">
        <v>4029</v>
      </c>
      <c r="I214" s="15" t="s">
        <v>4039</v>
      </c>
      <c r="J214" s="15" t="s">
        <v>6662</v>
      </c>
      <c r="K214" s="96" t="str">
        <f>IFERROR(INDEX(競技会設定!$J$3:$O$47,MATCH(J214,競技会設定!$M$3:$M$47,0),5),"")</f>
        <v>中京学院大</v>
      </c>
      <c r="L214" s="96" t="str">
        <f>IFERROR(INDEX(競技会設定!$J$3:$N$47,MATCH(K214,競技会設定!$N$3:$N$47,0),2),"")</f>
        <v>492389</v>
      </c>
      <c r="M214" s="15" t="s">
        <v>3857</v>
      </c>
      <c r="N214" s="96" t="str">
        <f t="shared" si="10"/>
        <v>OKADA, Yuuka</v>
      </c>
      <c r="O214" s="96" t="str">
        <f t="shared" si="11"/>
        <v>02</v>
      </c>
    </row>
    <row r="215" spans="1:15">
      <c r="A215" s="96" t="str">
        <f t="shared" si="9"/>
        <v>502002214</v>
      </c>
      <c r="B215" s="15" t="s">
        <v>5306</v>
      </c>
      <c r="C215" s="15" t="s">
        <v>5307</v>
      </c>
      <c r="D215" s="15" t="s">
        <v>5308</v>
      </c>
      <c r="E215" s="15" t="s">
        <v>6253</v>
      </c>
      <c r="F215" s="15" t="s">
        <v>6222</v>
      </c>
      <c r="G215" s="15" t="s">
        <v>4602</v>
      </c>
      <c r="H215" s="15" t="s">
        <v>4029</v>
      </c>
      <c r="I215" s="15" t="s">
        <v>4039</v>
      </c>
      <c r="J215" s="15" t="s">
        <v>6662</v>
      </c>
      <c r="K215" s="96" t="str">
        <f>IFERROR(INDEX(競技会設定!$J$3:$O$47,MATCH(J215,競技会設定!$M$3:$M$47,0),5),"")</f>
        <v>中京学院大</v>
      </c>
      <c r="L215" s="96" t="str">
        <f>IFERROR(INDEX(競技会設定!$J$3:$N$47,MATCH(K215,競技会設定!$N$3:$N$47,0),2),"")</f>
        <v>492389</v>
      </c>
      <c r="M215" s="15" t="s">
        <v>3861</v>
      </c>
      <c r="N215" s="96" t="str">
        <f t="shared" si="10"/>
        <v>KONDOU, Moe</v>
      </c>
      <c r="O215" s="96" t="str">
        <f t="shared" si="11"/>
        <v>01</v>
      </c>
    </row>
    <row r="216" spans="1:15">
      <c r="A216" s="96" t="str">
        <f t="shared" si="9"/>
        <v>502002215</v>
      </c>
      <c r="B216" s="15" t="s">
        <v>5309</v>
      </c>
      <c r="C216" s="15" t="s">
        <v>5310</v>
      </c>
      <c r="D216" s="15" t="s">
        <v>5311</v>
      </c>
      <c r="E216" s="15" t="s">
        <v>6254</v>
      </c>
      <c r="F216" s="15" t="s">
        <v>6255</v>
      </c>
      <c r="G216" s="15" t="s">
        <v>6567</v>
      </c>
      <c r="H216" s="15" t="s">
        <v>4029</v>
      </c>
      <c r="I216" s="15" t="s">
        <v>4039</v>
      </c>
      <c r="J216" s="15" t="s">
        <v>6662</v>
      </c>
      <c r="K216" s="96" t="str">
        <f>IFERROR(INDEX(競技会設定!$J$3:$O$47,MATCH(J216,競技会設定!$M$3:$M$47,0),5),"")</f>
        <v>中京学院大</v>
      </c>
      <c r="L216" s="96" t="str">
        <f>IFERROR(INDEX(競技会設定!$J$3:$N$47,MATCH(K216,競技会設定!$N$3:$N$47,0),2),"")</f>
        <v>492389</v>
      </c>
      <c r="M216" s="15" t="s">
        <v>3853</v>
      </c>
      <c r="N216" s="96" t="str">
        <f t="shared" si="10"/>
        <v>TSUKADA, Ayako</v>
      </c>
      <c r="O216" s="96" t="str">
        <f t="shared" si="11"/>
        <v>02</v>
      </c>
    </row>
    <row r="217" spans="1:15">
      <c r="A217" s="96" t="str">
        <f t="shared" si="9"/>
        <v>502002216</v>
      </c>
      <c r="B217" s="15" t="s">
        <v>5312</v>
      </c>
      <c r="C217" s="15" t="s">
        <v>5313</v>
      </c>
      <c r="D217" s="15" t="s">
        <v>5314</v>
      </c>
      <c r="E217" s="15" t="s">
        <v>6256</v>
      </c>
      <c r="F217" s="15" t="s">
        <v>6043</v>
      </c>
      <c r="G217" s="15" t="s">
        <v>3686</v>
      </c>
      <c r="H217" s="15" t="s">
        <v>4029</v>
      </c>
      <c r="I217" s="15" t="s">
        <v>4039</v>
      </c>
      <c r="J217" s="15" t="s">
        <v>6662</v>
      </c>
      <c r="K217" s="96" t="str">
        <f>IFERROR(INDEX(競技会設定!$J$3:$O$47,MATCH(J217,競技会設定!$M$3:$M$47,0),5),"")</f>
        <v>中京学院大</v>
      </c>
      <c r="L217" s="96" t="str">
        <f>IFERROR(INDEX(競技会設定!$J$3:$N$47,MATCH(K217,競技会設定!$N$3:$N$47,0),2),"")</f>
        <v>492389</v>
      </c>
      <c r="M217" s="15" t="s">
        <v>3857</v>
      </c>
      <c r="N217" s="96" t="str">
        <f t="shared" si="10"/>
        <v>NAKAYASU, Wakana</v>
      </c>
      <c r="O217" s="96" t="str">
        <f t="shared" si="11"/>
        <v>01</v>
      </c>
    </row>
    <row r="218" spans="1:15">
      <c r="A218" s="96" t="str">
        <f t="shared" si="9"/>
        <v>502002217</v>
      </c>
      <c r="B218" s="15" t="s">
        <v>5315</v>
      </c>
      <c r="C218" s="15" t="s">
        <v>5316</v>
      </c>
      <c r="D218" s="15" t="s">
        <v>5317</v>
      </c>
      <c r="E218" s="15" t="s">
        <v>6257</v>
      </c>
      <c r="F218" s="15" t="s">
        <v>6134</v>
      </c>
      <c r="G218" s="15" t="s">
        <v>3342</v>
      </c>
      <c r="H218" s="15" t="s">
        <v>4029</v>
      </c>
      <c r="I218" s="15" t="s">
        <v>4039</v>
      </c>
      <c r="J218" s="15" t="s">
        <v>6662</v>
      </c>
      <c r="K218" s="96" t="str">
        <f>IFERROR(INDEX(競技会設定!$J$3:$O$47,MATCH(J218,競技会設定!$M$3:$M$47,0),5),"")</f>
        <v>中京学院大</v>
      </c>
      <c r="L218" s="96" t="str">
        <f>IFERROR(INDEX(競技会設定!$J$3:$N$47,MATCH(K218,競技会設定!$N$3:$N$47,0),2),"")</f>
        <v>492389</v>
      </c>
      <c r="M218" s="15" t="s">
        <v>3855</v>
      </c>
      <c r="N218" s="96" t="str">
        <f t="shared" si="10"/>
        <v>YAMASHITA, Haruka</v>
      </c>
      <c r="O218" s="96" t="str">
        <f t="shared" si="11"/>
        <v>01</v>
      </c>
    </row>
    <row r="219" spans="1:15">
      <c r="A219" s="96" t="str">
        <f t="shared" si="9"/>
        <v>502002218</v>
      </c>
      <c r="B219" s="15" t="s">
        <v>5318</v>
      </c>
      <c r="C219" s="15" t="s">
        <v>5319</v>
      </c>
      <c r="D219" s="15" t="s">
        <v>5320</v>
      </c>
      <c r="E219" s="15" t="s">
        <v>6258</v>
      </c>
      <c r="F219" s="15" t="s">
        <v>6259</v>
      </c>
      <c r="G219" s="15" t="s">
        <v>6568</v>
      </c>
      <c r="H219" s="15" t="s">
        <v>4026</v>
      </c>
      <c r="I219" s="15" t="s">
        <v>4039</v>
      </c>
      <c r="J219" s="15" t="s">
        <v>4058</v>
      </c>
      <c r="K219" s="96" t="str">
        <f>IFERROR(INDEX(競技会設定!$J$3:$O$47,MATCH(J219,競技会設定!$M$3:$M$47,0),5),"")</f>
        <v>中部学院大</v>
      </c>
      <c r="L219" s="96" t="str">
        <f>IFERROR(INDEX(競技会設定!$J$3:$N$47,MATCH(K219,競技会設定!$N$3:$N$47,0),2),"")</f>
        <v>492428</v>
      </c>
      <c r="M219" s="15" t="s">
        <v>3841</v>
      </c>
      <c r="N219" s="96" t="str">
        <f t="shared" si="10"/>
        <v>KURIMOTO, Mami</v>
      </c>
      <c r="O219" s="96" t="str">
        <f t="shared" si="11"/>
        <v>00</v>
      </c>
    </row>
    <row r="220" spans="1:15">
      <c r="A220" s="96" t="str">
        <f t="shared" si="9"/>
        <v>502002219</v>
      </c>
      <c r="B220" s="15" t="s">
        <v>5321</v>
      </c>
      <c r="C220" s="15" t="s">
        <v>5322</v>
      </c>
      <c r="D220" s="15" t="s">
        <v>5323</v>
      </c>
      <c r="E220" s="15" t="s">
        <v>6260</v>
      </c>
      <c r="F220" s="15" t="s">
        <v>6104</v>
      </c>
      <c r="G220" s="15" t="s">
        <v>6569</v>
      </c>
      <c r="H220" s="15" t="s">
        <v>4029</v>
      </c>
      <c r="I220" s="15" t="s">
        <v>4039</v>
      </c>
      <c r="J220" s="15" t="s">
        <v>4058</v>
      </c>
      <c r="K220" s="96" t="str">
        <f>IFERROR(INDEX(競技会設定!$J$3:$O$47,MATCH(J220,競技会設定!$M$3:$M$47,0),5),"")</f>
        <v>中部学院大</v>
      </c>
      <c r="L220" s="96" t="str">
        <f>IFERROR(INDEX(競技会設定!$J$3:$N$47,MATCH(K220,競技会設定!$N$3:$N$47,0),2),"")</f>
        <v>492428</v>
      </c>
      <c r="M220" s="15" t="s">
        <v>3859</v>
      </c>
      <c r="N220" s="96" t="str">
        <f t="shared" si="10"/>
        <v>NORITAKE, Momoka</v>
      </c>
      <c r="O220" s="96" t="str">
        <f t="shared" si="11"/>
        <v>02</v>
      </c>
    </row>
    <row r="221" spans="1:15">
      <c r="A221" s="96" t="str">
        <f t="shared" si="9"/>
        <v>502002220</v>
      </c>
      <c r="B221" s="15" t="s">
        <v>5324</v>
      </c>
      <c r="C221" s="15" t="s">
        <v>5325</v>
      </c>
      <c r="D221" s="15" t="s">
        <v>5326</v>
      </c>
      <c r="E221" s="15" t="s">
        <v>6261</v>
      </c>
      <c r="F221" s="15" t="s">
        <v>6262</v>
      </c>
      <c r="G221" s="15" t="s">
        <v>6570</v>
      </c>
      <c r="H221" s="15" t="s">
        <v>4026</v>
      </c>
      <c r="I221" s="15" t="s">
        <v>4039</v>
      </c>
      <c r="J221" s="15" t="s">
        <v>4058</v>
      </c>
      <c r="K221" s="96" t="str">
        <f>IFERROR(INDEX(競技会設定!$J$3:$O$47,MATCH(J221,競技会設定!$M$3:$M$47,0),5),"")</f>
        <v>中部学院大</v>
      </c>
      <c r="L221" s="96" t="str">
        <f>IFERROR(INDEX(競技会設定!$J$3:$N$47,MATCH(K221,競技会設定!$N$3:$N$47,0),2),"")</f>
        <v>492428</v>
      </c>
      <c r="M221" s="15" t="s">
        <v>3855</v>
      </c>
      <c r="N221" s="96" t="str">
        <f t="shared" si="10"/>
        <v>OZEKI, Nayu</v>
      </c>
      <c r="O221" s="96" t="str">
        <f t="shared" si="11"/>
        <v>00</v>
      </c>
    </row>
    <row r="222" spans="1:15">
      <c r="A222" s="96" t="str">
        <f t="shared" si="9"/>
        <v>502002221</v>
      </c>
      <c r="B222" s="15" t="s">
        <v>5327</v>
      </c>
      <c r="C222" s="15" t="s">
        <v>5328</v>
      </c>
      <c r="D222" s="15" t="s">
        <v>5329</v>
      </c>
      <c r="E222" s="15" t="s">
        <v>6263</v>
      </c>
      <c r="F222" s="15" t="s">
        <v>6159</v>
      </c>
      <c r="G222" s="15" t="s">
        <v>6550</v>
      </c>
      <c r="H222" s="15" t="s">
        <v>4026</v>
      </c>
      <c r="I222" s="15" t="s">
        <v>4039</v>
      </c>
      <c r="J222" s="15" t="s">
        <v>4058</v>
      </c>
      <c r="K222" s="96" t="str">
        <f>IFERROR(INDEX(競技会設定!$J$3:$O$47,MATCH(J222,競技会設定!$M$3:$M$47,0),5),"")</f>
        <v>中部学院大</v>
      </c>
      <c r="L222" s="96" t="str">
        <f>IFERROR(INDEX(競技会設定!$J$3:$N$47,MATCH(K222,競技会設定!$N$3:$N$47,0),2),"")</f>
        <v>492428</v>
      </c>
      <c r="M222" s="15" t="s">
        <v>3855</v>
      </c>
      <c r="N222" s="96" t="str">
        <f t="shared" si="10"/>
        <v>TAKAHASHI, Nana</v>
      </c>
      <c r="O222" s="96" t="str">
        <f t="shared" si="11"/>
        <v>01</v>
      </c>
    </row>
    <row r="223" spans="1:15">
      <c r="A223" s="96" t="str">
        <f t="shared" si="9"/>
        <v>502002222</v>
      </c>
      <c r="B223" s="15" t="s">
        <v>5330</v>
      </c>
      <c r="C223" s="15" t="s">
        <v>5331</v>
      </c>
      <c r="D223" s="15" t="s">
        <v>5332</v>
      </c>
      <c r="E223" s="15" t="s">
        <v>6117</v>
      </c>
      <c r="F223" s="15" t="s">
        <v>6114</v>
      </c>
      <c r="G223" s="15" t="s">
        <v>6571</v>
      </c>
      <c r="H223" s="15" t="s">
        <v>4024</v>
      </c>
      <c r="I223" s="15" t="s">
        <v>4039</v>
      </c>
      <c r="J223" s="15" t="s">
        <v>4059</v>
      </c>
      <c r="K223" s="96" t="str">
        <f>IFERROR(INDEX(競技会設定!$J$3:$O$47,MATCH(J223,競技会設定!$M$3:$M$47,0),5),"")</f>
        <v>中部大</v>
      </c>
      <c r="L223" s="96" t="str">
        <f>IFERROR(INDEX(競技会設定!$J$3:$N$47,MATCH(K223,競技会設定!$N$3:$N$47,0),2),"")</f>
        <v>492175</v>
      </c>
      <c r="M223" s="15" t="s">
        <v>3859</v>
      </c>
      <c r="N223" s="96" t="str">
        <f t="shared" si="10"/>
        <v>ADACHI, Saki</v>
      </c>
      <c r="O223" s="96" t="str">
        <f t="shared" si="11"/>
        <v>00</v>
      </c>
    </row>
    <row r="224" spans="1:15">
      <c r="A224" s="96" t="str">
        <f t="shared" si="9"/>
        <v>502002223</v>
      </c>
      <c r="B224" s="15" t="s">
        <v>5333</v>
      </c>
      <c r="C224" s="15" t="s">
        <v>5334</v>
      </c>
      <c r="D224" s="15" t="s">
        <v>5335</v>
      </c>
      <c r="E224" s="15" t="s">
        <v>6115</v>
      </c>
      <c r="F224" s="15" t="s">
        <v>6242</v>
      </c>
      <c r="G224" s="15" t="s">
        <v>3184</v>
      </c>
      <c r="H224" s="15" t="s">
        <v>4024</v>
      </c>
      <c r="I224" s="15" t="s">
        <v>4039</v>
      </c>
      <c r="J224" s="15" t="s">
        <v>4059</v>
      </c>
      <c r="K224" s="96" t="str">
        <f>IFERROR(INDEX(競技会設定!$J$3:$O$47,MATCH(J224,競技会設定!$M$3:$M$47,0),5),"")</f>
        <v>中部大</v>
      </c>
      <c r="L224" s="96" t="str">
        <f>IFERROR(INDEX(競技会設定!$J$3:$N$47,MATCH(K224,競技会設定!$N$3:$N$47,0),2),"")</f>
        <v>492175</v>
      </c>
      <c r="M224" s="15" t="s">
        <v>3859</v>
      </c>
      <c r="N224" s="96" t="str">
        <f t="shared" si="10"/>
        <v>IYODA, Ayumi</v>
      </c>
      <c r="O224" s="96" t="str">
        <f t="shared" si="11"/>
        <v>99</v>
      </c>
    </row>
    <row r="225" spans="1:15">
      <c r="A225" s="96" t="str">
        <f t="shared" si="9"/>
        <v>502002224</v>
      </c>
      <c r="B225" s="15" t="s">
        <v>5336</v>
      </c>
      <c r="C225" s="15" t="s">
        <v>5337</v>
      </c>
      <c r="D225" s="15" t="s">
        <v>5338</v>
      </c>
      <c r="E225" s="15" t="s">
        <v>6113</v>
      </c>
      <c r="F225" s="15" t="s">
        <v>6264</v>
      </c>
      <c r="G225" s="15" t="s">
        <v>6517</v>
      </c>
      <c r="H225" s="15" t="s">
        <v>4026</v>
      </c>
      <c r="I225" s="15" t="s">
        <v>4039</v>
      </c>
      <c r="J225" s="15" t="s">
        <v>4059</v>
      </c>
      <c r="K225" s="96" t="str">
        <f>IFERROR(INDEX(競技会設定!$J$3:$O$47,MATCH(J225,競技会設定!$M$3:$M$47,0),5),"")</f>
        <v>中部大</v>
      </c>
      <c r="L225" s="96" t="str">
        <f>IFERROR(INDEX(競技会設定!$J$3:$N$47,MATCH(K225,競技会設定!$N$3:$N$47,0),2),"")</f>
        <v>492175</v>
      </c>
      <c r="M225" s="15" t="s">
        <v>3855</v>
      </c>
      <c r="N225" s="96" t="str">
        <f t="shared" si="10"/>
        <v>NAKAMURA, Rino</v>
      </c>
      <c r="O225" s="96" t="str">
        <f t="shared" si="11"/>
        <v>00</v>
      </c>
    </row>
    <row r="226" spans="1:15">
      <c r="A226" s="96" t="str">
        <f t="shared" si="9"/>
        <v>502002225</v>
      </c>
      <c r="B226" s="15" t="s">
        <v>5339</v>
      </c>
      <c r="C226" s="15" t="s">
        <v>5340</v>
      </c>
      <c r="D226" s="15" t="s">
        <v>5341</v>
      </c>
      <c r="E226" s="15" t="s">
        <v>6113</v>
      </c>
      <c r="F226" s="15" t="s">
        <v>6128</v>
      </c>
      <c r="G226" s="15" t="s">
        <v>6572</v>
      </c>
      <c r="H226" s="15" t="s">
        <v>4024</v>
      </c>
      <c r="I226" s="15" t="s">
        <v>4039</v>
      </c>
      <c r="J226" s="15" t="s">
        <v>4060</v>
      </c>
      <c r="K226" s="96" t="str">
        <f>IFERROR(INDEX(競技会設定!$J$3:$O$47,MATCH(J226,競技会設定!$M$3:$M$47,0),5),"")</f>
        <v>南山大</v>
      </c>
      <c r="L226" s="96" t="str">
        <f>IFERROR(INDEX(競技会設定!$J$3:$N$47,MATCH(K226,競技会設定!$N$3:$N$47,0),2),"")</f>
        <v>492182</v>
      </c>
      <c r="M226" s="15" t="s">
        <v>3859</v>
      </c>
      <c r="N226" s="96" t="str">
        <f t="shared" si="10"/>
        <v>NAKAMURA, Erika</v>
      </c>
      <c r="O226" s="96" t="str">
        <f t="shared" si="11"/>
        <v>99</v>
      </c>
    </row>
    <row r="227" spans="1:15">
      <c r="A227" s="96" t="str">
        <f t="shared" si="9"/>
        <v>502002226</v>
      </c>
      <c r="B227" s="15" t="s">
        <v>5342</v>
      </c>
      <c r="C227" s="15" t="s">
        <v>5343</v>
      </c>
      <c r="D227" s="15" t="s">
        <v>5344</v>
      </c>
      <c r="E227" s="15" t="s">
        <v>6113</v>
      </c>
      <c r="F227" s="15" t="s">
        <v>4544</v>
      </c>
      <c r="G227" s="15" t="s">
        <v>3521</v>
      </c>
      <c r="H227" s="15" t="s">
        <v>4026</v>
      </c>
      <c r="I227" s="15" t="s">
        <v>4039</v>
      </c>
      <c r="J227" s="15" t="s">
        <v>4060</v>
      </c>
      <c r="K227" s="96" t="str">
        <f>IFERROR(INDEX(競技会設定!$J$3:$O$47,MATCH(J227,競技会設定!$M$3:$M$47,0),5),"")</f>
        <v>南山大</v>
      </c>
      <c r="L227" s="96" t="str">
        <f>IFERROR(INDEX(競技会設定!$J$3:$N$47,MATCH(K227,競技会設定!$N$3:$N$47,0),2),"")</f>
        <v>492182</v>
      </c>
      <c r="M227" s="15" t="s">
        <v>3859</v>
      </c>
      <c r="N227" s="96" t="str">
        <f t="shared" si="10"/>
        <v>NAKAMURA, Yuri</v>
      </c>
      <c r="O227" s="96" t="str">
        <f t="shared" si="11"/>
        <v>00</v>
      </c>
    </row>
    <row r="228" spans="1:15">
      <c r="A228" s="96" t="str">
        <f t="shared" si="9"/>
        <v>502002227</v>
      </c>
      <c r="B228" s="15" t="s">
        <v>5345</v>
      </c>
      <c r="C228" s="15" t="s">
        <v>5346</v>
      </c>
      <c r="D228" s="15" t="s">
        <v>5347</v>
      </c>
      <c r="E228" s="15" t="s">
        <v>6265</v>
      </c>
      <c r="F228" s="15" t="s">
        <v>6266</v>
      </c>
      <c r="G228" s="15" t="s">
        <v>3653</v>
      </c>
      <c r="H228" s="15" t="s">
        <v>4025</v>
      </c>
      <c r="I228" s="15" t="s">
        <v>4039</v>
      </c>
      <c r="J228" s="15" t="s">
        <v>4060</v>
      </c>
      <c r="K228" s="96" t="str">
        <f>IFERROR(INDEX(競技会設定!$J$3:$O$47,MATCH(J228,競技会設定!$M$3:$M$47,0),5),"")</f>
        <v>南山大</v>
      </c>
      <c r="L228" s="96" t="str">
        <f>IFERROR(INDEX(競技会設定!$J$3:$N$47,MATCH(K228,競技会設定!$N$3:$N$47,0),2),"")</f>
        <v>492182</v>
      </c>
      <c r="M228" s="15" t="s">
        <v>3859</v>
      </c>
      <c r="N228" s="96" t="str">
        <f t="shared" si="10"/>
        <v>IZUKA, Hisane</v>
      </c>
      <c r="O228" s="96" t="str">
        <f t="shared" si="11"/>
        <v>99</v>
      </c>
    </row>
    <row r="229" spans="1:15">
      <c r="A229" s="96" t="str">
        <f t="shared" si="9"/>
        <v>502002228</v>
      </c>
      <c r="B229" s="15" t="s">
        <v>5348</v>
      </c>
      <c r="C229" s="15" t="s">
        <v>5349</v>
      </c>
      <c r="D229" s="15" t="s">
        <v>5350</v>
      </c>
      <c r="E229" s="15" t="s">
        <v>3056</v>
      </c>
      <c r="F229" s="15" t="s">
        <v>6267</v>
      </c>
      <c r="G229" s="15" t="s">
        <v>6526</v>
      </c>
      <c r="H229" s="15" t="s">
        <v>4025</v>
      </c>
      <c r="I229" s="15" t="s">
        <v>4039</v>
      </c>
      <c r="J229" s="15" t="s">
        <v>4060</v>
      </c>
      <c r="K229" s="96" t="str">
        <f>IFERROR(INDEX(競技会設定!$J$3:$O$47,MATCH(J229,競技会設定!$M$3:$M$47,0),5),"")</f>
        <v>南山大</v>
      </c>
      <c r="L229" s="96" t="str">
        <f>IFERROR(INDEX(競技会設定!$J$3:$N$47,MATCH(K229,競技会設定!$N$3:$N$47,0),2),"")</f>
        <v>492182</v>
      </c>
      <c r="M229" s="15" t="s">
        <v>3859</v>
      </c>
      <c r="N229" s="96" t="str">
        <f t="shared" si="10"/>
        <v>YAMADA, Momoko</v>
      </c>
      <c r="O229" s="96" t="str">
        <f t="shared" si="11"/>
        <v>98</v>
      </c>
    </row>
    <row r="230" spans="1:15">
      <c r="A230" s="96" t="str">
        <f t="shared" si="9"/>
        <v>502002229</v>
      </c>
      <c r="B230" s="15" t="s">
        <v>5351</v>
      </c>
      <c r="C230" s="15" t="s">
        <v>5352</v>
      </c>
      <c r="D230" s="15" t="s">
        <v>5353</v>
      </c>
      <c r="E230" s="15" t="s">
        <v>3050</v>
      </c>
      <c r="F230" s="15" t="s">
        <v>5972</v>
      </c>
      <c r="G230" s="15" t="s">
        <v>6573</v>
      </c>
      <c r="H230" s="15" t="s">
        <v>4025</v>
      </c>
      <c r="I230" s="15" t="s">
        <v>4039</v>
      </c>
      <c r="J230" s="15" t="s">
        <v>4060</v>
      </c>
      <c r="K230" s="96" t="str">
        <f>IFERROR(INDEX(競技会設定!$J$3:$O$47,MATCH(J230,競技会設定!$M$3:$M$47,0),5),"")</f>
        <v>南山大</v>
      </c>
      <c r="L230" s="96" t="str">
        <f>IFERROR(INDEX(競技会設定!$J$3:$N$47,MATCH(K230,競技会設定!$N$3:$N$47,0),2),"")</f>
        <v>492182</v>
      </c>
      <c r="M230" s="15" t="s">
        <v>3859</v>
      </c>
      <c r="N230" s="96" t="str">
        <f t="shared" si="10"/>
        <v>YAMAMOTO, Ayaka</v>
      </c>
      <c r="O230" s="96" t="str">
        <f t="shared" si="11"/>
        <v>98</v>
      </c>
    </row>
    <row r="231" spans="1:15">
      <c r="A231" s="96" t="str">
        <f t="shared" si="9"/>
        <v>502002230</v>
      </c>
      <c r="B231" s="15" t="s">
        <v>5354</v>
      </c>
      <c r="C231" s="15" t="s">
        <v>5355</v>
      </c>
      <c r="D231" s="15" t="s">
        <v>5356</v>
      </c>
      <c r="E231" s="15" t="s">
        <v>6268</v>
      </c>
      <c r="F231" s="15" t="s">
        <v>6269</v>
      </c>
      <c r="G231" s="15" t="s">
        <v>6574</v>
      </c>
      <c r="H231" s="15" t="s">
        <v>4025</v>
      </c>
      <c r="I231" s="15" t="s">
        <v>4039</v>
      </c>
      <c r="J231" s="15" t="s">
        <v>4060</v>
      </c>
      <c r="K231" s="96" t="str">
        <f>IFERROR(INDEX(競技会設定!$J$3:$O$47,MATCH(J231,競技会設定!$M$3:$M$47,0),5),"")</f>
        <v>南山大</v>
      </c>
      <c r="L231" s="96" t="str">
        <f>IFERROR(INDEX(競技会設定!$J$3:$N$47,MATCH(K231,競技会設定!$N$3:$N$47,0),2),"")</f>
        <v>492182</v>
      </c>
      <c r="M231" s="15" t="s">
        <v>3859</v>
      </c>
      <c r="N231" s="96" t="str">
        <f t="shared" si="10"/>
        <v>KUME, Hinako</v>
      </c>
      <c r="O231" s="96" t="str">
        <f t="shared" si="11"/>
        <v>97</v>
      </c>
    </row>
    <row r="232" spans="1:15">
      <c r="A232" s="96" t="str">
        <f t="shared" si="9"/>
        <v>502002231</v>
      </c>
      <c r="B232" s="15" t="s">
        <v>5357</v>
      </c>
      <c r="C232" s="15" t="s">
        <v>5358</v>
      </c>
      <c r="D232" s="15" t="s">
        <v>5359</v>
      </c>
      <c r="E232" s="15" t="s">
        <v>6270</v>
      </c>
      <c r="F232" s="15" t="s">
        <v>6092</v>
      </c>
      <c r="G232" s="15" t="s">
        <v>4634</v>
      </c>
      <c r="H232" s="15">
        <v>4</v>
      </c>
      <c r="I232" s="15" t="s">
        <v>4039</v>
      </c>
      <c r="J232" s="15" t="s">
        <v>4061</v>
      </c>
      <c r="K232" s="96" t="str">
        <f>IFERROR(INDEX(競技会設定!$J$3:$O$47,MATCH(J232,競技会設定!$M$3:$M$47,0),5),"")</f>
        <v>日本福祉大</v>
      </c>
      <c r="L232" s="96">
        <f>IFERROR(INDEX(競技会設定!$J$3:$N$47,MATCH(K232,競技会設定!$N$3:$N$47,0),2),"")</f>
        <v>492183</v>
      </c>
      <c r="M232" s="15" t="s">
        <v>3859</v>
      </c>
      <c r="N232" s="96" t="str">
        <f t="shared" si="10"/>
        <v>IUCHI, Tsukino</v>
      </c>
      <c r="O232" s="96" t="str">
        <f t="shared" si="11"/>
        <v>99</v>
      </c>
    </row>
    <row r="233" spans="1:15">
      <c r="A233" s="96" t="str">
        <f t="shared" si="9"/>
        <v>502002232</v>
      </c>
      <c r="B233" s="15" t="s">
        <v>5360</v>
      </c>
      <c r="C233" s="15" t="s">
        <v>5361</v>
      </c>
      <c r="D233" s="15" t="s">
        <v>5362</v>
      </c>
      <c r="E233" s="15" t="s">
        <v>3045</v>
      </c>
      <c r="F233" s="15" t="s">
        <v>3025</v>
      </c>
      <c r="G233" s="15" t="s">
        <v>3230</v>
      </c>
      <c r="H233" s="15">
        <v>4</v>
      </c>
      <c r="I233" s="15" t="s">
        <v>4039</v>
      </c>
      <c r="J233" s="15" t="s">
        <v>4061</v>
      </c>
      <c r="K233" s="96" t="str">
        <f>IFERROR(INDEX(競技会設定!$J$3:$O$47,MATCH(J233,競技会設定!$M$3:$M$47,0),5),"")</f>
        <v>日本福祉大</v>
      </c>
      <c r="L233" s="96">
        <f>IFERROR(INDEX(競技会設定!$J$3:$N$47,MATCH(K233,競技会設定!$N$3:$N$47,0),2),"")</f>
        <v>492183</v>
      </c>
      <c r="M233" s="15" t="s">
        <v>3859</v>
      </c>
      <c r="N233" s="96" t="str">
        <f t="shared" si="10"/>
        <v>HAYASHI, Kazuki</v>
      </c>
      <c r="O233" s="96" t="str">
        <f t="shared" si="11"/>
        <v>98</v>
      </c>
    </row>
    <row r="234" spans="1:15">
      <c r="A234" s="96" t="str">
        <f t="shared" si="9"/>
        <v>502002233</v>
      </c>
      <c r="B234" s="15" t="s">
        <v>5363</v>
      </c>
      <c r="C234" s="15" t="s">
        <v>5364</v>
      </c>
      <c r="D234" s="15" t="s">
        <v>5365</v>
      </c>
      <c r="E234" s="15" t="s">
        <v>6271</v>
      </c>
      <c r="F234" s="15" t="s">
        <v>5967</v>
      </c>
      <c r="G234" s="15" t="s">
        <v>3184</v>
      </c>
      <c r="H234" s="15">
        <v>3</v>
      </c>
      <c r="I234" s="15" t="s">
        <v>4039</v>
      </c>
      <c r="J234" s="15" t="s">
        <v>4061</v>
      </c>
      <c r="K234" s="96" t="str">
        <f>IFERROR(INDEX(競技会設定!$J$3:$O$47,MATCH(J234,競技会設定!$M$3:$M$47,0),5),"")</f>
        <v>日本福祉大</v>
      </c>
      <c r="L234" s="96">
        <f>IFERROR(INDEX(競技会設定!$J$3:$N$47,MATCH(K234,競技会設定!$N$3:$N$47,0),2),"")</f>
        <v>492183</v>
      </c>
      <c r="M234" s="15" t="s">
        <v>3859</v>
      </c>
      <c r="N234" s="96" t="str">
        <f t="shared" si="10"/>
        <v>OSAKA, Mizuki</v>
      </c>
      <c r="O234" s="96" t="str">
        <f t="shared" si="11"/>
        <v>99</v>
      </c>
    </row>
    <row r="235" spans="1:15">
      <c r="A235" s="96" t="str">
        <f t="shared" si="9"/>
        <v>502002234</v>
      </c>
      <c r="B235" s="15" t="s">
        <v>5366</v>
      </c>
      <c r="C235" s="15" t="s">
        <v>5367</v>
      </c>
      <c r="D235" s="15" t="s">
        <v>5368</v>
      </c>
      <c r="E235" s="15" t="s">
        <v>5994</v>
      </c>
      <c r="F235" s="15" t="s">
        <v>6013</v>
      </c>
      <c r="G235" s="15" t="s">
        <v>6575</v>
      </c>
      <c r="H235" s="15">
        <v>3</v>
      </c>
      <c r="I235" s="15" t="s">
        <v>4039</v>
      </c>
      <c r="J235" s="15" t="s">
        <v>4061</v>
      </c>
      <c r="K235" s="96" t="str">
        <f>IFERROR(INDEX(競技会設定!$J$3:$O$47,MATCH(J235,競技会設定!$M$3:$M$47,0),5),"")</f>
        <v>日本福祉大</v>
      </c>
      <c r="L235" s="96">
        <f>IFERROR(INDEX(競技会設定!$J$3:$N$47,MATCH(K235,競技会設定!$N$3:$N$47,0),2),"")</f>
        <v>492183</v>
      </c>
      <c r="M235" s="15" t="s">
        <v>3859</v>
      </c>
      <c r="N235" s="96" t="str">
        <f t="shared" si="10"/>
        <v>HORITA, Akari</v>
      </c>
      <c r="O235" s="96" t="str">
        <f t="shared" si="11"/>
        <v>00</v>
      </c>
    </row>
    <row r="236" spans="1:15">
      <c r="A236" s="96" t="str">
        <f t="shared" si="9"/>
        <v>502002235</v>
      </c>
      <c r="B236" s="15" t="s">
        <v>5369</v>
      </c>
      <c r="C236" s="15" t="s">
        <v>5370</v>
      </c>
      <c r="D236" s="15" t="s">
        <v>5371</v>
      </c>
      <c r="E236" s="15" t="s">
        <v>6272</v>
      </c>
      <c r="F236" s="15" t="s">
        <v>6273</v>
      </c>
      <c r="G236" s="15" t="s">
        <v>6562</v>
      </c>
      <c r="H236" s="15">
        <v>2</v>
      </c>
      <c r="I236" s="15" t="s">
        <v>4039</v>
      </c>
      <c r="J236" s="15" t="s">
        <v>4061</v>
      </c>
      <c r="K236" s="96" t="str">
        <f>IFERROR(INDEX(競技会設定!$J$3:$O$47,MATCH(J236,競技会設定!$M$3:$M$47,0),5),"")</f>
        <v>日本福祉大</v>
      </c>
      <c r="L236" s="96">
        <f>IFERROR(INDEX(競技会設定!$J$3:$N$47,MATCH(K236,競技会設定!$N$3:$N$47,0),2),"")</f>
        <v>492183</v>
      </c>
      <c r="M236" s="15" t="s">
        <v>3859</v>
      </c>
      <c r="N236" s="96" t="str">
        <f t="shared" si="10"/>
        <v>UENO, Moeka</v>
      </c>
      <c r="O236" s="96" t="str">
        <f t="shared" si="11"/>
        <v>00</v>
      </c>
    </row>
    <row r="237" spans="1:15">
      <c r="A237" s="96" t="str">
        <f t="shared" si="9"/>
        <v>502002236</v>
      </c>
      <c r="B237" s="15" t="s">
        <v>5372</v>
      </c>
      <c r="C237" s="15" t="s">
        <v>5373</v>
      </c>
      <c r="D237" s="15" t="s">
        <v>5374</v>
      </c>
      <c r="E237" s="15" t="s">
        <v>6192</v>
      </c>
      <c r="F237" s="15" t="s">
        <v>6094</v>
      </c>
      <c r="G237" s="15" t="s">
        <v>6576</v>
      </c>
      <c r="H237" s="15">
        <v>2</v>
      </c>
      <c r="I237" s="15" t="s">
        <v>4039</v>
      </c>
      <c r="J237" s="15" t="s">
        <v>4061</v>
      </c>
      <c r="K237" s="96" t="str">
        <f>IFERROR(INDEX(競技会設定!$J$3:$O$47,MATCH(J237,競技会設定!$M$3:$M$47,0),5),"")</f>
        <v>日本福祉大</v>
      </c>
      <c r="L237" s="96">
        <f>IFERROR(INDEX(競技会設定!$J$3:$N$47,MATCH(K237,競技会設定!$N$3:$N$47,0),2),"")</f>
        <v>492183</v>
      </c>
      <c r="M237" s="15" t="s">
        <v>3859</v>
      </c>
      <c r="N237" s="96" t="str">
        <f t="shared" si="10"/>
        <v>KASAI, Mayu</v>
      </c>
      <c r="O237" s="96" t="str">
        <f t="shared" si="11"/>
        <v>00</v>
      </c>
    </row>
    <row r="238" spans="1:15">
      <c r="A238" s="96" t="str">
        <f t="shared" si="9"/>
        <v>502002237</v>
      </c>
      <c r="B238" s="15" t="s">
        <v>5375</v>
      </c>
      <c r="C238" s="15" t="s">
        <v>5376</v>
      </c>
      <c r="D238" s="15" t="s">
        <v>5377</v>
      </c>
      <c r="E238" s="15" t="s">
        <v>6274</v>
      </c>
      <c r="F238" s="15" t="s">
        <v>4544</v>
      </c>
      <c r="G238" s="15" t="s">
        <v>6577</v>
      </c>
      <c r="H238" s="15">
        <v>2</v>
      </c>
      <c r="I238" s="15" t="s">
        <v>4039</v>
      </c>
      <c r="J238" s="15" t="s">
        <v>4061</v>
      </c>
      <c r="K238" s="96" t="str">
        <f>IFERROR(INDEX(競技会設定!$J$3:$O$47,MATCH(J238,競技会設定!$M$3:$M$47,0),5),"")</f>
        <v>日本福祉大</v>
      </c>
      <c r="L238" s="96">
        <f>IFERROR(INDEX(競技会設定!$J$3:$N$47,MATCH(K238,競技会設定!$N$3:$N$47,0),2),"")</f>
        <v>492183</v>
      </c>
      <c r="M238" s="15" t="s">
        <v>3861</v>
      </c>
      <c r="N238" s="96" t="str">
        <f t="shared" si="10"/>
        <v>CHAI, Yuri</v>
      </c>
      <c r="O238" s="96" t="str">
        <f t="shared" si="11"/>
        <v>00</v>
      </c>
    </row>
    <row r="239" spans="1:15">
      <c r="A239" s="96" t="str">
        <f t="shared" si="9"/>
        <v>502002238</v>
      </c>
      <c r="B239" s="15" t="s">
        <v>5378</v>
      </c>
      <c r="C239" s="15" t="s">
        <v>5379</v>
      </c>
      <c r="D239" s="15" t="s">
        <v>5380</v>
      </c>
      <c r="E239" s="15" t="s">
        <v>6275</v>
      </c>
      <c r="F239" s="15" t="s">
        <v>6276</v>
      </c>
      <c r="G239" s="15" t="s">
        <v>3418</v>
      </c>
      <c r="H239" s="15">
        <v>2</v>
      </c>
      <c r="I239" s="15" t="s">
        <v>4039</v>
      </c>
      <c r="J239" s="15" t="s">
        <v>4061</v>
      </c>
      <c r="K239" s="96" t="str">
        <f>IFERROR(INDEX(競技会設定!$J$3:$O$47,MATCH(J239,競技会設定!$M$3:$M$47,0),5),"")</f>
        <v>日本福祉大</v>
      </c>
      <c r="L239" s="96">
        <f>IFERROR(INDEX(競技会設定!$J$3:$N$47,MATCH(K239,競技会設定!$N$3:$N$47,0),2),"")</f>
        <v>492183</v>
      </c>
      <c r="M239" s="15" t="s">
        <v>3859</v>
      </c>
      <c r="N239" s="96" t="str">
        <f t="shared" si="10"/>
        <v>YASUE, Kino</v>
      </c>
      <c r="O239" s="96" t="str">
        <f t="shared" si="11"/>
        <v>00</v>
      </c>
    </row>
    <row r="240" spans="1:15">
      <c r="A240" s="96" t="str">
        <f t="shared" si="9"/>
        <v>502002239</v>
      </c>
      <c r="B240" s="15" t="s">
        <v>5381</v>
      </c>
      <c r="C240" s="15" t="s">
        <v>5382</v>
      </c>
      <c r="D240" s="15" t="s">
        <v>5383</v>
      </c>
      <c r="E240" s="15" t="s">
        <v>6277</v>
      </c>
      <c r="F240" s="15" t="s">
        <v>6013</v>
      </c>
      <c r="G240" s="15" t="s">
        <v>6578</v>
      </c>
      <c r="H240" s="15">
        <v>1</v>
      </c>
      <c r="I240" s="15" t="s">
        <v>4039</v>
      </c>
      <c r="J240" s="15" t="s">
        <v>4061</v>
      </c>
      <c r="K240" s="96" t="str">
        <f>IFERROR(INDEX(競技会設定!$J$3:$O$47,MATCH(J240,競技会設定!$M$3:$M$47,0),5),"")</f>
        <v>日本福祉大</v>
      </c>
      <c r="L240" s="96">
        <f>IFERROR(INDEX(競技会設定!$J$3:$N$47,MATCH(K240,競技会設定!$N$3:$N$47,0),2),"")</f>
        <v>492183</v>
      </c>
      <c r="M240" s="15" t="s">
        <v>3855</v>
      </c>
      <c r="N240" s="96" t="str">
        <f t="shared" si="10"/>
        <v>HO, Akari</v>
      </c>
      <c r="O240" s="96" t="str">
        <f t="shared" si="11"/>
        <v>01</v>
      </c>
    </row>
    <row r="241" spans="1:15">
      <c r="A241" s="96" t="str">
        <f t="shared" si="9"/>
        <v>502002240</v>
      </c>
      <c r="B241" s="15" t="s">
        <v>5384</v>
      </c>
      <c r="C241" s="15" t="s">
        <v>5385</v>
      </c>
      <c r="D241" s="15" t="s">
        <v>5386</v>
      </c>
      <c r="E241" s="15" t="s">
        <v>6113</v>
      </c>
      <c r="F241" s="15" t="s">
        <v>5976</v>
      </c>
      <c r="G241" s="15" t="s">
        <v>6579</v>
      </c>
      <c r="H241" s="15">
        <v>1</v>
      </c>
      <c r="I241" s="15" t="s">
        <v>4039</v>
      </c>
      <c r="J241" s="15" t="s">
        <v>4061</v>
      </c>
      <c r="K241" s="96" t="str">
        <f>IFERROR(INDEX(競技会設定!$J$3:$O$47,MATCH(J241,競技会設定!$M$3:$M$47,0),5),"")</f>
        <v>日本福祉大</v>
      </c>
      <c r="L241" s="96">
        <f>IFERROR(INDEX(競技会設定!$J$3:$N$47,MATCH(K241,競技会設定!$N$3:$N$47,0),2),"")</f>
        <v>492183</v>
      </c>
      <c r="M241" s="15" t="s">
        <v>3859</v>
      </c>
      <c r="N241" s="96" t="str">
        <f t="shared" si="10"/>
        <v>NAKAMURA, Mitsuki</v>
      </c>
      <c r="O241" s="96" t="str">
        <f t="shared" si="11"/>
        <v>02</v>
      </c>
    </row>
    <row r="242" spans="1:15">
      <c r="A242" s="96" t="str">
        <f t="shared" si="9"/>
        <v>502002241</v>
      </c>
      <c r="B242" s="15" t="s">
        <v>5387</v>
      </c>
      <c r="C242" s="15" t="s">
        <v>5388</v>
      </c>
      <c r="D242" s="15" t="s">
        <v>5389</v>
      </c>
      <c r="E242" s="15" t="s">
        <v>6278</v>
      </c>
      <c r="F242" s="15" t="s">
        <v>6227</v>
      </c>
      <c r="G242" s="15" t="s">
        <v>6580</v>
      </c>
      <c r="H242" s="15" t="s">
        <v>4035</v>
      </c>
      <c r="I242" s="15" t="s">
        <v>4039</v>
      </c>
      <c r="J242" s="15" t="s">
        <v>4062</v>
      </c>
      <c r="K242" s="96" t="str">
        <f>IFERROR(INDEX(競技会設定!$J$3:$O$47,MATCH(J242,競技会設定!$M$3:$M$47,0),5),"")</f>
        <v>浜松医科大</v>
      </c>
      <c r="L242" s="96" t="str">
        <f>IFERROR(INDEX(競技会設定!$J$3:$N$47,MATCH(K242,競技会設定!$N$3:$N$47,0),2),"")</f>
        <v>490079</v>
      </c>
      <c r="M242" s="15" t="s">
        <v>3857</v>
      </c>
      <c r="N242" s="96" t="str">
        <f t="shared" si="10"/>
        <v>NAKANE, Chiho</v>
      </c>
      <c r="O242" s="96" t="str">
        <f t="shared" si="11"/>
        <v>96</v>
      </c>
    </row>
    <row r="243" spans="1:15">
      <c r="A243" s="96" t="str">
        <f t="shared" si="9"/>
        <v>502002242</v>
      </c>
      <c r="B243" s="15" t="s">
        <v>5390</v>
      </c>
      <c r="C243" s="15" t="s">
        <v>5391</v>
      </c>
      <c r="D243" s="15" t="s">
        <v>5392</v>
      </c>
      <c r="E243" s="15" t="s">
        <v>6279</v>
      </c>
      <c r="F243" s="15" t="s">
        <v>6280</v>
      </c>
      <c r="G243" s="15" t="s">
        <v>6581</v>
      </c>
      <c r="H243" s="15" t="s">
        <v>4035</v>
      </c>
      <c r="I243" s="15" t="s">
        <v>4039</v>
      </c>
      <c r="J243" s="15" t="s">
        <v>4062</v>
      </c>
      <c r="K243" s="96" t="str">
        <f>IFERROR(INDEX(競技会設定!$J$3:$O$47,MATCH(J243,競技会設定!$M$3:$M$47,0),5),"")</f>
        <v>浜松医科大</v>
      </c>
      <c r="L243" s="96" t="str">
        <f>IFERROR(INDEX(競技会設定!$J$3:$N$47,MATCH(K243,競技会設定!$N$3:$N$47,0),2),"")</f>
        <v>490079</v>
      </c>
      <c r="M243" s="15" t="s">
        <v>3857</v>
      </c>
      <c r="N243" s="96" t="str">
        <f t="shared" si="10"/>
        <v>MIZUSHIMA, Megumi</v>
      </c>
      <c r="O243" s="96" t="str">
        <f t="shared" si="11"/>
        <v>96</v>
      </c>
    </row>
    <row r="244" spans="1:15">
      <c r="A244" s="96" t="str">
        <f t="shared" si="9"/>
        <v>502002243</v>
      </c>
      <c r="B244" s="15" t="s">
        <v>5393</v>
      </c>
      <c r="C244" s="15" t="s">
        <v>5394</v>
      </c>
      <c r="D244" s="15" t="s">
        <v>5395</v>
      </c>
      <c r="E244" s="15" t="s">
        <v>6281</v>
      </c>
      <c r="F244" s="15" t="s">
        <v>6282</v>
      </c>
      <c r="G244" s="15" t="s">
        <v>6582</v>
      </c>
      <c r="H244" s="15" t="s">
        <v>4024</v>
      </c>
      <c r="I244" s="15" t="s">
        <v>4039</v>
      </c>
      <c r="J244" s="15" t="s">
        <v>4062</v>
      </c>
      <c r="K244" s="96" t="str">
        <f>IFERROR(INDEX(競技会設定!$J$3:$O$47,MATCH(J244,競技会設定!$M$3:$M$47,0),5),"")</f>
        <v>浜松医科大</v>
      </c>
      <c r="L244" s="96" t="str">
        <f>IFERROR(INDEX(競技会設定!$J$3:$N$47,MATCH(K244,競技会設定!$N$3:$N$47,0),2),"")</f>
        <v>490079</v>
      </c>
      <c r="M244" s="15" t="s">
        <v>3857</v>
      </c>
      <c r="N244" s="96" t="str">
        <f t="shared" si="10"/>
        <v>KONO, Sachika</v>
      </c>
      <c r="O244" s="96" t="str">
        <f t="shared" si="11"/>
        <v>00</v>
      </c>
    </row>
    <row r="245" spans="1:15">
      <c r="A245" s="96" t="str">
        <f t="shared" si="9"/>
        <v>502002244</v>
      </c>
      <c r="B245" s="15" t="s">
        <v>5396</v>
      </c>
      <c r="C245" s="15" t="s">
        <v>5397</v>
      </c>
      <c r="D245" s="15" t="s">
        <v>5398</v>
      </c>
      <c r="E245" s="15" t="s">
        <v>6283</v>
      </c>
      <c r="F245" s="15" t="s">
        <v>5974</v>
      </c>
      <c r="G245" s="15" t="s">
        <v>4588</v>
      </c>
      <c r="H245" s="15" t="s">
        <v>4024</v>
      </c>
      <c r="I245" s="15" t="s">
        <v>4039</v>
      </c>
      <c r="J245" s="15" t="s">
        <v>4062</v>
      </c>
      <c r="K245" s="96" t="str">
        <f>IFERROR(INDEX(競技会設定!$J$3:$O$47,MATCH(J245,競技会設定!$M$3:$M$47,0),5),"")</f>
        <v>浜松医科大</v>
      </c>
      <c r="L245" s="96" t="str">
        <f>IFERROR(INDEX(競技会設定!$J$3:$N$47,MATCH(K245,競技会設定!$N$3:$N$47,0),2),"")</f>
        <v>490079</v>
      </c>
      <c r="M245" s="15" t="s">
        <v>3857</v>
      </c>
      <c r="N245" s="96" t="str">
        <f t="shared" si="10"/>
        <v>WATASE, Kanon</v>
      </c>
      <c r="O245" s="96" t="str">
        <f t="shared" si="11"/>
        <v>00</v>
      </c>
    </row>
    <row r="246" spans="1:15">
      <c r="A246" s="96" t="str">
        <f t="shared" si="9"/>
        <v>502002245</v>
      </c>
      <c r="B246" s="15" t="s">
        <v>5399</v>
      </c>
      <c r="C246" s="15" t="s">
        <v>5400</v>
      </c>
      <c r="D246" s="15" t="s">
        <v>5401</v>
      </c>
      <c r="E246" s="15" t="s">
        <v>6284</v>
      </c>
      <c r="F246" s="15" t="s">
        <v>6002</v>
      </c>
      <c r="G246" s="15" t="s">
        <v>3135</v>
      </c>
      <c r="H246" s="15" t="s">
        <v>4026</v>
      </c>
      <c r="I246" s="15" t="s">
        <v>4039</v>
      </c>
      <c r="J246" s="15" t="s">
        <v>4062</v>
      </c>
      <c r="K246" s="96" t="str">
        <f>IFERROR(INDEX(競技会設定!$J$3:$O$47,MATCH(J246,競技会設定!$M$3:$M$47,0),5),"")</f>
        <v>浜松医科大</v>
      </c>
      <c r="L246" s="96" t="str">
        <f>IFERROR(INDEX(競技会設定!$J$3:$N$47,MATCH(K246,競技会設定!$N$3:$N$47,0),2),"")</f>
        <v>490079</v>
      </c>
      <c r="M246" s="15" t="s">
        <v>3857</v>
      </c>
      <c r="N246" s="96" t="str">
        <f t="shared" si="10"/>
        <v>FUJITANI, Kao</v>
      </c>
      <c r="O246" s="96" t="str">
        <f t="shared" si="11"/>
        <v>01</v>
      </c>
    </row>
    <row r="247" spans="1:15">
      <c r="A247" s="96" t="str">
        <f t="shared" si="9"/>
        <v>502002246</v>
      </c>
      <c r="B247" s="15" t="s">
        <v>5402</v>
      </c>
      <c r="C247" s="15" t="s">
        <v>5403</v>
      </c>
      <c r="D247" s="15" t="s">
        <v>5404</v>
      </c>
      <c r="E247" s="15" t="s">
        <v>6285</v>
      </c>
      <c r="F247" s="15" t="s">
        <v>6255</v>
      </c>
      <c r="G247" s="15" t="s">
        <v>6583</v>
      </c>
      <c r="H247" s="15" t="s">
        <v>4026</v>
      </c>
      <c r="I247" s="15" t="s">
        <v>4039</v>
      </c>
      <c r="J247" s="15" t="s">
        <v>4062</v>
      </c>
      <c r="K247" s="96" t="str">
        <f>IFERROR(INDEX(競技会設定!$J$3:$O$47,MATCH(J247,競技会設定!$M$3:$M$47,0),5),"")</f>
        <v>浜松医科大</v>
      </c>
      <c r="L247" s="96" t="str">
        <f>IFERROR(INDEX(競技会設定!$J$3:$N$47,MATCH(K247,競技会設定!$N$3:$N$47,0),2),"")</f>
        <v>490079</v>
      </c>
      <c r="M247" s="15" t="s">
        <v>3857</v>
      </c>
      <c r="N247" s="96" t="str">
        <f t="shared" si="10"/>
        <v>MIZUSHINA, Ayako</v>
      </c>
      <c r="O247" s="96" t="str">
        <f t="shared" si="11"/>
        <v>01</v>
      </c>
    </row>
    <row r="248" spans="1:15">
      <c r="A248" s="96" t="str">
        <f t="shared" si="9"/>
        <v>502002247</v>
      </c>
      <c r="B248" s="15" t="s">
        <v>5405</v>
      </c>
      <c r="C248" s="15" t="s">
        <v>5406</v>
      </c>
      <c r="D248" s="15" t="s">
        <v>5407</v>
      </c>
      <c r="E248" s="15" t="s">
        <v>3015</v>
      </c>
      <c r="F248" s="15" t="s">
        <v>6286</v>
      </c>
      <c r="G248" s="15" t="s">
        <v>6584</v>
      </c>
      <c r="H248" s="15" t="s">
        <v>4030</v>
      </c>
      <c r="I248" s="15" t="s">
        <v>4039</v>
      </c>
      <c r="J248" s="15" t="s">
        <v>4062</v>
      </c>
      <c r="K248" s="96" t="str">
        <f>IFERROR(INDEX(競技会設定!$J$3:$O$47,MATCH(J248,競技会設定!$M$3:$M$47,0),5),"")</f>
        <v>浜松医科大</v>
      </c>
      <c r="L248" s="96" t="str">
        <f>IFERROR(INDEX(競技会設定!$J$3:$N$47,MATCH(K248,競技会設定!$N$3:$N$47,0),2),"")</f>
        <v>490079</v>
      </c>
      <c r="M248" s="15" t="s">
        <v>3857</v>
      </c>
      <c r="N248" s="96" t="str">
        <f t="shared" si="10"/>
        <v>SUZUKI, Miyuu</v>
      </c>
      <c r="O248" s="96" t="str">
        <f t="shared" si="11"/>
        <v>97</v>
      </c>
    </row>
    <row r="249" spans="1:15">
      <c r="A249" s="96" t="str">
        <f t="shared" si="9"/>
        <v>502002248</v>
      </c>
      <c r="B249" s="15" t="s">
        <v>5408</v>
      </c>
      <c r="C249" s="15" t="s">
        <v>5409</v>
      </c>
      <c r="D249" s="15" t="s">
        <v>5410</v>
      </c>
      <c r="E249" s="15" t="s">
        <v>6287</v>
      </c>
      <c r="F249" s="15" t="s">
        <v>6288</v>
      </c>
      <c r="G249" s="15" t="s">
        <v>3330</v>
      </c>
      <c r="H249" s="15" t="s">
        <v>4024</v>
      </c>
      <c r="I249" s="15" t="s">
        <v>4039</v>
      </c>
      <c r="J249" s="15" t="s">
        <v>4063</v>
      </c>
      <c r="K249" s="96" t="str">
        <f>IFERROR(INDEX(競技会設定!$J$3:$O$47,MATCH(J249,競技会設定!$M$3:$M$47,0),5),"")</f>
        <v>名古屋市立大</v>
      </c>
      <c r="L249" s="96" t="str">
        <f>IFERROR(INDEX(競技会設定!$J$3:$N$47,MATCH(K249,競技会設定!$N$3:$N$47,0),2),"")</f>
        <v>491013</v>
      </c>
      <c r="M249" s="15" t="s">
        <v>3859</v>
      </c>
      <c r="N249" s="96" t="str">
        <f t="shared" si="10"/>
        <v>ARIMOTO, Kotori</v>
      </c>
      <c r="O249" s="96" t="str">
        <f t="shared" si="11"/>
        <v>99</v>
      </c>
    </row>
    <row r="250" spans="1:15">
      <c r="A250" s="96" t="str">
        <f t="shared" si="9"/>
        <v>502002249</v>
      </c>
      <c r="B250" s="15" t="s">
        <v>5411</v>
      </c>
      <c r="C250" s="15" t="s">
        <v>5412</v>
      </c>
      <c r="D250" s="15" t="s">
        <v>5413</v>
      </c>
      <c r="E250" s="15" t="s">
        <v>3027</v>
      </c>
      <c r="F250" s="15" t="s">
        <v>6054</v>
      </c>
      <c r="G250" s="15" t="s">
        <v>6585</v>
      </c>
      <c r="H250" s="15" t="s">
        <v>4025</v>
      </c>
      <c r="I250" s="15" t="s">
        <v>4039</v>
      </c>
      <c r="J250" s="15" t="s">
        <v>4063</v>
      </c>
      <c r="K250" s="96" t="str">
        <f>IFERROR(INDEX(競技会設定!$J$3:$O$47,MATCH(J250,競技会設定!$M$3:$M$47,0),5),"")</f>
        <v>名古屋市立大</v>
      </c>
      <c r="L250" s="96" t="str">
        <f>IFERROR(INDEX(競技会設定!$J$3:$N$47,MATCH(K250,競技会設定!$N$3:$N$47,0),2),"")</f>
        <v>491013</v>
      </c>
      <c r="M250" s="15" t="s">
        <v>3859</v>
      </c>
      <c r="N250" s="96" t="str">
        <f t="shared" si="10"/>
        <v>SHIMIZU, Nanami</v>
      </c>
      <c r="O250" s="96" t="str">
        <f t="shared" si="11"/>
        <v>98</v>
      </c>
    </row>
    <row r="251" spans="1:15">
      <c r="A251" s="96" t="str">
        <f t="shared" si="9"/>
        <v>502002250</v>
      </c>
      <c r="B251" s="15" t="s">
        <v>5414</v>
      </c>
      <c r="C251" s="15" t="s">
        <v>5415</v>
      </c>
      <c r="D251" s="15" t="s">
        <v>5416</v>
      </c>
      <c r="E251" s="15" t="s">
        <v>6180</v>
      </c>
      <c r="F251" s="15" t="s">
        <v>6289</v>
      </c>
      <c r="G251" s="15" t="s">
        <v>3334</v>
      </c>
      <c r="H251" s="15" t="s">
        <v>4026</v>
      </c>
      <c r="I251" s="15" t="s">
        <v>4039</v>
      </c>
      <c r="J251" s="15" t="s">
        <v>4063</v>
      </c>
      <c r="K251" s="96" t="str">
        <f>IFERROR(INDEX(競技会設定!$J$3:$O$47,MATCH(J251,競技会設定!$M$3:$M$47,0),5),"")</f>
        <v>名古屋市立大</v>
      </c>
      <c r="L251" s="96" t="str">
        <f>IFERROR(INDEX(競技会設定!$J$3:$N$47,MATCH(K251,競技会設定!$N$3:$N$47,0),2),"")</f>
        <v>491013</v>
      </c>
      <c r="M251" s="15" t="s">
        <v>3855</v>
      </c>
      <c r="N251" s="96" t="str">
        <f t="shared" si="10"/>
        <v>OTA, Narumi</v>
      </c>
      <c r="O251" s="96" t="str">
        <f t="shared" si="11"/>
        <v>00</v>
      </c>
    </row>
    <row r="252" spans="1:15">
      <c r="A252" s="96" t="str">
        <f t="shared" si="9"/>
        <v>502002251</v>
      </c>
      <c r="B252" s="15" t="s">
        <v>5417</v>
      </c>
      <c r="C252" s="15" t="s">
        <v>5418</v>
      </c>
      <c r="D252" s="15" t="s">
        <v>5419</v>
      </c>
      <c r="E252" s="15" t="s">
        <v>6290</v>
      </c>
      <c r="F252" s="15" t="s">
        <v>6035</v>
      </c>
      <c r="G252" s="15" t="s">
        <v>3417</v>
      </c>
      <c r="H252" s="15" t="s">
        <v>4026</v>
      </c>
      <c r="I252" s="15" t="s">
        <v>4039</v>
      </c>
      <c r="J252" s="15" t="s">
        <v>4063</v>
      </c>
      <c r="K252" s="96" t="str">
        <f>IFERROR(INDEX(競技会設定!$J$3:$O$47,MATCH(J252,競技会設定!$M$3:$M$47,0),5),"")</f>
        <v>名古屋市立大</v>
      </c>
      <c r="L252" s="96" t="str">
        <f>IFERROR(INDEX(競技会設定!$J$3:$N$47,MATCH(K252,競技会設定!$N$3:$N$47,0),2),"")</f>
        <v>491013</v>
      </c>
      <c r="M252" s="15" t="s">
        <v>3859</v>
      </c>
      <c r="N252" s="96" t="str">
        <f t="shared" si="10"/>
        <v>KANDA, Yui</v>
      </c>
      <c r="O252" s="96" t="str">
        <f t="shared" si="11"/>
        <v>00</v>
      </c>
    </row>
    <row r="253" spans="1:15">
      <c r="A253" s="96" t="str">
        <f t="shared" si="9"/>
        <v>502002252</v>
      </c>
      <c r="B253" s="15" t="s">
        <v>5420</v>
      </c>
      <c r="C253" s="15" t="s">
        <v>5421</v>
      </c>
      <c r="D253" s="15" t="s">
        <v>5422</v>
      </c>
      <c r="E253" s="15" t="s">
        <v>4507</v>
      </c>
      <c r="F253" s="15" t="s">
        <v>6209</v>
      </c>
      <c r="G253" s="15" t="s">
        <v>6586</v>
      </c>
      <c r="H253" s="15" t="s">
        <v>4024</v>
      </c>
      <c r="I253" s="15" t="s">
        <v>4039</v>
      </c>
      <c r="J253" s="15" t="s">
        <v>4063</v>
      </c>
      <c r="K253" s="96" t="str">
        <f>IFERROR(INDEX(競技会設定!$J$3:$O$47,MATCH(J253,競技会設定!$M$3:$M$47,0),5),"")</f>
        <v>名古屋市立大</v>
      </c>
      <c r="L253" s="96" t="str">
        <f>IFERROR(INDEX(競技会設定!$J$3:$N$47,MATCH(K253,競技会設定!$N$3:$N$47,0),2),"")</f>
        <v>491013</v>
      </c>
      <c r="M253" s="15" t="s">
        <v>3859</v>
      </c>
      <c r="N253" s="96" t="str">
        <f t="shared" si="10"/>
        <v>YAMAZAKI, Ami</v>
      </c>
      <c r="O253" s="96" t="str">
        <f t="shared" si="11"/>
        <v>99</v>
      </c>
    </row>
    <row r="254" spans="1:15">
      <c r="A254" s="96" t="str">
        <f t="shared" si="9"/>
        <v>502002253</v>
      </c>
      <c r="B254" s="15" t="s">
        <v>5423</v>
      </c>
      <c r="C254" s="15" t="s">
        <v>5424</v>
      </c>
      <c r="D254" s="15" t="s">
        <v>5425</v>
      </c>
      <c r="E254" s="15" t="s">
        <v>3044</v>
      </c>
      <c r="F254" s="15" t="s">
        <v>6291</v>
      </c>
      <c r="G254" s="15" t="s">
        <v>6587</v>
      </c>
      <c r="H254" s="15" t="s">
        <v>4026</v>
      </c>
      <c r="I254" s="15" t="s">
        <v>4039</v>
      </c>
      <c r="J254" s="15" t="s">
        <v>4063</v>
      </c>
      <c r="K254" s="96" t="str">
        <f>IFERROR(INDEX(競技会設定!$J$3:$O$47,MATCH(J254,競技会設定!$M$3:$M$47,0),5),"")</f>
        <v>名古屋市立大</v>
      </c>
      <c r="L254" s="96" t="str">
        <f>IFERROR(INDEX(競技会設定!$J$3:$N$47,MATCH(K254,競技会設定!$N$3:$N$47,0),2),"")</f>
        <v>491013</v>
      </c>
      <c r="M254" s="15" t="s">
        <v>3849</v>
      </c>
      <c r="N254" s="96" t="str">
        <f t="shared" si="10"/>
        <v>KOBAYASHI, Chisumi</v>
      </c>
      <c r="O254" s="96" t="str">
        <f t="shared" si="11"/>
        <v>00</v>
      </c>
    </row>
    <row r="255" spans="1:15">
      <c r="A255" s="96" t="str">
        <f t="shared" si="9"/>
        <v>502002254</v>
      </c>
      <c r="B255" s="15" t="s">
        <v>5426</v>
      </c>
      <c r="C255" s="15" t="s">
        <v>5427</v>
      </c>
      <c r="D255" s="15" t="s">
        <v>5428</v>
      </c>
      <c r="E255" s="15" t="s">
        <v>6097</v>
      </c>
      <c r="F255" s="15" t="s">
        <v>6292</v>
      </c>
      <c r="G255" s="15" t="s">
        <v>6588</v>
      </c>
      <c r="H255" s="15" t="s">
        <v>4025</v>
      </c>
      <c r="I255" s="15" t="s">
        <v>4039</v>
      </c>
      <c r="J255" s="15" t="s">
        <v>4063</v>
      </c>
      <c r="K255" s="96" t="str">
        <f>IFERROR(INDEX(競技会設定!$J$3:$O$47,MATCH(J255,競技会設定!$M$3:$M$47,0),5),"")</f>
        <v>名古屋市立大</v>
      </c>
      <c r="L255" s="96" t="str">
        <f>IFERROR(INDEX(競技会設定!$J$3:$N$47,MATCH(K255,競技会設定!$N$3:$N$47,0),2),"")</f>
        <v>491013</v>
      </c>
      <c r="M255" s="15" t="s">
        <v>3855</v>
      </c>
      <c r="N255" s="96" t="str">
        <f t="shared" si="10"/>
        <v>KOIZUMI, Kaori</v>
      </c>
      <c r="O255" s="96" t="str">
        <f t="shared" si="11"/>
        <v>98</v>
      </c>
    </row>
    <row r="256" spans="1:15">
      <c r="A256" s="96" t="str">
        <f t="shared" si="9"/>
        <v>502002255</v>
      </c>
      <c r="B256" s="15" t="s">
        <v>5429</v>
      </c>
      <c r="C256" s="15" t="s">
        <v>5430</v>
      </c>
      <c r="D256" s="15" t="s">
        <v>5431</v>
      </c>
      <c r="E256" s="15" t="s">
        <v>6293</v>
      </c>
      <c r="F256" s="15" t="s">
        <v>6088</v>
      </c>
      <c r="G256" s="15" t="s">
        <v>3538</v>
      </c>
      <c r="H256" s="15" t="s">
        <v>4025</v>
      </c>
      <c r="I256" s="15" t="s">
        <v>4039</v>
      </c>
      <c r="J256" s="15" t="s">
        <v>6663</v>
      </c>
      <c r="K256" s="96" t="str">
        <f>IFERROR(INDEX(競技会設定!$J$3:$O$47,MATCH(J256,競技会設定!$M$3:$M$47,0),5),"")</f>
        <v>名古屋女子大</v>
      </c>
      <c r="L256" s="96" t="str">
        <f>IFERROR(INDEX(競技会設定!$J$3:$N$47,MATCH(K256,競技会設定!$N$3:$N$47,0),2),"")</f>
        <v>492180</v>
      </c>
      <c r="M256" s="15" t="s">
        <v>3861</v>
      </c>
      <c r="N256" s="96" t="str">
        <f t="shared" si="10"/>
        <v>MIURA, Sae</v>
      </c>
      <c r="O256" s="96" t="str">
        <f t="shared" si="11"/>
        <v>99</v>
      </c>
    </row>
    <row r="257" spans="1:15">
      <c r="A257" s="96" t="str">
        <f t="shared" si="9"/>
        <v>502002256</v>
      </c>
      <c r="B257" s="15" t="s">
        <v>5432</v>
      </c>
      <c r="C257" s="15" t="s">
        <v>5433</v>
      </c>
      <c r="D257" s="15" t="s">
        <v>5434</v>
      </c>
      <c r="E257" s="15" t="s">
        <v>6294</v>
      </c>
      <c r="F257" s="15" t="s">
        <v>6114</v>
      </c>
      <c r="G257" s="15" t="s">
        <v>6589</v>
      </c>
      <c r="H257" s="15" t="s">
        <v>4026</v>
      </c>
      <c r="I257" s="15" t="s">
        <v>4039</v>
      </c>
      <c r="J257" s="15" t="s">
        <v>4064</v>
      </c>
      <c r="K257" s="96" t="str">
        <f>IFERROR(INDEX(競技会設定!$J$3:$O$47,MATCH(J257,競技会設定!$M$3:$M$47,0),5),"")</f>
        <v>名古屋商科大</v>
      </c>
      <c r="L257" s="96" t="str">
        <f>IFERROR(INDEX(競技会設定!$J$3:$N$47,MATCH(K257,競技会設定!$N$3:$N$47,0),2),"")</f>
        <v>492179</v>
      </c>
      <c r="M257" s="15" t="s">
        <v>3859</v>
      </c>
      <c r="N257" s="96" t="str">
        <f t="shared" si="10"/>
        <v>MUTO, Saki</v>
      </c>
      <c r="O257" s="96" t="str">
        <f t="shared" si="11"/>
        <v>01</v>
      </c>
    </row>
    <row r="258" spans="1:15">
      <c r="A258" s="96" t="str">
        <f t="shared" si="9"/>
        <v>502002257</v>
      </c>
      <c r="B258" s="15" t="s">
        <v>5435</v>
      </c>
      <c r="C258" s="15" t="s">
        <v>5436</v>
      </c>
      <c r="D258" s="15" t="s">
        <v>5437</v>
      </c>
      <c r="E258" s="15" t="s">
        <v>6295</v>
      </c>
      <c r="F258" s="15" t="s">
        <v>6296</v>
      </c>
      <c r="G258" s="15" t="s">
        <v>6562</v>
      </c>
      <c r="H258" s="15" t="s">
        <v>4026</v>
      </c>
      <c r="I258" s="15" t="s">
        <v>4039</v>
      </c>
      <c r="J258" s="15" t="s">
        <v>4064</v>
      </c>
      <c r="K258" s="96" t="str">
        <f>IFERROR(INDEX(競技会設定!$J$3:$O$47,MATCH(J258,競技会設定!$M$3:$M$47,0),5),"")</f>
        <v>名古屋商科大</v>
      </c>
      <c r="L258" s="96" t="str">
        <f>IFERROR(INDEX(競技会設定!$J$3:$N$47,MATCH(K258,競技会設定!$N$3:$N$47,0),2),"")</f>
        <v>492179</v>
      </c>
      <c r="M258" s="15" t="s">
        <v>3859</v>
      </c>
      <c r="N258" s="96" t="str">
        <f t="shared" si="10"/>
        <v>HAMAGUCHI, Kyoka</v>
      </c>
      <c r="O258" s="96" t="str">
        <f t="shared" si="11"/>
        <v>00</v>
      </c>
    </row>
    <row r="259" spans="1:15">
      <c r="A259" s="96" t="str">
        <f t="shared" ref="A259:A322" si="12">IF(B259="","","502"&amp;TEXT(B259,"000000"))</f>
        <v>502002258</v>
      </c>
      <c r="B259" s="15" t="s">
        <v>5438</v>
      </c>
      <c r="C259" s="15" t="s">
        <v>5439</v>
      </c>
      <c r="D259" s="15" t="s">
        <v>5440</v>
      </c>
      <c r="E259" s="15" t="s">
        <v>3035</v>
      </c>
      <c r="F259" s="15" t="s">
        <v>6099</v>
      </c>
      <c r="G259" s="15" t="s">
        <v>6590</v>
      </c>
      <c r="H259" s="15" t="s">
        <v>4025</v>
      </c>
      <c r="I259" s="15" t="s">
        <v>4039</v>
      </c>
      <c r="J259" s="15" t="s">
        <v>4065</v>
      </c>
      <c r="K259" s="96" t="str">
        <f>IFERROR(INDEX(競技会設定!$J$3:$O$47,MATCH(J259,競技会設定!$M$3:$M$47,0),5),"")</f>
        <v>名古屋大</v>
      </c>
      <c r="L259" s="96" t="str">
        <f>IFERROR(INDEX(競技会設定!$J$3:$N$47,MATCH(K259,競技会設定!$N$3:$N$47,0),2),"")</f>
        <v>490043</v>
      </c>
      <c r="M259" s="15" t="s">
        <v>3855</v>
      </c>
      <c r="N259" s="96" t="str">
        <f t="shared" ref="N259:N322" si="13">IF(E259="","",E259&amp;", "&amp;F259)</f>
        <v>KAWABE, Nozomi</v>
      </c>
      <c r="O259" s="96" t="str">
        <f t="shared" ref="O259:O322" si="14">IFERROR(TEXT(INT(LEFT(G259,2)),"00"),"")</f>
        <v>98</v>
      </c>
    </row>
    <row r="260" spans="1:15">
      <c r="A260" s="96" t="str">
        <f t="shared" si="12"/>
        <v>502002259</v>
      </c>
      <c r="B260" s="15" t="s">
        <v>5441</v>
      </c>
      <c r="C260" s="15" t="s">
        <v>5442</v>
      </c>
      <c r="D260" s="15" t="s">
        <v>5443</v>
      </c>
      <c r="E260" s="15" t="s">
        <v>3044</v>
      </c>
      <c r="F260" s="15" t="s">
        <v>6297</v>
      </c>
      <c r="G260" s="15" t="s">
        <v>3314</v>
      </c>
      <c r="H260" s="15" t="s">
        <v>4026</v>
      </c>
      <c r="I260" s="15" t="s">
        <v>4039</v>
      </c>
      <c r="J260" s="15" t="s">
        <v>4065</v>
      </c>
      <c r="K260" s="96" t="str">
        <f>IFERROR(INDEX(競技会設定!$J$3:$O$47,MATCH(J260,競技会設定!$M$3:$M$47,0),5),"")</f>
        <v>名古屋大</v>
      </c>
      <c r="L260" s="96" t="str">
        <f>IFERROR(INDEX(競技会設定!$J$3:$N$47,MATCH(K260,競技会設定!$N$3:$N$47,0),2),"")</f>
        <v>490043</v>
      </c>
      <c r="M260" s="15" t="s">
        <v>3859</v>
      </c>
      <c r="N260" s="96" t="str">
        <f t="shared" si="13"/>
        <v>KOBAYASHI, Hazuki</v>
      </c>
      <c r="O260" s="96" t="str">
        <f t="shared" si="14"/>
        <v>01</v>
      </c>
    </row>
    <row r="261" spans="1:15">
      <c r="A261" s="96" t="str">
        <f t="shared" si="12"/>
        <v>502002260</v>
      </c>
      <c r="B261" s="15" t="s">
        <v>5444</v>
      </c>
      <c r="C261" s="15" t="s">
        <v>5445</v>
      </c>
      <c r="D261" s="15" t="s">
        <v>5446</v>
      </c>
      <c r="E261" s="15" t="s">
        <v>4531</v>
      </c>
      <c r="F261" s="15" t="s">
        <v>6148</v>
      </c>
      <c r="G261" s="15" t="s">
        <v>6591</v>
      </c>
      <c r="H261" s="15" t="s">
        <v>4026</v>
      </c>
      <c r="I261" s="15" t="s">
        <v>4039</v>
      </c>
      <c r="J261" s="15" t="s">
        <v>4065</v>
      </c>
      <c r="K261" s="96" t="str">
        <f>IFERROR(INDEX(競技会設定!$J$3:$O$47,MATCH(J261,競技会設定!$M$3:$M$47,0),5),"")</f>
        <v>名古屋大</v>
      </c>
      <c r="L261" s="96" t="str">
        <f>IFERROR(INDEX(競技会設定!$J$3:$N$47,MATCH(K261,競技会設定!$N$3:$N$47,0),2),"")</f>
        <v>490043</v>
      </c>
      <c r="M261" s="15" t="s">
        <v>3859</v>
      </c>
      <c r="N261" s="96" t="str">
        <f t="shared" si="13"/>
        <v>KOIKE, Riho</v>
      </c>
      <c r="O261" s="96" t="str">
        <f t="shared" si="14"/>
        <v>00</v>
      </c>
    </row>
    <row r="262" spans="1:15">
      <c r="A262" s="96" t="str">
        <f t="shared" si="12"/>
        <v>502002261</v>
      </c>
      <c r="B262" s="15" t="s">
        <v>5447</v>
      </c>
      <c r="C262" s="15" t="s">
        <v>5448</v>
      </c>
      <c r="D262" s="15" t="s">
        <v>5449</v>
      </c>
      <c r="E262" s="15" t="s">
        <v>6113</v>
      </c>
      <c r="F262" s="15" t="s">
        <v>6107</v>
      </c>
      <c r="G262" s="15" t="s">
        <v>6592</v>
      </c>
      <c r="H262" s="15" t="s">
        <v>4026</v>
      </c>
      <c r="I262" s="15" t="s">
        <v>4039</v>
      </c>
      <c r="J262" s="15" t="s">
        <v>4065</v>
      </c>
      <c r="K262" s="96" t="str">
        <f>IFERROR(INDEX(競技会設定!$J$3:$O$47,MATCH(J262,競技会設定!$M$3:$M$47,0),5),"")</f>
        <v>名古屋大</v>
      </c>
      <c r="L262" s="96" t="str">
        <f>IFERROR(INDEX(競技会設定!$J$3:$N$47,MATCH(K262,競技会設定!$N$3:$N$47,0),2),"")</f>
        <v>490043</v>
      </c>
      <c r="M262" s="15" t="s">
        <v>3859</v>
      </c>
      <c r="N262" s="96" t="str">
        <f t="shared" si="13"/>
        <v>NAKAMURA, Yuka</v>
      </c>
      <c r="O262" s="96" t="str">
        <f t="shared" si="14"/>
        <v>00</v>
      </c>
    </row>
    <row r="263" spans="1:15">
      <c r="A263" s="96" t="str">
        <f t="shared" si="12"/>
        <v>502002262</v>
      </c>
      <c r="B263" s="15" t="s">
        <v>5450</v>
      </c>
      <c r="C263" s="15" t="s">
        <v>5451</v>
      </c>
      <c r="D263" s="15" t="s">
        <v>5452</v>
      </c>
      <c r="E263" s="15" t="s">
        <v>3058</v>
      </c>
      <c r="F263" s="15" t="s">
        <v>4544</v>
      </c>
      <c r="G263" s="15" t="s">
        <v>3529</v>
      </c>
      <c r="H263" s="15" t="s">
        <v>4025</v>
      </c>
      <c r="I263" s="15" t="s">
        <v>4039</v>
      </c>
      <c r="J263" s="15" t="s">
        <v>4065</v>
      </c>
      <c r="K263" s="96" t="str">
        <f>IFERROR(INDEX(競技会設定!$J$3:$O$47,MATCH(J263,競技会設定!$M$3:$M$47,0),5),"")</f>
        <v>名古屋大</v>
      </c>
      <c r="L263" s="96" t="str">
        <f>IFERROR(INDEX(競技会設定!$J$3:$N$47,MATCH(K263,競技会設定!$N$3:$N$47,0),2),"")</f>
        <v>490043</v>
      </c>
      <c r="M263" s="15" t="s">
        <v>3859</v>
      </c>
      <c r="N263" s="96" t="str">
        <f t="shared" si="13"/>
        <v>KONDO, Yuri</v>
      </c>
      <c r="O263" s="96" t="str">
        <f t="shared" si="14"/>
        <v>98</v>
      </c>
    </row>
    <row r="264" spans="1:15">
      <c r="A264" s="96" t="str">
        <f t="shared" si="12"/>
        <v>502002263</v>
      </c>
      <c r="B264" s="15" t="s">
        <v>5453</v>
      </c>
      <c r="C264" s="15" t="s">
        <v>5454</v>
      </c>
      <c r="D264" s="15" t="s">
        <v>5455</v>
      </c>
      <c r="E264" s="15" t="s">
        <v>3027</v>
      </c>
      <c r="F264" s="15" t="s">
        <v>6107</v>
      </c>
      <c r="G264" s="15" t="s">
        <v>6593</v>
      </c>
      <c r="H264" s="15" t="s">
        <v>4024</v>
      </c>
      <c r="I264" s="15" t="s">
        <v>4039</v>
      </c>
      <c r="J264" s="15" t="s">
        <v>4065</v>
      </c>
      <c r="K264" s="96" t="str">
        <f>IFERROR(INDEX(競技会設定!$J$3:$O$47,MATCH(J264,競技会設定!$M$3:$M$47,0),5),"")</f>
        <v>名古屋大</v>
      </c>
      <c r="L264" s="96" t="str">
        <f>IFERROR(INDEX(競技会設定!$J$3:$N$47,MATCH(K264,競技会設定!$N$3:$N$47,0),2),"")</f>
        <v>490043</v>
      </c>
      <c r="M264" s="15" t="s">
        <v>3859</v>
      </c>
      <c r="N264" s="96" t="str">
        <f t="shared" si="13"/>
        <v>SHIMIZU, Yuka</v>
      </c>
      <c r="O264" s="96" t="str">
        <f t="shared" si="14"/>
        <v>99</v>
      </c>
    </row>
    <row r="265" spans="1:15">
      <c r="A265" s="96" t="str">
        <f t="shared" si="12"/>
        <v>502002264</v>
      </c>
      <c r="B265" s="15" t="s">
        <v>5456</v>
      </c>
      <c r="C265" s="15" t="s">
        <v>5457</v>
      </c>
      <c r="D265" s="15" t="s">
        <v>5458</v>
      </c>
      <c r="E265" s="15" t="s">
        <v>3018</v>
      </c>
      <c r="F265" s="15" t="s">
        <v>6070</v>
      </c>
      <c r="G265" s="15" t="s">
        <v>6594</v>
      </c>
      <c r="H265" s="15" t="s">
        <v>4025</v>
      </c>
      <c r="I265" s="15" t="s">
        <v>4039</v>
      </c>
      <c r="J265" s="15" t="s">
        <v>4065</v>
      </c>
      <c r="K265" s="96" t="str">
        <f>IFERROR(INDEX(競技会設定!$J$3:$O$47,MATCH(J265,競技会設定!$M$3:$M$47,0),5),"")</f>
        <v>名古屋大</v>
      </c>
      <c r="L265" s="96" t="str">
        <f>IFERROR(INDEX(競技会設定!$J$3:$N$47,MATCH(K265,競技会設定!$N$3:$N$47,0),2),"")</f>
        <v>490043</v>
      </c>
      <c r="M265" s="15" t="s">
        <v>3859</v>
      </c>
      <c r="N265" s="96" t="str">
        <f t="shared" si="13"/>
        <v>SAITO, Shiori</v>
      </c>
      <c r="O265" s="96" t="str">
        <f t="shared" si="14"/>
        <v>98</v>
      </c>
    </row>
    <row r="266" spans="1:15">
      <c r="A266" s="96" t="str">
        <f t="shared" si="12"/>
        <v>502002265</v>
      </c>
      <c r="B266" s="15" t="s">
        <v>5459</v>
      </c>
      <c r="C266" s="15" t="s">
        <v>7761</v>
      </c>
      <c r="D266" s="15" t="s">
        <v>5460</v>
      </c>
      <c r="E266" s="15" t="s">
        <v>6298</v>
      </c>
      <c r="F266" s="15" t="s">
        <v>6299</v>
      </c>
      <c r="G266" s="15" t="s">
        <v>3498</v>
      </c>
      <c r="H266" s="15" t="s">
        <v>4024</v>
      </c>
      <c r="I266" s="15" t="s">
        <v>4039</v>
      </c>
      <c r="J266" s="15" t="s">
        <v>4065</v>
      </c>
      <c r="K266" s="96" t="str">
        <f>IFERROR(INDEX(競技会設定!$J$3:$O$47,MATCH(J266,競技会設定!$M$3:$M$47,0),5),"")</f>
        <v>名古屋大</v>
      </c>
      <c r="L266" s="96" t="str">
        <f>IFERROR(INDEX(競技会設定!$J$3:$N$47,MATCH(K266,競技会設定!$N$3:$N$47,0),2),"")</f>
        <v>490043</v>
      </c>
      <c r="M266" s="15" t="s">
        <v>3859</v>
      </c>
      <c r="N266" s="96" t="str">
        <f t="shared" si="13"/>
        <v>SHIBUTANI, Miki</v>
      </c>
      <c r="O266" s="96" t="str">
        <f t="shared" si="14"/>
        <v>99</v>
      </c>
    </row>
    <row r="267" spans="1:15">
      <c r="A267" s="96" t="str">
        <f t="shared" si="12"/>
        <v>502002266</v>
      </c>
      <c r="B267" s="15" t="s">
        <v>5461</v>
      </c>
      <c r="C267" s="15" t="s">
        <v>5462</v>
      </c>
      <c r="D267" s="15" t="s">
        <v>5463</v>
      </c>
      <c r="E267" s="15" t="s">
        <v>6300</v>
      </c>
      <c r="F267" s="15" t="s">
        <v>6301</v>
      </c>
      <c r="G267" s="15" t="s">
        <v>6595</v>
      </c>
      <c r="H267" s="15" t="s">
        <v>4025</v>
      </c>
      <c r="I267" s="15" t="s">
        <v>4039</v>
      </c>
      <c r="J267" s="15" t="s">
        <v>4065</v>
      </c>
      <c r="K267" s="96" t="str">
        <f>IFERROR(INDEX(競技会設定!$J$3:$O$47,MATCH(J267,競技会設定!$M$3:$M$47,0),5),"")</f>
        <v>名古屋大</v>
      </c>
      <c r="L267" s="96" t="str">
        <f>IFERROR(INDEX(競技会設定!$J$3:$N$47,MATCH(K267,競技会設定!$N$3:$N$47,0),2),"")</f>
        <v>490043</v>
      </c>
      <c r="M267" s="15" t="s">
        <v>3859</v>
      </c>
      <c r="N267" s="96" t="str">
        <f t="shared" si="13"/>
        <v>TOKUNAGA, Natsumi</v>
      </c>
      <c r="O267" s="96" t="str">
        <f t="shared" si="14"/>
        <v>99</v>
      </c>
    </row>
    <row r="268" spans="1:15">
      <c r="A268" s="96" t="str">
        <f t="shared" si="12"/>
        <v>502002267</v>
      </c>
      <c r="B268" s="15" t="s">
        <v>5464</v>
      </c>
      <c r="C268" s="15" t="s">
        <v>5465</v>
      </c>
      <c r="D268" s="15" t="s">
        <v>5466</v>
      </c>
      <c r="E268" s="15" t="s">
        <v>3021</v>
      </c>
      <c r="F268" s="15" t="s">
        <v>6302</v>
      </c>
      <c r="G268" s="15" t="s">
        <v>6596</v>
      </c>
      <c r="H268" s="15" t="s">
        <v>4025</v>
      </c>
      <c r="I268" s="15" t="s">
        <v>4039</v>
      </c>
      <c r="J268" s="15" t="s">
        <v>4065</v>
      </c>
      <c r="K268" s="96" t="str">
        <f>IFERROR(INDEX(競技会設定!$J$3:$O$47,MATCH(J268,競技会設定!$M$3:$M$47,0),5),"")</f>
        <v>名古屋大</v>
      </c>
      <c r="L268" s="96" t="str">
        <f>IFERROR(INDEX(競技会設定!$J$3:$N$47,MATCH(K268,競技会設定!$N$3:$N$47,0),2),"")</f>
        <v>490043</v>
      </c>
      <c r="M268" s="15" t="s">
        <v>3859</v>
      </c>
      <c r="N268" s="96" t="str">
        <f t="shared" si="13"/>
        <v>ITO, Yumeno</v>
      </c>
      <c r="O268" s="96" t="str">
        <f t="shared" si="14"/>
        <v>98</v>
      </c>
    </row>
    <row r="269" spans="1:15">
      <c r="A269" s="96" t="str">
        <f t="shared" si="12"/>
        <v>502002268</v>
      </c>
      <c r="B269" s="15" t="s">
        <v>5467</v>
      </c>
      <c r="C269" s="15" t="s">
        <v>5468</v>
      </c>
      <c r="D269" s="15" t="s">
        <v>5469</v>
      </c>
      <c r="E269" s="15" t="s">
        <v>6303</v>
      </c>
      <c r="F269" s="15" t="s">
        <v>6304</v>
      </c>
      <c r="G269" s="15" t="s">
        <v>6559</v>
      </c>
      <c r="H269" s="15" t="s">
        <v>4030</v>
      </c>
      <c r="I269" s="15" t="s">
        <v>4039</v>
      </c>
      <c r="J269" s="15" t="s">
        <v>4065</v>
      </c>
      <c r="K269" s="96" t="str">
        <f>IFERROR(INDEX(競技会設定!$J$3:$O$47,MATCH(J269,競技会設定!$M$3:$M$47,0),5),"")</f>
        <v>名古屋大</v>
      </c>
      <c r="L269" s="96" t="str">
        <f>IFERROR(INDEX(競技会設定!$J$3:$N$47,MATCH(K269,競技会設定!$N$3:$N$47,0),2),"")</f>
        <v>490043</v>
      </c>
      <c r="M269" s="15" t="s">
        <v>3847</v>
      </c>
      <c r="N269" s="96" t="str">
        <f t="shared" si="13"/>
        <v>HASEGAWA, Shiho</v>
      </c>
      <c r="O269" s="96" t="str">
        <f t="shared" si="14"/>
        <v>96</v>
      </c>
    </row>
    <row r="270" spans="1:15">
      <c r="A270" s="96" t="str">
        <f t="shared" si="12"/>
        <v>502002269</v>
      </c>
      <c r="B270" s="15" t="s">
        <v>5470</v>
      </c>
      <c r="C270" s="15" t="s">
        <v>5471</v>
      </c>
      <c r="D270" s="15" t="s">
        <v>5472</v>
      </c>
      <c r="E270" s="15" t="s">
        <v>6305</v>
      </c>
      <c r="F270" s="15" t="s">
        <v>6050</v>
      </c>
      <c r="G270" s="15" t="s">
        <v>6597</v>
      </c>
      <c r="H270" s="15" t="s">
        <v>4026</v>
      </c>
      <c r="I270" s="15" t="s">
        <v>4039</v>
      </c>
      <c r="J270" s="15" t="s">
        <v>4065</v>
      </c>
      <c r="K270" s="96" t="str">
        <f>IFERROR(INDEX(競技会設定!$J$3:$O$47,MATCH(J270,競技会設定!$M$3:$M$47,0),5),"")</f>
        <v>名古屋大</v>
      </c>
      <c r="L270" s="96" t="str">
        <f>IFERROR(INDEX(競技会設定!$J$3:$N$47,MATCH(K270,競技会設定!$N$3:$N$47,0),2),"")</f>
        <v>490043</v>
      </c>
      <c r="M270" s="15" t="s">
        <v>3861</v>
      </c>
      <c r="N270" s="96" t="str">
        <f t="shared" si="13"/>
        <v>SUGA, Sakura</v>
      </c>
      <c r="O270" s="96" t="str">
        <f t="shared" si="14"/>
        <v>99</v>
      </c>
    </row>
    <row r="271" spans="1:15">
      <c r="A271" s="96" t="str">
        <f t="shared" si="12"/>
        <v>502002270</v>
      </c>
      <c r="B271" s="15" t="s">
        <v>5473</v>
      </c>
      <c r="C271" s="15" t="s">
        <v>5474</v>
      </c>
      <c r="D271" s="15" t="s">
        <v>5475</v>
      </c>
      <c r="E271" s="15" t="s">
        <v>6306</v>
      </c>
      <c r="F271" s="15" t="s">
        <v>6307</v>
      </c>
      <c r="G271" s="15" t="s">
        <v>6598</v>
      </c>
      <c r="H271" s="15" t="s">
        <v>4024</v>
      </c>
      <c r="I271" s="15" t="s">
        <v>4039</v>
      </c>
      <c r="J271" s="15" t="s">
        <v>4065</v>
      </c>
      <c r="K271" s="96" t="str">
        <f>IFERROR(INDEX(競技会設定!$J$3:$O$47,MATCH(J271,競技会設定!$M$3:$M$47,0),5),"")</f>
        <v>名古屋大</v>
      </c>
      <c r="L271" s="96" t="str">
        <f>IFERROR(INDEX(競技会設定!$J$3:$N$47,MATCH(K271,競技会設定!$N$3:$N$47,0),2),"")</f>
        <v>490043</v>
      </c>
      <c r="M271" s="15" t="s">
        <v>3847</v>
      </c>
      <c r="N271" s="96" t="str">
        <f t="shared" si="13"/>
        <v>KAMATA, Tomomi</v>
      </c>
      <c r="O271" s="96" t="str">
        <f t="shared" si="14"/>
        <v>98</v>
      </c>
    </row>
    <row r="272" spans="1:15">
      <c r="A272" s="96" t="str">
        <f t="shared" si="12"/>
        <v>502002271</v>
      </c>
      <c r="B272" s="15" t="s">
        <v>5476</v>
      </c>
      <c r="C272" s="15" t="s">
        <v>5477</v>
      </c>
      <c r="D272" s="15" t="s">
        <v>5478</v>
      </c>
      <c r="E272" s="15" t="s">
        <v>6308</v>
      </c>
      <c r="F272" s="15" t="s">
        <v>6309</v>
      </c>
      <c r="G272" s="15" t="s">
        <v>6599</v>
      </c>
      <c r="H272" s="15" t="s">
        <v>4031</v>
      </c>
      <c r="I272" s="15" t="s">
        <v>4039</v>
      </c>
      <c r="J272" s="15" t="s">
        <v>4065</v>
      </c>
      <c r="K272" s="96" t="str">
        <f>IFERROR(INDEX(競技会設定!$J$3:$O$47,MATCH(J272,競技会設定!$M$3:$M$47,0),5),"")</f>
        <v>名古屋大</v>
      </c>
      <c r="L272" s="96" t="str">
        <f>IFERROR(INDEX(競技会設定!$J$3:$N$47,MATCH(K272,競技会設定!$N$3:$N$47,0),2),"")</f>
        <v>490043</v>
      </c>
      <c r="M272" s="15" t="s">
        <v>3859</v>
      </c>
      <c r="N272" s="96" t="str">
        <f t="shared" si="13"/>
        <v>NAKAGAWA, Haruko</v>
      </c>
      <c r="O272" s="96" t="str">
        <f t="shared" si="14"/>
        <v>98</v>
      </c>
    </row>
    <row r="273" spans="1:15">
      <c r="A273" s="96" t="str">
        <f t="shared" si="12"/>
        <v>502002272</v>
      </c>
      <c r="B273" s="15" t="s">
        <v>5479</v>
      </c>
      <c r="C273" s="15" t="s">
        <v>5480</v>
      </c>
      <c r="D273" s="15" t="s">
        <v>5481</v>
      </c>
      <c r="E273" s="15" t="s">
        <v>6310</v>
      </c>
      <c r="F273" s="15" t="s">
        <v>6311</v>
      </c>
      <c r="G273" s="15" t="s">
        <v>6600</v>
      </c>
      <c r="H273" s="15" t="s">
        <v>4031</v>
      </c>
      <c r="I273" s="15" t="s">
        <v>4039</v>
      </c>
      <c r="J273" s="15" t="s">
        <v>4065</v>
      </c>
      <c r="K273" s="96" t="str">
        <f>IFERROR(INDEX(競技会設定!$J$3:$O$47,MATCH(J273,競技会設定!$M$3:$M$47,0),5),"")</f>
        <v>名古屋大</v>
      </c>
      <c r="L273" s="96" t="str">
        <f>IFERROR(INDEX(競技会設定!$J$3:$N$47,MATCH(K273,競技会設定!$N$3:$N$47,0),2),"")</f>
        <v>490043</v>
      </c>
      <c r="M273" s="15" t="s">
        <v>3859</v>
      </c>
      <c r="N273" s="96" t="str">
        <f t="shared" si="13"/>
        <v>YOSHIDA, Yumika</v>
      </c>
      <c r="O273" s="96" t="str">
        <f t="shared" si="14"/>
        <v>96</v>
      </c>
    </row>
    <row r="274" spans="1:15">
      <c r="A274" s="96" t="str">
        <f t="shared" si="12"/>
        <v>502002273</v>
      </c>
      <c r="B274" s="15" t="s">
        <v>5482</v>
      </c>
      <c r="C274" s="15" t="s">
        <v>5483</v>
      </c>
      <c r="D274" s="15" t="s">
        <v>5484</v>
      </c>
      <c r="E274" s="15" t="s">
        <v>6312</v>
      </c>
      <c r="F274" s="15" t="s">
        <v>6191</v>
      </c>
      <c r="G274" s="15" t="s">
        <v>6601</v>
      </c>
      <c r="H274" s="15" t="s">
        <v>4025</v>
      </c>
      <c r="I274" s="15" t="s">
        <v>4039</v>
      </c>
      <c r="J274" s="15" t="s">
        <v>4066</v>
      </c>
      <c r="K274" s="96" t="str">
        <f>IFERROR(INDEX(競技会設定!$J$3:$O$47,MATCH(J274,競技会設定!$M$3:$M$47,0),5),"")</f>
        <v>名城大</v>
      </c>
      <c r="L274" s="96" t="str">
        <f>IFERROR(INDEX(競技会設定!$J$3:$N$47,MATCH(K274,競技会設定!$N$3:$N$47,0),2),"")</f>
        <v>492184</v>
      </c>
      <c r="M274" s="15" t="s">
        <v>3835</v>
      </c>
      <c r="N274" s="96" t="str">
        <f t="shared" si="13"/>
        <v>KASEDA , Rika</v>
      </c>
      <c r="O274" s="96" t="str">
        <f t="shared" si="14"/>
        <v>99</v>
      </c>
    </row>
    <row r="275" spans="1:15">
      <c r="A275" s="96" t="str">
        <f t="shared" si="12"/>
        <v>502002274</v>
      </c>
      <c r="B275" s="15" t="s">
        <v>5485</v>
      </c>
      <c r="C275" s="15" t="s">
        <v>5486</v>
      </c>
      <c r="D275" s="15" t="s">
        <v>5487</v>
      </c>
      <c r="E275" s="15" t="s">
        <v>3026</v>
      </c>
      <c r="F275" s="15" t="s">
        <v>5972</v>
      </c>
      <c r="G275" s="15" t="s">
        <v>6602</v>
      </c>
      <c r="H275" s="15" t="s">
        <v>4025</v>
      </c>
      <c r="I275" s="15" t="s">
        <v>4039</v>
      </c>
      <c r="J275" s="15" t="s">
        <v>4066</v>
      </c>
      <c r="K275" s="96" t="str">
        <f>IFERROR(INDEX(競技会設定!$J$3:$O$47,MATCH(J275,競技会設定!$M$3:$M$47,0),5),"")</f>
        <v>名城大</v>
      </c>
      <c r="L275" s="96" t="str">
        <f>IFERROR(INDEX(競技会設定!$J$3:$N$47,MATCH(K275,競技会設定!$N$3:$N$47,0),2),"")</f>
        <v>492184</v>
      </c>
      <c r="M275" s="15" t="s">
        <v>3861</v>
      </c>
      <c r="N275" s="96" t="str">
        <f t="shared" si="13"/>
        <v>KATO, Ayaka</v>
      </c>
      <c r="O275" s="96" t="str">
        <f t="shared" si="14"/>
        <v>99</v>
      </c>
    </row>
    <row r="276" spans="1:15">
      <c r="A276" s="96" t="str">
        <f t="shared" si="12"/>
        <v>502002275</v>
      </c>
      <c r="B276" s="15" t="s">
        <v>5488</v>
      </c>
      <c r="C276" s="15" t="s">
        <v>5489</v>
      </c>
      <c r="D276" s="15" t="s">
        <v>5490</v>
      </c>
      <c r="E276" s="15" t="s">
        <v>6313</v>
      </c>
      <c r="F276" s="15" t="s">
        <v>6186</v>
      </c>
      <c r="G276" s="15" t="s">
        <v>3394</v>
      </c>
      <c r="H276" s="15" t="s">
        <v>4025</v>
      </c>
      <c r="I276" s="15" t="s">
        <v>4039</v>
      </c>
      <c r="J276" s="15" t="s">
        <v>4066</v>
      </c>
      <c r="K276" s="96" t="str">
        <f>IFERROR(INDEX(競技会設定!$J$3:$O$47,MATCH(J276,競技会設定!$M$3:$M$47,0),5),"")</f>
        <v>名城大</v>
      </c>
      <c r="L276" s="96" t="str">
        <f>IFERROR(INDEX(競技会設定!$J$3:$N$47,MATCH(K276,競技会設定!$N$3:$N$47,0),2),"")</f>
        <v>492184</v>
      </c>
      <c r="M276" s="15" t="s">
        <v>3899</v>
      </c>
      <c r="N276" s="96" t="str">
        <f t="shared" si="13"/>
        <v>KOMORI, Sena</v>
      </c>
      <c r="O276" s="96" t="str">
        <f t="shared" si="14"/>
        <v>98</v>
      </c>
    </row>
    <row r="277" spans="1:15">
      <c r="A277" s="96" t="str">
        <f t="shared" si="12"/>
        <v>502002276</v>
      </c>
      <c r="B277" s="15" t="s">
        <v>5491</v>
      </c>
      <c r="C277" s="15" t="s">
        <v>5492</v>
      </c>
      <c r="D277" s="15" t="s">
        <v>5493</v>
      </c>
      <c r="E277" s="15" t="s">
        <v>6314</v>
      </c>
      <c r="F277" s="15" t="s">
        <v>6068</v>
      </c>
      <c r="G277" s="15" t="s">
        <v>3291</v>
      </c>
      <c r="H277" s="15" t="s">
        <v>4024</v>
      </c>
      <c r="I277" s="15" t="s">
        <v>4039</v>
      </c>
      <c r="J277" s="15" t="s">
        <v>4066</v>
      </c>
      <c r="K277" s="96" t="str">
        <f>IFERROR(INDEX(競技会設定!$J$3:$O$47,MATCH(J277,競技会設定!$M$3:$M$47,0),5),"")</f>
        <v>名城大</v>
      </c>
      <c r="L277" s="96" t="str">
        <f>IFERROR(INDEX(競技会設定!$J$3:$N$47,MATCH(K277,競技会設定!$N$3:$N$47,0),2),"")</f>
        <v>492184</v>
      </c>
      <c r="M277" s="15" t="s">
        <v>3859</v>
      </c>
      <c r="N277" s="96" t="str">
        <f t="shared" si="13"/>
        <v>INOUE, Hana</v>
      </c>
      <c r="O277" s="96" t="str">
        <f t="shared" si="14"/>
        <v>99</v>
      </c>
    </row>
    <row r="278" spans="1:15">
      <c r="A278" s="96" t="str">
        <f t="shared" si="12"/>
        <v>502002277</v>
      </c>
      <c r="B278" s="15" t="s">
        <v>5494</v>
      </c>
      <c r="C278" s="15" t="s">
        <v>5495</v>
      </c>
      <c r="D278" s="15" t="s">
        <v>5496</v>
      </c>
      <c r="E278" s="15" t="s">
        <v>6315</v>
      </c>
      <c r="F278" s="15" t="s">
        <v>6316</v>
      </c>
      <c r="G278" s="15" t="s">
        <v>3552</v>
      </c>
      <c r="H278" s="15" t="s">
        <v>4024</v>
      </c>
      <c r="I278" s="15" t="s">
        <v>4039</v>
      </c>
      <c r="J278" s="15" t="s">
        <v>4066</v>
      </c>
      <c r="K278" s="96" t="str">
        <f>IFERROR(INDEX(競技会設定!$J$3:$O$47,MATCH(J278,競技会設定!$M$3:$M$47,0),5),"")</f>
        <v>名城大</v>
      </c>
      <c r="L278" s="96" t="str">
        <f>IFERROR(INDEX(競技会設定!$J$3:$N$47,MATCH(K278,競技会設定!$N$3:$N$47,0),2),"")</f>
        <v>492184</v>
      </c>
      <c r="M278" s="15" t="s">
        <v>3857</v>
      </c>
      <c r="N278" s="96" t="str">
        <f t="shared" si="13"/>
        <v>KAMOSHIDA, Mirai</v>
      </c>
      <c r="O278" s="96" t="str">
        <f t="shared" si="14"/>
        <v>99</v>
      </c>
    </row>
    <row r="279" spans="1:15">
      <c r="A279" s="96" t="str">
        <f t="shared" si="12"/>
        <v>502002278</v>
      </c>
      <c r="B279" s="15" t="s">
        <v>5497</v>
      </c>
      <c r="C279" s="15" t="s">
        <v>7762</v>
      </c>
      <c r="D279" s="15" t="s">
        <v>5498</v>
      </c>
      <c r="E279" s="15" t="s">
        <v>6317</v>
      </c>
      <c r="F279" s="15" t="s">
        <v>6318</v>
      </c>
      <c r="G279" s="15" t="s">
        <v>6603</v>
      </c>
      <c r="H279" s="15" t="s">
        <v>4024</v>
      </c>
      <c r="I279" s="15" t="s">
        <v>4039</v>
      </c>
      <c r="J279" s="15" t="s">
        <v>4066</v>
      </c>
      <c r="K279" s="96" t="str">
        <f>IFERROR(INDEX(競技会設定!$J$3:$O$47,MATCH(J279,競技会設定!$M$3:$M$47,0),5),"")</f>
        <v>名城大</v>
      </c>
      <c r="L279" s="96" t="str">
        <f>IFERROR(INDEX(競技会設定!$J$3:$N$47,MATCH(K279,競技会設定!$N$3:$N$47,0),2),"")</f>
        <v>492184</v>
      </c>
      <c r="M279" s="15" t="s">
        <v>3867</v>
      </c>
      <c r="N279" s="96" t="str">
        <f t="shared" si="13"/>
        <v>TAKAMATSU, Tomomimusembi</v>
      </c>
      <c r="O279" s="96" t="str">
        <f t="shared" si="14"/>
        <v>00</v>
      </c>
    </row>
    <row r="280" spans="1:15">
      <c r="A280" s="96" t="str">
        <f t="shared" si="12"/>
        <v>502002279</v>
      </c>
      <c r="B280" s="15" t="s">
        <v>5499</v>
      </c>
      <c r="C280" s="15" t="s">
        <v>5500</v>
      </c>
      <c r="D280" s="15" t="s">
        <v>5501</v>
      </c>
      <c r="E280" s="15" t="s">
        <v>6319</v>
      </c>
      <c r="F280" s="15" t="s">
        <v>6116</v>
      </c>
      <c r="G280" s="15" t="s">
        <v>3106</v>
      </c>
      <c r="H280" s="15" t="s">
        <v>4024</v>
      </c>
      <c r="I280" s="15" t="s">
        <v>4039</v>
      </c>
      <c r="J280" s="15" t="s">
        <v>4066</v>
      </c>
      <c r="K280" s="96" t="str">
        <f>IFERROR(INDEX(競技会設定!$J$3:$O$47,MATCH(J280,競技会設定!$M$3:$M$47,0),5),"")</f>
        <v>名城大</v>
      </c>
      <c r="L280" s="96" t="str">
        <f>IFERROR(INDEX(競技会設定!$J$3:$N$47,MATCH(K280,競技会設定!$N$3:$N$47,0),2),"")</f>
        <v>492184</v>
      </c>
      <c r="M280" s="15" t="s">
        <v>3853</v>
      </c>
      <c r="N280" s="96" t="str">
        <f t="shared" si="13"/>
        <v>MATSUZAWA, Ayane</v>
      </c>
      <c r="O280" s="96" t="str">
        <f t="shared" si="14"/>
        <v>99</v>
      </c>
    </row>
    <row r="281" spans="1:15">
      <c r="A281" s="96" t="str">
        <f t="shared" si="12"/>
        <v>502002280</v>
      </c>
      <c r="B281" s="15" t="s">
        <v>5502</v>
      </c>
      <c r="C281" s="15" t="s">
        <v>5503</v>
      </c>
      <c r="D281" s="15" t="s">
        <v>5504</v>
      </c>
      <c r="E281" s="15" t="s">
        <v>6320</v>
      </c>
      <c r="F281" s="15" t="s">
        <v>6321</v>
      </c>
      <c r="G281" s="15" t="s">
        <v>3292</v>
      </c>
      <c r="H281" s="15" t="s">
        <v>4024</v>
      </c>
      <c r="I281" s="15" t="s">
        <v>4039</v>
      </c>
      <c r="J281" s="15" t="s">
        <v>4066</v>
      </c>
      <c r="K281" s="96" t="str">
        <f>IFERROR(INDEX(競技会設定!$J$3:$O$47,MATCH(J281,競技会設定!$M$3:$M$47,0),5),"")</f>
        <v>名城大</v>
      </c>
      <c r="L281" s="96" t="str">
        <f>IFERROR(INDEX(競技会設定!$J$3:$N$47,MATCH(K281,競技会設定!$N$3:$N$47,0),2),"")</f>
        <v>492184</v>
      </c>
      <c r="M281" s="15" t="s">
        <v>3814</v>
      </c>
      <c r="N281" s="96" t="str">
        <f t="shared" si="13"/>
        <v>FUJIGAMORI, Miharu</v>
      </c>
      <c r="O281" s="96" t="str">
        <f t="shared" si="14"/>
        <v>99</v>
      </c>
    </row>
    <row r="282" spans="1:15">
      <c r="A282" s="96" t="str">
        <f t="shared" si="12"/>
        <v>502002281</v>
      </c>
      <c r="B282" s="15" t="s">
        <v>5505</v>
      </c>
      <c r="C282" s="15" t="s">
        <v>5506</v>
      </c>
      <c r="D282" s="15" t="s">
        <v>5507</v>
      </c>
      <c r="E282" s="15" t="s">
        <v>6322</v>
      </c>
      <c r="F282" s="15" t="s">
        <v>6083</v>
      </c>
      <c r="G282" s="15" t="s">
        <v>6604</v>
      </c>
      <c r="H282" s="15" t="s">
        <v>4024</v>
      </c>
      <c r="I282" s="15" t="s">
        <v>4039</v>
      </c>
      <c r="J282" s="15" t="s">
        <v>4066</v>
      </c>
      <c r="K282" s="96" t="str">
        <f>IFERROR(INDEX(競技会設定!$J$3:$O$47,MATCH(J282,競技会設定!$M$3:$M$47,0),5),"")</f>
        <v>名城大</v>
      </c>
      <c r="L282" s="96" t="str">
        <f>IFERROR(INDEX(競技会設定!$J$3:$N$47,MATCH(K282,競技会設定!$N$3:$N$47,0),2),"")</f>
        <v>492184</v>
      </c>
      <c r="M282" s="15" t="s">
        <v>3843</v>
      </c>
      <c r="N282" s="96" t="str">
        <f t="shared" si="13"/>
        <v>MIZUSAWA, Yuna</v>
      </c>
      <c r="O282" s="96" t="str">
        <f t="shared" si="14"/>
        <v>00</v>
      </c>
    </row>
    <row r="283" spans="1:15">
      <c r="A283" s="96" t="str">
        <f t="shared" si="12"/>
        <v>502002282</v>
      </c>
      <c r="B283" s="15" t="s">
        <v>5508</v>
      </c>
      <c r="C283" s="15" t="s">
        <v>5509</v>
      </c>
      <c r="D283" s="15" t="s">
        <v>5510</v>
      </c>
      <c r="E283" s="15" t="s">
        <v>6323</v>
      </c>
      <c r="F283" s="15" t="s">
        <v>6083</v>
      </c>
      <c r="G283" s="15" t="s">
        <v>3130</v>
      </c>
      <c r="H283" s="15" t="s">
        <v>4024</v>
      </c>
      <c r="I283" s="15" t="s">
        <v>4039</v>
      </c>
      <c r="J283" s="15" t="s">
        <v>4066</v>
      </c>
      <c r="K283" s="96" t="str">
        <f>IFERROR(INDEX(競技会設定!$J$3:$O$47,MATCH(J283,競技会設定!$M$3:$M$47,0),5),"")</f>
        <v>名城大</v>
      </c>
      <c r="L283" s="96" t="str">
        <f>IFERROR(INDEX(競技会設定!$J$3:$N$47,MATCH(K283,競技会設定!$N$3:$N$47,0),2),"")</f>
        <v>492184</v>
      </c>
      <c r="M283" s="15" t="s">
        <v>3853</v>
      </c>
      <c r="N283" s="96" t="str">
        <f t="shared" si="13"/>
        <v>WADA, Yuna</v>
      </c>
      <c r="O283" s="96" t="str">
        <f t="shared" si="14"/>
        <v>99</v>
      </c>
    </row>
    <row r="284" spans="1:15">
      <c r="A284" s="96" t="str">
        <f t="shared" si="12"/>
        <v>502002283</v>
      </c>
      <c r="B284" s="15" t="s">
        <v>5511</v>
      </c>
      <c r="C284" s="15" t="s">
        <v>5512</v>
      </c>
      <c r="D284" s="15" t="s">
        <v>5513</v>
      </c>
      <c r="E284" s="15" t="s">
        <v>6053</v>
      </c>
      <c r="F284" s="15" t="s">
        <v>6324</v>
      </c>
      <c r="G284" s="15" t="s">
        <v>3601</v>
      </c>
      <c r="H284" s="15" t="s">
        <v>4026</v>
      </c>
      <c r="I284" s="15" t="s">
        <v>4039</v>
      </c>
      <c r="J284" s="15" t="s">
        <v>4066</v>
      </c>
      <c r="K284" s="96" t="str">
        <f>IFERROR(INDEX(競技会設定!$J$3:$O$47,MATCH(J284,競技会設定!$M$3:$M$47,0),5),"")</f>
        <v>名城大</v>
      </c>
      <c r="L284" s="96" t="str">
        <f>IFERROR(INDEX(競技会設定!$J$3:$N$47,MATCH(K284,競技会設定!$N$3:$N$47,0),2),"")</f>
        <v>492184</v>
      </c>
      <c r="M284" s="15" t="s">
        <v>3859</v>
      </c>
      <c r="N284" s="96" t="str">
        <f t="shared" si="13"/>
        <v>AIBA, Risa</v>
      </c>
      <c r="O284" s="96" t="str">
        <f t="shared" si="14"/>
        <v>01</v>
      </c>
    </row>
    <row r="285" spans="1:15">
      <c r="A285" s="96" t="str">
        <f t="shared" si="12"/>
        <v>502002284</v>
      </c>
      <c r="B285" s="15" t="s">
        <v>5514</v>
      </c>
      <c r="C285" s="15" t="s">
        <v>5515</v>
      </c>
      <c r="D285" s="15" t="s">
        <v>5516</v>
      </c>
      <c r="E285" s="15" t="s">
        <v>6325</v>
      </c>
      <c r="F285" s="15" t="s">
        <v>6083</v>
      </c>
      <c r="G285" s="15" t="s">
        <v>6549</v>
      </c>
      <c r="H285" s="15" t="s">
        <v>4026</v>
      </c>
      <c r="I285" s="15" t="s">
        <v>4039</v>
      </c>
      <c r="J285" s="15" t="s">
        <v>4066</v>
      </c>
      <c r="K285" s="96" t="str">
        <f>IFERROR(INDEX(競技会設定!$J$3:$O$47,MATCH(J285,競技会設定!$M$3:$M$47,0),5),"")</f>
        <v>名城大</v>
      </c>
      <c r="L285" s="96" t="str">
        <f>IFERROR(INDEX(競技会設定!$J$3:$N$47,MATCH(K285,競技会設定!$N$3:$N$47,0),2),"")</f>
        <v>492184</v>
      </c>
      <c r="M285" s="15" t="s">
        <v>3870</v>
      </c>
      <c r="N285" s="96" t="str">
        <f t="shared" si="13"/>
        <v>ARAI , Yuna</v>
      </c>
      <c r="O285" s="96" t="str">
        <f t="shared" si="14"/>
        <v>00</v>
      </c>
    </row>
    <row r="286" spans="1:15">
      <c r="A286" s="96" t="str">
        <f t="shared" si="12"/>
        <v>502002285</v>
      </c>
      <c r="B286" s="15" t="s">
        <v>5517</v>
      </c>
      <c r="C286" s="15" t="s">
        <v>5518</v>
      </c>
      <c r="D286" s="15" t="s">
        <v>5519</v>
      </c>
      <c r="E286" s="15" t="s">
        <v>3044</v>
      </c>
      <c r="F286" s="15" t="s">
        <v>6289</v>
      </c>
      <c r="G286" s="15" t="s">
        <v>6605</v>
      </c>
      <c r="H286" s="15" t="s">
        <v>4026</v>
      </c>
      <c r="I286" s="15" t="s">
        <v>4039</v>
      </c>
      <c r="J286" s="15" t="s">
        <v>4066</v>
      </c>
      <c r="K286" s="96" t="str">
        <f>IFERROR(INDEX(競技会設定!$J$3:$O$47,MATCH(J286,競技会設定!$M$3:$M$47,0),5),"")</f>
        <v>名城大</v>
      </c>
      <c r="L286" s="96" t="str">
        <f>IFERROR(INDEX(競技会設定!$J$3:$N$47,MATCH(K286,競技会設定!$N$3:$N$47,0),2),"")</f>
        <v>492184</v>
      </c>
      <c r="M286" s="15" t="s">
        <v>3853</v>
      </c>
      <c r="N286" s="96" t="str">
        <f t="shared" si="13"/>
        <v>KOBAYASHI, Narumi</v>
      </c>
      <c r="O286" s="96" t="str">
        <f t="shared" si="14"/>
        <v>00</v>
      </c>
    </row>
    <row r="287" spans="1:15">
      <c r="A287" s="96" t="str">
        <f t="shared" si="12"/>
        <v>502002286</v>
      </c>
      <c r="B287" s="15" t="s">
        <v>5520</v>
      </c>
      <c r="C287" s="15" t="s">
        <v>5521</v>
      </c>
      <c r="D287" s="15" t="s">
        <v>5522</v>
      </c>
      <c r="E287" s="15" t="s">
        <v>6326</v>
      </c>
      <c r="F287" s="15" t="s">
        <v>5993</v>
      </c>
      <c r="G287" s="15" t="s">
        <v>3578</v>
      </c>
      <c r="H287" s="15" t="s">
        <v>4026</v>
      </c>
      <c r="I287" s="15" t="s">
        <v>4039</v>
      </c>
      <c r="J287" s="15" t="s">
        <v>4066</v>
      </c>
      <c r="K287" s="96" t="str">
        <f>IFERROR(INDEX(競技会設定!$J$3:$O$47,MATCH(J287,競技会設定!$M$3:$M$47,0),5),"")</f>
        <v>名城大</v>
      </c>
      <c r="L287" s="96" t="str">
        <f>IFERROR(INDEX(競技会設定!$J$3:$N$47,MATCH(K287,競技会設定!$N$3:$N$47,0),2),"")</f>
        <v>492184</v>
      </c>
      <c r="M287" s="15" t="s">
        <v>3841</v>
      </c>
      <c r="N287" s="96" t="str">
        <f t="shared" si="13"/>
        <v>FUKUSHIMA, Sara</v>
      </c>
      <c r="O287" s="96" t="str">
        <f t="shared" si="14"/>
        <v>00</v>
      </c>
    </row>
    <row r="288" spans="1:15">
      <c r="A288" s="96" t="str">
        <f t="shared" si="12"/>
        <v>502002287</v>
      </c>
      <c r="B288" s="15" t="s">
        <v>5523</v>
      </c>
      <c r="C288" s="15" t="s">
        <v>5524</v>
      </c>
      <c r="D288" s="15" t="s">
        <v>5525</v>
      </c>
      <c r="E288" s="15" t="s">
        <v>3050</v>
      </c>
      <c r="F288" s="15" t="s">
        <v>3060</v>
      </c>
      <c r="G288" s="15" t="s">
        <v>3406</v>
      </c>
      <c r="H288" s="15" t="s">
        <v>4026</v>
      </c>
      <c r="I288" s="15" t="s">
        <v>4039</v>
      </c>
      <c r="J288" s="15" t="s">
        <v>4066</v>
      </c>
      <c r="K288" s="96" t="str">
        <f>IFERROR(INDEX(競技会設定!$J$3:$O$47,MATCH(J288,競技会設定!$M$3:$M$47,0),5),"")</f>
        <v>名城大</v>
      </c>
      <c r="L288" s="96" t="str">
        <f>IFERROR(INDEX(競技会設定!$J$3:$N$47,MATCH(K288,競技会設定!$N$3:$N$47,0),2),"")</f>
        <v>492184</v>
      </c>
      <c r="M288" s="15" t="s">
        <v>3859</v>
      </c>
      <c r="N288" s="96" t="str">
        <f t="shared" si="13"/>
        <v>YAMAMOTO, Yuma</v>
      </c>
      <c r="O288" s="96" t="str">
        <f t="shared" si="14"/>
        <v>00</v>
      </c>
    </row>
    <row r="289" spans="1:15">
      <c r="A289" s="96" t="str">
        <f t="shared" si="12"/>
        <v>502002288</v>
      </c>
      <c r="B289" s="15" t="s">
        <v>5526</v>
      </c>
      <c r="C289" s="15" t="s">
        <v>5527</v>
      </c>
      <c r="D289" s="15" t="s">
        <v>5528</v>
      </c>
      <c r="E289" s="15" t="s">
        <v>3010</v>
      </c>
      <c r="F289" s="15" t="s">
        <v>6327</v>
      </c>
      <c r="G289" s="15" t="s">
        <v>6606</v>
      </c>
      <c r="H289" s="15" t="s">
        <v>4029</v>
      </c>
      <c r="I289" s="15" t="s">
        <v>4039</v>
      </c>
      <c r="J289" s="15" t="s">
        <v>4066</v>
      </c>
      <c r="K289" s="96" t="str">
        <f>IFERROR(INDEX(競技会設定!$J$3:$O$47,MATCH(J289,競技会設定!$M$3:$M$47,0),5),"")</f>
        <v>名城大</v>
      </c>
      <c r="L289" s="96" t="str">
        <f>IFERROR(INDEX(競技会設定!$J$3:$N$47,MATCH(K289,競技会設定!$N$3:$N$47,0),2),"")</f>
        <v>492184</v>
      </c>
      <c r="M289" s="15" t="s">
        <v>3899</v>
      </c>
      <c r="N289" s="96" t="str">
        <f t="shared" si="13"/>
        <v>KUROKAWA, Hikari</v>
      </c>
      <c r="O289" s="96" t="str">
        <f t="shared" si="14"/>
        <v>01</v>
      </c>
    </row>
    <row r="290" spans="1:15">
      <c r="A290" s="96" t="str">
        <f t="shared" si="12"/>
        <v>502002289</v>
      </c>
      <c r="B290" s="15" t="s">
        <v>5529</v>
      </c>
      <c r="C290" s="15" t="s">
        <v>5530</v>
      </c>
      <c r="D290" s="15" t="s">
        <v>5531</v>
      </c>
      <c r="E290" s="15" t="s">
        <v>6328</v>
      </c>
      <c r="F290" s="15" t="s">
        <v>6329</v>
      </c>
      <c r="G290" s="15" t="s">
        <v>6607</v>
      </c>
      <c r="H290" s="15" t="s">
        <v>4029</v>
      </c>
      <c r="I290" s="15" t="s">
        <v>4039</v>
      </c>
      <c r="J290" s="15" t="s">
        <v>4066</v>
      </c>
      <c r="K290" s="96" t="str">
        <f>IFERROR(INDEX(競技会設定!$J$3:$O$47,MATCH(J290,競技会設定!$M$3:$M$47,0),5),"")</f>
        <v>名城大</v>
      </c>
      <c r="L290" s="96" t="str">
        <f>IFERROR(INDEX(競技会設定!$J$3:$N$47,MATCH(K290,競技会設定!$N$3:$N$47,0),2),"")</f>
        <v>492184</v>
      </c>
      <c r="M290" s="15" t="s">
        <v>3820</v>
      </c>
      <c r="N290" s="96" t="str">
        <f t="shared" si="13"/>
        <v>NORO, Kurea</v>
      </c>
      <c r="O290" s="96" t="str">
        <f t="shared" si="14"/>
        <v>01</v>
      </c>
    </row>
    <row r="291" spans="1:15">
      <c r="A291" s="96" t="str">
        <f t="shared" si="12"/>
        <v>502002290</v>
      </c>
      <c r="B291" s="15" t="s">
        <v>5532</v>
      </c>
      <c r="C291" s="15" t="s">
        <v>5533</v>
      </c>
      <c r="D291" s="15" t="s">
        <v>5534</v>
      </c>
      <c r="E291" s="15" t="s">
        <v>6330</v>
      </c>
      <c r="F291" s="15" t="s">
        <v>6107</v>
      </c>
      <c r="G291" s="15" t="s">
        <v>4636</v>
      </c>
      <c r="H291" s="15" t="s">
        <v>4029</v>
      </c>
      <c r="I291" s="15" t="s">
        <v>4039</v>
      </c>
      <c r="J291" s="15" t="s">
        <v>4066</v>
      </c>
      <c r="K291" s="96" t="str">
        <f>IFERROR(INDEX(競技会設定!$J$3:$O$47,MATCH(J291,競技会設定!$M$3:$M$47,0),5),"")</f>
        <v>名城大</v>
      </c>
      <c r="L291" s="96" t="str">
        <f>IFERROR(INDEX(競技会設定!$J$3:$N$47,MATCH(K291,競技会設定!$N$3:$N$47,0),2),"")</f>
        <v>492184</v>
      </c>
      <c r="M291" s="15" t="s">
        <v>3838</v>
      </c>
      <c r="N291" s="96" t="str">
        <f t="shared" si="13"/>
        <v>MASUBUCHI, Yuka</v>
      </c>
      <c r="O291" s="96" t="str">
        <f t="shared" si="14"/>
        <v>01</v>
      </c>
    </row>
    <row r="292" spans="1:15">
      <c r="A292" s="96" t="str">
        <f t="shared" si="12"/>
        <v>502002291</v>
      </c>
      <c r="B292" s="15" t="s">
        <v>5535</v>
      </c>
      <c r="C292" s="15" t="s">
        <v>5536</v>
      </c>
      <c r="D292" s="15" t="s">
        <v>5537</v>
      </c>
      <c r="E292" s="15" t="s">
        <v>6331</v>
      </c>
      <c r="F292" s="15" t="s">
        <v>6332</v>
      </c>
      <c r="G292" s="15" t="s">
        <v>3460</v>
      </c>
      <c r="H292" s="15" t="s">
        <v>4024</v>
      </c>
      <c r="I292" s="15" t="s">
        <v>4039</v>
      </c>
      <c r="J292" s="15" t="s">
        <v>4066</v>
      </c>
      <c r="K292" s="96" t="str">
        <f>IFERROR(INDEX(競技会設定!$J$3:$O$47,MATCH(J292,競技会設定!$M$3:$M$47,0),5),"")</f>
        <v>名城大</v>
      </c>
      <c r="L292" s="96" t="str">
        <f>IFERROR(INDEX(競技会設定!$J$3:$N$47,MATCH(K292,競技会設定!$N$3:$N$47,0),2),"")</f>
        <v>492184</v>
      </c>
      <c r="M292" s="15" t="s">
        <v>3855</v>
      </c>
      <c r="N292" s="96" t="str">
        <f t="shared" si="13"/>
        <v>KATAOKA, Tomoko</v>
      </c>
      <c r="O292" s="96" t="str">
        <f t="shared" si="14"/>
        <v>99</v>
      </c>
    </row>
    <row r="293" spans="1:15">
      <c r="A293" s="96" t="str">
        <f t="shared" si="12"/>
        <v>502002292</v>
      </c>
      <c r="B293" s="15" t="s">
        <v>5538</v>
      </c>
      <c r="C293" s="15" t="s">
        <v>5539</v>
      </c>
      <c r="D293" s="15" t="s">
        <v>5540</v>
      </c>
      <c r="E293" s="15" t="s">
        <v>6333</v>
      </c>
      <c r="F293" s="15" t="s">
        <v>6334</v>
      </c>
      <c r="G293" s="15" t="s">
        <v>3419</v>
      </c>
      <c r="H293" s="15" t="s">
        <v>4026</v>
      </c>
      <c r="I293" s="15" t="s">
        <v>4039</v>
      </c>
      <c r="J293" s="15" t="s">
        <v>4066</v>
      </c>
      <c r="K293" s="96" t="str">
        <f>IFERROR(INDEX(競技会設定!$J$3:$O$47,MATCH(J293,競技会設定!$M$3:$M$47,0),5),"")</f>
        <v>名城大</v>
      </c>
      <c r="L293" s="96" t="str">
        <f>IFERROR(INDEX(競技会設定!$J$3:$N$47,MATCH(K293,競技会設定!$N$3:$N$47,0),2),"")</f>
        <v>492184</v>
      </c>
      <c r="M293" s="15" t="s">
        <v>3861</v>
      </c>
      <c r="N293" s="96" t="str">
        <f t="shared" si="13"/>
        <v>KATAYAMA, Kazuna</v>
      </c>
      <c r="O293" s="96" t="str">
        <f t="shared" si="14"/>
        <v>00</v>
      </c>
    </row>
    <row r="294" spans="1:15">
      <c r="A294" s="96" t="str">
        <f t="shared" si="12"/>
        <v>502002293</v>
      </c>
      <c r="B294" s="15" t="s">
        <v>5541</v>
      </c>
      <c r="C294" s="15" t="s">
        <v>5542</v>
      </c>
      <c r="D294" s="15" t="s">
        <v>5543</v>
      </c>
      <c r="E294" s="15" t="s">
        <v>6335</v>
      </c>
      <c r="F294" s="15" t="s">
        <v>5965</v>
      </c>
      <c r="G294" s="15" t="s">
        <v>3429</v>
      </c>
      <c r="H294" s="15" t="s">
        <v>4025</v>
      </c>
      <c r="I294" s="15" t="s">
        <v>4039</v>
      </c>
      <c r="J294" s="15" t="s">
        <v>4067</v>
      </c>
      <c r="K294" s="96" t="str">
        <f>IFERROR(INDEX(競技会設定!$J$3:$O$47,MATCH(J294,競技会設定!$M$3:$M$47,0),5),"")</f>
        <v>鈴鹿工業高専</v>
      </c>
      <c r="L294" s="96" t="str">
        <f>IFERROR(INDEX(競技会設定!$J$3:$N$47,MATCH(K294,競技会設定!$N$3:$N$47,0),2),"")</f>
        <v>496026</v>
      </c>
      <c r="M294" s="15" t="s">
        <v>3861</v>
      </c>
      <c r="N294" s="96" t="str">
        <f t="shared" si="13"/>
        <v>OKADO, Ai</v>
      </c>
      <c r="O294" s="96" t="str">
        <f t="shared" si="14"/>
        <v>02</v>
      </c>
    </row>
    <row r="295" spans="1:15">
      <c r="A295" s="96" t="str">
        <f t="shared" si="12"/>
        <v>502002294</v>
      </c>
      <c r="B295" s="15" t="s">
        <v>5544</v>
      </c>
      <c r="C295" s="15" t="s">
        <v>5545</v>
      </c>
      <c r="D295" s="15" t="s">
        <v>5546</v>
      </c>
      <c r="E295" s="15" t="s">
        <v>3012</v>
      </c>
      <c r="F295" s="15" t="s">
        <v>6163</v>
      </c>
      <c r="G295" s="15" t="s">
        <v>3625</v>
      </c>
      <c r="H295" s="15" t="s">
        <v>4025</v>
      </c>
      <c r="I295" s="15" t="s">
        <v>4039</v>
      </c>
      <c r="J295" s="15" t="s">
        <v>4067</v>
      </c>
      <c r="K295" s="96" t="str">
        <f>IFERROR(INDEX(競技会設定!$J$3:$O$47,MATCH(J295,競技会設定!$M$3:$M$47,0),5),"")</f>
        <v>鈴鹿工業高専</v>
      </c>
      <c r="L295" s="96" t="str">
        <f>IFERROR(INDEX(競技会設定!$J$3:$N$47,MATCH(K295,競技会設定!$N$3:$N$47,0),2),"")</f>
        <v>496026</v>
      </c>
      <c r="M295" s="15" t="s">
        <v>3861</v>
      </c>
      <c r="N295" s="96" t="str">
        <f t="shared" si="13"/>
        <v>MURAMATSU, Honoka</v>
      </c>
      <c r="O295" s="96" t="str">
        <f t="shared" si="14"/>
        <v>01</v>
      </c>
    </row>
    <row r="296" spans="1:15">
      <c r="A296" s="96" t="str">
        <f t="shared" si="12"/>
        <v>502002295</v>
      </c>
      <c r="B296" s="15" t="s">
        <v>5547</v>
      </c>
      <c r="C296" s="15" t="s">
        <v>5548</v>
      </c>
      <c r="D296" s="15" t="s">
        <v>5549</v>
      </c>
      <c r="E296" s="15" t="s">
        <v>6336</v>
      </c>
      <c r="F296" s="15" t="s">
        <v>6068</v>
      </c>
      <c r="G296" s="15" t="s">
        <v>3508</v>
      </c>
      <c r="H296" s="15" t="s">
        <v>4029</v>
      </c>
      <c r="I296" s="15" t="s">
        <v>4039</v>
      </c>
      <c r="J296" s="15" t="s">
        <v>4069</v>
      </c>
      <c r="K296" s="96" t="str">
        <f>IFERROR(INDEX(競技会設定!$J$3:$O$47,MATCH(J296,競技会設定!$M$3:$M$47,0),5),"")</f>
        <v>静岡産業大</v>
      </c>
      <c r="L296" s="96" t="str">
        <f>IFERROR(INDEX(競技会設定!$J$3:$N$47,MATCH(K296,競技会設定!$N$3:$N$47,0),2),"")</f>
        <v>492398</v>
      </c>
      <c r="M296" s="15" t="s">
        <v>3857</v>
      </c>
      <c r="N296" s="96" t="str">
        <f t="shared" si="13"/>
        <v>SAWAKI, Hana</v>
      </c>
      <c r="O296" s="96" t="str">
        <f t="shared" si="14"/>
        <v>02</v>
      </c>
    </row>
    <row r="297" spans="1:15">
      <c r="A297" s="96" t="str">
        <f t="shared" si="12"/>
        <v>502002296</v>
      </c>
      <c r="B297" s="15" t="s">
        <v>5550</v>
      </c>
      <c r="C297" s="15" t="s">
        <v>5551</v>
      </c>
      <c r="D297" s="15" t="s">
        <v>5552</v>
      </c>
      <c r="E297" s="15" t="s">
        <v>6337</v>
      </c>
      <c r="F297" s="15" t="s">
        <v>5997</v>
      </c>
      <c r="G297" s="15" t="s">
        <v>3069</v>
      </c>
      <c r="H297" s="15" t="s">
        <v>4025</v>
      </c>
      <c r="I297" s="15" t="s">
        <v>4039</v>
      </c>
      <c r="J297" s="15" t="s">
        <v>4071</v>
      </c>
      <c r="K297" s="96" t="str">
        <f>IFERROR(INDEX(競技会設定!$J$3:$O$47,MATCH(J297,競技会設定!$M$3:$M$47,0),5),"")</f>
        <v>名古屋学院大</v>
      </c>
      <c r="L297" s="96" t="str">
        <f>IFERROR(INDEX(競技会設定!$J$3:$N$47,MATCH(K297,競技会設定!$N$3:$N$47,0),2),"")</f>
        <v>492177</v>
      </c>
      <c r="M297" s="15" t="s">
        <v>3853</v>
      </c>
      <c r="N297" s="96" t="str">
        <f t="shared" si="13"/>
        <v>SAKURAI, Nao</v>
      </c>
      <c r="O297" s="96" t="str">
        <f t="shared" si="14"/>
        <v>98</v>
      </c>
    </row>
    <row r="298" spans="1:15">
      <c r="A298" s="96" t="str">
        <f t="shared" si="12"/>
        <v>502002297</v>
      </c>
      <c r="B298" s="15" t="s">
        <v>5553</v>
      </c>
      <c r="C298" s="15" t="s">
        <v>5554</v>
      </c>
      <c r="D298" s="15" t="s">
        <v>5555</v>
      </c>
      <c r="E298" s="15" t="s">
        <v>6338</v>
      </c>
      <c r="F298" s="15" t="s">
        <v>6339</v>
      </c>
      <c r="G298" s="15" t="s">
        <v>3408</v>
      </c>
      <c r="H298" s="15" t="s">
        <v>4025</v>
      </c>
      <c r="I298" s="15" t="s">
        <v>4039</v>
      </c>
      <c r="J298" s="15" t="s">
        <v>4071</v>
      </c>
      <c r="K298" s="96" t="str">
        <f>IFERROR(INDEX(競技会設定!$J$3:$O$47,MATCH(J298,競技会設定!$M$3:$M$47,0),5),"")</f>
        <v>名古屋学院大</v>
      </c>
      <c r="L298" s="96" t="str">
        <f>IFERROR(INDEX(競技会設定!$J$3:$N$47,MATCH(K298,競技会設定!$N$3:$N$47,0),2),"")</f>
        <v>492177</v>
      </c>
      <c r="M298" s="15" t="s">
        <v>3857</v>
      </c>
      <c r="N298" s="96" t="str">
        <f t="shared" si="13"/>
        <v>TAJIMA, Uta</v>
      </c>
      <c r="O298" s="96" t="str">
        <f t="shared" si="14"/>
        <v>99</v>
      </c>
    </row>
    <row r="299" spans="1:15">
      <c r="A299" s="96" t="str">
        <f t="shared" si="12"/>
        <v>502002298</v>
      </c>
      <c r="B299" s="15" t="s">
        <v>5556</v>
      </c>
      <c r="C299" s="15" t="s">
        <v>5557</v>
      </c>
      <c r="D299" s="15" t="s">
        <v>5558</v>
      </c>
      <c r="E299" s="15" t="s">
        <v>6263</v>
      </c>
      <c r="F299" s="15" t="s">
        <v>5965</v>
      </c>
      <c r="G299" s="15" t="s">
        <v>6608</v>
      </c>
      <c r="H299" s="15" t="s">
        <v>4024</v>
      </c>
      <c r="I299" s="15" t="s">
        <v>4039</v>
      </c>
      <c r="J299" s="15" t="s">
        <v>4071</v>
      </c>
      <c r="K299" s="96" t="str">
        <f>IFERROR(INDEX(競技会設定!$J$3:$O$47,MATCH(J299,競技会設定!$M$3:$M$47,0),5),"")</f>
        <v>名古屋学院大</v>
      </c>
      <c r="L299" s="96" t="str">
        <f>IFERROR(INDEX(競技会設定!$J$3:$N$47,MATCH(K299,競技会設定!$N$3:$N$47,0),2),"")</f>
        <v>492177</v>
      </c>
      <c r="M299" s="15" t="s">
        <v>3859</v>
      </c>
      <c r="N299" s="96" t="str">
        <f t="shared" si="13"/>
        <v>TAKAHASHI, Ai</v>
      </c>
      <c r="O299" s="96" t="str">
        <f t="shared" si="14"/>
        <v>00</v>
      </c>
    </row>
    <row r="300" spans="1:15">
      <c r="A300" s="96" t="str">
        <f t="shared" si="12"/>
        <v>502002299</v>
      </c>
      <c r="B300" s="15" t="s">
        <v>5559</v>
      </c>
      <c r="C300" s="15" t="s">
        <v>5560</v>
      </c>
      <c r="D300" s="15" t="s">
        <v>5561</v>
      </c>
      <c r="E300" s="15" t="s">
        <v>6340</v>
      </c>
      <c r="F300" s="15" t="s">
        <v>6273</v>
      </c>
      <c r="G300" s="15" t="s">
        <v>6609</v>
      </c>
      <c r="H300" s="15" t="s">
        <v>4024</v>
      </c>
      <c r="I300" s="15" t="s">
        <v>4039</v>
      </c>
      <c r="J300" s="15" t="s">
        <v>4071</v>
      </c>
      <c r="K300" s="96" t="str">
        <f>IFERROR(INDEX(競技会設定!$J$3:$O$47,MATCH(J300,競技会設定!$M$3:$M$47,0),5),"")</f>
        <v>名古屋学院大</v>
      </c>
      <c r="L300" s="96" t="str">
        <f>IFERROR(INDEX(競技会設定!$J$3:$N$47,MATCH(K300,競技会設定!$N$3:$N$47,0),2),"")</f>
        <v>492177</v>
      </c>
      <c r="M300" s="15" t="s">
        <v>3909</v>
      </c>
      <c r="N300" s="96" t="str">
        <f t="shared" si="13"/>
        <v>TAMAKI, Moeka</v>
      </c>
      <c r="O300" s="96" t="str">
        <f t="shared" si="14"/>
        <v>99</v>
      </c>
    </row>
    <row r="301" spans="1:15">
      <c r="A301" s="96" t="str">
        <f t="shared" si="12"/>
        <v>502002300</v>
      </c>
      <c r="B301" s="15" t="s">
        <v>5562</v>
      </c>
      <c r="C301" s="15" t="s">
        <v>5563</v>
      </c>
      <c r="D301" s="15" t="s">
        <v>5564</v>
      </c>
      <c r="E301" s="15" t="s">
        <v>3037</v>
      </c>
      <c r="F301" s="15" t="s">
        <v>6341</v>
      </c>
      <c r="G301" s="15" t="s">
        <v>6610</v>
      </c>
      <c r="H301" s="15" t="s">
        <v>4024</v>
      </c>
      <c r="I301" s="15" t="s">
        <v>4039</v>
      </c>
      <c r="J301" s="15" t="s">
        <v>4071</v>
      </c>
      <c r="K301" s="96" t="str">
        <f>IFERROR(INDEX(競技会設定!$J$3:$O$47,MATCH(J301,競技会設定!$M$3:$M$47,0),5),"")</f>
        <v>名古屋学院大</v>
      </c>
      <c r="L301" s="96" t="str">
        <f>IFERROR(INDEX(競技会設定!$J$3:$N$47,MATCH(K301,競技会設定!$N$3:$N$47,0),2),"")</f>
        <v>492177</v>
      </c>
      <c r="M301" s="15" t="s">
        <v>3855</v>
      </c>
      <c r="N301" s="96" t="str">
        <f t="shared" si="13"/>
        <v>HARA, Mahiru</v>
      </c>
      <c r="O301" s="96" t="str">
        <f t="shared" si="14"/>
        <v>00</v>
      </c>
    </row>
    <row r="302" spans="1:15">
      <c r="A302" s="96" t="str">
        <f t="shared" si="12"/>
        <v>502002301</v>
      </c>
      <c r="B302" s="15" t="s">
        <v>5565</v>
      </c>
      <c r="C302" s="15" t="s">
        <v>5566</v>
      </c>
      <c r="D302" s="15" t="s">
        <v>5567</v>
      </c>
      <c r="E302" s="15" t="s">
        <v>6342</v>
      </c>
      <c r="F302" s="15" t="s">
        <v>6267</v>
      </c>
      <c r="G302" s="15" t="s">
        <v>6609</v>
      </c>
      <c r="H302" s="15" t="s">
        <v>4024</v>
      </c>
      <c r="I302" s="15" t="s">
        <v>4039</v>
      </c>
      <c r="J302" s="15" t="s">
        <v>4071</v>
      </c>
      <c r="K302" s="96" t="str">
        <f>IFERROR(INDEX(競技会設定!$J$3:$O$47,MATCH(J302,競技会設定!$M$3:$M$47,0),5),"")</f>
        <v>名古屋学院大</v>
      </c>
      <c r="L302" s="96" t="str">
        <f>IFERROR(INDEX(競技会設定!$J$3:$N$47,MATCH(K302,競技会設定!$N$3:$N$47,0),2),"")</f>
        <v>492177</v>
      </c>
      <c r="M302" s="15" t="s">
        <v>3853</v>
      </c>
      <c r="N302" s="96" t="str">
        <f t="shared" si="13"/>
        <v>FURUHATA, Momoko</v>
      </c>
      <c r="O302" s="96" t="str">
        <f t="shared" si="14"/>
        <v>99</v>
      </c>
    </row>
    <row r="303" spans="1:15">
      <c r="A303" s="96" t="str">
        <f t="shared" si="12"/>
        <v>502002302</v>
      </c>
      <c r="B303" s="15" t="s">
        <v>5568</v>
      </c>
      <c r="C303" s="15" t="s">
        <v>5569</v>
      </c>
      <c r="D303" s="15" t="s">
        <v>5570</v>
      </c>
      <c r="E303" s="15" t="s">
        <v>6019</v>
      </c>
      <c r="F303" s="15" t="s">
        <v>6073</v>
      </c>
      <c r="G303" s="15" t="s">
        <v>6611</v>
      </c>
      <c r="H303" s="15" t="s">
        <v>4026</v>
      </c>
      <c r="I303" s="15" t="s">
        <v>4039</v>
      </c>
      <c r="J303" s="15" t="s">
        <v>4071</v>
      </c>
      <c r="K303" s="96" t="str">
        <f>IFERROR(INDEX(競技会設定!$J$3:$O$47,MATCH(J303,競技会設定!$M$3:$M$47,0),5),"")</f>
        <v>名古屋学院大</v>
      </c>
      <c r="L303" s="96" t="str">
        <f>IFERROR(INDEX(競技会設定!$J$3:$N$47,MATCH(K303,競技会設定!$N$3:$N$47,0),2),"")</f>
        <v>492177</v>
      </c>
      <c r="M303" s="15" t="s">
        <v>3857</v>
      </c>
      <c r="N303" s="96" t="str">
        <f t="shared" si="13"/>
        <v>HIRANO, Satsuki</v>
      </c>
      <c r="O303" s="96" t="str">
        <f t="shared" si="14"/>
        <v>00</v>
      </c>
    </row>
    <row r="304" spans="1:15">
      <c r="A304" s="96" t="str">
        <f t="shared" si="12"/>
        <v>502002303</v>
      </c>
      <c r="B304" s="15" t="s">
        <v>5571</v>
      </c>
      <c r="C304" s="15" t="s">
        <v>5572</v>
      </c>
      <c r="D304" s="15" t="s">
        <v>5573</v>
      </c>
      <c r="E304" s="15" t="s">
        <v>6343</v>
      </c>
      <c r="F304" s="15" t="s">
        <v>6344</v>
      </c>
      <c r="G304" s="15" t="s">
        <v>6612</v>
      </c>
      <c r="H304" s="15" t="s">
        <v>4026</v>
      </c>
      <c r="I304" s="15" t="s">
        <v>6658</v>
      </c>
      <c r="J304" s="15" t="s">
        <v>6664</v>
      </c>
      <c r="K304" s="96" t="str">
        <f>IFERROR(INDEX(競技会設定!$J$3:$O$47,MATCH(J304,競技会設定!$M$3:$M$47,0),5),"")</f>
        <v>鈴鹿大</v>
      </c>
      <c r="L304" s="96" t="str">
        <f>IFERROR(INDEX(競技会設定!$J$3:$N$47,MATCH(K304,競技会設定!$N$3:$N$47,0),2),"")</f>
        <v>492399</v>
      </c>
      <c r="M304" s="15" t="s">
        <v>3861</v>
      </c>
      <c r="N304" s="96" t="str">
        <f t="shared" si="13"/>
        <v>MUNENE, Mary</v>
      </c>
      <c r="O304" s="96" t="str">
        <f t="shared" si="14"/>
        <v>00</v>
      </c>
    </row>
    <row r="305" spans="1:15">
      <c r="A305" s="96" t="str">
        <f t="shared" si="12"/>
        <v>502002304</v>
      </c>
      <c r="B305" s="15" t="s">
        <v>5574</v>
      </c>
      <c r="C305" s="15" t="s">
        <v>5575</v>
      </c>
      <c r="D305" s="15" t="s">
        <v>5576</v>
      </c>
      <c r="E305" s="15" t="s">
        <v>3026</v>
      </c>
      <c r="F305" s="15" t="s">
        <v>6134</v>
      </c>
      <c r="G305" s="15" t="s">
        <v>6613</v>
      </c>
      <c r="H305" s="15" t="s">
        <v>4026</v>
      </c>
      <c r="I305" s="15" t="s">
        <v>4039</v>
      </c>
      <c r="J305" s="15" t="s">
        <v>6664</v>
      </c>
      <c r="K305" s="96" t="str">
        <f>IFERROR(INDEX(競技会設定!$J$3:$O$47,MATCH(J305,競技会設定!$M$3:$M$47,0),5),"")</f>
        <v>鈴鹿大</v>
      </c>
      <c r="L305" s="96" t="str">
        <f>IFERROR(INDEX(競技会設定!$J$3:$N$47,MATCH(K305,競技会設定!$N$3:$N$47,0),2),"")</f>
        <v>492399</v>
      </c>
      <c r="M305" s="15" t="s">
        <v>3861</v>
      </c>
      <c r="N305" s="96" t="str">
        <f t="shared" si="13"/>
        <v>KATO, Haruka</v>
      </c>
      <c r="O305" s="96" t="str">
        <f t="shared" si="14"/>
        <v>00</v>
      </c>
    </row>
    <row r="306" spans="1:15">
      <c r="A306" s="96" t="str">
        <f t="shared" si="12"/>
        <v>502002305</v>
      </c>
      <c r="B306" s="15" t="s">
        <v>5577</v>
      </c>
      <c r="C306" s="15" t="s">
        <v>5578</v>
      </c>
      <c r="D306" s="15" t="s">
        <v>5579</v>
      </c>
      <c r="E306" s="15" t="s">
        <v>6231</v>
      </c>
      <c r="F306" s="15" t="s">
        <v>6345</v>
      </c>
      <c r="G306" s="15" t="s">
        <v>4660</v>
      </c>
      <c r="H306" s="15" t="s">
        <v>4029</v>
      </c>
      <c r="I306" s="15" t="s">
        <v>4039</v>
      </c>
      <c r="J306" s="15" t="s">
        <v>6664</v>
      </c>
      <c r="K306" s="96" t="str">
        <f>IFERROR(INDEX(競技会設定!$J$3:$O$47,MATCH(J306,競技会設定!$M$3:$M$47,0),5),"")</f>
        <v>鈴鹿大</v>
      </c>
      <c r="L306" s="96" t="str">
        <f>IFERROR(INDEX(競技会設定!$J$3:$N$47,MATCH(K306,競技会設定!$N$3:$N$47,0),2),"")</f>
        <v>492399</v>
      </c>
      <c r="M306" s="15" t="s">
        <v>3861</v>
      </c>
      <c r="N306" s="96" t="str">
        <f t="shared" si="13"/>
        <v>MATSUMOTO, Komari</v>
      </c>
      <c r="O306" s="96" t="str">
        <f t="shared" si="14"/>
        <v>01</v>
      </c>
    </row>
    <row r="307" spans="1:15">
      <c r="A307" s="96" t="str">
        <f t="shared" si="12"/>
        <v>502002306</v>
      </c>
      <c r="B307" s="15" t="s">
        <v>5580</v>
      </c>
      <c r="C307" s="15" t="s">
        <v>5581</v>
      </c>
      <c r="D307" s="15" t="s">
        <v>5582</v>
      </c>
      <c r="E307" s="15" t="s">
        <v>3043</v>
      </c>
      <c r="F307" s="15" t="s">
        <v>6346</v>
      </c>
      <c r="G307" s="15" t="s">
        <v>3707</v>
      </c>
      <c r="H307" s="15" t="s">
        <v>4029</v>
      </c>
      <c r="I307" s="15" t="s">
        <v>4039</v>
      </c>
      <c r="J307" s="15" t="s">
        <v>6664</v>
      </c>
      <c r="K307" s="96" t="str">
        <f>IFERROR(INDEX(競技会設定!$J$3:$O$47,MATCH(J307,競技会設定!$M$3:$M$47,0),5),"")</f>
        <v>鈴鹿大</v>
      </c>
      <c r="L307" s="96" t="str">
        <f>IFERROR(INDEX(競技会設定!$J$3:$N$47,MATCH(K307,競技会設定!$N$3:$N$47,0),2),"")</f>
        <v>492399</v>
      </c>
      <c r="M307" s="15" t="s">
        <v>3861</v>
      </c>
      <c r="N307" s="96" t="str">
        <f t="shared" si="13"/>
        <v>ASANO, Tokoha</v>
      </c>
      <c r="O307" s="96" t="str">
        <f t="shared" si="14"/>
        <v>01</v>
      </c>
    </row>
    <row r="308" spans="1:15">
      <c r="A308" s="96" t="str">
        <f t="shared" si="12"/>
        <v>502002307</v>
      </c>
      <c r="B308" s="15" t="s">
        <v>5583</v>
      </c>
      <c r="C308" s="15" t="s">
        <v>5352</v>
      </c>
      <c r="D308" s="15" t="s">
        <v>5353</v>
      </c>
      <c r="E308" s="15" t="s">
        <v>3050</v>
      </c>
      <c r="F308" s="15" t="s">
        <v>5972</v>
      </c>
      <c r="G308" s="15" t="s">
        <v>3745</v>
      </c>
      <c r="H308" s="15" t="s">
        <v>4029</v>
      </c>
      <c r="I308" s="15" t="s">
        <v>4039</v>
      </c>
      <c r="J308" s="15" t="s">
        <v>6664</v>
      </c>
      <c r="K308" s="96" t="str">
        <f>IFERROR(INDEX(競技会設定!$J$3:$O$47,MATCH(J308,競技会設定!$M$3:$M$47,0),5),"")</f>
        <v>鈴鹿大</v>
      </c>
      <c r="L308" s="96" t="str">
        <f>IFERROR(INDEX(競技会設定!$J$3:$N$47,MATCH(K308,競技会設定!$N$3:$N$47,0),2),"")</f>
        <v>492399</v>
      </c>
      <c r="M308" s="15" t="s">
        <v>3861</v>
      </c>
      <c r="N308" s="96" t="str">
        <f t="shared" si="13"/>
        <v>YAMAMOTO, Ayaka</v>
      </c>
      <c r="O308" s="96" t="str">
        <f t="shared" si="14"/>
        <v>01</v>
      </c>
    </row>
    <row r="309" spans="1:15">
      <c r="A309" s="96" t="str">
        <f t="shared" si="12"/>
        <v>502002308</v>
      </c>
      <c r="B309" s="15" t="s">
        <v>5584</v>
      </c>
      <c r="C309" s="15" t="s">
        <v>5585</v>
      </c>
      <c r="D309" s="15" t="s">
        <v>5586</v>
      </c>
      <c r="E309" s="15" t="s">
        <v>6347</v>
      </c>
      <c r="F309" s="15" t="s">
        <v>6348</v>
      </c>
      <c r="G309" s="15" t="s">
        <v>6614</v>
      </c>
      <c r="H309" s="15" t="s">
        <v>4029</v>
      </c>
      <c r="I309" s="15" t="s">
        <v>4039</v>
      </c>
      <c r="J309" s="15" t="s">
        <v>4047</v>
      </c>
      <c r="K309" s="96" t="str">
        <f>IFERROR(INDEX(競技会設定!$J$3:$O$47,MATCH(J309,競技会設定!$M$3:$M$47,0),5),"")</f>
        <v>岐阜協立大</v>
      </c>
      <c r="L309" s="96" t="str">
        <f>IFERROR(INDEX(競技会設定!$J$3:$N$47,MATCH(K309,競技会設定!$N$3:$N$47,0),2),"")</f>
        <v>492161</v>
      </c>
      <c r="M309" s="15" t="s">
        <v>3833</v>
      </c>
      <c r="N309" s="96" t="str">
        <f t="shared" si="13"/>
        <v>OGATA, Azu</v>
      </c>
      <c r="O309" s="96" t="str">
        <f t="shared" si="14"/>
        <v>01</v>
      </c>
    </row>
    <row r="310" spans="1:15">
      <c r="A310" s="96" t="str">
        <f t="shared" si="12"/>
        <v>502002309</v>
      </c>
      <c r="B310" s="15" t="s">
        <v>5587</v>
      </c>
      <c r="C310" s="15" t="s">
        <v>5588</v>
      </c>
      <c r="D310" s="15" t="s">
        <v>5589</v>
      </c>
      <c r="E310" s="15" t="s">
        <v>5964</v>
      </c>
      <c r="F310" s="15" t="s">
        <v>6007</v>
      </c>
      <c r="G310" s="15" t="s">
        <v>4664</v>
      </c>
      <c r="H310" s="15" t="s">
        <v>4029</v>
      </c>
      <c r="I310" s="15" t="s">
        <v>4039</v>
      </c>
      <c r="J310" s="15" t="s">
        <v>4047</v>
      </c>
      <c r="K310" s="96" t="str">
        <f>IFERROR(INDEX(競技会設定!$J$3:$O$47,MATCH(J310,競技会設定!$M$3:$M$47,0),5),"")</f>
        <v>岐阜協立大</v>
      </c>
      <c r="L310" s="96" t="str">
        <f>IFERROR(INDEX(競技会設定!$J$3:$N$47,MATCH(K310,競技会設定!$N$3:$N$47,0),2),"")</f>
        <v>492161</v>
      </c>
      <c r="M310" s="15" t="s">
        <v>3855</v>
      </c>
      <c r="N310" s="96" t="str">
        <f t="shared" si="13"/>
        <v>KITAMURA, Rumi</v>
      </c>
      <c r="O310" s="96" t="str">
        <f t="shared" si="14"/>
        <v>01</v>
      </c>
    </row>
    <row r="311" spans="1:15">
      <c r="A311" s="96" t="str">
        <f t="shared" si="12"/>
        <v>502002310</v>
      </c>
      <c r="B311" s="15" t="s">
        <v>5590</v>
      </c>
      <c r="C311" s="15" t="s">
        <v>5591</v>
      </c>
      <c r="D311" s="15" t="s">
        <v>5592</v>
      </c>
      <c r="E311" s="15" t="s">
        <v>6349</v>
      </c>
      <c r="F311" s="15" t="s">
        <v>6350</v>
      </c>
      <c r="G311" s="15" t="s">
        <v>6615</v>
      </c>
      <c r="H311" s="15" t="s">
        <v>4029</v>
      </c>
      <c r="I311" s="15" t="s">
        <v>4039</v>
      </c>
      <c r="J311" s="15" t="s">
        <v>4047</v>
      </c>
      <c r="K311" s="96" t="str">
        <f>IFERROR(INDEX(競技会設定!$J$3:$O$47,MATCH(J311,競技会設定!$M$3:$M$47,0),5),"")</f>
        <v>岐阜協立大</v>
      </c>
      <c r="L311" s="96" t="str">
        <f>IFERROR(INDEX(競技会設定!$J$3:$N$47,MATCH(K311,競技会設定!$N$3:$N$47,0),2),"")</f>
        <v>492161</v>
      </c>
      <c r="M311" s="15" t="s">
        <v>3857</v>
      </c>
      <c r="N311" s="96" t="str">
        <f t="shared" si="13"/>
        <v>SAGA, Fubuki</v>
      </c>
      <c r="O311" s="96" t="str">
        <f t="shared" si="14"/>
        <v>02</v>
      </c>
    </row>
    <row r="312" spans="1:15">
      <c r="A312" s="96" t="str">
        <f t="shared" si="12"/>
        <v>502002311</v>
      </c>
      <c r="B312" s="15" t="s">
        <v>5593</v>
      </c>
      <c r="C312" s="15" t="s">
        <v>5594</v>
      </c>
      <c r="D312" s="15" t="s">
        <v>5595</v>
      </c>
      <c r="E312" s="15" t="s">
        <v>5968</v>
      </c>
      <c r="F312" s="15" t="s">
        <v>6351</v>
      </c>
      <c r="G312" s="15" t="s">
        <v>3571</v>
      </c>
      <c r="H312" s="15" t="s">
        <v>4029</v>
      </c>
      <c r="I312" s="15" t="s">
        <v>4039</v>
      </c>
      <c r="J312" s="15" t="s">
        <v>4047</v>
      </c>
      <c r="K312" s="96" t="str">
        <f>IFERROR(INDEX(競技会設定!$J$3:$O$47,MATCH(J312,競技会設定!$M$3:$M$47,0),5),"")</f>
        <v>岐阜協立大</v>
      </c>
      <c r="L312" s="96" t="str">
        <f>IFERROR(INDEX(競技会設定!$J$3:$N$47,MATCH(K312,競技会設定!$N$3:$N$47,0),2),"")</f>
        <v>492161</v>
      </c>
      <c r="M312" s="15" t="s">
        <v>3859</v>
      </c>
      <c r="N312" s="96" t="str">
        <f t="shared" si="13"/>
        <v>SUGIYAMA, Ayami</v>
      </c>
      <c r="O312" s="96" t="str">
        <f t="shared" si="14"/>
        <v>01</v>
      </c>
    </row>
    <row r="313" spans="1:15">
      <c r="A313" s="96" t="str">
        <f t="shared" si="12"/>
        <v>502002312</v>
      </c>
      <c r="B313" s="15" t="s">
        <v>5596</v>
      </c>
      <c r="C313" s="15" t="s">
        <v>5597</v>
      </c>
      <c r="D313" s="15" t="s">
        <v>5598</v>
      </c>
      <c r="E313" s="15" t="s">
        <v>6352</v>
      </c>
      <c r="F313" s="15" t="s">
        <v>6204</v>
      </c>
      <c r="G313" s="15" t="s">
        <v>4617</v>
      </c>
      <c r="H313" s="15" t="s">
        <v>4029</v>
      </c>
      <c r="I313" s="15" t="s">
        <v>4039</v>
      </c>
      <c r="J313" s="15" t="s">
        <v>4047</v>
      </c>
      <c r="K313" s="96" t="str">
        <f>IFERROR(INDEX(競技会設定!$J$3:$O$47,MATCH(J313,競技会設定!$M$3:$M$47,0),5),"")</f>
        <v>岐阜協立大</v>
      </c>
      <c r="L313" s="96" t="str">
        <f>IFERROR(INDEX(競技会設定!$J$3:$N$47,MATCH(K313,競技会設定!$N$3:$N$47,0),2),"")</f>
        <v>492161</v>
      </c>
      <c r="M313" s="15" t="s">
        <v>3855</v>
      </c>
      <c r="N313" s="96" t="str">
        <f t="shared" si="13"/>
        <v>HIROSE, Chihiro</v>
      </c>
      <c r="O313" s="96" t="str">
        <f t="shared" si="14"/>
        <v>02</v>
      </c>
    </row>
    <row r="314" spans="1:15">
      <c r="A314" s="96" t="str">
        <f t="shared" si="12"/>
        <v>502002313</v>
      </c>
      <c r="B314" s="15" t="s">
        <v>5599</v>
      </c>
      <c r="C314" s="15" t="s">
        <v>5600</v>
      </c>
      <c r="D314" s="15" t="s">
        <v>5601</v>
      </c>
      <c r="E314" s="15" t="s">
        <v>6353</v>
      </c>
      <c r="F314" s="15" t="s">
        <v>6018</v>
      </c>
      <c r="G314" s="15" t="s">
        <v>6530</v>
      </c>
      <c r="H314" s="15" t="s">
        <v>4026</v>
      </c>
      <c r="I314" s="15" t="s">
        <v>4039</v>
      </c>
      <c r="J314" s="15" t="s">
        <v>4049</v>
      </c>
      <c r="K314" s="96" t="str">
        <f>IFERROR(INDEX(競技会設定!$J$3:$O$47,MATCH(J314,競技会設定!$M$3:$M$47,0),5),"")</f>
        <v>岐阜聖徳学園大</v>
      </c>
      <c r="L314" s="96" t="str">
        <f>IFERROR(INDEX(競技会設定!$J$3:$N$47,MATCH(K314,競技会設定!$N$3:$N$47,0),2),"")</f>
        <v>492164</v>
      </c>
      <c r="M314" s="15" t="s">
        <v>3855</v>
      </c>
      <c r="N314" s="96" t="str">
        <f t="shared" si="13"/>
        <v>USHIMARU, Minori</v>
      </c>
      <c r="O314" s="96" t="str">
        <f t="shared" si="14"/>
        <v>00</v>
      </c>
    </row>
    <row r="315" spans="1:15">
      <c r="A315" s="96" t="str">
        <f t="shared" si="12"/>
        <v>502002314</v>
      </c>
      <c r="B315" s="15" t="s">
        <v>5602</v>
      </c>
      <c r="C315" s="15" t="s">
        <v>5603</v>
      </c>
      <c r="D315" s="15" t="s">
        <v>5604</v>
      </c>
      <c r="E315" s="15" t="s">
        <v>6354</v>
      </c>
      <c r="F315" s="15" t="s">
        <v>5972</v>
      </c>
      <c r="G315" s="15" t="s">
        <v>3520</v>
      </c>
      <c r="H315" s="15" t="s">
        <v>4026</v>
      </c>
      <c r="I315" s="15" t="s">
        <v>4039</v>
      </c>
      <c r="J315" s="15" t="s">
        <v>4049</v>
      </c>
      <c r="K315" s="96" t="str">
        <f>IFERROR(INDEX(競技会設定!$J$3:$O$47,MATCH(J315,競技会設定!$M$3:$M$47,0),5),"")</f>
        <v>岐阜聖徳学園大</v>
      </c>
      <c r="L315" s="96" t="str">
        <f>IFERROR(INDEX(競技会設定!$J$3:$N$47,MATCH(K315,競技会設定!$N$3:$N$47,0),2),"")</f>
        <v>492164</v>
      </c>
      <c r="M315" s="15" t="s">
        <v>3855</v>
      </c>
      <c r="N315" s="96" t="str">
        <f t="shared" si="13"/>
        <v>OE, Ayaka</v>
      </c>
      <c r="O315" s="96" t="str">
        <f t="shared" si="14"/>
        <v>00</v>
      </c>
    </row>
    <row r="316" spans="1:15">
      <c r="A316" s="96" t="str">
        <f t="shared" si="12"/>
        <v>502002315</v>
      </c>
      <c r="B316" s="15" t="s">
        <v>5605</v>
      </c>
      <c r="C316" s="15" t="s">
        <v>5606</v>
      </c>
      <c r="D316" s="15" t="s">
        <v>5607</v>
      </c>
      <c r="E316" s="15" t="s">
        <v>6000</v>
      </c>
      <c r="F316" s="15" t="s">
        <v>6176</v>
      </c>
      <c r="G316" s="15" t="s">
        <v>6616</v>
      </c>
      <c r="H316" s="15" t="s">
        <v>4025</v>
      </c>
      <c r="I316" s="15" t="s">
        <v>4039</v>
      </c>
      <c r="J316" s="15" t="s">
        <v>4049</v>
      </c>
      <c r="K316" s="96" t="str">
        <f>IFERROR(INDEX(競技会設定!$J$3:$O$47,MATCH(J316,競技会設定!$M$3:$M$47,0),5),"")</f>
        <v>岐阜聖徳学園大</v>
      </c>
      <c r="L316" s="96" t="str">
        <f>IFERROR(INDEX(競技会設定!$J$3:$N$47,MATCH(K316,競技会設定!$N$3:$N$47,0),2),"")</f>
        <v>492164</v>
      </c>
      <c r="M316" s="15" t="s">
        <v>3855</v>
      </c>
      <c r="N316" s="96" t="str">
        <f t="shared" si="13"/>
        <v>KAWAI, Riko</v>
      </c>
      <c r="O316" s="96" t="str">
        <f t="shared" si="14"/>
        <v>98</v>
      </c>
    </row>
    <row r="317" spans="1:15">
      <c r="A317" s="96" t="str">
        <f t="shared" si="12"/>
        <v>502002316</v>
      </c>
      <c r="B317" s="15" t="s">
        <v>5608</v>
      </c>
      <c r="C317" s="15" t="s">
        <v>5609</v>
      </c>
      <c r="D317" s="15" t="s">
        <v>5610</v>
      </c>
      <c r="E317" s="15" t="s">
        <v>3040</v>
      </c>
      <c r="F317" s="15" t="s">
        <v>6355</v>
      </c>
      <c r="G317" s="15" t="s">
        <v>6617</v>
      </c>
      <c r="H317" s="15" t="s">
        <v>4026</v>
      </c>
      <c r="I317" s="15" t="s">
        <v>4039</v>
      </c>
      <c r="J317" s="15" t="s">
        <v>4049</v>
      </c>
      <c r="K317" s="96" t="str">
        <f>IFERROR(INDEX(競技会設定!$J$3:$O$47,MATCH(J317,競技会設定!$M$3:$M$47,0),5),"")</f>
        <v>岐阜聖徳学園大</v>
      </c>
      <c r="L317" s="96" t="str">
        <f>IFERROR(INDEX(競技会設定!$J$3:$N$47,MATCH(K317,競技会設定!$N$3:$N$47,0),2),"")</f>
        <v>492164</v>
      </c>
      <c r="M317" s="15" t="s">
        <v>3855</v>
      </c>
      <c r="N317" s="96" t="str">
        <f t="shared" si="13"/>
        <v>ANDO, Yurika</v>
      </c>
      <c r="O317" s="96" t="str">
        <f t="shared" si="14"/>
        <v>00</v>
      </c>
    </row>
    <row r="318" spans="1:15">
      <c r="A318" s="96" t="str">
        <f t="shared" si="12"/>
        <v>502002317</v>
      </c>
      <c r="B318" s="15" t="s">
        <v>5611</v>
      </c>
      <c r="C318" s="15" t="s">
        <v>5612</v>
      </c>
      <c r="D318" s="15" t="s">
        <v>5613</v>
      </c>
      <c r="E318" s="15" t="s">
        <v>6356</v>
      </c>
      <c r="F318" s="15" t="s">
        <v>6357</v>
      </c>
      <c r="G318" s="15" t="s">
        <v>6618</v>
      </c>
      <c r="H318" s="15" t="s">
        <v>4024</v>
      </c>
      <c r="I318" s="15" t="s">
        <v>4039</v>
      </c>
      <c r="J318" s="15" t="s">
        <v>4073</v>
      </c>
      <c r="K318" s="96" t="str">
        <f>IFERROR(INDEX(競技会設定!$J$3:$O$47,MATCH(J318,競技会設定!$M$3:$M$47,0),5),"")</f>
        <v>岐阜薬科大</v>
      </c>
      <c r="L318" s="96" t="str">
        <f>IFERROR(INDEX(競技会設定!$J$3:$N$47,MATCH(K318,競技会設定!$N$3:$N$47,0),2),"")</f>
        <v>491008</v>
      </c>
      <c r="M318" s="15" t="s">
        <v>3855</v>
      </c>
      <c r="N318" s="96" t="str">
        <f t="shared" si="13"/>
        <v>YAMASHIRO, Yume</v>
      </c>
      <c r="O318" s="96" t="str">
        <f t="shared" si="14"/>
        <v>98</v>
      </c>
    </row>
    <row r="319" spans="1:15">
      <c r="A319" s="96" t="str">
        <f t="shared" si="12"/>
        <v>502002318</v>
      </c>
      <c r="B319" s="15" t="s">
        <v>5614</v>
      </c>
      <c r="C319" s="15" t="s">
        <v>5615</v>
      </c>
      <c r="D319" s="15" t="s">
        <v>5616</v>
      </c>
      <c r="E319" s="15" t="s">
        <v>6358</v>
      </c>
      <c r="F319" s="15" t="s">
        <v>6208</v>
      </c>
      <c r="G319" s="15" t="s">
        <v>6576</v>
      </c>
      <c r="H319" s="15" t="s">
        <v>4024</v>
      </c>
      <c r="I319" s="15" t="s">
        <v>4039</v>
      </c>
      <c r="J319" s="15" t="s">
        <v>4073</v>
      </c>
      <c r="K319" s="96" t="str">
        <f>IFERROR(INDEX(競技会設定!$J$3:$O$47,MATCH(J319,競技会設定!$M$3:$M$47,0),5),"")</f>
        <v>岐阜薬科大</v>
      </c>
      <c r="L319" s="96" t="str">
        <f>IFERROR(INDEX(競技会設定!$J$3:$N$47,MATCH(K319,競技会設定!$N$3:$N$47,0),2),"")</f>
        <v>491008</v>
      </c>
      <c r="M319" s="15" t="s">
        <v>3855</v>
      </c>
      <c r="N319" s="96" t="str">
        <f t="shared" si="13"/>
        <v>NAKAMIZO, Rio</v>
      </c>
      <c r="O319" s="96" t="str">
        <f t="shared" si="14"/>
        <v>00</v>
      </c>
    </row>
    <row r="320" spans="1:15">
      <c r="A320" s="96" t="str">
        <f t="shared" si="12"/>
        <v>502002319</v>
      </c>
      <c r="B320" s="15" t="s">
        <v>5617</v>
      </c>
      <c r="C320" s="15" t="s">
        <v>5618</v>
      </c>
      <c r="D320" s="15" t="s">
        <v>5619</v>
      </c>
      <c r="E320" s="15" t="s">
        <v>6359</v>
      </c>
      <c r="F320" s="15" t="s">
        <v>6058</v>
      </c>
      <c r="G320" s="15" t="s">
        <v>3184</v>
      </c>
      <c r="H320" s="15" t="s">
        <v>4026</v>
      </c>
      <c r="I320" s="15" t="s">
        <v>4039</v>
      </c>
      <c r="J320" s="15" t="s">
        <v>4073</v>
      </c>
      <c r="K320" s="96" t="str">
        <f>IFERROR(INDEX(競技会設定!$J$3:$O$47,MATCH(J320,競技会設定!$M$3:$M$47,0),5),"")</f>
        <v>岐阜薬科大</v>
      </c>
      <c r="L320" s="96" t="str">
        <f>IFERROR(INDEX(競技会設定!$J$3:$N$47,MATCH(K320,競技会設定!$N$3:$N$47,0),2),"")</f>
        <v>491008</v>
      </c>
      <c r="M320" s="15" t="s">
        <v>3855</v>
      </c>
      <c r="N320" s="96" t="str">
        <f t="shared" si="13"/>
        <v>OKUDA, Ayu</v>
      </c>
      <c r="O320" s="96" t="str">
        <f t="shared" si="14"/>
        <v>99</v>
      </c>
    </row>
    <row r="321" spans="1:15">
      <c r="A321" s="96" t="str">
        <f t="shared" si="12"/>
        <v>502002320</v>
      </c>
      <c r="B321" s="15" t="s">
        <v>5620</v>
      </c>
      <c r="C321" s="15" t="s">
        <v>5621</v>
      </c>
      <c r="D321" s="15" t="s">
        <v>5622</v>
      </c>
      <c r="E321" s="15" t="s">
        <v>6360</v>
      </c>
      <c r="F321" s="15" t="s">
        <v>6361</v>
      </c>
      <c r="G321" s="15" t="s">
        <v>6619</v>
      </c>
      <c r="H321" s="15" t="s">
        <v>4026</v>
      </c>
      <c r="I321" s="15" t="s">
        <v>4039</v>
      </c>
      <c r="J321" s="15" t="s">
        <v>4073</v>
      </c>
      <c r="K321" s="96" t="str">
        <f>IFERROR(INDEX(競技会設定!$J$3:$O$47,MATCH(J321,競技会設定!$M$3:$M$47,0),5),"")</f>
        <v>岐阜薬科大</v>
      </c>
      <c r="L321" s="96" t="str">
        <f>IFERROR(INDEX(競技会設定!$J$3:$N$47,MATCH(K321,競技会設定!$N$3:$N$47,0),2),"")</f>
        <v>491008</v>
      </c>
      <c r="M321" s="15" t="s">
        <v>3855</v>
      </c>
      <c r="N321" s="96" t="str">
        <f t="shared" si="13"/>
        <v>KANAYA, Asumi</v>
      </c>
      <c r="O321" s="96" t="str">
        <f t="shared" si="14"/>
        <v>99</v>
      </c>
    </row>
    <row r="322" spans="1:15">
      <c r="A322" s="96" t="str">
        <f t="shared" si="12"/>
        <v>502002321</v>
      </c>
      <c r="B322" s="15" t="s">
        <v>5623</v>
      </c>
      <c r="C322" s="15" t="s">
        <v>5624</v>
      </c>
      <c r="D322" s="15" t="s">
        <v>5625</v>
      </c>
      <c r="E322" s="15" t="s">
        <v>6183</v>
      </c>
      <c r="F322" s="15" t="s">
        <v>6269</v>
      </c>
      <c r="G322" s="15" t="s">
        <v>6555</v>
      </c>
      <c r="H322" s="15" t="s">
        <v>4026</v>
      </c>
      <c r="I322" s="15" t="s">
        <v>4039</v>
      </c>
      <c r="J322" s="15" t="s">
        <v>4073</v>
      </c>
      <c r="K322" s="96" t="str">
        <f>IFERROR(INDEX(競技会設定!$J$3:$O$47,MATCH(J322,競技会設定!$M$3:$M$47,0),5),"")</f>
        <v>岐阜薬科大</v>
      </c>
      <c r="L322" s="96" t="str">
        <f>IFERROR(INDEX(競技会設定!$J$3:$N$47,MATCH(K322,競技会設定!$N$3:$N$47,0),2),"")</f>
        <v>491008</v>
      </c>
      <c r="M322" s="15" t="s">
        <v>3855</v>
      </c>
      <c r="N322" s="96" t="str">
        <f t="shared" si="13"/>
        <v>KITAGAWA, Hinako</v>
      </c>
      <c r="O322" s="96" t="str">
        <f t="shared" si="14"/>
        <v>00</v>
      </c>
    </row>
    <row r="323" spans="1:15">
      <c r="A323" s="96" t="str">
        <f t="shared" ref="A323:A386" si="15">IF(B323="","","502"&amp;TEXT(B323,"000000"))</f>
        <v>502002322</v>
      </c>
      <c r="B323" s="15" t="s">
        <v>5626</v>
      </c>
      <c r="C323" s="15" t="s">
        <v>5627</v>
      </c>
      <c r="D323" s="15" t="s">
        <v>5628</v>
      </c>
      <c r="E323" s="15" t="s">
        <v>3016</v>
      </c>
      <c r="F323" s="15" t="s">
        <v>6362</v>
      </c>
      <c r="G323" s="15" t="s">
        <v>6620</v>
      </c>
      <c r="H323" s="15" t="s">
        <v>4026</v>
      </c>
      <c r="I323" s="15" t="s">
        <v>6659</v>
      </c>
      <c r="J323" s="15" t="s">
        <v>4073</v>
      </c>
      <c r="K323" s="96" t="str">
        <f>IFERROR(INDEX(競技会設定!$J$3:$O$47,MATCH(J323,競技会設定!$M$3:$M$47,0),5),"")</f>
        <v>岐阜薬科大</v>
      </c>
      <c r="L323" s="96" t="str">
        <f>IFERROR(INDEX(競技会設定!$J$3:$N$47,MATCH(K323,競技会設定!$N$3:$N$47,0),2),"")</f>
        <v>491008</v>
      </c>
      <c r="M323" s="15" t="s">
        <v>3855</v>
      </c>
      <c r="N323" s="96" t="str">
        <f t="shared" ref="N323:N386" si="16">IF(E323="","",E323&amp;", "&amp;F323)</f>
        <v>TANAKA, Gabriela</v>
      </c>
      <c r="O323" s="96" t="str">
        <f t="shared" ref="O323:O386" si="17">IFERROR(TEXT(INT(LEFT(G323,2)),"00"),"")</f>
        <v>99</v>
      </c>
    </row>
    <row r="324" spans="1:15">
      <c r="A324" s="96" t="str">
        <f t="shared" si="15"/>
        <v>502002323</v>
      </c>
      <c r="B324" s="15" t="s">
        <v>5629</v>
      </c>
      <c r="C324" s="15" t="s">
        <v>5630</v>
      </c>
      <c r="D324" s="15" t="s">
        <v>5631</v>
      </c>
      <c r="E324" s="15" t="s">
        <v>6046</v>
      </c>
      <c r="F324" s="15" t="s">
        <v>6163</v>
      </c>
      <c r="G324" s="15" t="s">
        <v>3314</v>
      </c>
      <c r="H324" s="15" t="s">
        <v>4026</v>
      </c>
      <c r="I324" s="15" t="s">
        <v>4039</v>
      </c>
      <c r="J324" s="15" t="s">
        <v>4073</v>
      </c>
      <c r="K324" s="96" t="str">
        <f>IFERROR(INDEX(競技会設定!$J$3:$O$47,MATCH(J324,競技会設定!$M$3:$M$47,0),5),"")</f>
        <v>岐阜薬科大</v>
      </c>
      <c r="L324" s="96" t="str">
        <f>IFERROR(INDEX(競技会設定!$J$3:$N$47,MATCH(K324,競技会設定!$N$3:$N$47,0),2),"")</f>
        <v>491008</v>
      </c>
      <c r="M324" s="15" t="s">
        <v>3855</v>
      </c>
      <c r="N324" s="96" t="str">
        <f t="shared" si="16"/>
        <v>TSUZUKI, Honoka</v>
      </c>
      <c r="O324" s="96" t="str">
        <f t="shared" si="17"/>
        <v>01</v>
      </c>
    </row>
    <row r="325" spans="1:15">
      <c r="A325" s="96" t="str">
        <f t="shared" si="15"/>
        <v>502002324</v>
      </c>
      <c r="B325" s="15" t="s">
        <v>5632</v>
      </c>
      <c r="C325" s="15" t="s">
        <v>5633</v>
      </c>
      <c r="D325" s="15" t="s">
        <v>5634</v>
      </c>
      <c r="E325" s="15" t="s">
        <v>6363</v>
      </c>
      <c r="F325" s="15" t="s">
        <v>6364</v>
      </c>
      <c r="G325" s="15" t="s">
        <v>3468</v>
      </c>
      <c r="H325" s="15" t="s">
        <v>4026</v>
      </c>
      <c r="I325" s="15" t="s">
        <v>4039</v>
      </c>
      <c r="J325" s="15" t="s">
        <v>4073</v>
      </c>
      <c r="K325" s="96" t="str">
        <f>IFERROR(INDEX(競技会設定!$J$3:$O$47,MATCH(J325,競技会設定!$M$3:$M$47,0),5),"")</f>
        <v>岐阜薬科大</v>
      </c>
      <c r="L325" s="96" t="str">
        <f>IFERROR(INDEX(競技会設定!$J$3:$N$47,MATCH(K325,競技会設定!$N$3:$N$47,0),2),"")</f>
        <v>491008</v>
      </c>
      <c r="M325" s="15" t="s">
        <v>3855</v>
      </c>
      <c r="N325" s="96" t="str">
        <f t="shared" si="16"/>
        <v>MIZUKAMI, Yuko</v>
      </c>
      <c r="O325" s="96" t="str">
        <f t="shared" si="17"/>
        <v>00</v>
      </c>
    </row>
    <row r="326" spans="1:15">
      <c r="A326" s="96" t="str">
        <f t="shared" si="15"/>
        <v>502002325</v>
      </c>
      <c r="B326" s="15" t="s">
        <v>5635</v>
      </c>
      <c r="C326" s="15" t="s">
        <v>5636</v>
      </c>
      <c r="D326" s="15" t="s">
        <v>5637</v>
      </c>
      <c r="E326" s="15" t="s">
        <v>3037</v>
      </c>
      <c r="F326" s="15" t="s">
        <v>6364</v>
      </c>
      <c r="G326" s="15" t="s">
        <v>6590</v>
      </c>
      <c r="H326" s="15" t="s">
        <v>4025</v>
      </c>
      <c r="I326" s="15" t="s">
        <v>4039</v>
      </c>
      <c r="J326" s="15" t="s">
        <v>4056</v>
      </c>
      <c r="K326" s="96" t="str">
        <f>IFERROR(INDEX(競技会設定!$J$3:$O$47,MATCH(J326,競技会設定!$M$3:$M$47,0),5),"")</f>
        <v>至学館大</v>
      </c>
      <c r="L326" s="96" t="str">
        <f>IFERROR(INDEX(競技会設定!$J$3:$N$47,MATCH(K326,競技会設定!$N$3:$N$47,0),2),"")</f>
        <v>492174</v>
      </c>
      <c r="M326" s="15" t="s">
        <v>3859</v>
      </c>
      <c r="N326" s="96" t="str">
        <f t="shared" si="16"/>
        <v>HARA, Yuko</v>
      </c>
      <c r="O326" s="96" t="str">
        <f t="shared" si="17"/>
        <v>98</v>
      </c>
    </row>
    <row r="327" spans="1:15">
      <c r="A327" s="96" t="str">
        <f t="shared" si="15"/>
        <v>502002326</v>
      </c>
      <c r="B327" s="15" t="s">
        <v>5638</v>
      </c>
      <c r="C327" s="15" t="s">
        <v>5639</v>
      </c>
      <c r="D327" s="15" t="s">
        <v>5640</v>
      </c>
      <c r="E327" s="15" t="s">
        <v>6365</v>
      </c>
      <c r="F327" s="15" t="s">
        <v>6366</v>
      </c>
      <c r="G327" s="15" t="s">
        <v>3292</v>
      </c>
      <c r="H327" s="15" t="s">
        <v>4024</v>
      </c>
      <c r="I327" s="15" t="s">
        <v>4039</v>
      </c>
      <c r="J327" s="15" t="s">
        <v>4056</v>
      </c>
      <c r="K327" s="96" t="str">
        <f>IFERROR(INDEX(競技会設定!$J$3:$O$47,MATCH(J327,競技会設定!$M$3:$M$47,0),5),"")</f>
        <v>至学館大</v>
      </c>
      <c r="L327" s="96" t="str">
        <f>IFERROR(INDEX(競技会設定!$J$3:$N$47,MATCH(K327,競技会設定!$N$3:$N$47,0),2),"")</f>
        <v>492174</v>
      </c>
      <c r="M327" s="15" t="s">
        <v>3859</v>
      </c>
      <c r="N327" s="96" t="str">
        <f t="shared" si="16"/>
        <v>KOMODA, Rikako</v>
      </c>
      <c r="O327" s="96" t="str">
        <f t="shared" si="17"/>
        <v>99</v>
      </c>
    </row>
    <row r="328" spans="1:15">
      <c r="A328" s="96" t="str">
        <f t="shared" si="15"/>
        <v>502002327</v>
      </c>
      <c r="B328" s="15" t="s">
        <v>5641</v>
      </c>
      <c r="C328" s="15" t="s">
        <v>5642</v>
      </c>
      <c r="D328" s="15" t="s">
        <v>5643</v>
      </c>
      <c r="E328" s="15" t="s">
        <v>3027</v>
      </c>
      <c r="F328" s="15" t="s">
        <v>6367</v>
      </c>
      <c r="G328" s="15" t="s">
        <v>3063</v>
      </c>
      <c r="H328" s="15" t="s">
        <v>4024</v>
      </c>
      <c r="I328" s="15" t="s">
        <v>4039</v>
      </c>
      <c r="J328" s="15" t="s">
        <v>4056</v>
      </c>
      <c r="K328" s="96" t="str">
        <f>IFERROR(INDEX(競技会設定!$J$3:$O$47,MATCH(J328,競技会設定!$M$3:$M$47,0),5),"")</f>
        <v>至学館大</v>
      </c>
      <c r="L328" s="96" t="str">
        <f>IFERROR(INDEX(競技会設定!$J$3:$N$47,MATCH(K328,競技会設定!$N$3:$N$47,0),2),"")</f>
        <v>492174</v>
      </c>
      <c r="M328" s="15" t="s">
        <v>3857</v>
      </c>
      <c r="N328" s="96" t="str">
        <f t="shared" si="16"/>
        <v>SHIMIZU, Misato</v>
      </c>
      <c r="O328" s="96" t="str">
        <f t="shared" si="17"/>
        <v>99</v>
      </c>
    </row>
    <row r="329" spans="1:15">
      <c r="A329" s="96" t="str">
        <f t="shared" si="15"/>
        <v>502002328</v>
      </c>
      <c r="B329" s="15" t="s">
        <v>5644</v>
      </c>
      <c r="C329" s="15" t="s">
        <v>5645</v>
      </c>
      <c r="D329" s="15" t="s">
        <v>5646</v>
      </c>
      <c r="E329" s="15" t="s">
        <v>6368</v>
      </c>
      <c r="F329" s="15" t="s">
        <v>6369</v>
      </c>
      <c r="G329" s="15" t="s">
        <v>6536</v>
      </c>
      <c r="H329" s="15" t="s">
        <v>4026</v>
      </c>
      <c r="I329" s="15" t="s">
        <v>4039</v>
      </c>
      <c r="J329" s="15" t="s">
        <v>4056</v>
      </c>
      <c r="K329" s="96" t="str">
        <f>IFERROR(INDEX(競技会設定!$J$3:$O$47,MATCH(J329,競技会設定!$M$3:$M$47,0),5),"")</f>
        <v>至学館大</v>
      </c>
      <c r="L329" s="96" t="str">
        <f>IFERROR(INDEX(競技会設定!$J$3:$N$47,MATCH(K329,競技会設定!$N$3:$N$47,0),2),"")</f>
        <v>492174</v>
      </c>
      <c r="M329" s="15" t="s">
        <v>3859</v>
      </c>
      <c r="N329" s="96" t="str">
        <f t="shared" si="16"/>
        <v>SHIBATA, Aoi</v>
      </c>
      <c r="O329" s="96" t="str">
        <f t="shared" si="17"/>
        <v>00</v>
      </c>
    </row>
    <row r="330" spans="1:15">
      <c r="A330" s="96" t="str">
        <f t="shared" si="15"/>
        <v>502002329</v>
      </c>
      <c r="B330" s="15" t="s">
        <v>5647</v>
      </c>
      <c r="C330" s="15" t="s">
        <v>5648</v>
      </c>
      <c r="D330" s="15" t="s">
        <v>5649</v>
      </c>
      <c r="E330" s="15" t="s">
        <v>3016</v>
      </c>
      <c r="F330" s="15" t="s">
        <v>6370</v>
      </c>
      <c r="G330" s="15" t="s">
        <v>3674</v>
      </c>
      <c r="H330" s="15" t="s">
        <v>4026</v>
      </c>
      <c r="I330" s="15" t="s">
        <v>4039</v>
      </c>
      <c r="J330" s="15" t="s">
        <v>4056</v>
      </c>
      <c r="K330" s="96" t="str">
        <f>IFERROR(INDEX(競技会設定!$J$3:$O$47,MATCH(J330,競技会設定!$M$3:$M$47,0),5),"")</f>
        <v>至学館大</v>
      </c>
      <c r="L330" s="96" t="str">
        <f>IFERROR(INDEX(競技会設定!$J$3:$N$47,MATCH(K330,競技会設定!$N$3:$N$47,0),2),"")</f>
        <v>492174</v>
      </c>
      <c r="M330" s="15" t="s">
        <v>3857</v>
      </c>
      <c r="N330" s="96" t="str">
        <f t="shared" si="16"/>
        <v>TANAKA, Mew</v>
      </c>
      <c r="O330" s="96" t="str">
        <f t="shared" si="17"/>
        <v>00</v>
      </c>
    </row>
    <row r="331" spans="1:15">
      <c r="A331" s="96" t="str">
        <f t="shared" si="15"/>
        <v>502002330</v>
      </c>
      <c r="B331" s="15" t="s">
        <v>5650</v>
      </c>
      <c r="C331" s="15" t="s">
        <v>5651</v>
      </c>
      <c r="D331" s="15" t="s">
        <v>5652</v>
      </c>
      <c r="E331" s="15" t="s">
        <v>4543</v>
      </c>
      <c r="F331" s="15" t="s">
        <v>6229</v>
      </c>
      <c r="G331" s="15" t="s">
        <v>4609</v>
      </c>
      <c r="H331" s="15" t="s">
        <v>4026</v>
      </c>
      <c r="I331" s="15" t="s">
        <v>4039</v>
      </c>
      <c r="J331" s="15" t="s">
        <v>4056</v>
      </c>
      <c r="K331" s="96" t="str">
        <f>IFERROR(INDEX(競技会設定!$J$3:$O$47,MATCH(J331,競技会設定!$M$3:$M$47,0),5),"")</f>
        <v>至学館大</v>
      </c>
      <c r="L331" s="96" t="str">
        <f>IFERROR(INDEX(競技会設定!$J$3:$N$47,MATCH(K331,競技会設定!$N$3:$N$47,0),2),"")</f>
        <v>492174</v>
      </c>
      <c r="M331" s="15" t="s">
        <v>3859</v>
      </c>
      <c r="N331" s="96" t="str">
        <f t="shared" si="16"/>
        <v>TOYAMA, Natsuki</v>
      </c>
      <c r="O331" s="96" t="str">
        <f t="shared" si="17"/>
        <v>00</v>
      </c>
    </row>
    <row r="332" spans="1:15">
      <c r="A332" s="96" t="str">
        <f t="shared" si="15"/>
        <v>502002331</v>
      </c>
      <c r="B332" s="15" t="s">
        <v>5653</v>
      </c>
      <c r="C332" s="15" t="s">
        <v>5654</v>
      </c>
      <c r="D332" s="15" t="s">
        <v>5655</v>
      </c>
      <c r="E332" s="15" t="s">
        <v>3011</v>
      </c>
      <c r="F332" s="15" t="s">
        <v>6371</v>
      </c>
      <c r="G332" s="15" t="s">
        <v>6621</v>
      </c>
      <c r="H332" s="15" t="s">
        <v>4026</v>
      </c>
      <c r="I332" s="15" t="s">
        <v>4039</v>
      </c>
      <c r="J332" s="15" t="s">
        <v>4056</v>
      </c>
      <c r="K332" s="96" t="str">
        <f>IFERROR(INDEX(競技会設定!$J$3:$O$47,MATCH(J332,競技会設定!$M$3:$M$47,0),5),"")</f>
        <v>至学館大</v>
      </c>
      <c r="L332" s="96" t="str">
        <f>IFERROR(INDEX(競技会設定!$J$3:$N$47,MATCH(K332,競技会設定!$N$3:$N$47,0),2),"")</f>
        <v>492174</v>
      </c>
      <c r="M332" s="15" t="s">
        <v>3861</v>
      </c>
      <c r="N332" s="96" t="str">
        <f t="shared" si="16"/>
        <v>MATSUOKA, Kanade</v>
      </c>
      <c r="O332" s="96" t="str">
        <f t="shared" si="17"/>
        <v>01</v>
      </c>
    </row>
    <row r="333" spans="1:15">
      <c r="A333" s="96" t="str">
        <f t="shared" si="15"/>
        <v>502002332</v>
      </c>
      <c r="B333" s="15" t="s">
        <v>5656</v>
      </c>
      <c r="C333" s="15" t="s">
        <v>5657</v>
      </c>
      <c r="D333" s="15" t="s">
        <v>5658</v>
      </c>
      <c r="E333" s="15" t="s">
        <v>3040</v>
      </c>
      <c r="F333" s="15" t="s">
        <v>6067</v>
      </c>
      <c r="G333" s="15" t="s">
        <v>6566</v>
      </c>
      <c r="H333" s="15" t="s">
        <v>4029</v>
      </c>
      <c r="I333" s="15" t="s">
        <v>4039</v>
      </c>
      <c r="J333" s="15" t="s">
        <v>4056</v>
      </c>
      <c r="K333" s="96" t="str">
        <f>IFERROR(INDEX(競技会設定!$J$3:$O$47,MATCH(J333,競技会設定!$M$3:$M$47,0),5),"")</f>
        <v>至学館大</v>
      </c>
      <c r="L333" s="96" t="str">
        <f>IFERROR(INDEX(競技会設定!$J$3:$N$47,MATCH(K333,競技会設定!$N$3:$N$47,0),2),"")</f>
        <v>492174</v>
      </c>
      <c r="M333" s="15" t="s">
        <v>3859</v>
      </c>
      <c r="N333" s="96" t="str">
        <f t="shared" si="16"/>
        <v>ANDO, Yuzuki</v>
      </c>
      <c r="O333" s="96" t="str">
        <f t="shared" si="17"/>
        <v>01</v>
      </c>
    </row>
    <row r="334" spans="1:15">
      <c r="A334" s="96" t="str">
        <f t="shared" si="15"/>
        <v>502002333</v>
      </c>
      <c r="B334" s="15" t="s">
        <v>5659</v>
      </c>
      <c r="C334" s="15" t="s">
        <v>5660</v>
      </c>
      <c r="D334" s="15" t="s">
        <v>5661</v>
      </c>
      <c r="E334" s="15" t="s">
        <v>3055</v>
      </c>
      <c r="F334" s="15" t="s">
        <v>6088</v>
      </c>
      <c r="G334" s="15" t="s">
        <v>6622</v>
      </c>
      <c r="H334" s="15" t="s">
        <v>4029</v>
      </c>
      <c r="I334" s="15" t="s">
        <v>4039</v>
      </c>
      <c r="J334" s="15" t="s">
        <v>4056</v>
      </c>
      <c r="K334" s="96" t="str">
        <f>IFERROR(INDEX(競技会設定!$J$3:$O$47,MATCH(J334,競技会設定!$M$3:$M$47,0),5),"")</f>
        <v>至学館大</v>
      </c>
      <c r="L334" s="96" t="str">
        <f>IFERROR(INDEX(競技会設定!$J$3:$N$47,MATCH(K334,競技会設定!$N$3:$N$47,0),2),"")</f>
        <v>492174</v>
      </c>
      <c r="M334" s="15" t="s">
        <v>3861</v>
      </c>
      <c r="N334" s="96" t="str">
        <f t="shared" si="16"/>
        <v>ICHIKAWA, Sae</v>
      </c>
      <c r="O334" s="96" t="str">
        <f t="shared" si="17"/>
        <v>01</v>
      </c>
    </row>
    <row r="335" spans="1:15">
      <c r="A335" s="96" t="str">
        <f t="shared" si="15"/>
        <v>502002334</v>
      </c>
      <c r="B335" s="15" t="s">
        <v>5662</v>
      </c>
      <c r="C335" s="15" t="s">
        <v>5663</v>
      </c>
      <c r="D335" s="15" t="s">
        <v>5664</v>
      </c>
      <c r="E335" s="15" t="s">
        <v>6372</v>
      </c>
      <c r="F335" s="15" t="s">
        <v>5965</v>
      </c>
      <c r="G335" s="15" t="s">
        <v>6623</v>
      </c>
      <c r="H335" s="15" t="s">
        <v>4029</v>
      </c>
      <c r="I335" s="15" t="s">
        <v>4039</v>
      </c>
      <c r="J335" s="15" t="s">
        <v>4056</v>
      </c>
      <c r="K335" s="96" t="str">
        <f>IFERROR(INDEX(競技会設定!$J$3:$O$47,MATCH(J335,競技会設定!$M$3:$M$47,0),5),"")</f>
        <v>至学館大</v>
      </c>
      <c r="L335" s="96" t="str">
        <f>IFERROR(INDEX(競技会設定!$J$3:$N$47,MATCH(K335,競技会設定!$N$3:$N$47,0),2),"")</f>
        <v>492174</v>
      </c>
      <c r="M335" s="15" t="s">
        <v>3859</v>
      </c>
      <c r="N335" s="96" t="str">
        <f t="shared" si="16"/>
        <v>FUKUI, Ai</v>
      </c>
      <c r="O335" s="96" t="str">
        <f t="shared" si="17"/>
        <v>02</v>
      </c>
    </row>
    <row r="336" spans="1:15">
      <c r="A336" s="96" t="str">
        <f t="shared" si="15"/>
        <v>502002335</v>
      </c>
      <c r="B336" s="15" t="s">
        <v>5665</v>
      </c>
      <c r="C336" s="15" t="s">
        <v>5666</v>
      </c>
      <c r="D336" s="15" t="s">
        <v>5667</v>
      </c>
      <c r="E336" s="15" t="s">
        <v>3032</v>
      </c>
      <c r="F336" s="15" t="s">
        <v>6373</v>
      </c>
      <c r="G336" s="15" t="s">
        <v>6624</v>
      </c>
      <c r="H336" s="15" t="s">
        <v>4025</v>
      </c>
      <c r="I336" s="15" t="s">
        <v>4039</v>
      </c>
      <c r="J336" s="15" t="s">
        <v>6661</v>
      </c>
      <c r="K336" s="96" t="str">
        <f>IFERROR(INDEX(競技会設定!$J$3:$O$47,MATCH(J336,競技会設定!$M$3:$M$47,0),5),"")</f>
        <v>椙山女学園大</v>
      </c>
      <c r="L336" s="96" t="str">
        <f>IFERROR(INDEX(競技会設定!$J$3:$N$47,MATCH(K336,競技会設定!$N$3:$N$47,0),2),"")</f>
        <v>492171</v>
      </c>
      <c r="M336" s="15" t="s">
        <v>3859</v>
      </c>
      <c r="N336" s="96" t="str">
        <f t="shared" si="16"/>
        <v>KOJIMA, Kazuno</v>
      </c>
      <c r="O336" s="96" t="str">
        <f t="shared" si="17"/>
        <v>98</v>
      </c>
    </row>
    <row r="337" spans="1:15">
      <c r="A337" s="96" t="str">
        <f t="shared" si="15"/>
        <v>502002336</v>
      </c>
      <c r="B337" s="15" t="s">
        <v>5668</v>
      </c>
      <c r="C337" s="15" t="s">
        <v>5669</v>
      </c>
      <c r="D337" s="15" t="s">
        <v>5670</v>
      </c>
      <c r="E337" s="15" t="s">
        <v>6374</v>
      </c>
      <c r="F337" s="15" t="s">
        <v>5967</v>
      </c>
      <c r="G337" s="15" t="s">
        <v>6560</v>
      </c>
      <c r="H337" s="15" t="s">
        <v>4026</v>
      </c>
      <c r="I337" s="15" t="s">
        <v>4039</v>
      </c>
      <c r="J337" s="15" t="s">
        <v>6661</v>
      </c>
      <c r="K337" s="96" t="str">
        <f>IFERROR(INDEX(競技会設定!$J$3:$O$47,MATCH(J337,競技会設定!$M$3:$M$47,0),5),"")</f>
        <v>椙山女学園大</v>
      </c>
      <c r="L337" s="96" t="str">
        <f>IFERROR(INDEX(競技会設定!$J$3:$N$47,MATCH(K337,競技会設定!$N$3:$N$47,0),2),"")</f>
        <v>492171</v>
      </c>
      <c r="M337" s="15" t="s">
        <v>3859</v>
      </c>
      <c r="N337" s="96" t="str">
        <f t="shared" si="16"/>
        <v>NAKAI, Mizuki</v>
      </c>
      <c r="O337" s="96" t="str">
        <f t="shared" si="17"/>
        <v>00</v>
      </c>
    </row>
    <row r="338" spans="1:15">
      <c r="A338" s="96" t="str">
        <f t="shared" si="15"/>
        <v>502002337</v>
      </c>
      <c r="B338" s="15" t="s">
        <v>5671</v>
      </c>
      <c r="C338" s="15" t="s">
        <v>5672</v>
      </c>
      <c r="D338" s="15" t="s">
        <v>5673</v>
      </c>
      <c r="E338" s="15" t="s">
        <v>3040</v>
      </c>
      <c r="F338" s="15" t="s">
        <v>6375</v>
      </c>
      <c r="G338" s="15" t="s">
        <v>6526</v>
      </c>
      <c r="H338" s="15" t="s">
        <v>4025</v>
      </c>
      <c r="I338" s="15" t="s">
        <v>4039</v>
      </c>
      <c r="J338" s="15" t="s">
        <v>4074</v>
      </c>
      <c r="K338" s="96" t="str">
        <f>IFERROR(INDEX(競技会設定!$J$3:$O$47,MATCH(J338,競技会設定!$M$3:$M$47,0),5),"")</f>
        <v>東海学園大</v>
      </c>
      <c r="L338" s="96" t="str">
        <f>IFERROR(INDEX(競技会設定!$J$3:$N$47,MATCH(K338,競技会設定!$N$3:$N$47,0),2),"")</f>
        <v>492412</v>
      </c>
      <c r="M338" s="15" t="s">
        <v>3855</v>
      </c>
      <c r="N338" s="96" t="str">
        <f t="shared" si="16"/>
        <v>ANDO, Yumiko</v>
      </c>
      <c r="O338" s="96" t="str">
        <f t="shared" si="17"/>
        <v>98</v>
      </c>
    </row>
    <row r="339" spans="1:15">
      <c r="A339" s="96" t="str">
        <f t="shared" si="15"/>
        <v>502002338</v>
      </c>
      <c r="B339" s="15" t="s">
        <v>5674</v>
      </c>
      <c r="C339" s="15" t="s">
        <v>5675</v>
      </c>
      <c r="D339" s="15" t="s">
        <v>5676</v>
      </c>
      <c r="E339" s="15" t="s">
        <v>3051</v>
      </c>
      <c r="F339" s="15" t="s">
        <v>5965</v>
      </c>
      <c r="G339" s="15" t="s">
        <v>3532</v>
      </c>
      <c r="H339" s="15" t="s">
        <v>4025</v>
      </c>
      <c r="I339" s="15" t="s">
        <v>4039</v>
      </c>
      <c r="J339" s="15" t="s">
        <v>4074</v>
      </c>
      <c r="K339" s="96" t="str">
        <f>IFERROR(INDEX(競技会設定!$J$3:$O$47,MATCH(J339,競技会設定!$M$3:$M$47,0),5),"")</f>
        <v>東海学園大</v>
      </c>
      <c r="L339" s="96" t="str">
        <f>IFERROR(INDEX(競技会設定!$J$3:$N$47,MATCH(K339,競技会設定!$N$3:$N$47,0),2),"")</f>
        <v>492412</v>
      </c>
      <c r="M339" s="15" t="s">
        <v>3859</v>
      </c>
      <c r="N339" s="96" t="str">
        <f t="shared" si="16"/>
        <v>KAMIYA, Ai</v>
      </c>
      <c r="O339" s="96" t="str">
        <f t="shared" si="17"/>
        <v>99</v>
      </c>
    </row>
    <row r="340" spans="1:15">
      <c r="A340" s="96" t="str">
        <f t="shared" si="15"/>
        <v>502002339</v>
      </c>
      <c r="B340" s="15" t="s">
        <v>5677</v>
      </c>
      <c r="C340" s="15" t="s">
        <v>5678</v>
      </c>
      <c r="D340" s="15" t="s">
        <v>5679</v>
      </c>
      <c r="E340" s="15" t="s">
        <v>6376</v>
      </c>
      <c r="F340" s="15" t="s">
        <v>6255</v>
      </c>
      <c r="G340" s="15" t="s">
        <v>6625</v>
      </c>
      <c r="H340" s="15" t="s">
        <v>4025</v>
      </c>
      <c r="I340" s="15" t="s">
        <v>4039</v>
      </c>
      <c r="J340" s="15" t="s">
        <v>4074</v>
      </c>
      <c r="K340" s="96" t="str">
        <f>IFERROR(INDEX(競技会設定!$J$3:$O$47,MATCH(J340,競技会設定!$M$3:$M$47,0),5),"")</f>
        <v>東海学園大</v>
      </c>
      <c r="L340" s="96" t="str">
        <f>IFERROR(INDEX(競技会設定!$J$3:$N$47,MATCH(K340,競技会設定!$N$3:$N$47,0),2),"")</f>
        <v>492412</v>
      </c>
      <c r="M340" s="15" t="s">
        <v>3859</v>
      </c>
      <c r="N340" s="96" t="str">
        <f t="shared" si="16"/>
        <v>NAKAUCHI, Ayako</v>
      </c>
      <c r="O340" s="96" t="str">
        <f t="shared" si="17"/>
        <v>98</v>
      </c>
    </row>
    <row r="341" spans="1:15">
      <c r="A341" s="96" t="str">
        <f t="shared" si="15"/>
        <v>502002340</v>
      </c>
      <c r="B341" s="15" t="s">
        <v>5680</v>
      </c>
      <c r="C341" s="15" t="s">
        <v>5681</v>
      </c>
      <c r="D341" s="15" t="s">
        <v>5682</v>
      </c>
      <c r="E341" s="15" t="s">
        <v>6377</v>
      </c>
      <c r="F341" s="15" t="s">
        <v>6094</v>
      </c>
      <c r="G341" s="15" t="s">
        <v>3072</v>
      </c>
      <c r="H341" s="15" t="s">
        <v>4025</v>
      </c>
      <c r="I341" s="15" t="s">
        <v>4039</v>
      </c>
      <c r="J341" s="15" t="s">
        <v>4074</v>
      </c>
      <c r="K341" s="96" t="str">
        <f>IFERROR(INDEX(競技会設定!$J$3:$O$47,MATCH(J341,競技会設定!$M$3:$M$47,0),5),"")</f>
        <v>東海学園大</v>
      </c>
      <c r="L341" s="96" t="str">
        <f>IFERROR(INDEX(競技会設定!$J$3:$N$47,MATCH(K341,競技会設定!$N$3:$N$47,0),2),"")</f>
        <v>492412</v>
      </c>
      <c r="M341" s="15" t="s">
        <v>3859</v>
      </c>
      <c r="N341" s="96" t="str">
        <f t="shared" si="16"/>
        <v>NINAGAWA, Mayu</v>
      </c>
      <c r="O341" s="96" t="str">
        <f t="shared" si="17"/>
        <v>98</v>
      </c>
    </row>
    <row r="342" spans="1:15">
      <c r="A342" s="96" t="str">
        <f t="shared" si="15"/>
        <v>502002341</v>
      </c>
      <c r="B342" s="15" t="s">
        <v>5683</v>
      </c>
      <c r="C342" s="15" t="s">
        <v>5684</v>
      </c>
      <c r="D342" s="15" t="s">
        <v>5685</v>
      </c>
      <c r="E342" s="15" t="s">
        <v>6378</v>
      </c>
      <c r="F342" s="15" t="s">
        <v>6179</v>
      </c>
      <c r="G342" s="15" t="s">
        <v>6626</v>
      </c>
      <c r="H342" s="15" t="s">
        <v>4025</v>
      </c>
      <c r="I342" s="15" t="s">
        <v>4039</v>
      </c>
      <c r="J342" s="15" t="s">
        <v>4074</v>
      </c>
      <c r="K342" s="96" t="str">
        <f>IFERROR(INDEX(競技会設定!$J$3:$O$47,MATCH(J342,競技会設定!$M$3:$M$47,0),5),"")</f>
        <v>東海学園大</v>
      </c>
      <c r="L342" s="96" t="str">
        <f>IFERROR(INDEX(競技会設定!$J$3:$N$47,MATCH(K342,競技会設定!$N$3:$N$47,0),2),"")</f>
        <v>492412</v>
      </c>
      <c r="M342" s="15" t="s">
        <v>3859</v>
      </c>
      <c r="N342" s="96" t="str">
        <f t="shared" si="16"/>
        <v>MATSUO, Arisa</v>
      </c>
      <c r="O342" s="96" t="str">
        <f t="shared" si="17"/>
        <v>98</v>
      </c>
    </row>
    <row r="343" spans="1:15">
      <c r="A343" s="96" t="str">
        <f t="shared" si="15"/>
        <v>502002342</v>
      </c>
      <c r="B343" s="15" t="s">
        <v>5686</v>
      </c>
      <c r="C343" s="15" t="s">
        <v>5687</v>
      </c>
      <c r="D343" s="15" t="s">
        <v>5688</v>
      </c>
      <c r="E343" s="15" t="s">
        <v>6379</v>
      </c>
      <c r="F343" s="15" t="s">
        <v>6107</v>
      </c>
      <c r="G343" s="15" t="s">
        <v>6627</v>
      </c>
      <c r="H343" s="15" t="s">
        <v>4025</v>
      </c>
      <c r="I343" s="15" t="s">
        <v>4039</v>
      </c>
      <c r="J343" s="15" t="s">
        <v>4074</v>
      </c>
      <c r="K343" s="96" t="str">
        <f>IFERROR(INDEX(競技会設定!$J$3:$O$47,MATCH(J343,競技会設定!$M$3:$M$47,0),5),"")</f>
        <v>東海学園大</v>
      </c>
      <c r="L343" s="96" t="str">
        <f>IFERROR(INDEX(競技会設定!$J$3:$N$47,MATCH(K343,競技会設定!$N$3:$N$47,0),2),"")</f>
        <v>492412</v>
      </c>
      <c r="M343" s="15" t="s">
        <v>3859</v>
      </c>
      <c r="N343" s="96" t="str">
        <f t="shared" si="16"/>
        <v>MIYASHITA, Yuka</v>
      </c>
      <c r="O343" s="96" t="str">
        <f t="shared" si="17"/>
        <v>99</v>
      </c>
    </row>
    <row r="344" spans="1:15">
      <c r="A344" s="96" t="str">
        <f t="shared" si="15"/>
        <v>502002343</v>
      </c>
      <c r="B344" s="15" t="s">
        <v>5689</v>
      </c>
      <c r="C344" s="15" t="s">
        <v>5690</v>
      </c>
      <c r="D344" s="15" t="s">
        <v>5691</v>
      </c>
      <c r="E344" s="15" t="s">
        <v>3050</v>
      </c>
      <c r="F344" s="15" t="s">
        <v>6380</v>
      </c>
      <c r="G344" s="15" t="s">
        <v>3261</v>
      </c>
      <c r="H344" s="15" t="s">
        <v>4025</v>
      </c>
      <c r="I344" s="15" t="s">
        <v>4039</v>
      </c>
      <c r="J344" s="15" t="s">
        <v>4074</v>
      </c>
      <c r="K344" s="96" t="str">
        <f>IFERROR(INDEX(競技会設定!$J$3:$O$47,MATCH(J344,競技会設定!$M$3:$M$47,0),5),"")</f>
        <v>東海学園大</v>
      </c>
      <c r="L344" s="96" t="str">
        <f>IFERROR(INDEX(競技会設定!$J$3:$N$47,MATCH(K344,競技会設定!$N$3:$N$47,0),2),"")</f>
        <v>492412</v>
      </c>
      <c r="M344" s="15" t="s">
        <v>3859</v>
      </c>
      <c r="N344" s="96" t="str">
        <f t="shared" si="16"/>
        <v>YAMAMOTO, June</v>
      </c>
      <c r="O344" s="96" t="str">
        <f t="shared" si="17"/>
        <v>98</v>
      </c>
    </row>
    <row r="345" spans="1:15">
      <c r="A345" s="96" t="str">
        <f t="shared" si="15"/>
        <v>502002344</v>
      </c>
      <c r="B345" s="15" t="s">
        <v>5692</v>
      </c>
      <c r="C345" s="15" t="s">
        <v>5693</v>
      </c>
      <c r="D345" s="15" t="s">
        <v>5694</v>
      </c>
      <c r="E345" s="15" t="s">
        <v>6381</v>
      </c>
      <c r="F345" s="15" t="s">
        <v>6382</v>
      </c>
      <c r="G345" s="15" t="s">
        <v>3664</v>
      </c>
      <c r="H345" s="15" t="s">
        <v>4024</v>
      </c>
      <c r="I345" s="15" t="s">
        <v>4039</v>
      </c>
      <c r="J345" s="15" t="s">
        <v>4074</v>
      </c>
      <c r="K345" s="96" t="str">
        <f>IFERROR(INDEX(競技会設定!$J$3:$O$47,MATCH(J345,競技会設定!$M$3:$M$47,0),5),"")</f>
        <v>東海学園大</v>
      </c>
      <c r="L345" s="96" t="str">
        <f>IFERROR(INDEX(競技会設定!$J$3:$N$47,MATCH(K345,競技会設定!$N$3:$N$47,0),2),"")</f>
        <v>492412</v>
      </c>
      <c r="M345" s="15" t="s">
        <v>3859</v>
      </c>
      <c r="N345" s="96" t="str">
        <f t="shared" si="16"/>
        <v>ASAKAWA, Yoshino</v>
      </c>
      <c r="O345" s="96" t="str">
        <f t="shared" si="17"/>
        <v>99</v>
      </c>
    </row>
    <row r="346" spans="1:15">
      <c r="A346" s="96" t="str">
        <f t="shared" si="15"/>
        <v>502002345</v>
      </c>
      <c r="B346" s="15" t="s">
        <v>5695</v>
      </c>
      <c r="C346" s="15" t="s">
        <v>5696</v>
      </c>
      <c r="D346" s="15" t="s">
        <v>5697</v>
      </c>
      <c r="E346" s="15" t="s">
        <v>3026</v>
      </c>
      <c r="F346" s="15" t="s">
        <v>4544</v>
      </c>
      <c r="G346" s="15" t="s">
        <v>3373</v>
      </c>
      <c r="H346" s="15" t="s">
        <v>4024</v>
      </c>
      <c r="I346" s="15" t="s">
        <v>4039</v>
      </c>
      <c r="J346" s="15" t="s">
        <v>4074</v>
      </c>
      <c r="K346" s="96" t="str">
        <f>IFERROR(INDEX(競技会設定!$J$3:$O$47,MATCH(J346,競技会設定!$M$3:$M$47,0),5),"")</f>
        <v>東海学園大</v>
      </c>
      <c r="L346" s="96" t="str">
        <f>IFERROR(INDEX(競技会設定!$J$3:$N$47,MATCH(K346,競技会設定!$N$3:$N$47,0),2),"")</f>
        <v>492412</v>
      </c>
      <c r="M346" s="15" t="s">
        <v>3859</v>
      </c>
      <c r="N346" s="96" t="str">
        <f t="shared" si="16"/>
        <v>KATO, Yuri</v>
      </c>
      <c r="O346" s="96" t="str">
        <f t="shared" si="17"/>
        <v>00</v>
      </c>
    </row>
    <row r="347" spans="1:15">
      <c r="A347" s="96" t="str">
        <f t="shared" si="15"/>
        <v>502002346</v>
      </c>
      <c r="B347" s="15" t="s">
        <v>5698</v>
      </c>
      <c r="C347" s="15" t="s">
        <v>5699</v>
      </c>
      <c r="D347" s="15" t="s">
        <v>5700</v>
      </c>
      <c r="E347" s="15" t="s">
        <v>3048</v>
      </c>
      <c r="F347" s="15" t="s">
        <v>6383</v>
      </c>
      <c r="G347" s="15" t="s">
        <v>6628</v>
      </c>
      <c r="H347" s="15" t="s">
        <v>4024</v>
      </c>
      <c r="I347" s="15" t="s">
        <v>4039</v>
      </c>
      <c r="J347" s="15" t="s">
        <v>4074</v>
      </c>
      <c r="K347" s="96" t="str">
        <f>IFERROR(INDEX(競技会設定!$J$3:$O$47,MATCH(J347,競技会設定!$M$3:$M$47,0),5),"")</f>
        <v>東海学園大</v>
      </c>
      <c r="L347" s="96" t="str">
        <f>IFERROR(INDEX(競技会設定!$J$3:$N$47,MATCH(K347,競技会設定!$N$3:$N$47,0),2),"")</f>
        <v>492412</v>
      </c>
      <c r="M347" s="15" t="s">
        <v>3859</v>
      </c>
      <c r="N347" s="96" t="str">
        <f t="shared" si="16"/>
        <v>SATO, Kotomi</v>
      </c>
      <c r="O347" s="96" t="str">
        <f t="shared" si="17"/>
        <v>99</v>
      </c>
    </row>
    <row r="348" spans="1:15">
      <c r="A348" s="96" t="str">
        <f t="shared" si="15"/>
        <v>502002347</v>
      </c>
      <c r="B348" s="15" t="s">
        <v>5701</v>
      </c>
      <c r="C348" s="15" t="s">
        <v>5702</v>
      </c>
      <c r="D348" s="15" t="s">
        <v>5703</v>
      </c>
      <c r="E348" s="15" t="s">
        <v>6384</v>
      </c>
      <c r="F348" s="15" t="s">
        <v>4506</v>
      </c>
      <c r="G348" s="15" t="s">
        <v>6629</v>
      </c>
      <c r="H348" s="15" t="s">
        <v>4024</v>
      </c>
      <c r="I348" s="15" t="s">
        <v>4039</v>
      </c>
      <c r="J348" s="15" t="s">
        <v>4074</v>
      </c>
      <c r="K348" s="96" t="str">
        <f>IFERROR(INDEX(競技会設定!$J$3:$O$47,MATCH(J348,競技会設定!$M$3:$M$47,0),5),"")</f>
        <v>東海学園大</v>
      </c>
      <c r="L348" s="96" t="str">
        <f>IFERROR(INDEX(競技会設定!$J$3:$N$47,MATCH(K348,競技会設定!$N$3:$N$47,0),2),"")</f>
        <v>492412</v>
      </c>
      <c r="M348" s="15" t="s">
        <v>3870</v>
      </c>
      <c r="N348" s="96" t="str">
        <f t="shared" si="16"/>
        <v>TAKEBAYASHI, Misaki</v>
      </c>
      <c r="O348" s="96" t="str">
        <f t="shared" si="17"/>
        <v>98</v>
      </c>
    </row>
    <row r="349" spans="1:15">
      <c r="A349" s="96" t="str">
        <f t="shared" si="15"/>
        <v>502002348</v>
      </c>
      <c r="B349" s="15" t="s">
        <v>5704</v>
      </c>
      <c r="C349" s="15" t="s">
        <v>5705</v>
      </c>
      <c r="D349" s="15" t="s">
        <v>5706</v>
      </c>
      <c r="E349" s="15" t="s">
        <v>6385</v>
      </c>
      <c r="F349" s="15" t="s">
        <v>6181</v>
      </c>
      <c r="G349" s="15" t="s">
        <v>3294</v>
      </c>
      <c r="H349" s="15" t="s">
        <v>4024</v>
      </c>
      <c r="I349" s="15" t="s">
        <v>4039</v>
      </c>
      <c r="J349" s="15" t="s">
        <v>4074</v>
      </c>
      <c r="K349" s="96" t="str">
        <f>IFERROR(INDEX(競技会設定!$J$3:$O$47,MATCH(J349,競技会設定!$M$3:$M$47,0),5),"")</f>
        <v>東海学園大</v>
      </c>
      <c r="L349" s="96" t="str">
        <f>IFERROR(INDEX(競技会設定!$J$3:$N$47,MATCH(K349,競技会設定!$N$3:$N$47,0),2),"")</f>
        <v>492412</v>
      </c>
      <c r="M349" s="15" t="s">
        <v>3855</v>
      </c>
      <c r="N349" s="96" t="str">
        <f t="shared" si="16"/>
        <v>TANAHASHI, Mika</v>
      </c>
      <c r="O349" s="96" t="str">
        <f t="shared" si="17"/>
        <v>99</v>
      </c>
    </row>
    <row r="350" spans="1:15">
      <c r="A350" s="96" t="str">
        <f t="shared" si="15"/>
        <v>502002349</v>
      </c>
      <c r="B350" s="15" t="s">
        <v>5707</v>
      </c>
      <c r="C350" s="15" t="s">
        <v>5708</v>
      </c>
      <c r="D350" s="15" t="s">
        <v>5709</v>
      </c>
      <c r="E350" s="15" t="s">
        <v>6278</v>
      </c>
      <c r="F350" s="15" t="s">
        <v>6060</v>
      </c>
      <c r="G350" s="15" t="s">
        <v>3294</v>
      </c>
      <c r="H350" s="15" t="s">
        <v>4024</v>
      </c>
      <c r="I350" s="15" t="s">
        <v>4039</v>
      </c>
      <c r="J350" s="15" t="s">
        <v>4074</v>
      </c>
      <c r="K350" s="96" t="str">
        <f>IFERROR(INDEX(競技会設定!$J$3:$O$47,MATCH(J350,競技会設定!$M$3:$M$47,0),5),"")</f>
        <v>東海学園大</v>
      </c>
      <c r="L350" s="96" t="str">
        <f>IFERROR(INDEX(競技会設定!$J$3:$N$47,MATCH(K350,競技会設定!$N$3:$N$47,0),2),"")</f>
        <v>492412</v>
      </c>
      <c r="M350" s="15" t="s">
        <v>3859</v>
      </c>
      <c r="N350" s="96" t="str">
        <f t="shared" si="16"/>
        <v>NAKANE, Ruka</v>
      </c>
      <c r="O350" s="96" t="str">
        <f t="shared" si="17"/>
        <v>99</v>
      </c>
    </row>
    <row r="351" spans="1:15">
      <c r="A351" s="96" t="str">
        <f t="shared" si="15"/>
        <v>502002350</v>
      </c>
      <c r="B351" s="15" t="s">
        <v>5710</v>
      </c>
      <c r="C351" s="15" t="s">
        <v>5711</v>
      </c>
      <c r="D351" s="15" t="s">
        <v>5712</v>
      </c>
      <c r="E351" s="15" t="s">
        <v>6113</v>
      </c>
      <c r="F351" s="15" t="s">
        <v>6054</v>
      </c>
      <c r="G351" s="15" t="s">
        <v>3550</v>
      </c>
      <c r="H351" s="15" t="s">
        <v>4024</v>
      </c>
      <c r="I351" s="15" t="s">
        <v>4039</v>
      </c>
      <c r="J351" s="15" t="s">
        <v>4074</v>
      </c>
      <c r="K351" s="96" t="str">
        <f>IFERROR(INDEX(競技会設定!$J$3:$O$47,MATCH(J351,競技会設定!$M$3:$M$47,0),5),"")</f>
        <v>東海学園大</v>
      </c>
      <c r="L351" s="96" t="str">
        <f>IFERROR(INDEX(競技会設定!$J$3:$N$47,MATCH(K351,競技会設定!$N$3:$N$47,0),2),"")</f>
        <v>492412</v>
      </c>
      <c r="M351" s="15" t="s">
        <v>3853</v>
      </c>
      <c r="N351" s="96" t="str">
        <f t="shared" si="16"/>
        <v>NAKAMURA, Nanami</v>
      </c>
      <c r="O351" s="96" t="str">
        <f t="shared" si="17"/>
        <v>99</v>
      </c>
    </row>
    <row r="352" spans="1:15">
      <c r="A352" s="96" t="str">
        <f t="shared" si="15"/>
        <v>502002351</v>
      </c>
      <c r="B352" s="15" t="s">
        <v>5713</v>
      </c>
      <c r="C352" s="15" t="s">
        <v>5714</v>
      </c>
      <c r="D352" s="15" t="s">
        <v>5715</v>
      </c>
      <c r="E352" s="15" t="s">
        <v>3050</v>
      </c>
      <c r="F352" s="15" t="s">
        <v>6386</v>
      </c>
      <c r="G352" s="15" t="s">
        <v>4606</v>
      </c>
      <c r="H352" s="15" t="s">
        <v>4024</v>
      </c>
      <c r="I352" s="15" t="s">
        <v>4039</v>
      </c>
      <c r="J352" s="15" t="s">
        <v>4074</v>
      </c>
      <c r="K352" s="96" t="str">
        <f>IFERROR(INDEX(競技会設定!$J$3:$O$47,MATCH(J352,競技会設定!$M$3:$M$47,0),5),"")</f>
        <v>東海学園大</v>
      </c>
      <c r="L352" s="96" t="str">
        <f>IFERROR(INDEX(競技会設定!$J$3:$N$47,MATCH(K352,競技会設定!$N$3:$N$47,0),2),"")</f>
        <v>492412</v>
      </c>
      <c r="M352" s="15" t="s">
        <v>3859</v>
      </c>
      <c r="N352" s="96" t="str">
        <f t="shared" si="16"/>
        <v>YAMAMOTO, Sayaka</v>
      </c>
      <c r="O352" s="96" t="str">
        <f t="shared" si="17"/>
        <v>00</v>
      </c>
    </row>
    <row r="353" spans="1:15">
      <c r="A353" s="96" t="str">
        <f t="shared" si="15"/>
        <v>502002352</v>
      </c>
      <c r="B353" s="15" t="s">
        <v>5716</v>
      </c>
      <c r="C353" s="15" t="s">
        <v>5717</v>
      </c>
      <c r="D353" s="15" t="s">
        <v>5718</v>
      </c>
      <c r="E353" s="15" t="s">
        <v>6387</v>
      </c>
      <c r="F353" s="15" t="s">
        <v>6022</v>
      </c>
      <c r="G353" s="15" t="s">
        <v>3157</v>
      </c>
      <c r="H353" s="15" t="s">
        <v>4026</v>
      </c>
      <c r="I353" s="15" t="s">
        <v>4039</v>
      </c>
      <c r="J353" s="15" t="s">
        <v>4074</v>
      </c>
      <c r="K353" s="96" t="str">
        <f>IFERROR(INDEX(競技会設定!$J$3:$O$47,MATCH(J353,競技会設定!$M$3:$M$47,0),5),"")</f>
        <v>東海学園大</v>
      </c>
      <c r="L353" s="96" t="str">
        <f>IFERROR(INDEX(競技会設定!$J$3:$N$47,MATCH(K353,競技会設定!$N$3:$N$47,0),2),"")</f>
        <v>492412</v>
      </c>
      <c r="M353" s="15" t="s">
        <v>3859</v>
      </c>
      <c r="N353" s="96" t="str">
        <f t="shared" si="16"/>
        <v>OKUGAWA, Maho</v>
      </c>
      <c r="O353" s="96" t="str">
        <f t="shared" si="17"/>
        <v>00</v>
      </c>
    </row>
    <row r="354" spans="1:15">
      <c r="A354" s="96" t="str">
        <f t="shared" si="15"/>
        <v>502002353</v>
      </c>
      <c r="B354" s="15" t="s">
        <v>5719</v>
      </c>
      <c r="C354" s="15" t="s">
        <v>5720</v>
      </c>
      <c r="D354" s="15" t="s">
        <v>5721</v>
      </c>
      <c r="E354" s="15" t="s">
        <v>6388</v>
      </c>
      <c r="F354" s="15" t="s">
        <v>6289</v>
      </c>
      <c r="G354" s="15" t="s">
        <v>3609</v>
      </c>
      <c r="H354" s="15" t="s">
        <v>4026</v>
      </c>
      <c r="I354" s="15" t="s">
        <v>4039</v>
      </c>
      <c r="J354" s="15" t="s">
        <v>4074</v>
      </c>
      <c r="K354" s="96" t="str">
        <f>IFERROR(INDEX(競技会設定!$J$3:$O$47,MATCH(J354,競技会設定!$M$3:$M$47,0),5),"")</f>
        <v>東海学園大</v>
      </c>
      <c r="L354" s="96" t="str">
        <f>IFERROR(INDEX(競技会設定!$J$3:$N$47,MATCH(K354,競技会設定!$N$3:$N$47,0),2),"")</f>
        <v>492412</v>
      </c>
      <c r="M354" s="15" t="s">
        <v>3855</v>
      </c>
      <c r="N354" s="96" t="str">
        <f t="shared" si="16"/>
        <v>KATSU, Narumi</v>
      </c>
      <c r="O354" s="96" t="str">
        <f t="shared" si="17"/>
        <v>00</v>
      </c>
    </row>
    <row r="355" spans="1:15">
      <c r="A355" s="96" t="str">
        <f t="shared" si="15"/>
        <v>502002354</v>
      </c>
      <c r="B355" s="15" t="s">
        <v>5722</v>
      </c>
      <c r="C355" s="15" t="s">
        <v>5723</v>
      </c>
      <c r="D355" s="15" t="s">
        <v>5724</v>
      </c>
      <c r="E355" s="15" t="s">
        <v>6062</v>
      </c>
      <c r="F355" s="15" t="s">
        <v>6110</v>
      </c>
      <c r="G355" s="15" t="s">
        <v>3154</v>
      </c>
      <c r="H355" s="15" t="s">
        <v>4026</v>
      </c>
      <c r="I355" s="15" t="s">
        <v>4039</v>
      </c>
      <c r="J355" s="15" t="s">
        <v>4074</v>
      </c>
      <c r="K355" s="96" t="str">
        <f>IFERROR(INDEX(競技会設定!$J$3:$O$47,MATCH(J355,競技会設定!$M$3:$M$47,0),5),"")</f>
        <v>東海学園大</v>
      </c>
      <c r="L355" s="96" t="str">
        <f>IFERROR(INDEX(競技会設定!$J$3:$N$47,MATCH(K355,競技会設定!$N$3:$N$47,0),2),"")</f>
        <v>492412</v>
      </c>
      <c r="M355" s="15" t="s">
        <v>3857</v>
      </c>
      <c r="N355" s="96" t="str">
        <f t="shared" si="16"/>
        <v>KIKUCHI, Mai</v>
      </c>
      <c r="O355" s="96" t="str">
        <f t="shared" si="17"/>
        <v>00</v>
      </c>
    </row>
    <row r="356" spans="1:15">
      <c r="A356" s="96" t="str">
        <f t="shared" si="15"/>
        <v>502002355</v>
      </c>
      <c r="B356" s="15" t="s">
        <v>5725</v>
      </c>
      <c r="C356" s="15" t="s">
        <v>5726</v>
      </c>
      <c r="D356" s="15" t="s">
        <v>5727</v>
      </c>
      <c r="E356" s="15" t="s">
        <v>6389</v>
      </c>
      <c r="F356" s="15" t="s">
        <v>6390</v>
      </c>
      <c r="G356" s="15" t="s">
        <v>6630</v>
      </c>
      <c r="H356" s="15" t="s">
        <v>4026</v>
      </c>
      <c r="I356" s="15" t="s">
        <v>4039</v>
      </c>
      <c r="J356" s="15" t="s">
        <v>4074</v>
      </c>
      <c r="K356" s="96" t="str">
        <f>IFERROR(INDEX(競技会設定!$J$3:$O$47,MATCH(J356,競技会設定!$M$3:$M$47,0),5),"")</f>
        <v>東海学園大</v>
      </c>
      <c r="L356" s="96" t="str">
        <f>IFERROR(INDEX(競技会設定!$J$3:$N$47,MATCH(K356,競技会設定!$N$3:$N$47,0),2),"")</f>
        <v>492412</v>
      </c>
      <c r="M356" s="15" t="s">
        <v>3859</v>
      </c>
      <c r="N356" s="96" t="str">
        <f t="shared" si="16"/>
        <v>KUROYANAGI, Yukina</v>
      </c>
      <c r="O356" s="96" t="str">
        <f t="shared" si="17"/>
        <v>01</v>
      </c>
    </row>
    <row r="357" spans="1:15">
      <c r="A357" s="96" t="str">
        <f t="shared" si="15"/>
        <v>502002356</v>
      </c>
      <c r="B357" s="15" t="s">
        <v>5728</v>
      </c>
      <c r="C357" s="15" t="s">
        <v>5729</v>
      </c>
      <c r="D357" s="15" t="s">
        <v>5730</v>
      </c>
      <c r="E357" s="15" t="s">
        <v>3044</v>
      </c>
      <c r="F357" s="15" t="s">
        <v>6273</v>
      </c>
      <c r="G357" s="15" t="s">
        <v>6631</v>
      </c>
      <c r="H357" s="15" t="s">
        <v>4026</v>
      </c>
      <c r="I357" s="15" t="s">
        <v>4039</v>
      </c>
      <c r="J357" s="15" t="s">
        <v>4074</v>
      </c>
      <c r="K357" s="96" t="str">
        <f>IFERROR(INDEX(競技会設定!$J$3:$O$47,MATCH(J357,競技会設定!$M$3:$M$47,0),5),"")</f>
        <v>東海学園大</v>
      </c>
      <c r="L357" s="96" t="str">
        <f>IFERROR(INDEX(競技会設定!$J$3:$N$47,MATCH(K357,競技会設定!$N$3:$N$47,0),2),"")</f>
        <v>492412</v>
      </c>
      <c r="M357" s="15" t="s">
        <v>3855</v>
      </c>
      <c r="N357" s="96" t="str">
        <f t="shared" si="16"/>
        <v>KOBAYASHI, Moeka</v>
      </c>
      <c r="O357" s="96" t="str">
        <f t="shared" si="17"/>
        <v>00</v>
      </c>
    </row>
    <row r="358" spans="1:15">
      <c r="A358" s="96" t="str">
        <f t="shared" si="15"/>
        <v>502002357</v>
      </c>
      <c r="B358" s="15" t="s">
        <v>5731</v>
      </c>
      <c r="C358" s="15" t="s">
        <v>5732</v>
      </c>
      <c r="D358" s="15" t="s">
        <v>5733</v>
      </c>
      <c r="E358" s="15" t="s">
        <v>6391</v>
      </c>
      <c r="F358" s="15" t="s">
        <v>6392</v>
      </c>
      <c r="G358" s="15" t="s">
        <v>3457</v>
      </c>
      <c r="H358" s="15" t="s">
        <v>4026</v>
      </c>
      <c r="I358" s="15" t="s">
        <v>4039</v>
      </c>
      <c r="J358" s="15" t="s">
        <v>4074</v>
      </c>
      <c r="K358" s="96" t="str">
        <f>IFERROR(INDEX(競技会設定!$J$3:$O$47,MATCH(J358,競技会設定!$M$3:$M$47,0),5),"")</f>
        <v>東海学園大</v>
      </c>
      <c r="L358" s="96" t="str">
        <f>IFERROR(INDEX(競技会設定!$J$3:$N$47,MATCH(K358,競技会設定!$N$3:$N$47,0),2),"")</f>
        <v>492412</v>
      </c>
      <c r="M358" s="15" t="s">
        <v>3857</v>
      </c>
      <c r="N358" s="96" t="str">
        <f t="shared" si="16"/>
        <v>KOYAMA, Nanoha</v>
      </c>
      <c r="O358" s="96" t="str">
        <f t="shared" si="17"/>
        <v>00</v>
      </c>
    </row>
    <row r="359" spans="1:15">
      <c r="A359" s="96" t="str">
        <f t="shared" si="15"/>
        <v>502002358</v>
      </c>
      <c r="B359" s="15" t="s">
        <v>5734</v>
      </c>
      <c r="C359" s="15" t="s">
        <v>5735</v>
      </c>
      <c r="D359" s="15" t="s">
        <v>5736</v>
      </c>
      <c r="E359" s="15" t="s">
        <v>6393</v>
      </c>
      <c r="F359" s="15" t="s">
        <v>6251</v>
      </c>
      <c r="G359" s="15" t="s">
        <v>6632</v>
      </c>
      <c r="H359" s="15" t="s">
        <v>4026</v>
      </c>
      <c r="I359" s="15" t="s">
        <v>4039</v>
      </c>
      <c r="J359" s="15" t="s">
        <v>4074</v>
      </c>
      <c r="K359" s="96" t="str">
        <f>IFERROR(INDEX(競技会設定!$J$3:$O$47,MATCH(J359,競技会設定!$M$3:$M$47,0),5),"")</f>
        <v>東海学園大</v>
      </c>
      <c r="L359" s="96" t="str">
        <f>IFERROR(INDEX(競技会設定!$J$3:$N$47,MATCH(K359,競技会設定!$N$3:$N$47,0),2),"")</f>
        <v>492412</v>
      </c>
      <c r="M359" s="15" t="s">
        <v>3855</v>
      </c>
      <c r="N359" s="96" t="str">
        <f t="shared" si="16"/>
        <v>NAGAHAKA, Yumeka</v>
      </c>
      <c r="O359" s="96" t="str">
        <f t="shared" si="17"/>
        <v>00</v>
      </c>
    </row>
    <row r="360" spans="1:15">
      <c r="A360" s="96" t="str">
        <f t="shared" si="15"/>
        <v>502002359</v>
      </c>
      <c r="B360" s="15" t="s">
        <v>5737</v>
      </c>
      <c r="C360" s="15" t="s">
        <v>5738</v>
      </c>
      <c r="D360" s="15" t="s">
        <v>5739</v>
      </c>
      <c r="E360" s="15" t="s">
        <v>3045</v>
      </c>
      <c r="F360" s="15" t="s">
        <v>6120</v>
      </c>
      <c r="G360" s="15" t="s">
        <v>3676</v>
      </c>
      <c r="H360" s="15" t="s">
        <v>4026</v>
      </c>
      <c r="I360" s="15" t="s">
        <v>4039</v>
      </c>
      <c r="J360" s="15" t="s">
        <v>4074</v>
      </c>
      <c r="K360" s="96" t="str">
        <f>IFERROR(INDEX(競技会設定!$J$3:$O$47,MATCH(J360,競技会設定!$M$3:$M$47,0),5),"")</f>
        <v>東海学園大</v>
      </c>
      <c r="L360" s="96" t="str">
        <f>IFERROR(INDEX(競技会設定!$J$3:$N$47,MATCH(K360,競技会設定!$N$3:$N$47,0),2),"")</f>
        <v>492412</v>
      </c>
      <c r="M360" s="15" t="s">
        <v>3859</v>
      </c>
      <c r="N360" s="96" t="str">
        <f t="shared" si="16"/>
        <v>HAYASHI, Reina</v>
      </c>
      <c r="O360" s="96" t="str">
        <f t="shared" si="17"/>
        <v>00</v>
      </c>
    </row>
    <row r="361" spans="1:15">
      <c r="A361" s="96" t="str">
        <f t="shared" si="15"/>
        <v>502002360</v>
      </c>
      <c r="B361" s="15" t="s">
        <v>5740</v>
      </c>
      <c r="C361" s="15" t="s">
        <v>5741</v>
      </c>
      <c r="D361" s="15" t="s">
        <v>5742</v>
      </c>
      <c r="E361" s="15" t="s">
        <v>6310</v>
      </c>
      <c r="F361" s="15" t="s">
        <v>6386</v>
      </c>
      <c r="G361" s="15" t="s">
        <v>6633</v>
      </c>
      <c r="H361" s="15" t="s">
        <v>4026</v>
      </c>
      <c r="I361" s="15" t="s">
        <v>4039</v>
      </c>
      <c r="J361" s="15" t="s">
        <v>4074</v>
      </c>
      <c r="K361" s="96" t="str">
        <f>IFERROR(INDEX(競技会設定!$J$3:$O$47,MATCH(J361,競技会設定!$M$3:$M$47,0),5),"")</f>
        <v>東海学園大</v>
      </c>
      <c r="L361" s="96" t="str">
        <f>IFERROR(INDEX(競技会設定!$J$3:$N$47,MATCH(K361,競技会設定!$N$3:$N$47,0),2),"")</f>
        <v>492412</v>
      </c>
      <c r="M361" s="15" t="s">
        <v>3859</v>
      </c>
      <c r="N361" s="96" t="str">
        <f t="shared" si="16"/>
        <v>YOSHIDA, Sayaka</v>
      </c>
      <c r="O361" s="96" t="str">
        <f t="shared" si="17"/>
        <v>00</v>
      </c>
    </row>
    <row r="362" spans="1:15">
      <c r="A362" s="96" t="str">
        <f t="shared" si="15"/>
        <v>502002361</v>
      </c>
      <c r="B362" s="15" t="s">
        <v>5743</v>
      </c>
      <c r="C362" s="15" t="s">
        <v>5744</v>
      </c>
      <c r="D362" s="15" t="s">
        <v>5745</v>
      </c>
      <c r="E362" s="15" t="s">
        <v>6394</v>
      </c>
      <c r="F362" s="15" t="s">
        <v>6395</v>
      </c>
      <c r="G362" s="15" t="s">
        <v>6549</v>
      </c>
      <c r="H362" s="15" t="s">
        <v>4026</v>
      </c>
      <c r="I362" s="15" t="s">
        <v>4039</v>
      </c>
      <c r="J362" s="15" t="s">
        <v>4074</v>
      </c>
      <c r="K362" s="96" t="str">
        <f>IFERROR(INDEX(競技会設定!$J$3:$O$47,MATCH(J362,競技会設定!$M$3:$M$47,0),5),"")</f>
        <v>東海学園大</v>
      </c>
      <c r="L362" s="96" t="str">
        <f>IFERROR(INDEX(競技会設定!$J$3:$N$47,MATCH(K362,競技会設定!$N$3:$N$47,0),2),"")</f>
        <v>492412</v>
      </c>
      <c r="M362" s="15" t="s">
        <v>3859</v>
      </c>
      <c r="N362" s="96" t="str">
        <f t="shared" si="16"/>
        <v>MORIYAMA, Ayuka</v>
      </c>
      <c r="O362" s="96" t="str">
        <f t="shared" si="17"/>
        <v>00</v>
      </c>
    </row>
    <row r="363" spans="1:15">
      <c r="A363" s="96" t="str">
        <f t="shared" si="15"/>
        <v>502002362</v>
      </c>
      <c r="B363" s="15" t="s">
        <v>5746</v>
      </c>
      <c r="C363" s="15" t="s">
        <v>5747</v>
      </c>
      <c r="D363" s="15" t="s">
        <v>5748</v>
      </c>
      <c r="E363" s="15" t="s">
        <v>3051</v>
      </c>
      <c r="F363" s="15" t="s">
        <v>6396</v>
      </c>
      <c r="G363" s="15" t="s">
        <v>4664</v>
      </c>
      <c r="H363" s="15" t="s">
        <v>4029</v>
      </c>
      <c r="I363" s="15" t="s">
        <v>4039</v>
      </c>
      <c r="J363" s="15" t="s">
        <v>4074</v>
      </c>
      <c r="K363" s="96" t="str">
        <f>IFERROR(INDEX(競技会設定!$J$3:$O$47,MATCH(J363,競技会設定!$M$3:$M$47,0),5),"")</f>
        <v>東海学園大</v>
      </c>
      <c r="L363" s="96" t="str">
        <f>IFERROR(INDEX(競技会設定!$J$3:$N$47,MATCH(K363,競技会設定!$N$3:$N$47,0),2),"")</f>
        <v>492412</v>
      </c>
      <c r="M363" s="15" t="s">
        <v>3859</v>
      </c>
      <c r="N363" s="96" t="str">
        <f t="shared" si="16"/>
        <v>KAMIYA, Kyona</v>
      </c>
      <c r="O363" s="96" t="str">
        <f t="shared" si="17"/>
        <v>01</v>
      </c>
    </row>
    <row r="364" spans="1:15">
      <c r="A364" s="96" t="str">
        <f t="shared" si="15"/>
        <v>502002363</v>
      </c>
      <c r="B364" s="15" t="s">
        <v>5749</v>
      </c>
      <c r="C364" s="15" t="s">
        <v>5750</v>
      </c>
      <c r="D364" s="15" t="s">
        <v>5751</v>
      </c>
      <c r="E364" s="15" t="s">
        <v>6397</v>
      </c>
      <c r="F364" s="15" t="s">
        <v>6107</v>
      </c>
      <c r="G364" s="15" t="s">
        <v>4621</v>
      </c>
      <c r="H364" s="15" t="s">
        <v>4029</v>
      </c>
      <c r="I364" s="15" t="s">
        <v>4039</v>
      </c>
      <c r="J364" s="15" t="s">
        <v>4074</v>
      </c>
      <c r="K364" s="96" t="str">
        <f>IFERROR(INDEX(競技会設定!$J$3:$O$47,MATCH(J364,競技会設定!$M$3:$M$47,0),5),"")</f>
        <v>東海学園大</v>
      </c>
      <c r="L364" s="96" t="str">
        <f>IFERROR(INDEX(競技会設定!$J$3:$N$47,MATCH(K364,競技会設定!$N$3:$N$47,0),2),"")</f>
        <v>492412</v>
      </c>
      <c r="M364" s="15" t="s">
        <v>3859</v>
      </c>
      <c r="N364" s="96" t="str">
        <f t="shared" si="16"/>
        <v>WATANABE , Yuka</v>
      </c>
      <c r="O364" s="96" t="str">
        <f t="shared" si="17"/>
        <v>01</v>
      </c>
    </row>
    <row r="365" spans="1:15">
      <c r="A365" s="96" t="str">
        <f t="shared" si="15"/>
        <v>502002364</v>
      </c>
      <c r="B365" s="15" t="s">
        <v>5752</v>
      </c>
      <c r="C365" s="15" t="s">
        <v>5753</v>
      </c>
      <c r="D365" s="15" t="s">
        <v>5754</v>
      </c>
      <c r="E365" s="15" t="s">
        <v>6398</v>
      </c>
      <c r="F365" s="15" t="s">
        <v>6010</v>
      </c>
      <c r="G365" s="15" t="s">
        <v>6634</v>
      </c>
      <c r="H365" s="15" t="s">
        <v>4029</v>
      </c>
      <c r="I365" s="15" t="s">
        <v>4039</v>
      </c>
      <c r="J365" s="15" t="s">
        <v>4074</v>
      </c>
      <c r="K365" s="96" t="str">
        <f>IFERROR(INDEX(競技会設定!$J$3:$O$47,MATCH(J365,競技会設定!$M$3:$M$47,0),5),"")</f>
        <v>東海学園大</v>
      </c>
      <c r="L365" s="96" t="str">
        <f>IFERROR(INDEX(競技会設定!$J$3:$N$47,MATCH(K365,競技会設定!$N$3:$N$47,0),2),"")</f>
        <v>492412</v>
      </c>
      <c r="M365" s="15" t="s">
        <v>3859</v>
      </c>
      <c r="N365" s="96" t="str">
        <f t="shared" si="16"/>
        <v>MATSUSHITA, Hinata</v>
      </c>
      <c r="O365" s="96" t="str">
        <f t="shared" si="17"/>
        <v>01</v>
      </c>
    </row>
    <row r="366" spans="1:15">
      <c r="A366" s="96" t="str">
        <f t="shared" si="15"/>
        <v>502002365</v>
      </c>
      <c r="B366" s="15" t="s">
        <v>5755</v>
      </c>
      <c r="C366" s="15" t="s">
        <v>5756</v>
      </c>
      <c r="D366" s="15" t="s">
        <v>5757</v>
      </c>
      <c r="E366" s="15" t="s">
        <v>6399</v>
      </c>
      <c r="F366" s="15" t="s">
        <v>6056</v>
      </c>
      <c r="G366" s="15" t="s">
        <v>6635</v>
      </c>
      <c r="H366" s="15" t="s">
        <v>4029</v>
      </c>
      <c r="I366" s="15" t="s">
        <v>4039</v>
      </c>
      <c r="J366" s="15" t="s">
        <v>4045</v>
      </c>
      <c r="K366" s="96" t="str">
        <f>IFERROR(INDEX(競技会設定!$J$3:$O$47,MATCH(J366,競技会設定!$M$3:$M$47,0),5),"")</f>
        <v>愛知淑徳大</v>
      </c>
      <c r="L366" s="96" t="str">
        <f>IFERROR(INDEX(競技会設定!$J$3:$N$47,MATCH(K366,競技会設定!$N$3:$N$47,0),2),"")</f>
        <v>492301</v>
      </c>
      <c r="M366" s="15" t="s">
        <v>3859</v>
      </c>
      <c r="N366" s="96" t="str">
        <f t="shared" si="16"/>
        <v>YAMASHITA , Kaho</v>
      </c>
      <c r="O366" s="96" t="str">
        <f t="shared" si="17"/>
        <v>02</v>
      </c>
    </row>
    <row r="367" spans="1:15">
      <c r="A367" s="96" t="str">
        <f t="shared" si="15"/>
        <v>502002366</v>
      </c>
      <c r="B367" s="15" t="s">
        <v>5758</v>
      </c>
      <c r="C367" s="15" t="s">
        <v>5759</v>
      </c>
      <c r="D367" s="15" t="s">
        <v>5760</v>
      </c>
      <c r="E367" s="15" t="s">
        <v>6400</v>
      </c>
      <c r="F367" s="15" t="s">
        <v>5974</v>
      </c>
      <c r="G367" s="15" t="s">
        <v>6636</v>
      </c>
      <c r="H367" s="15" t="s">
        <v>4029</v>
      </c>
      <c r="I367" s="15" t="s">
        <v>4039</v>
      </c>
      <c r="J367" s="15" t="s">
        <v>4045</v>
      </c>
      <c r="K367" s="96" t="str">
        <f>IFERROR(INDEX(競技会設定!$J$3:$O$47,MATCH(J367,競技会設定!$M$3:$M$47,0),5),"")</f>
        <v>愛知淑徳大</v>
      </c>
      <c r="L367" s="96" t="str">
        <f>IFERROR(INDEX(競技会設定!$J$3:$N$47,MATCH(K367,競技会設定!$N$3:$N$47,0),2),"")</f>
        <v>492301</v>
      </c>
      <c r="M367" s="15" t="s">
        <v>3859</v>
      </c>
      <c r="N367" s="96" t="str">
        <f t="shared" si="16"/>
        <v>USAMI, Kanon</v>
      </c>
      <c r="O367" s="96" t="str">
        <f t="shared" si="17"/>
        <v>02</v>
      </c>
    </row>
    <row r="368" spans="1:15">
      <c r="A368" s="96" t="str">
        <f t="shared" si="15"/>
        <v>502002367</v>
      </c>
      <c r="B368" s="15" t="s">
        <v>5761</v>
      </c>
      <c r="C368" s="15" t="s">
        <v>5762</v>
      </c>
      <c r="D368" s="15" t="s">
        <v>5763</v>
      </c>
      <c r="E368" s="15" t="s">
        <v>6401</v>
      </c>
      <c r="F368" s="15" t="s">
        <v>6402</v>
      </c>
      <c r="G368" s="15" t="s">
        <v>3648</v>
      </c>
      <c r="H368" s="15" t="s">
        <v>4029</v>
      </c>
      <c r="I368" s="15" t="s">
        <v>4039</v>
      </c>
      <c r="J368" s="15" t="s">
        <v>4045</v>
      </c>
      <c r="K368" s="96" t="str">
        <f>IFERROR(INDEX(競技会設定!$J$3:$O$47,MATCH(J368,競技会設定!$M$3:$M$47,0),5),"")</f>
        <v>愛知淑徳大</v>
      </c>
      <c r="L368" s="96" t="str">
        <f>IFERROR(INDEX(競技会設定!$J$3:$N$47,MATCH(K368,競技会設定!$N$3:$N$47,0),2),"")</f>
        <v>492301</v>
      </c>
      <c r="M368" s="15" t="s">
        <v>3859</v>
      </c>
      <c r="N368" s="96" t="str">
        <f t="shared" si="16"/>
        <v>IKAI, Mariko</v>
      </c>
      <c r="O368" s="96" t="str">
        <f t="shared" si="17"/>
        <v>02</v>
      </c>
    </row>
    <row r="369" spans="1:15">
      <c r="A369" s="96" t="str">
        <f t="shared" si="15"/>
        <v>502002368</v>
      </c>
      <c r="B369" s="15" t="s">
        <v>5764</v>
      </c>
      <c r="C369" s="15" t="s">
        <v>5765</v>
      </c>
      <c r="D369" s="15" t="s">
        <v>5766</v>
      </c>
      <c r="E369" s="15" t="s">
        <v>6403</v>
      </c>
      <c r="F369" s="15" t="s">
        <v>6404</v>
      </c>
      <c r="G369" s="15" t="s">
        <v>3732</v>
      </c>
      <c r="H369" s="15" t="s">
        <v>4029</v>
      </c>
      <c r="I369" s="15" t="s">
        <v>4039</v>
      </c>
      <c r="J369" s="15" t="s">
        <v>4045</v>
      </c>
      <c r="K369" s="96" t="str">
        <f>IFERROR(INDEX(競技会設定!$J$3:$O$47,MATCH(J369,競技会設定!$M$3:$M$47,0),5),"")</f>
        <v>愛知淑徳大</v>
      </c>
      <c r="L369" s="96" t="str">
        <f>IFERROR(INDEX(競技会設定!$J$3:$N$47,MATCH(K369,競技会設定!$N$3:$N$47,0),2),"")</f>
        <v>492301</v>
      </c>
      <c r="M369" s="15" t="s">
        <v>3859</v>
      </c>
      <c r="N369" s="96" t="str">
        <f t="shared" si="16"/>
        <v>ISHII, Saeka</v>
      </c>
      <c r="O369" s="96" t="str">
        <f t="shared" si="17"/>
        <v>01</v>
      </c>
    </row>
    <row r="370" spans="1:15">
      <c r="A370" s="96" t="str">
        <f t="shared" si="15"/>
        <v>502002369</v>
      </c>
      <c r="B370" s="15" t="s">
        <v>5767</v>
      </c>
      <c r="C370" s="15" t="s">
        <v>5768</v>
      </c>
      <c r="D370" s="15" t="s">
        <v>5769</v>
      </c>
      <c r="E370" s="15" t="s">
        <v>5968</v>
      </c>
      <c r="F370" s="15" t="s">
        <v>6405</v>
      </c>
      <c r="G370" s="15" t="s">
        <v>3180</v>
      </c>
      <c r="H370" s="15" t="s">
        <v>4025</v>
      </c>
      <c r="I370" s="15" t="s">
        <v>4039</v>
      </c>
      <c r="J370" s="15" t="s">
        <v>4050</v>
      </c>
      <c r="K370" s="96" t="str">
        <f>IFERROR(INDEX(競技会設定!$J$3:$O$47,MATCH(J370,競技会設定!$M$3:$M$47,0),5),"")</f>
        <v>岐阜大</v>
      </c>
      <c r="L370" s="96" t="str">
        <f>IFERROR(INDEX(競技会設定!$J$3:$N$47,MATCH(K370,競技会設定!$N$3:$N$47,0),2),"")</f>
        <v>490041</v>
      </c>
      <c r="M370" s="15" t="s">
        <v>3855</v>
      </c>
      <c r="N370" s="96" t="str">
        <f t="shared" si="16"/>
        <v>SUGIYAMA, Rise</v>
      </c>
      <c r="O370" s="96" t="str">
        <f t="shared" si="17"/>
        <v>98</v>
      </c>
    </row>
    <row r="371" spans="1:15">
      <c r="A371" s="96" t="str">
        <f t="shared" si="15"/>
        <v>502002370</v>
      </c>
      <c r="B371" s="15" t="s">
        <v>5770</v>
      </c>
      <c r="C371" s="15" t="s">
        <v>5771</v>
      </c>
      <c r="D371" s="15" t="s">
        <v>5772</v>
      </c>
      <c r="E371" s="15" t="s">
        <v>6406</v>
      </c>
      <c r="F371" s="15" t="s">
        <v>6407</v>
      </c>
      <c r="G371" s="15" t="s">
        <v>3594</v>
      </c>
      <c r="H371" s="15" t="s">
        <v>4026</v>
      </c>
      <c r="I371" s="15" t="s">
        <v>4039</v>
      </c>
      <c r="J371" s="15" t="s">
        <v>4050</v>
      </c>
      <c r="K371" s="96" t="str">
        <f>IFERROR(INDEX(競技会設定!$J$3:$O$47,MATCH(J371,競技会設定!$M$3:$M$47,0),5),"")</f>
        <v>岐阜大</v>
      </c>
      <c r="L371" s="96" t="str">
        <f>IFERROR(INDEX(競技会設定!$J$3:$N$47,MATCH(K371,競技会設定!$N$3:$N$47,0),2),"")</f>
        <v>490041</v>
      </c>
      <c r="M371" s="15" t="s">
        <v>3855</v>
      </c>
      <c r="N371" s="96" t="str">
        <f t="shared" si="16"/>
        <v>NAKAZAKO, Shihoko</v>
      </c>
      <c r="O371" s="96" t="str">
        <f t="shared" si="17"/>
        <v>00</v>
      </c>
    </row>
    <row r="372" spans="1:15">
      <c r="A372" s="96" t="str">
        <f t="shared" si="15"/>
        <v>502002371</v>
      </c>
      <c r="B372" s="15" t="s">
        <v>5773</v>
      </c>
      <c r="C372" s="15" t="s">
        <v>5774</v>
      </c>
      <c r="D372" s="15" t="s">
        <v>5775</v>
      </c>
      <c r="E372" s="15" t="s">
        <v>6408</v>
      </c>
      <c r="F372" s="15" t="s">
        <v>6405</v>
      </c>
      <c r="G372" s="15" t="s">
        <v>3426</v>
      </c>
      <c r="H372" s="15" t="s">
        <v>4026</v>
      </c>
      <c r="I372" s="15" t="s">
        <v>4039</v>
      </c>
      <c r="J372" s="15" t="s">
        <v>4076</v>
      </c>
      <c r="K372" s="96" t="str">
        <f>IFERROR(INDEX(競技会設定!$J$3:$O$47,MATCH(J372,競技会設定!$M$3:$M$47,0),5),"")</f>
        <v>常葉大</v>
      </c>
      <c r="L372" s="96" t="str">
        <f>IFERROR(INDEX(競技会設定!$J$3:$N$47,MATCH(K372,競技会設定!$N$3:$N$47,0),2),"")</f>
        <v>492320</v>
      </c>
      <c r="M372" s="15" t="s">
        <v>3857</v>
      </c>
      <c r="N372" s="96" t="str">
        <f t="shared" si="16"/>
        <v>SATOMI, Rise</v>
      </c>
      <c r="O372" s="96" t="str">
        <f t="shared" si="17"/>
        <v>00</v>
      </c>
    </row>
    <row r="373" spans="1:15">
      <c r="A373" s="96" t="str">
        <f t="shared" si="15"/>
        <v>502002372</v>
      </c>
      <c r="B373" s="15" t="s">
        <v>5776</v>
      </c>
      <c r="C373" s="15" t="s">
        <v>5777</v>
      </c>
      <c r="D373" s="15" t="s">
        <v>5778</v>
      </c>
      <c r="E373" s="15" t="s">
        <v>6409</v>
      </c>
      <c r="F373" s="15" t="s">
        <v>6410</v>
      </c>
      <c r="G373" s="15" t="s">
        <v>4655</v>
      </c>
      <c r="H373" s="15" t="s">
        <v>4026</v>
      </c>
      <c r="I373" s="15" t="s">
        <v>4039</v>
      </c>
      <c r="J373" s="15" t="s">
        <v>4076</v>
      </c>
      <c r="K373" s="96" t="str">
        <f>IFERROR(INDEX(競技会設定!$J$3:$O$47,MATCH(J373,競技会設定!$M$3:$M$47,0),5),"")</f>
        <v>常葉大</v>
      </c>
      <c r="L373" s="96" t="str">
        <f>IFERROR(INDEX(競技会設定!$J$3:$N$47,MATCH(K373,競技会設定!$N$3:$N$47,0),2),"")</f>
        <v>492320</v>
      </c>
      <c r="M373" s="15" t="s">
        <v>3857</v>
      </c>
      <c r="N373" s="96" t="str">
        <f t="shared" si="16"/>
        <v>HIJIKATA, Ayae</v>
      </c>
      <c r="O373" s="96" t="str">
        <f t="shared" si="17"/>
        <v>00</v>
      </c>
    </row>
    <row r="374" spans="1:15">
      <c r="A374" s="96" t="str">
        <f t="shared" si="15"/>
        <v>502002373</v>
      </c>
      <c r="B374" s="15" t="s">
        <v>5779</v>
      </c>
      <c r="C374" s="15" t="s">
        <v>5780</v>
      </c>
      <c r="D374" s="15" t="s">
        <v>5781</v>
      </c>
      <c r="E374" s="15" t="s">
        <v>6411</v>
      </c>
      <c r="F374" s="15" t="s">
        <v>5967</v>
      </c>
      <c r="G374" s="15" t="s">
        <v>3479</v>
      </c>
      <c r="H374" s="15" t="s">
        <v>4024</v>
      </c>
      <c r="I374" s="15" t="s">
        <v>4039</v>
      </c>
      <c r="J374" s="15" t="s">
        <v>4076</v>
      </c>
      <c r="K374" s="96" t="str">
        <f>IFERROR(INDEX(競技会設定!$J$3:$O$47,MATCH(J374,競技会設定!$M$3:$M$47,0),5),"")</f>
        <v>常葉大</v>
      </c>
      <c r="L374" s="96" t="str">
        <f>IFERROR(INDEX(競技会設定!$J$3:$N$47,MATCH(K374,競技会設定!$N$3:$N$47,0),2),"")</f>
        <v>492320</v>
      </c>
      <c r="M374" s="15" t="s">
        <v>3857</v>
      </c>
      <c r="N374" s="96" t="str">
        <f t="shared" si="16"/>
        <v>OBA, Mizuki</v>
      </c>
      <c r="O374" s="96" t="str">
        <f t="shared" si="17"/>
        <v>99</v>
      </c>
    </row>
    <row r="375" spans="1:15">
      <c r="A375" s="96" t="str">
        <f t="shared" si="15"/>
        <v>502002374</v>
      </c>
      <c r="B375" s="15" t="s">
        <v>5782</v>
      </c>
      <c r="C375" s="15" t="s">
        <v>5783</v>
      </c>
      <c r="D375" s="15" t="s">
        <v>5784</v>
      </c>
      <c r="E375" s="15" t="s">
        <v>3010</v>
      </c>
      <c r="F375" s="15" t="s">
        <v>6412</v>
      </c>
      <c r="G375" s="15" t="s">
        <v>3475</v>
      </c>
      <c r="H375" s="15" t="s">
        <v>4024</v>
      </c>
      <c r="I375" s="15" t="s">
        <v>4039</v>
      </c>
      <c r="J375" s="15" t="s">
        <v>4076</v>
      </c>
      <c r="K375" s="96" t="str">
        <f>IFERROR(INDEX(競技会設定!$J$3:$O$47,MATCH(J375,競技会設定!$M$3:$M$47,0),5),"")</f>
        <v>常葉大</v>
      </c>
      <c r="L375" s="96" t="str">
        <f>IFERROR(INDEX(競技会設定!$J$3:$N$47,MATCH(K375,競技会設定!$N$3:$N$47,0),2),"")</f>
        <v>492320</v>
      </c>
      <c r="M375" s="15" t="s">
        <v>3857</v>
      </c>
      <c r="N375" s="96" t="str">
        <f t="shared" si="16"/>
        <v>KUROKAWA, Saya</v>
      </c>
      <c r="O375" s="96" t="str">
        <f t="shared" si="17"/>
        <v>99</v>
      </c>
    </row>
    <row r="376" spans="1:15">
      <c r="A376" s="96" t="str">
        <f t="shared" si="15"/>
        <v>502002375</v>
      </c>
      <c r="B376" s="15" t="s">
        <v>5785</v>
      </c>
      <c r="C376" s="15" t="s">
        <v>5786</v>
      </c>
      <c r="D376" s="15" t="s">
        <v>5787</v>
      </c>
      <c r="E376" s="15" t="s">
        <v>3015</v>
      </c>
      <c r="F376" s="15" t="s">
        <v>6024</v>
      </c>
      <c r="G376" s="15" t="s">
        <v>3193</v>
      </c>
      <c r="H376" s="15" t="s">
        <v>4024</v>
      </c>
      <c r="I376" s="15" t="s">
        <v>4039</v>
      </c>
      <c r="J376" s="15" t="s">
        <v>4076</v>
      </c>
      <c r="K376" s="96" t="str">
        <f>IFERROR(INDEX(競技会設定!$J$3:$O$47,MATCH(J376,競技会設定!$M$3:$M$47,0),5),"")</f>
        <v>常葉大</v>
      </c>
      <c r="L376" s="96" t="str">
        <f>IFERROR(INDEX(競技会設定!$J$3:$N$47,MATCH(K376,競技会設定!$N$3:$N$47,0),2),"")</f>
        <v>492320</v>
      </c>
      <c r="M376" s="15" t="s">
        <v>3857</v>
      </c>
      <c r="N376" s="96" t="str">
        <f t="shared" si="16"/>
        <v>SUZUKI, Yuina</v>
      </c>
      <c r="O376" s="96" t="str">
        <f t="shared" si="17"/>
        <v>99</v>
      </c>
    </row>
    <row r="377" spans="1:15">
      <c r="A377" s="96" t="str">
        <f t="shared" si="15"/>
        <v>502002376</v>
      </c>
      <c r="B377" s="15" t="s">
        <v>5788</v>
      </c>
      <c r="C377" s="15" t="s">
        <v>5789</v>
      </c>
      <c r="D377" s="15" t="s">
        <v>5790</v>
      </c>
      <c r="E377" s="15" t="s">
        <v>6413</v>
      </c>
      <c r="F377" s="15" t="s">
        <v>6412</v>
      </c>
      <c r="G377" s="15" t="s">
        <v>3112</v>
      </c>
      <c r="H377" s="15" t="s">
        <v>4024</v>
      </c>
      <c r="I377" s="15" t="s">
        <v>4039</v>
      </c>
      <c r="J377" s="15" t="s">
        <v>4076</v>
      </c>
      <c r="K377" s="96" t="str">
        <f>IFERROR(INDEX(競技会設定!$J$3:$O$47,MATCH(J377,競技会設定!$M$3:$M$47,0),5),"")</f>
        <v>常葉大</v>
      </c>
      <c r="L377" s="96" t="str">
        <f>IFERROR(INDEX(競技会設定!$J$3:$N$47,MATCH(K377,競技会設定!$N$3:$N$47,0),2),"")</f>
        <v>492320</v>
      </c>
      <c r="M377" s="15" t="s">
        <v>3857</v>
      </c>
      <c r="N377" s="96" t="str">
        <f t="shared" si="16"/>
        <v>YAGITA, Saya</v>
      </c>
      <c r="O377" s="96" t="str">
        <f t="shared" si="17"/>
        <v>00</v>
      </c>
    </row>
    <row r="378" spans="1:15">
      <c r="A378" s="96" t="str">
        <f t="shared" si="15"/>
        <v>502002377</v>
      </c>
      <c r="B378" s="15" t="s">
        <v>5791</v>
      </c>
      <c r="C378" s="15" t="s">
        <v>5792</v>
      </c>
      <c r="D378" s="15" t="s">
        <v>5793</v>
      </c>
      <c r="E378" s="15" t="s">
        <v>3050</v>
      </c>
      <c r="F378" s="15" t="s">
        <v>5997</v>
      </c>
      <c r="G378" s="15" t="s">
        <v>6637</v>
      </c>
      <c r="H378" s="15" t="s">
        <v>4024</v>
      </c>
      <c r="I378" s="15" t="s">
        <v>4039</v>
      </c>
      <c r="J378" s="15" t="s">
        <v>4076</v>
      </c>
      <c r="K378" s="96" t="str">
        <f>IFERROR(INDEX(競技会設定!$J$3:$O$47,MATCH(J378,競技会設定!$M$3:$M$47,0),5),"")</f>
        <v>常葉大</v>
      </c>
      <c r="L378" s="96" t="str">
        <f>IFERROR(INDEX(競技会設定!$J$3:$N$47,MATCH(K378,競技会設定!$N$3:$N$47,0),2),"")</f>
        <v>492320</v>
      </c>
      <c r="M378" s="15" t="s">
        <v>3857</v>
      </c>
      <c r="N378" s="96" t="str">
        <f t="shared" si="16"/>
        <v>YAMAMOTO, Nao</v>
      </c>
      <c r="O378" s="96" t="str">
        <f t="shared" si="17"/>
        <v>00</v>
      </c>
    </row>
    <row r="379" spans="1:15">
      <c r="A379" s="96" t="str">
        <f t="shared" si="15"/>
        <v>502002378</v>
      </c>
      <c r="B379" s="15" t="s">
        <v>5794</v>
      </c>
      <c r="C379" s="15" t="s">
        <v>5795</v>
      </c>
      <c r="D379" s="15" t="s">
        <v>5796</v>
      </c>
      <c r="E379" s="15" t="s">
        <v>6414</v>
      </c>
      <c r="F379" s="15" t="s">
        <v>6134</v>
      </c>
      <c r="G379" s="15" t="s">
        <v>3096</v>
      </c>
      <c r="H379" s="15" t="s">
        <v>4025</v>
      </c>
      <c r="I379" s="15" t="s">
        <v>4039</v>
      </c>
      <c r="J379" s="15" t="s">
        <v>4076</v>
      </c>
      <c r="K379" s="96" t="str">
        <f>IFERROR(INDEX(競技会設定!$J$3:$O$47,MATCH(J379,競技会設定!$M$3:$M$47,0),5),"")</f>
        <v>常葉大</v>
      </c>
      <c r="L379" s="96" t="str">
        <f>IFERROR(INDEX(競技会設定!$J$3:$N$47,MATCH(K379,競技会設定!$N$3:$N$47,0),2),"")</f>
        <v>492320</v>
      </c>
      <c r="M379" s="15" t="s">
        <v>3857</v>
      </c>
      <c r="N379" s="96" t="str">
        <f t="shared" si="16"/>
        <v>SUDA, Haruka</v>
      </c>
      <c r="O379" s="96" t="str">
        <f t="shared" si="17"/>
        <v>98</v>
      </c>
    </row>
    <row r="380" spans="1:15">
      <c r="A380" s="96" t="str">
        <f t="shared" si="15"/>
        <v>502002379</v>
      </c>
      <c r="B380" s="15" t="s">
        <v>5797</v>
      </c>
      <c r="C380" s="15" t="s">
        <v>5798</v>
      </c>
      <c r="D380" s="15" t="s">
        <v>5799</v>
      </c>
      <c r="E380" s="15" t="s">
        <v>6415</v>
      </c>
      <c r="F380" s="15" t="s">
        <v>6005</v>
      </c>
      <c r="G380" s="15" t="s">
        <v>6638</v>
      </c>
      <c r="H380" s="15" t="s">
        <v>4025</v>
      </c>
      <c r="I380" s="15" t="s">
        <v>4039</v>
      </c>
      <c r="J380" s="15" t="s">
        <v>4040</v>
      </c>
      <c r="K380" s="96" t="str">
        <f>IFERROR(INDEX(競技会設定!$J$3:$O$47,MATCH(J380,競技会設定!$M$3:$M$47,0),5),"")</f>
        <v>中京大</v>
      </c>
      <c r="L380" s="96" t="str">
        <f>IFERROR(INDEX(競技会設定!$J$3:$N$47,MATCH(K380,競技会設定!$N$3:$N$47,0),2),"")</f>
        <v>492173</v>
      </c>
      <c r="M380" s="15" t="s">
        <v>3893</v>
      </c>
      <c r="N380" s="96" t="str">
        <f t="shared" si="16"/>
        <v>TAMURA, Mei</v>
      </c>
      <c r="O380" s="96" t="str">
        <f t="shared" si="17"/>
        <v>99</v>
      </c>
    </row>
    <row r="381" spans="1:15">
      <c r="A381" s="96" t="str">
        <f t="shared" si="15"/>
        <v>502002380</v>
      </c>
      <c r="B381" s="15" t="s">
        <v>5800</v>
      </c>
      <c r="C381" s="15" t="s">
        <v>5801</v>
      </c>
      <c r="D381" s="15" t="s">
        <v>5802</v>
      </c>
      <c r="E381" s="15" t="s">
        <v>6091</v>
      </c>
      <c r="F381" s="15" t="s">
        <v>6159</v>
      </c>
      <c r="G381" s="15" t="s">
        <v>6639</v>
      </c>
      <c r="H381" s="15" t="s">
        <v>4025</v>
      </c>
      <c r="I381" s="15" t="s">
        <v>4039</v>
      </c>
      <c r="J381" s="15" t="s">
        <v>4040</v>
      </c>
      <c r="K381" s="96" t="str">
        <f>IFERROR(INDEX(競技会設定!$J$3:$O$47,MATCH(J381,競技会設定!$M$3:$M$47,0),5),"")</f>
        <v>中京大</v>
      </c>
      <c r="L381" s="96" t="str">
        <f>IFERROR(INDEX(競技会設定!$J$3:$N$47,MATCH(K381,競技会設定!$N$3:$N$47,0),2),"")</f>
        <v>492173</v>
      </c>
      <c r="M381" s="15" t="s">
        <v>3849</v>
      </c>
      <c r="N381" s="96" t="str">
        <f t="shared" si="16"/>
        <v>YOSHIMURA, Nana</v>
      </c>
      <c r="O381" s="96" t="str">
        <f t="shared" si="17"/>
        <v>98</v>
      </c>
    </row>
    <row r="382" spans="1:15">
      <c r="A382" s="96" t="str">
        <f t="shared" si="15"/>
        <v>502002381</v>
      </c>
      <c r="B382" s="15" t="s">
        <v>5803</v>
      </c>
      <c r="C382" s="15" t="s">
        <v>5804</v>
      </c>
      <c r="D382" s="15" t="s">
        <v>5805</v>
      </c>
      <c r="E382" s="15" t="s">
        <v>6416</v>
      </c>
      <c r="F382" s="15" t="s">
        <v>6417</v>
      </c>
      <c r="G382" s="15" t="s">
        <v>6640</v>
      </c>
      <c r="H382" s="15" t="s">
        <v>4029</v>
      </c>
      <c r="I382" s="15" t="s">
        <v>4039</v>
      </c>
      <c r="J382" s="15" t="s">
        <v>4040</v>
      </c>
      <c r="K382" s="96" t="str">
        <f>IFERROR(INDEX(競技会設定!$J$3:$O$47,MATCH(J382,競技会設定!$M$3:$M$47,0),5),"")</f>
        <v>中京大</v>
      </c>
      <c r="L382" s="96" t="str">
        <f>IFERROR(INDEX(競技会設定!$J$3:$N$47,MATCH(K382,競技会設定!$N$3:$N$47,0),2),"")</f>
        <v>492173</v>
      </c>
      <c r="M382" s="15" t="s">
        <v>3853</v>
      </c>
      <c r="N382" s="96" t="str">
        <f t="shared" si="16"/>
        <v>KARASAWA, Hanami</v>
      </c>
      <c r="O382" s="96" t="str">
        <f t="shared" si="17"/>
        <v>01</v>
      </c>
    </row>
    <row r="383" spans="1:15">
      <c r="A383" s="96" t="str">
        <f t="shared" si="15"/>
        <v>502002382</v>
      </c>
      <c r="B383" s="15" t="s">
        <v>5806</v>
      </c>
      <c r="C383" s="15" t="s">
        <v>5807</v>
      </c>
      <c r="D383" s="15" t="s">
        <v>5808</v>
      </c>
      <c r="E383" s="15" t="s">
        <v>3015</v>
      </c>
      <c r="F383" s="15" t="s">
        <v>6418</v>
      </c>
      <c r="G383" s="15" t="s">
        <v>6569</v>
      </c>
      <c r="H383" s="15" t="s">
        <v>4029</v>
      </c>
      <c r="I383" s="15" t="s">
        <v>4039</v>
      </c>
      <c r="J383" s="15" t="s">
        <v>4040</v>
      </c>
      <c r="K383" s="96" t="str">
        <f>IFERROR(INDEX(競技会設定!$J$3:$O$47,MATCH(J383,競技会設定!$M$3:$M$47,0),5),"")</f>
        <v>中京大</v>
      </c>
      <c r="L383" s="96" t="str">
        <f>IFERROR(INDEX(競技会設定!$J$3:$N$47,MATCH(K383,競技会設定!$N$3:$N$47,0),2),"")</f>
        <v>492173</v>
      </c>
      <c r="M383" s="15" t="s">
        <v>3857</v>
      </c>
      <c r="N383" s="96" t="str">
        <f t="shared" si="16"/>
        <v>SUZUKI, Kaya</v>
      </c>
      <c r="O383" s="96" t="str">
        <f t="shared" si="17"/>
        <v>02</v>
      </c>
    </row>
    <row r="384" spans="1:15">
      <c r="A384" s="96" t="str">
        <f t="shared" si="15"/>
        <v>502002383</v>
      </c>
      <c r="B384" s="15" t="s">
        <v>5809</v>
      </c>
      <c r="C384" s="15" t="s">
        <v>5810</v>
      </c>
      <c r="D384" s="15" t="s">
        <v>5811</v>
      </c>
      <c r="E384" s="15" t="s">
        <v>6419</v>
      </c>
      <c r="F384" s="15" t="s">
        <v>6126</v>
      </c>
      <c r="G384" s="15" t="s">
        <v>6641</v>
      </c>
      <c r="H384" s="15" t="s">
        <v>4029</v>
      </c>
      <c r="I384" s="15" t="s">
        <v>4039</v>
      </c>
      <c r="J384" s="15" t="s">
        <v>4040</v>
      </c>
      <c r="K384" s="96" t="str">
        <f>IFERROR(INDEX(競技会設定!$J$3:$O$47,MATCH(J384,競技会設定!$M$3:$M$47,0),5),"")</f>
        <v>中京大</v>
      </c>
      <c r="L384" s="96" t="str">
        <f>IFERROR(INDEX(競技会設定!$J$3:$N$47,MATCH(K384,競技会設定!$N$3:$N$47,0),2),"")</f>
        <v>492173</v>
      </c>
      <c r="M384" s="15" t="s">
        <v>3859</v>
      </c>
      <c r="N384" s="96" t="str">
        <f t="shared" si="16"/>
        <v>HOKAZONO, Airi</v>
      </c>
      <c r="O384" s="96" t="str">
        <f t="shared" si="17"/>
        <v>01</v>
      </c>
    </row>
    <row r="385" spans="1:15">
      <c r="A385" s="96" t="str">
        <f t="shared" si="15"/>
        <v>502002384</v>
      </c>
      <c r="B385" s="15" t="s">
        <v>5812</v>
      </c>
      <c r="C385" s="15" t="s">
        <v>5813</v>
      </c>
      <c r="D385" s="15" t="s">
        <v>5814</v>
      </c>
      <c r="E385" s="15" t="s">
        <v>6420</v>
      </c>
      <c r="F385" s="15" t="s">
        <v>6421</v>
      </c>
      <c r="G385" s="15" t="s">
        <v>3387</v>
      </c>
      <c r="H385" s="15" t="s">
        <v>4029</v>
      </c>
      <c r="I385" s="15" t="s">
        <v>4039</v>
      </c>
      <c r="J385" s="15" t="s">
        <v>4040</v>
      </c>
      <c r="K385" s="96" t="str">
        <f>IFERROR(INDEX(競技会設定!$J$3:$O$47,MATCH(J385,競技会設定!$M$3:$M$47,0),5),"")</f>
        <v>中京大</v>
      </c>
      <c r="L385" s="96" t="str">
        <f>IFERROR(INDEX(競技会設定!$J$3:$N$47,MATCH(K385,競技会設定!$N$3:$N$47,0),2),"")</f>
        <v>492173</v>
      </c>
      <c r="M385" s="15" t="s">
        <v>3814</v>
      </c>
      <c r="N385" s="96" t="str">
        <f t="shared" si="16"/>
        <v>YAMAGATA, Tomoka</v>
      </c>
      <c r="O385" s="96" t="str">
        <f t="shared" si="17"/>
        <v>01</v>
      </c>
    </row>
    <row r="386" spans="1:15">
      <c r="A386" s="96" t="str">
        <f t="shared" si="15"/>
        <v>502002385</v>
      </c>
      <c r="B386" s="15" t="s">
        <v>5815</v>
      </c>
      <c r="C386" s="15" t="s">
        <v>5816</v>
      </c>
      <c r="D386" s="15" t="s">
        <v>5817</v>
      </c>
      <c r="E386" s="15" t="s">
        <v>6422</v>
      </c>
      <c r="F386" s="15" t="s">
        <v>4544</v>
      </c>
      <c r="G386" s="15" t="s">
        <v>6642</v>
      </c>
      <c r="H386" s="15" t="s">
        <v>4026</v>
      </c>
      <c r="I386" s="15" t="s">
        <v>4039</v>
      </c>
      <c r="J386" s="15" t="s">
        <v>4041</v>
      </c>
      <c r="K386" s="96" t="str">
        <f>IFERROR(INDEX(競技会設定!$J$3:$O$47,MATCH(J386,競技会設定!$M$3:$M$47,0),5),"")</f>
        <v>愛知医科大</v>
      </c>
      <c r="L386" s="96" t="str">
        <f>IFERROR(INDEX(競技会設定!$J$3:$N$47,MATCH(K386,競技会設定!$N$3:$N$47,0),2),"")</f>
        <v>492166</v>
      </c>
      <c r="M386" s="15" t="s">
        <v>3859</v>
      </c>
      <c r="N386" s="96" t="str">
        <f t="shared" si="16"/>
        <v>HIRAI, Yuri</v>
      </c>
      <c r="O386" s="96" t="str">
        <f t="shared" si="17"/>
        <v>01</v>
      </c>
    </row>
    <row r="387" spans="1:15">
      <c r="A387" s="96" t="str">
        <f t="shared" ref="A387:A444" si="18">IF(B387="","","502"&amp;TEXT(B387,"000000"))</f>
        <v>502002386</v>
      </c>
      <c r="B387" s="15" t="s">
        <v>5818</v>
      </c>
      <c r="C387" s="15" t="s">
        <v>5819</v>
      </c>
      <c r="D387" s="15" t="s">
        <v>5820</v>
      </c>
      <c r="E387" s="15" t="s">
        <v>3056</v>
      </c>
      <c r="F387" s="15" t="s">
        <v>6114</v>
      </c>
      <c r="G387" s="15" t="s">
        <v>3492</v>
      </c>
      <c r="H387" s="15" t="s">
        <v>4024</v>
      </c>
      <c r="I387" s="15" t="s">
        <v>4039</v>
      </c>
      <c r="J387" s="15" t="s">
        <v>4041</v>
      </c>
      <c r="K387" s="96" t="str">
        <f>IFERROR(INDEX(競技会設定!$J$3:$O$47,MATCH(J387,競技会設定!$M$3:$M$47,0),5),"")</f>
        <v>愛知医科大</v>
      </c>
      <c r="L387" s="96" t="str">
        <f>IFERROR(INDEX(競技会設定!$J$3:$N$47,MATCH(K387,競技会設定!$N$3:$N$47,0),2),"")</f>
        <v>492166</v>
      </c>
      <c r="M387" s="15" t="s">
        <v>3859</v>
      </c>
      <c r="N387" s="96" t="str">
        <f t="shared" ref="N387:N444" si="19">IF(E387="","",E387&amp;", "&amp;F387)</f>
        <v>YAMADA, Saki</v>
      </c>
      <c r="O387" s="96" t="str">
        <f t="shared" ref="O387:O444" si="20">IFERROR(TEXT(INT(LEFT(G387,2)),"00"),"")</f>
        <v>98</v>
      </c>
    </row>
    <row r="388" spans="1:15">
      <c r="A388" s="96" t="str">
        <f t="shared" si="18"/>
        <v>502002387</v>
      </c>
      <c r="B388" s="15" t="s">
        <v>5821</v>
      </c>
      <c r="C388" s="15" t="s">
        <v>5822</v>
      </c>
      <c r="D388" s="15" t="s">
        <v>5823</v>
      </c>
      <c r="E388" s="15" t="s">
        <v>3053</v>
      </c>
      <c r="F388" s="15" t="s">
        <v>6242</v>
      </c>
      <c r="G388" s="15" t="s">
        <v>6624</v>
      </c>
      <c r="H388" s="15" t="s">
        <v>4025</v>
      </c>
      <c r="I388" s="15" t="s">
        <v>4039</v>
      </c>
      <c r="J388" s="15" t="s">
        <v>4041</v>
      </c>
      <c r="K388" s="96" t="str">
        <f>IFERROR(INDEX(競技会設定!$J$3:$O$47,MATCH(J388,競技会設定!$M$3:$M$47,0),5),"")</f>
        <v>愛知医科大</v>
      </c>
      <c r="L388" s="96" t="str">
        <f>IFERROR(INDEX(競技会設定!$J$3:$N$47,MATCH(K388,競技会設定!$N$3:$N$47,0),2),"")</f>
        <v>492166</v>
      </c>
      <c r="M388" s="15" t="s">
        <v>3859</v>
      </c>
      <c r="N388" s="96" t="str">
        <f t="shared" si="19"/>
        <v>NISHIMURA, Ayumi</v>
      </c>
      <c r="O388" s="96" t="str">
        <f t="shared" si="20"/>
        <v>98</v>
      </c>
    </row>
    <row r="389" spans="1:15">
      <c r="A389" s="96" t="str">
        <f t="shared" si="18"/>
        <v>502002388</v>
      </c>
      <c r="B389" s="15" t="s">
        <v>5824</v>
      </c>
      <c r="C389" s="15" t="s">
        <v>5825</v>
      </c>
      <c r="D389" s="15" t="s">
        <v>5826</v>
      </c>
      <c r="E389" s="15" t="s">
        <v>6423</v>
      </c>
      <c r="F389" s="15" t="s">
        <v>6424</v>
      </c>
      <c r="G389" s="15" t="s">
        <v>6643</v>
      </c>
      <c r="H389" s="15" t="s">
        <v>4035</v>
      </c>
      <c r="I389" s="15" t="s">
        <v>4039</v>
      </c>
      <c r="J389" s="15" t="s">
        <v>4041</v>
      </c>
      <c r="K389" s="96" t="str">
        <f>IFERROR(INDEX(競技会設定!$J$3:$O$47,MATCH(J389,競技会設定!$M$3:$M$47,0),5),"")</f>
        <v>愛知医科大</v>
      </c>
      <c r="L389" s="96" t="str">
        <f>IFERROR(INDEX(競技会設定!$J$3:$N$47,MATCH(K389,競技会設定!$N$3:$N$47,0),2),"")</f>
        <v>492166</v>
      </c>
      <c r="M389" s="15" t="s">
        <v>3859</v>
      </c>
      <c r="N389" s="96" t="str">
        <f t="shared" si="19"/>
        <v>NAKAJIMA, Yurina</v>
      </c>
      <c r="O389" s="96" t="str">
        <f t="shared" si="20"/>
        <v>96</v>
      </c>
    </row>
    <row r="390" spans="1:15">
      <c r="A390" s="96" t="str">
        <f t="shared" si="18"/>
        <v>502002389</v>
      </c>
      <c r="B390" s="15" t="s">
        <v>5827</v>
      </c>
      <c r="C390" s="15" t="s">
        <v>5828</v>
      </c>
      <c r="D390" s="15" t="s">
        <v>5829</v>
      </c>
      <c r="E390" s="15" t="s">
        <v>6425</v>
      </c>
      <c r="F390" s="15" t="s">
        <v>6008</v>
      </c>
      <c r="G390" s="15" t="s">
        <v>3241</v>
      </c>
      <c r="H390" s="15" t="s">
        <v>4029</v>
      </c>
      <c r="I390" s="15" t="s">
        <v>4039</v>
      </c>
      <c r="J390" s="15" t="s">
        <v>4043</v>
      </c>
      <c r="K390" s="96" t="str">
        <f>IFERROR(INDEX(競技会設定!$J$3:$O$47,MATCH(J390,競技会設定!$M$3:$M$47,0),5),"")</f>
        <v>愛知教育大</v>
      </c>
      <c r="L390" s="96" t="str">
        <f>IFERROR(INDEX(競技会設定!$J$3:$N$47,MATCH(K390,競技会設定!$N$3:$N$47,0),2),"")</f>
        <v>490044</v>
      </c>
      <c r="M390" s="15" t="s">
        <v>3859</v>
      </c>
      <c r="N390" s="96" t="str">
        <f t="shared" si="19"/>
        <v>NAGANO, Akane</v>
      </c>
      <c r="O390" s="96" t="str">
        <f t="shared" si="20"/>
        <v>01</v>
      </c>
    </row>
    <row r="391" spans="1:15">
      <c r="A391" s="96" t="str">
        <f t="shared" si="18"/>
        <v>502002390</v>
      </c>
      <c r="B391" s="15" t="s">
        <v>5830</v>
      </c>
      <c r="C391" s="15" t="s">
        <v>5831</v>
      </c>
      <c r="D391" s="15" t="s">
        <v>5832</v>
      </c>
      <c r="E391" s="15" t="s">
        <v>6140</v>
      </c>
      <c r="F391" s="15" t="s">
        <v>6176</v>
      </c>
      <c r="G391" s="15" t="s">
        <v>3506</v>
      </c>
      <c r="H391" s="15" t="s">
        <v>4029</v>
      </c>
      <c r="I391" s="15" t="s">
        <v>4039</v>
      </c>
      <c r="J391" s="15" t="s">
        <v>4043</v>
      </c>
      <c r="K391" s="96" t="str">
        <f>IFERROR(INDEX(競技会設定!$J$3:$O$47,MATCH(J391,競技会設定!$M$3:$M$47,0),5),"")</f>
        <v>愛知教育大</v>
      </c>
      <c r="L391" s="96" t="str">
        <f>IFERROR(INDEX(競技会設定!$J$3:$N$47,MATCH(K391,競技会設定!$N$3:$N$47,0),2),"")</f>
        <v>490044</v>
      </c>
      <c r="M391" s="15" t="s">
        <v>3859</v>
      </c>
      <c r="N391" s="96" t="str">
        <f t="shared" si="19"/>
        <v>KIMURA, Riko</v>
      </c>
      <c r="O391" s="96" t="str">
        <f t="shared" si="20"/>
        <v>01</v>
      </c>
    </row>
    <row r="392" spans="1:15">
      <c r="A392" s="96" t="str">
        <f t="shared" si="18"/>
        <v>502002391</v>
      </c>
      <c r="B392" s="15" t="s">
        <v>5833</v>
      </c>
      <c r="C392" s="15" t="s">
        <v>5834</v>
      </c>
      <c r="D392" s="15" t="s">
        <v>5835</v>
      </c>
      <c r="E392" s="15" t="s">
        <v>3059</v>
      </c>
      <c r="F392" s="15" t="s">
        <v>5972</v>
      </c>
      <c r="G392" s="15" t="s">
        <v>4660</v>
      </c>
      <c r="H392" s="15" t="s">
        <v>4029</v>
      </c>
      <c r="I392" s="15" t="s">
        <v>4039</v>
      </c>
      <c r="J392" s="15" t="s">
        <v>4043</v>
      </c>
      <c r="K392" s="96" t="str">
        <f>IFERROR(INDEX(競技会設定!$J$3:$O$47,MATCH(J392,競技会設定!$M$3:$M$47,0),5),"")</f>
        <v>愛知教育大</v>
      </c>
      <c r="L392" s="96" t="str">
        <f>IFERROR(INDEX(競技会設定!$J$3:$N$47,MATCH(K392,競技会設定!$N$3:$N$47,0),2),"")</f>
        <v>490044</v>
      </c>
      <c r="M392" s="15" t="s">
        <v>3859</v>
      </c>
      <c r="N392" s="96" t="str">
        <f t="shared" si="19"/>
        <v>SAKAMOTO, Ayaka</v>
      </c>
      <c r="O392" s="96" t="str">
        <f t="shared" si="20"/>
        <v>01</v>
      </c>
    </row>
    <row r="393" spans="1:15">
      <c r="A393" s="96" t="str">
        <f t="shared" si="18"/>
        <v>502002392</v>
      </c>
      <c r="B393" s="15" t="s">
        <v>5836</v>
      </c>
      <c r="C393" s="15" t="s">
        <v>5837</v>
      </c>
      <c r="D393" s="15" t="s">
        <v>5838</v>
      </c>
      <c r="E393" s="15" t="s">
        <v>6391</v>
      </c>
      <c r="F393" s="15" t="s">
        <v>6426</v>
      </c>
      <c r="G393" s="15" t="s">
        <v>6521</v>
      </c>
      <c r="H393" s="15" t="s">
        <v>4024</v>
      </c>
      <c r="I393" s="15" t="s">
        <v>4039</v>
      </c>
      <c r="J393" s="15" t="s">
        <v>4050</v>
      </c>
      <c r="K393" s="96" t="str">
        <f>IFERROR(INDEX(競技会設定!$J$3:$O$47,MATCH(J393,競技会設定!$M$3:$M$47,0),5),"")</f>
        <v>岐阜大</v>
      </c>
      <c r="L393" s="96" t="str">
        <f>IFERROR(INDEX(競技会設定!$J$3:$N$47,MATCH(K393,競技会設定!$N$3:$N$47,0),2),"")</f>
        <v>490041</v>
      </c>
      <c r="M393" s="15" t="s">
        <v>3855</v>
      </c>
      <c r="N393" s="96" t="str">
        <f t="shared" si="19"/>
        <v>KOYAMA, Chizuru</v>
      </c>
      <c r="O393" s="96" t="str">
        <f t="shared" si="20"/>
        <v>99</v>
      </c>
    </row>
    <row r="394" spans="1:15">
      <c r="A394" s="96" t="str">
        <f t="shared" si="18"/>
        <v>502002393</v>
      </c>
      <c r="B394" s="15" t="s">
        <v>5839</v>
      </c>
      <c r="C394" s="15" t="s">
        <v>5840</v>
      </c>
      <c r="D394" s="15" t="s">
        <v>5841</v>
      </c>
      <c r="E394" s="15" t="s">
        <v>6427</v>
      </c>
      <c r="F394" s="15" t="s">
        <v>6369</v>
      </c>
      <c r="G394" s="15" t="s">
        <v>3459</v>
      </c>
      <c r="H394" s="15" t="s">
        <v>4026</v>
      </c>
      <c r="I394" s="15" t="s">
        <v>4039</v>
      </c>
      <c r="J394" s="15" t="s">
        <v>4054</v>
      </c>
      <c r="K394" s="96" t="str">
        <f>IFERROR(INDEX(競技会設定!$J$3:$O$47,MATCH(J394,競技会設定!$M$3:$M$47,0),5),"")</f>
        <v>三重大</v>
      </c>
      <c r="L394" s="96" t="str">
        <f>IFERROR(INDEX(競技会設定!$J$3:$N$47,MATCH(K394,競技会設定!$N$3:$N$47,0),2),"")</f>
        <v>490046</v>
      </c>
      <c r="M394" s="15" t="s">
        <v>3859</v>
      </c>
      <c r="N394" s="96" t="str">
        <f t="shared" si="19"/>
        <v>KAJI , Aoi</v>
      </c>
      <c r="O394" s="96" t="str">
        <f t="shared" si="20"/>
        <v>99</v>
      </c>
    </row>
    <row r="395" spans="1:15">
      <c r="A395" s="96" t="str">
        <f t="shared" si="18"/>
        <v>502002394</v>
      </c>
      <c r="B395" s="15" t="s">
        <v>5842</v>
      </c>
      <c r="C395" s="15" t="s">
        <v>5843</v>
      </c>
      <c r="D395" s="15" t="s">
        <v>5844</v>
      </c>
      <c r="E395" s="15" t="s">
        <v>6428</v>
      </c>
      <c r="F395" s="15" t="s">
        <v>6429</v>
      </c>
      <c r="G395" s="15" t="s">
        <v>6644</v>
      </c>
      <c r="H395" s="15" t="s">
        <v>4026</v>
      </c>
      <c r="I395" s="15" t="s">
        <v>4039</v>
      </c>
      <c r="J395" s="15" t="s">
        <v>4054</v>
      </c>
      <c r="K395" s="96" t="str">
        <f>IFERROR(INDEX(競技会設定!$J$3:$O$47,MATCH(J395,競技会設定!$M$3:$M$47,0),5),"")</f>
        <v>三重大</v>
      </c>
      <c r="L395" s="96" t="str">
        <f>IFERROR(INDEX(競技会設定!$J$3:$N$47,MATCH(K395,競技会設定!$N$3:$N$47,0),2),"")</f>
        <v>490046</v>
      </c>
      <c r="M395" s="15" t="s">
        <v>3861</v>
      </c>
      <c r="N395" s="96" t="str">
        <f t="shared" si="19"/>
        <v>RARAFUI, Amina</v>
      </c>
      <c r="O395" s="96" t="str">
        <f t="shared" si="20"/>
        <v>01</v>
      </c>
    </row>
    <row r="396" spans="1:15">
      <c r="A396" s="96" t="str">
        <f t="shared" si="18"/>
        <v>502002395</v>
      </c>
      <c r="B396" s="15" t="s">
        <v>5845</v>
      </c>
      <c r="C396" s="15" t="s">
        <v>5846</v>
      </c>
      <c r="D396" s="15" t="s">
        <v>5847</v>
      </c>
      <c r="E396" s="15" t="s">
        <v>6430</v>
      </c>
      <c r="F396" s="15" t="s">
        <v>6386</v>
      </c>
      <c r="G396" s="15" t="s">
        <v>3198</v>
      </c>
      <c r="H396" s="15" t="s">
        <v>4026</v>
      </c>
      <c r="I396" s="15" t="s">
        <v>4039</v>
      </c>
      <c r="J396" s="15" t="s">
        <v>4054</v>
      </c>
      <c r="K396" s="96" t="str">
        <f>IFERROR(INDEX(競技会設定!$J$3:$O$47,MATCH(J396,競技会設定!$M$3:$M$47,0),5),"")</f>
        <v>三重大</v>
      </c>
      <c r="L396" s="96" t="str">
        <f>IFERROR(INDEX(競技会設定!$J$3:$N$47,MATCH(K396,競技会設定!$N$3:$N$47,0),2),"")</f>
        <v>490046</v>
      </c>
      <c r="M396" s="15" t="s">
        <v>3861</v>
      </c>
      <c r="N396" s="96" t="str">
        <f t="shared" si="19"/>
        <v>KATO , Sayaka</v>
      </c>
      <c r="O396" s="96" t="str">
        <f t="shared" si="20"/>
        <v>00</v>
      </c>
    </row>
    <row r="397" spans="1:15">
      <c r="A397" s="96" t="str">
        <f t="shared" si="18"/>
        <v>502002396</v>
      </c>
      <c r="B397" s="15" t="s">
        <v>5848</v>
      </c>
      <c r="C397" s="15" t="s">
        <v>5849</v>
      </c>
      <c r="D397" s="15" t="s">
        <v>5850</v>
      </c>
      <c r="E397" s="15" t="s">
        <v>6431</v>
      </c>
      <c r="F397" s="15" t="s">
        <v>6163</v>
      </c>
      <c r="G397" s="15" t="s">
        <v>6645</v>
      </c>
      <c r="H397" s="15" t="s">
        <v>4025</v>
      </c>
      <c r="I397" s="15" t="s">
        <v>4039</v>
      </c>
      <c r="J397" s="15" t="s">
        <v>4054</v>
      </c>
      <c r="K397" s="96" t="str">
        <f>IFERROR(INDEX(競技会設定!$J$3:$O$47,MATCH(J397,競技会設定!$M$3:$M$47,0),5),"")</f>
        <v>三重大</v>
      </c>
      <c r="L397" s="96" t="str">
        <f>IFERROR(INDEX(競技会設定!$J$3:$N$47,MATCH(K397,競技会設定!$N$3:$N$47,0),2),"")</f>
        <v>490046</v>
      </c>
      <c r="M397" s="15" t="s">
        <v>3861</v>
      </c>
      <c r="N397" s="96" t="str">
        <f t="shared" si="19"/>
        <v>KIMATA, Honoka</v>
      </c>
      <c r="O397" s="96" t="str">
        <f t="shared" si="20"/>
        <v>99</v>
      </c>
    </row>
    <row r="398" spans="1:15">
      <c r="A398" s="96" t="str">
        <f t="shared" si="18"/>
        <v>502002397</v>
      </c>
      <c r="B398" s="15" t="s">
        <v>5851</v>
      </c>
      <c r="C398" s="15" t="s">
        <v>5852</v>
      </c>
      <c r="D398" s="15" t="s">
        <v>5853</v>
      </c>
      <c r="E398" s="15" t="s">
        <v>6044</v>
      </c>
      <c r="F398" s="15" t="s">
        <v>6432</v>
      </c>
      <c r="G398" s="15" t="s">
        <v>6607</v>
      </c>
      <c r="H398" s="15" t="s">
        <v>4029</v>
      </c>
      <c r="I398" s="15" t="s">
        <v>4039</v>
      </c>
      <c r="J398" s="15" t="s">
        <v>4052</v>
      </c>
      <c r="K398" s="96" t="str">
        <f>IFERROR(INDEX(競技会設定!$J$3:$O$47,MATCH(J398,競技会設定!$M$3:$M$47,0),5),"")</f>
        <v>皇學館大</v>
      </c>
      <c r="L398" s="96" t="str">
        <f>IFERROR(INDEX(競技会設定!$J$3:$N$47,MATCH(K398,競技会設定!$N$3:$N$47,0),2),"")</f>
        <v>492185</v>
      </c>
      <c r="M398" s="15" t="s">
        <v>3861</v>
      </c>
      <c r="N398" s="96" t="str">
        <f t="shared" si="19"/>
        <v>NAKAYAMA, Runa</v>
      </c>
      <c r="O398" s="96" t="str">
        <f t="shared" si="20"/>
        <v>01</v>
      </c>
    </row>
    <row r="399" spans="1:15">
      <c r="A399" s="96" t="str">
        <f t="shared" si="18"/>
        <v>502002398</v>
      </c>
      <c r="B399" s="15" t="s">
        <v>5854</v>
      </c>
      <c r="C399" s="15" t="s">
        <v>5855</v>
      </c>
      <c r="D399" s="15" t="s">
        <v>5856</v>
      </c>
      <c r="E399" s="15" t="s">
        <v>6433</v>
      </c>
      <c r="F399" s="15" t="s">
        <v>6434</v>
      </c>
      <c r="G399" s="15" t="s">
        <v>6640</v>
      </c>
      <c r="H399" s="15" t="s">
        <v>4029</v>
      </c>
      <c r="I399" s="15" t="s">
        <v>4039</v>
      </c>
      <c r="J399" s="15" t="s">
        <v>4052</v>
      </c>
      <c r="K399" s="96" t="str">
        <f>IFERROR(INDEX(競技会設定!$J$3:$O$47,MATCH(J399,競技会設定!$M$3:$M$47,0),5),"")</f>
        <v>皇學館大</v>
      </c>
      <c r="L399" s="96" t="str">
        <f>IFERROR(INDEX(競技会設定!$J$3:$N$47,MATCH(K399,競技会設定!$N$3:$N$47,0),2),"")</f>
        <v>492185</v>
      </c>
      <c r="M399" s="15" t="s">
        <v>3861</v>
      </c>
      <c r="N399" s="96" t="str">
        <f t="shared" si="19"/>
        <v>HAMAJI, Kirara</v>
      </c>
      <c r="O399" s="96" t="str">
        <f t="shared" si="20"/>
        <v>01</v>
      </c>
    </row>
    <row r="400" spans="1:15">
      <c r="A400" s="96" t="str">
        <f t="shared" si="18"/>
        <v>502002399</v>
      </c>
      <c r="B400" s="15" t="s">
        <v>5857</v>
      </c>
      <c r="C400" s="15" t="s">
        <v>5858</v>
      </c>
      <c r="D400" s="15" t="s">
        <v>5859</v>
      </c>
      <c r="E400" s="15" t="s">
        <v>6435</v>
      </c>
      <c r="F400" s="15" t="s">
        <v>6436</v>
      </c>
      <c r="G400" s="15" t="s">
        <v>6646</v>
      </c>
      <c r="H400" s="15" t="s">
        <v>4025</v>
      </c>
      <c r="I400" s="15" t="s">
        <v>4039</v>
      </c>
      <c r="J400" s="15" t="s">
        <v>4052</v>
      </c>
      <c r="K400" s="96" t="str">
        <f>IFERROR(INDEX(競技会設定!$J$3:$O$47,MATCH(J400,競技会設定!$M$3:$M$47,0),5),"")</f>
        <v>皇學館大</v>
      </c>
      <c r="L400" s="96" t="str">
        <f>IFERROR(INDEX(競技会設定!$J$3:$N$47,MATCH(K400,競技会設定!$N$3:$N$47,0),2),"")</f>
        <v>492185</v>
      </c>
      <c r="M400" s="15" t="s">
        <v>3861</v>
      </c>
      <c r="N400" s="96" t="str">
        <f t="shared" si="19"/>
        <v>OGIDANI, Yua</v>
      </c>
      <c r="O400" s="96" t="str">
        <f t="shared" si="20"/>
        <v>98</v>
      </c>
    </row>
    <row r="401" spans="1:15">
      <c r="A401" s="96" t="str">
        <f t="shared" si="18"/>
        <v>502002400</v>
      </c>
      <c r="B401" s="15" t="s">
        <v>5860</v>
      </c>
      <c r="C401" s="15" t="s">
        <v>5861</v>
      </c>
      <c r="D401" s="15" t="s">
        <v>5862</v>
      </c>
      <c r="E401" s="15" t="s">
        <v>5979</v>
      </c>
      <c r="F401" s="15" t="s">
        <v>6437</v>
      </c>
      <c r="G401" s="15" t="s">
        <v>3690</v>
      </c>
      <c r="H401" s="15">
        <v>1</v>
      </c>
      <c r="I401" s="15" t="s">
        <v>4039</v>
      </c>
      <c r="J401" s="15" t="s">
        <v>6665</v>
      </c>
      <c r="K401" s="96" t="str">
        <f>IFERROR(INDEX(競技会設定!$J$3:$O$47,MATCH(J401,競技会設定!$M$3:$M$47,0),5),"")</f>
        <v>修文大</v>
      </c>
      <c r="L401" s="96" t="str">
        <f>IFERROR(INDEX(競技会設定!$J$3:$N$47,MATCH(K401,競技会設定!$N$3:$N$47,0),2),"")</f>
        <v>492999</v>
      </c>
      <c r="M401" s="15" t="s">
        <v>3859</v>
      </c>
      <c r="N401" s="96" t="str">
        <f t="shared" si="19"/>
        <v>GOTO, Ayano</v>
      </c>
      <c r="O401" s="96" t="str">
        <f t="shared" si="20"/>
        <v>01</v>
      </c>
    </row>
    <row r="402" spans="1:15">
      <c r="A402" s="96" t="str">
        <f t="shared" si="18"/>
        <v>502002401</v>
      </c>
      <c r="B402" s="15" t="s">
        <v>5863</v>
      </c>
      <c r="C402" s="15" t="s">
        <v>5864</v>
      </c>
      <c r="D402" s="15" t="s">
        <v>5865</v>
      </c>
      <c r="E402" s="15" t="s">
        <v>6438</v>
      </c>
      <c r="F402" s="15" t="s">
        <v>6018</v>
      </c>
      <c r="G402" s="15" t="s">
        <v>3345</v>
      </c>
      <c r="H402" s="15" t="s">
        <v>4029</v>
      </c>
      <c r="I402" s="15" t="s">
        <v>4039</v>
      </c>
      <c r="J402" s="15" t="s">
        <v>4057</v>
      </c>
      <c r="K402" s="96" t="str">
        <f>IFERROR(INDEX(競技会設定!$J$3:$O$47,MATCH(J402,競技会設定!$M$3:$M$47,0),5),"")</f>
        <v>静岡県立大</v>
      </c>
      <c r="L402" s="96" t="str">
        <f>IFERROR(INDEX(競技会設定!$J$3:$N$47,MATCH(K402,競技会設定!$N$3:$N$47,0),2),"")</f>
        <v>491037</v>
      </c>
      <c r="M402" s="15" t="s">
        <v>3857</v>
      </c>
      <c r="N402" s="96" t="str">
        <f t="shared" si="19"/>
        <v>SHMADA, Minori</v>
      </c>
      <c r="O402" s="96" t="str">
        <f t="shared" si="20"/>
        <v>02</v>
      </c>
    </row>
    <row r="403" spans="1:15">
      <c r="A403" s="96" t="str">
        <f t="shared" si="18"/>
        <v>502002402</v>
      </c>
      <c r="B403" s="15" t="s">
        <v>5866</v>
      </c>
      <c r="C403" s="15" t="s">
        <v>5867</v>
      </c>
      <c r="D403" s="15" t="s">
        <v>5868</v>
      </c>
      <c r="E403" s="15" t="s">
        <v>3015</v>
      </c>
      <c r="F403" s="15" t="s">
        <v>6232</v>
      </c>
      <c r="G403" s="15" t="s">
        <v>3628</v>
      </c>
      <c r="H403" s="15" t="s">
        <v>4029</v>
      </c>
      <c r="I403" s="15" t="s">
        <v>4039</v>
      </c>
      <c r="J403" s="15" t="s">
        <v>4057</v>
      </c>
      <c r="K403" s="96" t="str">
        <f>IFERROR(INDEX(競技会設定!$J$3:$O$47,MATCH(J403,競技会設定!$M$3:$M$47,0),5),"")</f>
        <v>静岡県立大</v>
      </c>
      <c r="L403" s="96" t="str">
        <f>IFERROR(INDEX(競技会設定!$J$3:$N$47,MATCH(K403,競技会設定!$N$3:$N$47,0),2),"")</f>
        <v>491037</v>
      </c>
      <c r="M403" s="15" t="s">
        <v>3857</v>
      </c>
      <c r="N403" s="96" t="str">
        <f t="shared" si="19"/>
        <v>SUZUKI, Yuuna</v>
      </c>
      <c r="O403" s="96" t="str">
        <f t="shared" si="20"/>
        <v>01</v>
      </c>
    </row>
    <row r="404" spans="1:15">
      <c r="A404" s="96" t="str">
        <f t="shared" si="18"/>
        <v>502002403</v>
      </c>
      <c r="B404" s="15" t="s">
        <v>5869</v>
      </c>
      <c r="C404" s="15" t="s">
        <v>5870</v>
      </c>
      <c r="D404" s="15" t="s">
        <v>5871</v>
      </c>
      <c r="E404" s="15" t="s">
        <v>4531</v>
      </c>
      <c r="F404" s="15" t="s">
        <v>6439</v>
      </c>
      <c r="G404" s="15" t="s">
        <v>3728</v>
      </c>
      <c r="H404" s="15" t="s">
        <v>4029</v>
      </c>
      <c r="I404" s="15" t="s">
        <v>4039</v>
      </c>
      <c r="J404" s="15" t="s">
        <v>4057</v>
      </c>
      <c r="K404" s="96" t="str">
        <f>IFERROR(INDEX(競技会設定!$J$3:$O$47,MATCH(J404,競技会設定!$M$3:$M$47,0),5),"")</f>
        <v>静岡県立大</v>
      </c>
      <c r="L404" s="96" t="str">
        <f>IFERROR(INDEX(競技会設定!$J$3:$N$47,MATCH(K404,競技会設定!$N$3:$N$47,0),2),"")</f>
        <v>491037</v>
      </c>
      <c r="M404" s="15" t="s">
        <v>3857</v>
      </c>
      <c r="N404" s="96" t="str">
        <f t="shared" si="19"/>
        <v>KOIKE, Kana</v>
      </c>
      <c r="O404" s="96" t="str">
        <f t="shared" si="20"/>
        <v>01</v>
      </c>
    </row>
    <row r="405" spans="1:15">
      <c r="A405" s="96" t="str">
        <f t="shared" si="18"/>
        <v>502002404</v>
      </c>
      <c r="B405" s="15" t="s">
        <v>5872</v>
      </c>
      <c r="C405" s="15" t="s">
        <v>5873</v>
      </c>
      <c r="D405" s="15" t="s">
        <v>5874</v>
      </c>
      <c r="E405" s="15" t="s">
        <v>6440</v>
      </c>
      <c r="F405" s="15" t="s">
        <v>6441</v>
      </c>
      <c r="G405" s="15" t="s">
        <v>3612</v>
      </c>
      <c r="H405" s="15" t="s">
        <v>4025</v>
      </c>
      <c r="I405" s="15" t="s">
        <v>4039</v>
      </c>
      <c r="J405" s="15" t="s">
        <v>4077</v>
      </c>
      <c r="K405" s="96" t="str">
        <f>IFERROR(INDEX(競技会設定!$J$3:$O$47,MATCH(J405,競技会設定!$M$3:$M$47,0),5),"")</f>
        <v>静岡大</v>
      </c>
      <c r="L405" s="96" t="str">
        <f>IFERROR(INDEX(競技会設定!$J$3:$N$47,MATCH(K405,競技会設定!$N$3:$N$47,0),2),"")</f>
        <v>490042</v>
      </c>
      <c r="M405" s="15" t="s">
        <v>3857</v>
      </c>
      <c r="N405" s="96" t="str">
        <f t="shared" si="19"/>
        <v>AMOU, Sakurako</v>
      </c>
      <c r="O405" s="96" t="str">
        <f t="shared" si="20"/>
        <v>98</v>
      </c>
    </row>
    <row r="406" spans="1:15">
      <c r="A406" s="96" t="str">
        <f t="shared" si="18"/>
        <v>502002405</v>
      </c>
      <c r="B406" s="15" t="s">
        <v>5875</v>
      </c>
      <c r="C406" s="15" t="s">
        <v>5876</v>
      </c>
      <c r="D406" s="15" t="s">
        <v>5877</v>
      </c>
      <c r="E406" s="15" t="s">
        <v>6368</v>
      </c>
      <c r="F406" s="15" t="s">
        <v>6442</v>
      </c>
      <c r="G406" s="15" t="s">
        <v>6508</v>
      </c>
      <c r="H406" s="15" t="s">
        <v>4025</v>
      </c>
      <c r="I406" s="15" t="s">
        <v>4039</v>
      </c>
      <c r="J406" s="15" t="s">
        <v>4077</v>
      </c>
      <c r="K406" s="96" t="str">
        <f>IFERROR(INDEX(競技会設定!$J$3:$O$47,MATCH(J406,競技会設定!$M$3:$M$47,0),5),"")</f>
        <v>静岡大</v>
      </c>
      <c r="L406" s="96" t="str">
        <f>IFERROR(INDEX(競技会設定!$J$3:$N$47,MATCH(K406,競技会設定!$N$3:$N$47,0),2),"")</f>
        <v>490042</v>
      </c>
      <c r="M406" s="15" t="s">
        <v>3857</v>
      </c>
      <c r="N406" s="96" t="str">
        <f t="shared" si="19"/>
        <v>SHIBATA, Nagisa</v>
      </c>
      <c r="O406" s="96" t="str">
        <f t="shared" si="20"/>
        <v>98</v>
      </c>
    </row>
    <row r="407" spans="1:15">
      <c r="A407" s="96" t="str">
        <f t="shared" si="18"/>
        <v>502002406</v>
      </c>
      <c r="B407" s="15" t="s">
        <v>5878</v>
      </c>
      <c r="C407" s="15" t="s">
        <v>5879</v>
      </c>
      <c r="D407" s="15" t="s">
        <v>5880</v>
      </c>
      <c r="E407" s="15" t="s">
        <v>6443</v>
      </c>
      <c r="F407" s="15" t="s">
        <v>5997</v>
      </c>
      <c r="G407" s="15" t="s">
        <v>3462</v>
      </c>
      <c r="H407" s="15" t="s">
        <v>4025</v>
      </c>
      <c r="I407" s="15" t="s">
        <v>4039</v>
      </c>
      <c r="J407" s="15" t="s">
        <v>4077</v>
      </c>
      <c r="K407" s="96" t="str">
        <f>IFERROR(INDEX(競技会設定!$J$3:$O$47,MATCH(J407,競技会設定!$M$3:$M$47,0),5),"")</f>
        <v>静岡大</v>
      </c>
      <c r="L407" s="96" t="str">
        <f>IFERROR(INDEX(競技会設定!$J$3:$N$47,MATCH(K407,競技会設定!$N$3:$N$47,0),2),"")</f>
        <v>490042</v>
      </c>
      <c r="M407" s="15" t="s">
        <v>3857</v>
      </c>
      <c r="N407" s="96" t="str">
        <f t="shared" si="19"/>
        <v>HAGIWARA, Nao</v>
      </c>
      <c r="O407" s="96" t="str">
        <f t="shared" si="20"/>
        <v>98</v>
      </c>
    </row>
    <row r="408" spans="1:15">
      <c r="A408" s="96" t="str">
        <f t="shared" si="18"/>
        <v>502002407</v>
      </c>
      <c r="B408" s="15" t="s">
        <v>5881</v>
      </c>
      <c r="C408" s="15" t="s">
        <v>5882</v>
      </c>
      <c r="D408" s="15" t="s">
        <v>5883</v>
      </c>
      <c r="E408" s="15" t="s">
        <v>3059</v>
      </c>
      <c r="F408" s="15" t="s">
        <v>6035</v>
      </c>
      <c r="G408" s="15" t="s">
        <v>6590</v>
      </c>
      <c r="H408" s="15" t="s">
        <v>4025</v>
      </c>
      <c r="I408" s="15" t="s">
        <v>4039</v>
      </c>
      <c r="J408" s="15" t="s">
        <v>4077</v>
      </c>
      <c r="K408" s="96" t="str">
        <f>IFERROR(INDEX(競技会設定!$J$3:$O$47,MATCH(J408,競技会設定!$M$3:$M$47,0),5),"")</f>
        <v>静岡大</v>
      </c>
      <c r="L408" s="96" t="str">
        <f>IFERROR(INDEX(競技会設定!$J$3:$N$47,MATCH(K408,競技会設定!$N$3:$N$47,0),2),"")</f>
        <v>490042</v>
      </c>
      <c r="M408" s="15" t="s">
        <v>3857</v>
      </c>
      <c r="N408" s="96" t="str">
        <f t="shared" si="19"/>
        <v>SAKAMOTO, Yui</v>
      </c>
      <c r="O408" s="96" t="str">
        <f t="shared" si="20"/>
        <v>98</v>
      </c>
    </row>
    <row r="409" spans="1:15">
      <c r="A409" s="96" t="str">
        <f t="shared" si="18"/>
        <v>502002408</v>
      </c>
      <c r="B409" s="15" t="s">
        <v>5884</v>
      </c>
      <c r="C409" s="15" t="s">
        <v>5885</v>
      </c>
      <c r="D409" s="15" t="s">
        <v>5886</v>
      </c>
      <c r="E409" s="15" t="s">
        <v>6085</v>
      </c>
      <c r="F409" s="15" t="s">
        <v>6444</v>
      </c>
      <c r="G409" s="15" t="s">
        <v>6647</v>
      </c>
      <c r="H409" s="15" t="s">
        <v>4024</v>
      </c>
      <c r="I409" s="15" t="s">
        <v>4039</v>
      </c>
      <c r="J409" s="15" t="s">
        <v>4077</v>
      </c>
      <c r="K409" s="96" t="str">
        <f>IFERROR(INDEX(競技会設定!$J$3:$O$47,MATCH(J409,競技会設定!$M$3:$M$47,0),5),"")</f>
        <v>静岡大</v>
      </c>
      <c r="L409" s="96" t="str">
        <f>IFERROR(INDEX(競技会設定!$J$3:$N$47,MATCH(K409,競技会設定!$N$3:$N$47,0),2),"")</f>
        <v>490042</v>
      </c>
      <c r="M409" s="15" t="s">
        <v>3857</v>
      </c>
      <c r="N409" s="96" t="str">
        <f t="shared" si="19"/>
        <v>SANO, Sachiko</v>
      </c>
      <c r="O409" s="96" t="str">
        <f t="shared" si="20"/>
        <v>99</v>
      </c>
    </row>
    <row r="410" spans="1:15">
      <c r="A410" s="96" t="str">
        <f t="shared" si="18"/>
        <v>502002409</v>
      </c>
      <c r="B410" s="15" t="s">
        <v>5887</v>
      </c>
      <c r="C410" s="15" t="s">
        <v>5888</v>
      </c>
      <c r="D410" s="15" t="s">
        <v>5889</v>
      </c>
      <c r="E410" s="15" t="s">
        <v>6445</v>
      </c>
      <c r="F410" s="15" t="s">
        <v>5984</v>
      </c>
      <c r="G410" s="15" t="s">
        <v>6648</v>
      </c>
      <c r="H410" s="15" t="s">
        <v>4024</v>
      </c>
      <c r="I410" s="15" t="s">
        <v>4039</v>
      </c>
      <c r="J410" s="15" t="s">
        <v>4077</v>
      </c>
      <c r="K410" s="96" t="str">
        <f>IFERROR(INDEX(競技会設定!$J$3:$O$47,MATCH(J410,競技会設定!$M$3:$M$47,0),5),"")</f>
        <v>静岡大</v>
      </c>
      <c r="L410" s="96" t="str">
        <f>IFERROR(INDEX(競技会設定!$J$3:$N$47,MATCH(K410,競技会設定!$N$3:$N$47,0),2),"")</f>
        <v>490042</v>
      </c>
      <c r="M410" s="15" t="s">
        <v>3857</v>
      </c>
      <c r="N410" s="96" t="str">
        <f t="shared" si="19"/>
        <v>MORINO, Maika</v>
      </c>
      <c r="O410" s="96" t="str">
        <f t="shared" si="20"/>
        <v>99</v>
      </c>
    </row>
    <row r="411" spans="1:15">
      <c r="A411" s="96" t="str">
        <f t="shared" si="18"/>
        <v>502002410</v>
      </c>
      <c r="B411" s="15" t="s">
        <v>5890</v>
      </c>
      <c r="C411" s="15" t="s">
        <v>5891</v>
      </c>
      <c r="D411" s="15" t="s">
        <v>5892</v>
      </c>
      <c r="E411" s="15" t="s">
        <v>6446</v>
      </c>
      <c r="F411" s="15" t="s">
        <v>6094</v>
      </c>
      <c r="G411" s="15" t="s">
        <v>6619</v>
      </c>
      <c r="H411" s="15" t="s">
        <v>4024</v>
      </c>
      <c r="I411" s="15" t="s">
        <v>4039</v>
      </c>
      <c r="J411" s="15" t="s">
        <v>4077</v>
      </c>
      <c r="K411" s="96" t="str">
        <f>IFERROR(INDEX(競技会設定!$J$3:$O$47,MATCH(J411,競技会設定!$M$3:$M$47,0),5),"")</f>
        <v>静岡大</v>
      </c>
      <c r="L411" s="96" t="str">
        <f>IFERROR(INDEX(競技会設定!$J$3:$N$47,MATCH(K411,競技会設定!$N$3:$N$47,0),2),"")</f>
        <v>490042</v>
      </c>
      <c r="M411" s="15" t="s">
        <v>3857</v>
      </c>
      <c r="N411" s="96" t="str">
        <f t="shared" si="19"/>
        <v>ARIGAYA, Mayu</v>
      </c>
      <c r="O411" s="96" t="str">
        <f t="shared" si="20"/>
        <v>99</v>
      </c>
    </row>
    <row r="412" spans="1:15">
      <c r="A412" s="96" t="str">
        <f t="shared" si="18"/>
        <v>502002411</v>
      </c>
      <c r="B412" s="15" t="s">
        <v>5893</v>
      </c>
      <c r="C412" s="15" t="s">
        <v>5894</v>
      </c>
      <c r="D412" s="15" t="s">
        <v>5895</v>
      </c>
      <c r="E412" s="15" t="s">
        <v>3016</v>
      </c>
      <c r="F412" s="15" t="s">
        <v>6447</v>
      </c>
      <c r="G412" s="15" t="s">
        <v>3605</v>
      </c>
      <c r="H412" s="15" t="s">
        <v>4024</v>
      </c>
      <c r="I412" s="15" t="s">
        <v>4039</v>
      </c>
      <c r="J412" s="15" t="s">
        <v>4077</v>
      </c>
      <c r="K412" s="96" t="str">
        <f>IFERROR(INDEX(競技会設定!$J$3:$O$47,MATCH(J412,競技会設定!$M$3:$M$47,0),5),"")</f>
        <v>静岡大</v>
      </c>
      <c r="L412" s="96" t="str">
        <f>IFERROR(INDEX(競技会設定!$J$3:$N$47,MATCH(K412,競技会設定!$N$3:$N$47,0),2),"")</f>
        <v>490042</v>
      </c>
      <c r="M412" s="15" t="s">
        <v>3857</v>
      </c>
      <c r="N412" s="96" t="str">
        <f t="shared" si="19"/>
        <v>TANAKA, Yuho</v>
      </c>
      <c r="O412" s="96" t="str">
        <f t="shared" si="20"/>
        <v>99</v>
      </c>
    </row>
    <row r="413" spans="1:15">
      <c r="A413" s="96" t="str">
        <f t="shared" si="18"/>
        <v>502002412</v>
      </c>
      <c r="B413" s="15" t="s">
        <v>5896</v>
      </c>
      <c r="C413" s="15" t="s">
        <v>5897</v>
      </c>
      <c r="D413" s="15" t="s">
        <v>5898</v>
      </c>
      <c r="E413" s="15" t="s">
        <v>6144</v>
      </c>
      <c r="F413" s="15" t="s">
        <v>6448</v>
      </c>
      <c r="G413" s="15" t="s">
        <v>3289</v>
      </c>
      <c r="H413" s="15" t="s">
        <v>4024</v>
      </c>
      <c r="I413" s="15" t="s">
        <v>4039</v>
      </c>
      <c r="J413" s="15" t="s">
        <v>4077</v>
      </c>
      <c r="K413" s="96" t="str">
        <f>IFERROR(INDEX(競技会設定!$J$3:$O$47,MATCH(J413,競技会設定!$M$3:$M$47,0),5),"")</f>
        <v>静岡大</v>
      </c>
      <c r="L413" s="96" t="str">
        <f>IFERROR(INDEX(競技会設定!$J$3:$N$47,MATCH(K413,競技会設定!$N$3:$N$47,0),2),"")</f>
        <v>490042</v>
      </c>
      <c r="M413" s="15" t="s">
        <v>3857</v>
      </c>
      <c r="N413" s="96" t="str">
        <f t="shared" si="19"/>
        <v>MATSUURA, Sumire</v>
      </c>
      <c r="O413" s="96" t="str">
        <f t="shared" si="20"/>
        <v>00</v>
      </c>
    </row>
    <row r="414" spans="1:15">
      <c r="A414" s="96" t="str">
        <f t="shared" si="18"/>
        <v>502002413</v>
      </c>
      <c r="B414" s="15" t="s">
        <v>5899</v>
      </c>
      <c r="C414" s="15" t="s">
        <v>5900</v>
      </c>
      <c r="D414" s="15" t="s">
        <v>5901</v>
      </c>
      <c r="E414" s="15" t="s">
        <v>6449</v>
      </c>
      <c r="F414" s="15" t="s">
        <v>6450</v>
      </c>
      <c r="G414" s="15" t="s">
        <v>3151</v>
      </c>
      <c r="H414" s="15" t="s">
        <v>4026</v>
      </c>
      <c r="I414" s="15" t="s">
        <v>4039</v>
      </c>
      <c r="J414" s="15" t="s">
        <v>4077</v>
      </c>
      <c r="K414" s="96" t="str">
        <f>IFERROR(INDEX(競技会設定!$J$3:$O$47,MATCH(J414,競技会設定!$M$3:$M$47,0),5),"")</f>
        <v>静岡大</v>
      </c>
      <c r="L414" s="96" t="str">
        <f>IFERROR(INDEX(競技会設定!$J$3:$N$47,MATCH(K414,競技会設定!$N$3:$N$47,0),2),"")</f>
        <v>490042</v>
      </c>
      <c r="M414" s="15" t="s">
        <v>3857</v>
      </c>
      <c r="N414" s="96" t="str">
        <f t="shared" si="19"/>
        <v>FUJIO, Madoka</v>
      </c>
      <c r="O414" s="96" t="str">
        <f t="shared" si="20"/>
        <v>00</v>
      </c>
    </row>
    <row r="415" spans="1:15">
      <c r="A415" s="96" t="str">
        <f t="shared" si="18"/>
        <v>502002414</v>
      </c>
      <c r="B415" s="15" t="s">
        <v>5902</v>
      </c>
      <c r="C415" s="15" t="s">
        <v>5903</v>
      </c>
      <c r="D415" s="15" t="s">
        <v>5904</v>
      </c>
      <c r="E415" s="15" t="s">
        <v>6451</v>
      </c>
      <c r="F415" s="15" t="s">
        <v>6158</v>
      </c>
      <c r="G415" s="15" t="s">
        <v>3562</v>
      </c>
      <c r="H415" s="15" t="s">
        <v>4026</v>
      </c>
      <c r="I415" s="15" t="s">
        <v>4039</v>
      </c>
      <c r="J415" s="15" t="s">
        <v>4077</v>
      </c>
      <c r="K415" s="96" t="str">
        <f>IFERROR(INDEX(競技会設定!$J$3:$O$47,MATCH(J415,競技会設定!$M$3:$M$47,0),5),"")</f>
        <v>静岡大</v>
      </c>
      <c r="L415" s="96" t="str">
        <f>IFERROR(INDEX(競技会設定!$J$3:$N$47,MATCH(K415,競技会設定!$N$3:$N$47,0),2),"")</f>
        <v>490042</v>
      </c>
      <c r="M415" s="15" t="s">
        <v>3857</v>
      </c>
      <c r="N415" s="96" t="str">
        <f t="shared" si="19"/>
        <v>NAKAHARA, Nagiho</v>
      </c>
      <c r="O415" s="96" t="str">
        <f t="shared" si="20"/>
        <v>00</v>
      </c>
    </row>
    <row r="416" spans="1:15">
      <c r="A416" s="96" t="str">
        <f t="shared" si="18"/>
        <v>502002415</v>
      </c>
      <c r="B416" s="15" t="s">
        <v>5905</v>
      </c>
      <c r="C416" s="15" t="s">
        <v>5906</v>
      </c>
      <c r="D416" s="15" t="s">
        <v>5907</v>
      </c>
      <c r="E416" s="15" t="s">
        <v>6303</v>
      </c>
      <c r="F416" s="15" t="s">
        <v>6297</v>
      </c>
      <c r="G416" s="15" t="s">
        <v>6649</v>
      </c>
      <c r="H416" s="15" t="s">
        <v>4026</v>
      </c>
      <c r="I416" s="15" t="s">
        <v>4039</v>
      </c>
      <c r="J416" s="15" t="s">
        <v>4077</v>
      </c>
      <c r="K416" s="96" t="str">
        <f>IFERROR(INDEX(競技会設定!$J$3:$O$47,MATCH(J416,競技会設定!$M$3:$M$47,0),5),"")</f>
        <v>静岡大</v>
      </c>
      <c r="L416" s="96" t="str">
        <f>IFERROR(INDEX(競技会設定!$J$3:$N$47,MATCH(K416,競技会設定!$N$3:$N$47,0),2),"")</f>
        <v>490042</v>
      </c>
      <c r="M416" s="15" t="s">
        <v>3857</v>
      </c>
      <c r="N416" s="96" t="str">
        <f t="shared" si="19"/>
        <v>HASEGAWA, Hazuki</v>
      </c>
      <c r="O416" s="96" t="str">
        <f t="shared" si="20"/>
        <v>00</v>
      </c>
    </row>
    <row r="417" spans="1:15">
      <c r="A417" s="96" t="str">
        <f t="shared" si="18"/>
        <v>502002416</v>
      </c>
      <c r="B417" s="15" t="s">
        <v>5908</v>
      </c>
      <c r="C417" s="15" t="s">
        <v>5909</v>
      </c>
      <c r="D417" s="15" t="s">
        <v>5910</v>
      </c>
      <c r="E417" s="15" t="s">
        <v>6452</v>
      </c>
      <c r="F417" s="15" t="s">
        <v>6061</v>
      </c>
      <c r="G417" s="15" t="s">
        <v>6609</v>
      </c>
      <c r="H417" s="15" t="s">
        <v>4026</v>
      </c>
      <c r="I417" s="15" t="s">
        <v>4039</v>
      </c>
      <c r="J417" s="15" t="s">
        <v>4077</v>
      </c>
      <c r="K417" s="96" t="str">
        <f>IFERROR(INDEX(競技会設定!$J$3:$O$47,MATCH(J417,競技会設定!$M$3:$M$47,0),5),"")</f>
        <v>静岡大</v>
      </c>
      <c r="L417" s="96" t="str">
        <f>IFERROR(INDEX(競技会設定!$J$3:$N$47,MATCH(K417,競技会設定!$N$3:$N$47,0),2),"")</f>
        <v>490042</v>
      </c>
      <c r="M417" s="15" t="s">
        <v>3857</v>
      </c>
      <c r="N417" s="96" t="str">
        <f t="shared" si="19"/>
        <v>KANAI, Kaoru</v>
      </c>
      <c r="O417" s="96" t="str">
        <f t="shared" si="20"/>
        <v>99</v>
      </c>
    </row>
    <row r="418" spans="1:15">
      <c r="A418" s="96" t="str">
        <f t="shared" si="18"/>
        <v>502002417</v>
      </c>
      <c r="B418" s="15" t="s">
        <v>5911</v>
      </c>
      <c r="C418" s="15" t="s">
        <v>5912</v>
      </c>
      <c r="D418" s="15" t="s">
        <v>5913</v>
      </c>
      <c r="E418" s="15" t="s">
        <v>6453</v>
      </c>
      <c r="F418" s="15" t="s">
        <v>6083</v>
      </c>
      <c r="G418" s="15" t="s">
        <v>6650</v>
      </c>
      <c r="H418" s="15" t="s">
        <v>6657</v>
      </c>
      <c r="I418" s="15" t="s">
        <v>4039</v>
      </c>
      <c r="J418" s="15" t="s">
        <v>4065</v>
      </c>
      <c r="K418" s="96" t="str">
        <f>IFERROR(INDEX(競技会設定!$J$3:$O$47,MATCH(J418,競技会設定!$M$3:$M$47,0),5),"")</f>
        <v>名古屋大</v>
      </c>
      <c r="L418" s="96" t="str">
        <f>IFERROR(INDEX(競技会設定!$J$3:$N$47,MATCH(K418,競技会設定!$N$3:$N$47,0),2),"")</f>
        <v>490043</v>
      </c>
      <c r="M418" s="15" t="s">
        <v>3859</v>
      </c>
      <c r="N418" s="96" t="str">
        <f t="shared" si="19"/>
        <v>NIWA, Yuna</v>
      </c>
      <c r="O418" s="96" t="str">
        <f t="shared" si="20"/>
        <v>02</v>
      </c>
    </row>
    <row r="419" spans="1:15">
      <c r="A419" s="96" t="str">
        <f t="shared" si="18"/>
        <v>502002418</v>
      </c>
      <c r="B419" s="15" t="s">
        <v>5914</v>
      </c>
      <c r="C419" s="15" t="s">
        <v>5915</v>
      </c>
      <c r="D419" s="15" t="s">
        <v>5916</v>
      </c>
      <c r="E419" s="15" t="s">
        <v>6454</v>
      </c>
      <c r="F419" s="15" t="s">
        <v>6421</v>
      </c>
      <c r="G419" s="15" t="s">
        <v>4626</v>
      </c>
      <c r="H419" s="15" t="s">
        <v>6657</v>
      </c>
      <c r="I419" s="15" t="s">
        <v>4039</v>
      </c>
      <c r="J419" s="15" t="s">
        <v>4065</v>
      </c>
      <c r="K419" s="96" t="str">
        <f>IFERROR(INDEX(競技会設定!$J$3:$O$47,MATCH(J419,競技会設定!$M$3:$M$47,0),5),"")</f>
        <v>名古屋大</v>
      </c>
      <c r="L419" s="96" t="str">
        <f>IFERROR(INDEX(競技会設定!$J$3:$N$47,MATCH(K419,競技会設定!$N$3:$N$47,0),2),"")</f>
        <v>490043</v>
      </c>
      <c r="M419" s="15" t="s">
        <v>3859</v>
      </c>
      <c r="N419" s="96" t="str">
        <f t="shared" si="19"/>
        <v>EJIRI, Tomoka</v>
      </c>
      <c r="O419" s="96" t="str">
        <f t="shared" si="20"/>
        <v>01</v>
      </c>
    </row>
    <row r="420" spans="1:15">
      <c r="A420" s="96" t="str">
        <f t="shared" si="18"/>
        <v>502002419</v>
      </c>
      <c r="B420" s="15" t="s">
        <v>5917</v>
      </c>
      <c r="C420" s="15" t="s">
        <v>5918</v>
      </c>
      <c r="D420" s="15" t="s">
        <v>5919</v>
      </c>
      <c r="E420" s="15" t="s">
        <v>6452</v>
      </c>
      <c r="F420" s="15" t="s">
        <v>6227</v>
      </c>
      <c r="G420" s="15" t="s">
        <v>3507</v>
      </c>
      <c r="H420" s="15" t="s">
        <v>6657</v>
      </c>
      <c r="I420" s="15" t="s">
        <v>4039</v>
      </c>
      <c r="J420" s="15" t="s">
        <v>4065</v>
      </c>
      <c r="K420" s="96" t="str">
        <f>IFERROR(INDEX(競技会設定!$J$3:$O$47,MATCH(J420,競技会設定!$M$3:$M$47,0),5),"")</f>
        <v>名古屋大</v>
      </c>
      <c r="L420" s="96" t="str">
        <f>IFERROR(INDEX(競技会設定!$J$3:$N$47,MATCH(K420,競技会設定!$N$3:$N$47,0),2),"")</f>
        <v>490043</v>
      </c>
      <c r="M420" s="15" t="s">
        <v>3859</v>
      </c>
      <c r="N420" s="96" t="str">
        <f t="shared" si="19"/>
        <v>KANAI, Chiho</v>
      </c>
      <c r="O420" s="96" t="str">
        <f t="shared" si="20"/>
        <v>01</v>
      </c>
    </row>
    <row r="421" spans="1:15">
      <c r="A421" s="96" t="str">
        <f t="shared" si="18"/>
        <v>502002420</v>
      </c>
      <c r="B421" s="15" t="s">
        <v>5920</v>
      </c>
      <c r="C421" s="15" t="s">
        <v>5921</v>
      </c>
      <c r="D421" s="15" t="s">
        <v>5922</v>
      </c>
      <c r="E421" s="15" t="s">
        <v>6455</v>
      </c>
      <c r="F421" s="15" t="s">
        <v>4544</v>
      </c>
      <c r="G421" s="15" t="s">
        <v>3349</v>
      </c>
      <c r="H421" s="15" t="s">
        <v>4029</v>
      </c>
      <c r="I421" s="15" t="s">
        <v>4039</v>
      </c>
      <c r="J421" s="15" t="s">
        <v>4049</v>
      </c>
      <c r="K421" s="96" t="str">
        <f>IFERROR(INDEX(競技会設定!$J$3:$O$47,MATCH(J421,競技会設定!$M$3:$M$47,0),5),"")</f>
        <v>岐阜聖徳学園大</v>
      </c>
      <c r="L421" s="96" t="str">
        <f>IFERROR(INDEX(競技会設定!$J$3:$N$47,MATCH(K421,競技会設定!$N$3:$N$47,0),2),"")</f>
        <v>492164</v>
      </c>
      <c r="M421" s="15" t="s">
        <v>3855</v>
      </c>
      <c r="N421" s="96" t="str">
        <f t="shared" si="19"/>
        <v>IWAMOTO, Yuri</v>
      </c>
      <c r="O421" s="96" t="str">
        <f t="shared" si="20"/>
        <v>01</v>
      </c>
    </row>
    <row r="422" spans="1:15">
      <c r="A422" s="96" t="str">
        <f t="shared" si="18"/>
        <v>502002421</v>
      </c>
      <c r="B422" s="15" t="s">
        <v>5923</v>
      </c>
      <c r="C422" s="15" t="s">
        <v>5924</v>
      </c>
      <c r="D422" s="15" t="s">
        <v>5925</v>
      </c>
      <c r="E422" s="15" t="s">
        <v>6456</v>
      </c>
      <c r="F422" s="15" t="s">
        <v>6437</v>
      </c>
      <c r="G422" s="15" t="s">
        <v>3358</v>
      </c>
      <c r="H422" s="15" t="s">
        <v>4029</v>
      </c>
      <c r="I422" s="15" t="s">
        <v>4039</v>
      </c>
      <c r="J422" s="15" t="s">
        <v>4049</v>
      </c>
      <c r="K422" s="96" t="str">
        <f>IFERROR(INDEX(競技会設定!$J$3:$O$47,MATCH(J422,競技会設定!$M$3:$M$47,0),5),"")</f>
        <v>岐阜聖徳学園大</v>
      </c>
      <c r="L422" s="96" t="str">
        <f>IFERROR(INDEX(競技会設定!$J$3:$N$47,MATCH(K422,競技会設定!$N$3:$N$47,0),2),"")</f>
        <v>492164</v>
      </c>
      <c r="M422" s="15" t="s">
        <v>3855</v>
      </c>
      <c r="N422" s="96" t="str">
        <f t="shared" si="19"/>
        <v>TODO, Ayano</v>
      </c>
      <c r="O422" s="96" t="str">
        <f t="shared" si="20"/>
        <v>01</v>
      </c>
    </row>
    <row r="423" spans="1:15">
      <c r="A423" s="96" t="str">
        <f t="shared" si="18"/>
        <v>502002422</v>
      </c>
      <c r="B423" s="15" t="s">
        <v>5926</v>
      </c>
      <c r="C423" s="15" t="s">
        <v>5927</v>
      </c>
      <c r="D423" s="15" t="s">
        <v>5928</v>
      </c>
      <c r="E423" s="15" t="s">
        <v>6372</v>
      </c>
      <c r="F423" s="15" t="s">
        <v>6457</v>
      </c>
      <c r="G423" s="15" t="s">
        <v>6651</v>
      </c>
      <c r="H423" s="15" t="s">
        <v>4029</v>
      </c>
      <c r="I423" s="15" t="s">
        <v>4039</v>
      </c>
      <c r="J423" s="15" t="s">
        <v>4050</v>
      </c>
      <c r="K423" s="96" t="str">
        <f>IFERROR(INDEX(競技会設定!$J$3:$O$47,MATCH(J423,競技会設定!$M$3:$M$47,0),5),"")</f>
        <v>岐阜大</v>
      </c>
      <c r="L423" s="96" t="str">
        <f>IFERROR(INDEX(競技会設定!$J$3:$N$47,MATCH(K423,競技会設定!$N$3:$N$47,0),2),"")</f>
        <v>490041</v>
      </c>
      <c r="M423" s="15" t="s">
        <v>3855</v>
      </c>
      <c r="N423" s="96" t="str">
        <f t="shared" si="19"/>
        <v>FUKUI, Anzu</v>
      </c>
      <c r="O423" s="96" t="str">
        <f t="shared" si="20"/>
        <v>02</v>
      </c>
    </row>
    <row r="424" spans="1:15">
      <c r="A424" s="96" t="str">
        <f t="shared" si="18"/>
        <v>502002423</v>
      </c>
      <c r="B424" s="15" t="s">
        <v>5929</v>
      </c>
      <c r="C424" s="15" t="s">
        <v>5930</v>
      </c>
      <c r="D424" s="15" t="s">
        <v>5931</v>
      </c>
      <c r="E424" s="15" t="s">
        <v>6458</v>
      </c>
      <c r="F424" s="15" t="s">
        <v>6459</v>
      </c>
      <c r="G424" s="15" t="s">
        <v>4624</v>
      </c>
      <c r="H424" s="15" t="s">
        <v>4029</v>
      </c>
      <c r="I424" s="15" t="s">
        <v>4039</v>
      </c>
      <c r="J424" s="15" t="s">
        <v>4050</v>
      </c>
      <c r="K424" s="96" t="str">
        <f>IFERROR(INDEX(競技会設定!$J$3:$O$47,MATCH(J424,競技会設定!$M$3:$M$47,0),5),"")</f>
        <v>岐阜大</v>
      </c>
      <c r="L424" s="96" t="str">
        <f>IFERROR(INDEX(競技会設定!$J$3:$N$47,MATCH(K424,競技会設定!$N$3:$N$47,0),2),"")</f>
        <v>490041</v>
      </c>
      <c r="M424" s="15" t="s">
        <v>3855</v>
      </c>
      <c r="N424" s="96" t="str">
        <f t="shared" si="19"/>
        <v>AOYAMA, Mizuha</v>
      </c>
      <c r="O424" s="96" t="str">
        <f t="shared" si="20"/>
        <v>01</v>
      </c>
    </row>
    <row r="425" spans="1:15">
      <c r="A425" s="96" t="str">
        <f t="shared" si="18"/>
        <v>502002424</v>
      </c>
      <c r="B425" s="15" t="s">
        <v>5932</v>
      </c>
      <c r="C425" s="15" t="s">
        <v>5933</v>
      </c>
      <c r="D425" s="15" t="s">
        <v>5934</v>
      </c>
      <c r="E425" s="15" t="s">
        <v>6379</v>
      </c>
      <c r="F425" s="15" t="s">
        <v>6198</v>
      </c>
      <c r="G425" s="15" t="s">
        <v>3731</v>
      </c>
      <c r="H425" s="15" t="s">
        <v>4029</v>
      </c>
      <c r="I425" s="15" t="s">
        <v>4039</v>
      </c>
      <c r="J425" s="15" t="s">
        <v>4050</v>
      </c>
      <c r="K425" s="96" t="str">
        <f>IFERROR(INDEX(競技会設定!$J$3:$O$47,MATCH(J425,競技会設定!$M$3:$M$47,0),5),"")</f>
        <v>岐阜大</v>
      </c>
      <c r="L425" s="96" t="str">
        <f>IFERROR(INDEX(競技会設定!$J$3:$N$47,MATCH(K425,競技会設定!$N$3:$N$47,0),2),"")</f>
        <v>490041</v>
      </c>
      <c r="M425" s="15" t="s">
        <v>3855</v>
      </c>
      <c r="N425" s="96" t="str">
        <f t="shared" si="19"/>
        <v>MIYASHITA, Maya</v>
      </c>
      <c r="O425" s="96" t="str">
        <f t="shared" si="20"/>
        <v>02</v>
      </c>
    </row>
    <row r="426" spans="1:15">
      <c r="A426" s="96" t="str">
        <f t="shared" si="18"/>
        <v>502002425</v>
      </c>
      <c r="B426" s="15" t="s">
        <v>5935</v>
      </c>
      <c r="C426" s="15" t="s">
        <v>5936</v>
      </c>
      <c r="D426" s="15" t="s">
        <v>5937</v>
      </c>
      <c r="E426" s="15" t="s">
        <v>3021</v>
      </c>
      <c r="F426" s="15" t="s">
        <v>6460</v>
      </c>
      <c r="G426" s="15" t="s">
        <v>6652</v>
      </c>
      <c r="H426" s="15" t="s">
        <v>4029</v>
      </c>
      <c r="I426" s="15" t="s">
        <v>4039</v>
      </c>
      <c r="J426" s="15" t="s">
        <v>4056</v>
      </c>
      <c r="K426" s="96" t="str">
        <f>IFERROR(INDEX(競技会設定!$J$3:$O$47,MATCH(J426,競技会設定!$M$3:$M$47,0),5),"")</f>
        <v>至学館大</v>
      </c>
      <c r="L426" s="96" t="str">
        <f>IFERROR(INDEX(競技会設定!$J$3:$N$47,MATCH(K426,競技会設定!$N$3:$N$47,0),2),"")</f>
        <v>492174</v>
      </c>
      <c r="M426" s="15" t="s">
        <v>3853</v>
      </c>
      <c r="N426" s="96" t="str">
        <f t="shared" si="19"/>
        <v>ITO, Suzune</v>
      </c>
      <c r="O426" s="96" t="str">
        <f t="shared" si="20"/>
        <v>02</v>
      </c>
    </row>
    <row r="427" spans="1:15">
      <c r="A427" s="96" t="str">
        <f t="shared" si="18"/>
        <v>502002426</v>
      </c>
      <c r="B427" s="15" t="s">
        <v>5938</v>
      </c>
      <c r="C427" s="15" t="s">
        <v>5939</v>
      </c>
      <c r="D427" s="15" t="s">
        <v>5940</v>
      </c>
      <c r="E427" s="15" t="s">
        <v>6461</v>
      </c>
      <c r="F427" s="15" t="s">
        <v>6462</v>
      </c>
      <c r="G427" s="15" t="s">
        <v>6653</v>
      </c>
      <c r="H427" s="15" t="s">
        <v>4029</v>
      </c>
      <c r="I427" s="15" t="s">
        <v>4039</v>
      </c>
      <c r="J427" s="15" t="s">
        <v>4056</v>
      </c>
      <c r="K427" s="96" t="str">
        <f>IFERROR(INDEX(競技会設定!$J$3:$O$47,MATCH(J427,競技会設定!$M$3:$M$47,0),5),"")</f>
        <v>至学館大</v>
      </c>
      <c r="L427" s="96" t="str">
        <f>IFERROR(INDEX(競技会設定!$J$3:$N$47,MATCH(K427,競技会設定!$N$3:$N$47,0),2),"")</f>
        <v>492174</v>
      </c>
      <c r="M427" s="15" t="s">
        <v>3859</v>
      </c>
      <c r="N427" s="96" t="str">
        <f t="shared" si="19"/>
        <v>OHARA, Suzuka</v>
      </c>
      <c r="O427" s="96" t="str">
        <f t="shared" si="20"/>
        <v>01</v>
      </c>
    </row>
    <row r="428" spans="1:15">
      <c r="A428" s="96" t="str">
        <f t="shared" si="18"/>
        <v>502002427</v>
      </c>
      <c r="B428" s="15" t="s">
        <v>5941</v>
      </c>
      <c r="C428" s="15" t="s">
        <v>5942</v>
      </c>
      <c r="D428" s="15" t="s">
        <v>5943</v>
      </c>
      <c r="E428" s="15" t="s">
        <v>6463</v>
      </c>
      <c r="F428" s="15" t="s">
        <v>5999</v>
      </c>
      <c r="G428" s="15" t="s">
        <v>6654</v>
      </c>
      <c r="H428" s="15" t="s">
        <v>4029</v>
      </c>
      <c r="I428" s="15" t="s">
        <v>4039</v>
      </c>
      <c r="J428" s="15" t="s">
        <v>4056</v>
      </c>
      <c r="K428" s="96" t="str">
        <f>IFERROR(INDEX(競技会設定!$J$3:$O$47,MATCH(J428,競技会設定!$M$3:$M$47,0),5),"")</f>
        <v>至学館大</v>
      </c>
      <c r="L428" s="96" t="str">
        <f>IFERROR(INDEX(競技会設定!$J$3:$N$47,MATCH(K428,競技会設定!$N$3:$N$47,0),2),"")</f>
        <v>492174</v>
      </c>
      <c r="M428" s="15" t="s">
        <v>3845</v>
      </c>
      <c r="N428" s="96" t="str">
        <f t="shared" si="19"/>
        <v>HORI, Miyuki</v>
      </c>
      <c r="O428" s="96" t="str">
        <f t="shared" si="20"/>
        <v>02</v>
      </c>
    </row>
    <row r="429" spans="1:15">
      <c r="A429" s="96" t="str">
        <f t="shared" si="18"/>
        <v>502002428</v>
      </c>
      <c r="B429" s="15" t="s">
        <v>5944</v>
      </c>
      <c r="C429" s="15" t="s">
        <v>5945</v>
      </c>
      <c r="D429" s="15" t="s">
        <v>5946</v>
      </c>
      <c r="E429" s="15" t="s">
        <v>6464</v>
      </c>
      <c r="F429" s="15" t="s">
        <v>6465</v>
      </c>
      <c r="G429" s="15" t="s">
        <v>3241</v>
      </c>
      <c r="H429" s="15" t="s">
        <v>4029</v>
      </c>
      <c r="I429" s="15" t="s">
        <v>4039</v>
      </c>
      <c r="J429" s="15" t="s">
        <v>4040</v>
      </c>
      <c r="K429" s="96" t="str">
        <f>IFERROR(INDEX(競技会設定!$J$3:$O$47,MATCH(J429,競技会設定!$M$3:$M$47,0),5),"")</f>
        <v>中京大</v>
      </c>
      <c r="L429" s="96" t="str">
        <f>IFERROR(INDEX(競技会設定!$J$3:$N$47,MATCH(K429,競技会設定!$N$3:$N$47,0),2),"")</f>
        <v>492173</v>
      </c>
      <c r="M429" s="15" t="s">
        <v>3907</v>
      </c>
      <c r="N429" s="96" t="str">
        <f t="shared" si="19"/>
        <v>FUKUDA, Kurena</v>
      </c>
      <c r="O429" s="96" t="str">
        <f t="shared" si="20"/>
        <v>01</v>
      </c>
    </row>
    <row r="430" spans="1:15">
      <c r="A430" s="96" t="str">
        <f t="shared" si="18"/>
        <v>502002429</v>
      </c>
      <c r="B430" s="15" t="s">
        <v>5947</v>
      </c>
      <c r="C430" s="15" t="s">
        <v>5948</v>
      </c>
      <c r="D430" s="15" t="s">
        <v>5949</v>
      </c>
      <c r="E430" s="15" t="s">
        <v>6466</v>
      </c>
      <c r="F430" s="15" t="s">
        <v>6467</v>
      </c>
      <c r="G430" s="15" t="s">
        <v>6655</v>
      </c>
      <c r="H430" s="15" t="s">
        <v>4029</v>
      </c>
      <c r="I430" s="15" t="s">
        <v>4039</v>
      </c>
      <c r="J430" s="15" t="s">
        <v>4074</v>
      </c>
      <c r="K430" s="96" t="str">
        <f>IFERROR(INDEX(競技会設定!$J$3:$O$47,MATCH(J430,競技会設定!$M$3:$M$47,0),5),"")</f>
        <v>東海学園大</v>
      </c>
      <c r="L430" s="96" t="str">
        <f>IFERROR(INDEX(競技会設定!$J$3:$N$47,MATCH(K430,競技会設定!$N$3:$N$47,0),2),"")</f>
        <v>492412</v>
      </c>
      <c r="M430" s="15" t="s">
        <v>3859</v>
      </c>
      <c r="N430" s="96" t="str">
        <f t="shared" si="19"/>
        <v>NISHIKAWA, Hiyori</v>
      </c>
      <c r="O430" s="96" t="str">
        <f t="shared" si="20"/>
        <v>01</v>
      </c>
    </row>
    <row r="431" spans="1:15">
      <c r="A431" s="96" t="str">
        <f t="shared" si="18"/>
        <v>502002430</v>
      </c>
      <c r="B431" s="15">
        <v>2430</v>
      </c>
      <c r="C431" s="15" t="s">
        <v>5950</v>
      </c>
      <c r="D431" s="15" t="s">
        <v>5951</v>
      </c>
      <c r="E431" s="15" t="s">
        <v>6468</v>
      </c>
      <c r="F431" s="15" t="s">
        <v>6469</v>
      </c>
      <c r="G431" s="15" t="s">
        <v>3687</v>
      </c>
      <c r="H431" s="15" t="s">
        <v>4029</v>
      </c>
      <c r="I431" s="15" t="s">
        <v>4039</v>
      </c>
      <c r="J431" s="15" t="s">
        <v>4047</v>
      </c>
      <c r="K431" s="96" t="str">
        <f>IFERROR(INDEX(競技会設定!$J$3:$O$47,MATCH(J431,競技会設定!$M$3:$M$47,0),5),"")</f>
        <v>岐阜協立大</v>
      </c>
      <c r="L431" s="96" t="str">
        <f>IFERROR(INDEX(競技会設定!$J$3:$N$47,MATCH(K431,競技会設定!$N$3:$N$47,0),2),"")</f>
        <v>492161</v>
      </c>
      <c r="M431" s="15" t="s">
        <v>3855</v>
      </c>
      <c r="N431" s="96" t="str">
        <f t="shared" si="19"/>
        <v>OKI, Ayuri</v>
      </c>
      <c r="O431" s="96" t="str">
        <f t="shared" si="20"/>
        <v>01</v>
      </c>
    </row>
    <row r="432" spans="1:15">
      <c r="A432" s="96" t="str">
        <f t="shared" si="18"/>
        <v>502002431</v>
      </c>
      <c r="B432" s="15">
        <v>2431</v>
      </c>
      <c r="C432" s="15" t="s">
        <v>7763</v>
      </c>
      <c r="D432" s="15" t="s">
        <v>7764</v>
      </c>
      <c r="E432" s="15" t="s">
        <v>7777</v>
      </c>
      <c r="F432" s="15" t="s">
        <v>7778</v>
      </c>
      <c r="G432" s="15" t="s">
        <v>7786</v>
      </c>
      <c r="H432" s="15" t="s">
        <v>4026</v>
      </c>
      <c r="I432" s="15" t="s">
        <v>4039</v>
      </c>
      <c r="J432" s="15" t="s">
        <v>4066</v>
      </c>
      <c r="K432" s="96" t="str">
        <f>IFERROR(INDEX(競技会設定!$J$3:$O$47,MATCH(J432,競技会設定!$M$3:$M$47,0),5),"")</f>
        <v>名城大</v>
      </c>
      <c r="L432" s="96" t="str">
        <f>IFERROR(INDEX(競技会設定!$J$3:$N$47,MATCH(K432,競技会設定!$N$3:$N$47,0),2),"")</f>
        <v>492184</v>
      </c>
      <c r="M432" s="15" t="s">
        <v>3855</v>
      </c>
      <c r="N432" s="96" t="str">
        <f t="shared" si="19"/>
        <v>NAKASHIMA, Nonno</v>
      </c>
      <c r="O432" s="96" t="str">
        <f t="shared" si="20"/>
        <v>01</v>
      </c>
    </row>
    <row r="433" spans="1:15">
      <c r="A433" s="96" t="str">
        <f t="shared" si="18"/>
        <v>502002432</v>
      </c>
      <c r="B433" s="15">
        <v>2432</v>
      </c>
      <c r="C433" s="15" t="s">
        <v>7765</v>
      </c>
      <c r="D433" s="15" t="s">
        <v>7766</v>
      </c>
      <c r="E433" s="15" t="s">
        <v>3021</v>
      </c>
      <c r="F433" s="15" t="s">
        <v>7779</v>
      </c>
      <c r="G433" s="15" t="s">
        <v>6551</v>
      </c>
      <c r="H433" s="15" t="s">
        <v>4029</v>
      </c>
      <c r="I433" s="15" t="s">
        <v>4039</v>
      </c>
      <c r="J433" s="15" t="s">
        <v>4049</v>
      </c>
      <c r="K433" s="96" t="str">
        <f>IFERROR(INDEX(競技会設定!$J$3:$O$47,MATCH(J433,競技会設定!$M$3:$M$47,0),5),"")</f>
        <v>岐阜聖徳学園大</v>
      </c>
      <c r="L433" s="96" t="str">
        <f>IFERROR(INDEX(競技会設定!$J$3:$N$47,MATCH(K433,競技会設定!$N$3:$N$47,0),2),"")</f>
        <v>492164</v>
      </c>
      <c r="M433" s="15" t="s">
        <v>3855</v>
      </c>
      <c r="N433" s="96" t="str">
        <f t="shared" si="19"/>
        <v>ITO, Moeri</v>
      </c>
      <c r="O433" s="96" t="str">
        <f t="shared" si="20"/>
        <v>01</v>
      </c>
    </row>
    <row r="434" spans="1:15">
      <c r="A434" s="96" t="str">
        <f t="shared" si="18"/>
        <v>502002433</v>
      </c>
      <c r="B434" s="15">
        <v>2433</v>
      </c>
      <c r="C434" s="15" t="s">
        <v>7767</v>
      </c>
      <c r="D434" s="15" t="s">
        <v>7768</v>
      </c>
      <c r="E434" s="15" t="s">
        <v>7780</v>
      </c>
      <c r="F434" s="15" t="s">
        <v>7781</v>
      </c>
      <c r="G434" s="15" t="s">
        <v>4640</v>
      </c>
      <c r="H434" s="15" t="s">
        <v>4029</v>
      </c>
      <c r="I434" s="15" t="s">
        <v>4039</v>
      </c>
      <c r="J434" s="15" t="s">
        <v>4065</v>
      </c>
      <c r="K434" s="96" t="str">
        <f>IFERROR(INDEX(競技会設定!$J$3:$O$47,MATCH(J434,競技会設定!$M$3:$M$47,0),5),"")</f>
        <v>名古屋大</v>
      </c>
      <c r="L434" s="96" t="str">
        <f>IFERROR(INDEX(競技会設定!$J$3:$N$47,MATCH(K434,競技会設定!$N$3:$N$47,0),2),"")</f>
        <v>490043</v>
      </c>
      <c r="M434" s="15" t="s">
        <v>3859</v>
      </c>
      <c r="N434" s="96" t="str">
        <f t="shared" si="19"/>
        <v>SOFUE, Mako</v>
      </c>
      <c r="O434" s="96" t="str">
        <f t="shared" si="20"/>
        <v>02</v>
      </c>
    </row>
    <row r="435" spans="1:15">
      <c r="A435" s="96" t="str">
        <f t="shared" si="18"/>
        <v>502002434</v>
      </c>
      <c r="B435" s="15">
        <v>2434</v>
      </c>
      <c r="C435" s="15" t="s">
        <v>7769</v>
      </c>
      <c r="D435" s="15" t="s">
        <v>7770</v>
      </c>
      <c r="E435" s="15" t="s">
        <v>3048</v>
      </c>
      <c r="F435" s="15" t="s">
        <v>6296</v>
      </c>
      <c r="G435" s="15" t="s">
        <v>7787</v>
      </c>
      <c r="H435" s="15" t="s">
        <v>6657</v>
      </c>
      <c r="I435" s="15" t="s">
        <v>4039</v>
      </c>
      <c r="J435" s="15" t="s">
        <v>4072</v>
      </c>
      <c r="K435" s="96" t="str">
        <f>IFERROR(INDEX(競技会設定!$J$3:$O$47,MATCH(J435,競技会設定!$M$3:$M$47,0),5),"")</f>
        <v>名古屋工業大</v>
      </c>
      <c r="L435" s="96" t="str">
        <f>IFERROR(INDEX(競技会設定!$J$3:$N$47,MATCH(K435,競技会設定!$N$3:$N$47,0),2),"")</f>
        <v>490045</v>
      </c>
      <c r="M435" s="15" t="s">
        <v>3859</v>
      </c>
      <c r="N435" s="96" t="str">
        <f t="shared" si="19"/>
        <v>SATO, Kyoka</v>
      </c>
      <c r="O435" s="96" t="str">
        <f t="shared" si="20"/>
        <v>01</v>
      </c>
    </row>
    <row r="436" spans="1:15">
      <c r="A436" s="96" t="str">
        <f t="shared" si="18"/>
        <v>502002435</v>
      </c>
      <c r="B436" s="15">
        <v>2435</v>
      </c>
      <c r="C436" s="15" t="s">
        <v>7771</v>
      </c>
      <c r="D436" s="15" t="s">
        <v>7772</v>
      </c>
      <c r="E436" s="15" t="s">
        <v>7782</v>
      </c>
      <c r="F436" s="15" t="s">
        <v>7783</v>
      </c>
      <c r="G436" s="15" t="s">
        <v>4625</v>
      </c>
      <c r="H436" s="15">
        <v>1</v>
      </c>
      <c r="I436" s="15" t="s">
        <v>4039</v>
      </c>
      <c r="J436" s="15" t="s">
        <v>4061</v>
      </c>
      <c r="K436" s="96" t="str">
        <f>IFERROR(INDEX(競技会設定!$J$3:$O$47,MATCH(J436,競技会設定!$M$3:$M$47,0),5),"")</f>
        <v>日本福祉大</v>
      </c>
      <c r="L436" s="96">
        <f>IFERROR(INDEX(競技会設定!$J$3:$N$47,MATCH(K436,競技会設定!$N$3:$N$47,0),2),"")</f>
        <v>492183</v>
      </c>
      <c r="M436" s="15" t="s">
        <v>3859</v>
      </c>
      <c r="N436" s="96" t="str">
        <f t="shared" si="19"/>
        <v>MORI, Natumi</v>
      </c>
      <c r="O436" s="96" t="str">
        <f t="shared" si="20"/>
        <v>01</v>
      </c>
    </row>
    <row r="437" spans="1:15">
      <c r="A437" s="96" t="str">
        <f t="shared" si="18"/>
        <v>502002452</v>
      </c>
      <c r="B437" s="15">
        <v>2452</v>
      </c>
      <c r="C437" s="15" t="s">
        <v>5952</v>
      </c>
      <c r="D437" s="15" t="s">
        <v>5953</v>
      </c>
      <c r="E437" s="15" t="s">
        <v>6470</v>
      </c>
      <c r="F437" s="15" t="s">
        <v>4506</v>
      </c>
      <c r="G437" s="15" t="s">
        <v>3386</v>
      </c>
      <c r="H437" s="15" t="s">
        <v>4029</v>
      </c>
      <c r="I437" s="15" t="s">
        <v>4039</v>
      </c>
      <c r="J437" s="15" t="s">
        <v>4077</v>
      </c>
      <c r="K437" s="96" t="str">
        <f>IFERROR(INDEX(競技会設定!$J$3:$O$47,MATCH(J437,競技会設定!$M$3:$M$47,0),5),"")</f>
        <v>静岡大</v>
      </c>
      <c r="L437" s="96" t="str">
        <f>IFERROR(INDEX(競技会設定!$J$3:$N$47,MATCH(K437,競技会設定!$N$3:$N$47,0),2),"")</f>
        <v>490042</v>
      </c>
      <c r="M437" s="15" t="s">
        <v>3857</v>
      </c>
      <c r="N437" s="96" t="str">
        <f t="shared" si="19"/>
        <v>SAWADA, Misaki</v>
      </c>
      <c r="O437" s="96" t="str">
        <f t="shared" si="20"/>
        <v>01</v>
      </c>
    </row>
    <row r="438" spans="1:15">
      <c r="A438" s="96" t="str">
        <f t="shared" si="18"/>
        <v>502002453</v>
      </c>
      <c r="B438" s="15">
        <v>2453</v>
      </c>
      <c r="C438" s="15" t="s">
        <v>5954</v>
      </c>
      <c r="D438" s="15" t="s">
        <v>5955</v>
      </c>
      <c r="E438" s="15" t="s">
        <v>6471</v>
      </c>
      <c r="F438" s="15" t="s">
        <v>6309</v>
      </c>
      <c r="G438" s="15" t="s">
        <v>6656</v>
      </c>
      <c r="H438" s="15" t="s">
        <v>4030</v>
      </c>
      <c r="I438" s="15" t="s">
        <v>4039</v>
      </c>
      <c r="J438" s="15" t="s">
        <v>4077</v>
      </c>
      <c r="K438" s="96" t="str">
        <f>IFERROR(INDEX(競技会設定!$J$3:$O$47,MATCH(J438,競技会設定!$M$3:$M$47,0),5),"")</f>
        <v>静岡大</v>
      </c>
      <c r="L438" s="96" t="str">
        <f>IFERROR(INDEX(競技会設定!$J$3:$N$47,MATCH(K438,競技会設定!$N$3:$N$47,0),2),"")</f>
        <v>490042</v>
      </c>
      <c r="M438" s="15" t="s">
        <v>3857</v>
      </c>
      <c r="N438" s="96" t="str">
        <f t="shared" si="19"/>
        <v>YAZAKI, Haruko</v>
      </c>
      <c r="O438" s="96" t="str">
        <f t="shared" si="20"/>
        <v>98</v>
      </c>
    </row>
    <row r="439" spans="1:15">
      <c r="A439" s="96" t="str">
        <f t="shared" si="18"/>
        <v>502002454</v>
      </c>
      <c r="B439" s="15">
        <v>2454</v>
      </c>
      <c r="C439" s="15" t="s">
        <v>5956</v>
      </c>
      <c r="D439" s="15" t="s">
        <v>5957</v>
      </c>
      <c r="E439" s="15" t="s">
        <v>6188</v>
      </c>
      <c r="F439" s="15" t="s">
        <v>6104</v>
      </c>
      <c r="G439" s="15" t="s">
        <v>3682</v>
      </c>
      <c r="H439" s="15" t="s">
        <v>4029</v>
      </c>
      <c r="I439" s="15" t="s">
        <v>4039</v>
      </c>
      <c r="J439" s="15" t="s">
        <v>4040</v>
      </c>
      <c r="K439" s="96" t="str">
        <f>IFERROR(INDEX(競技会設定!$J$3:$O$47,MATCH(J439,競技会設定!$M$3:$M$47,0),5),"")</f>
        <v>中京大</v>
      </c>
      <c r="L439" s="96" t="str">
        <f>IFERROR(INDEX(競技会設定!$J$3:$N$47,MATCH(K439,競技会設定!$N$3:$N$47,0),2),"")</f>
        <v>492173</v>
      </c>
      <c r="M439" s="15" t="s">
        <v>3859</v>
      </c>
      <c r="N439" s="96" t="str">
        <f t="shared" si="19"/>
        <v>MORITA, Momoka</v>
      </c>
      <c r="O439" s="96" t="str">
        <f t="shared" si="20"/>
        <v>01</v>
      </c>
    </row>
    <row r="440" spans="1:15">
      <c r="A440" s="96" t="str">
        <f t="shared" si="18"/>
        <v>502002455</v>
      </c>
      <c r="B440" s="15">
        <v>2455</v>
      </c>
      <c r="C440" s="15" t="s">
        <v>5958</v>
      </c>
      <c r="D440" s="15" t="s">
        <v>5959</v>
      </c>
      <c r="E440" s="15" t="s">
        <v>6105</v>
      </c>
      <c r="F440" s="15" t="s">
        <v>6030</v>
      </c>
      <c r="G440" s="15" t="s">
        <v>3719</v>
      </c>
      <c r="H440" s="15" t="s">
        <v>4029</v>
      </c>
      <c r="I440" s="15" t="s">
        <v>4039</v>
      </c>
      <c r="J440" s="15" t="s">
        <v>4059</v>
      </c>
      <c r="K440" s="96" t="str">
        <f>IFERROR(INDEX(競技会設定!$J$3:$O$47,MATCH(J440,競技会設定!$M$3:$M$47,0),5),"")</f>
        <v>中部大</v>
      </c>
      <c r="L440" s="96" t="str">
        <f>IFERROR(INDEX(競技会設定!$J$3:$N$47,MATCH(K440,競技会設定!$N$3:$N$47,0),2),"")</f>
        <v>492175</v>
      </c>
      <c r="M440" s="15" t="s">
        <v>3859</v>
      </c>
      <c r="N440" s="96" t="str">
        <f t="shared" si="19"/>
        <v>YAMAGUCHI, Naoko</v>
      </c>
      <c r="O440" s="96" t="str">
        <f t="shared" si="20"/>
        <v>01</v>
      </c>
    </row>
    <row r="441" spans="1:15">
      <c r="A441" s="96" t="str">
        <f t="shared" si="18"/>
        <v>502002456</v>
      </c>
      <c r="B441" s="15">
        <v>2456</v>
      </c>
      <c r="C441" s="15" t="s">
        <v>5960</v>
      </c>
      <c r="D441" s="15" t="s">
        <v>5961</v>
      </c>
      <c r="E441" s="15" t="s">
        <v>5979</v>
      </c>
      <c r="F441" s="15" t="s">
        <v>6472</v>
      </c>
      <c r="G441" s="15" t="s">
        <v>4628</v>
      </c>
      <c r="H441" s="15" t="s">
        <v>4029</v>
      </c>
      <c r="I441" s="15" t="s">
        <v>4039</v>
      </c>
      <c r="J441" s="15" t="s">
        <v>4060</v>
      </c>
      <c r="K441" s="96" t="str">
        <f>IFERROR(INDEX(競技会設定!$J$3:$O$47,MATCH(J441,競技会設定!$M$3:$M$47,0),5),"")</f>
        <v>南山大</v>
      </c>
      <c r="L441" s="96" t="str">
        <f>IFERROR(INDEX(競技会設定!$J$3:$N$47,MATCH(K441,競技会設定!$N$3:$N$47,0),2),"")</f>
        <v>492182</v>
      </c>
      <c r="M441" s="15" t="s">
        <v>3861</v>
      </c>
      <c r="N441" s="96" t="str">
        <f t="shared" si="19"/>
        <v>GOTO, Emina</v>
      </c>
      <c r="O441" s="96" t="str">
        <f t="shared" si="20"/>
        <v>01</v>
      </c>
    </row>
    <row r="442" spans="1:15">
      <c r="A442" s="96" t="str">
        <f t="shared" si="18"/>
        <v>502002457</v>
      </c>
      <c r="B442" s="15">
        <v>2457</v>
      </c>
      <c r="C442" s="15" t="s">
        <v>5962</v>
      </c>
      <c r="D442" s="15" t="s">
        <v>5963</v>
      </c>
      <c r="E442" s="15" t="s">
        <v>6473</v>
      </c>
      <c r="F442" s="15" t="s">
        <v>6474</v>
      </c>
      <c r="G442" s="15" t="s">
        <v>4640</v>
      </c>
      <c r="H442" s="15" t="s">
        <v>4029</v>
      </c>
      <c r="I442" s="15" t="s">
        <v>4039</v>
      </c>
      <c r="J442" s="15" t="s">
        <v>4062</v>
      </c>
      <c r="K442" s="96" t="str">
        <f>IFERROR(INDEX(競技会設定!$J$3:$O$47,MATCH(J442,競技会設定!$M$3:$M$47,0),5),"")</f>
        <v>浜松医科大</v>
      </c>
      <c r="L442" s="96" t="str">
        <f>IFERROR(INDEX(競技会設定!$J$3:$N$47,MATCH(K442,競技会設定!$N$3:$N$47,0),2),"")</f>
        <v>490079</v>
      </c>
      <c r="M442" s="15" t="s">
        <v>3857</v>
      </c>
      <c r="N442" s="96" t="str">
        <f t="shared" si="19"/>
        <v>OHBA, Nanoko</v>
      </c>
      <c r="O442" s="96" t="str">
        <f t="shared" si="20"/>
        <v>02</v>
      </c>
    </row>
    <row r="443" spans="1:15">
      <c r="A443" s="96" t="str">
        <f t="shared" si="18"/>
        <v>502002458</v>
      </c>
      <c r="B443" s="15">
        <v>2458</v>
      </c>
      <c r="C443" s="15" t="s">
        <v>7773</v>
      </c>
      <c r="D443" s="15" t="s">
        <v>7774</v>
      </c>
      <c r="E443" s="15" t="s">
        <v>7784</v>
      </c>
      <c r="F443" s="15" t="s">
        <v>6012</v>
      </c>
      <c r="G443" s="15" t="s">
        <v>7788</v>
      </c>
      <c r="H443" s="15" t="s">
        <v>4029</v>
      </c>
      <c r="I443" s="15" t="s">
        <v>4039</v>
      </c>
      <c r="J443" s="15" t="s">
        <v>4040</v>
      </c>
      <c r="K443" s="96" t="str">
        <f>IFERROR(INDEX(競技会設定!$J$3:$O$47,MATCH(J443,競技会設定!$M$3:$M$47,0),5),"")</f>
        <v>中京大</v>
      </c>
      <c r="L443" s="96" t="str">
        <f>IFERROR(INDEX(競技会設定!$J$3:$N$47,MATCH(K443,競技会設定!$N$3:$N$47,0),2),"")</f>
        <v>492173</v>
      </c>
      <c r="M443" s="15" t="s">
        <v>3861</v>
      </c>
      <c r="N443" s="96" t="str">
        <f t="shared" si="19"/>
        <v>YAMANAKA, Hitomi</v>
      </c>
      <c r="O443" s="96" t="str">
        <f t="shared" si="20"/>
        <v>01</v>
      </c>
    </row>
    <row r="444" spans="1:15">
      <c r="A444" s="96" t="str">
        <f t="shared" si="18"/>
        <v>502002459</v>
      </c>
      <c r="B444" s="15">
        <v>2459</v>
      </c>
      <c r="C444" s="15" t="s">
        <v>7775</v>
      </c>
      <c r="D444" s="15" t="s">
        <v>7776</v>
      </c>
      <c r="E444" s="15" t="s">
        <v>7785</v>
      </c>
      <c r="F444" s="15" t="s">
        <v>6035</v>
      </c>
      <c r="G444" s="15" t="s">
        <v>3416</v>
      </c>
      <c r="H444" s="15" t="s">
        <v>4026</v>
      </c>
      <c r="I444" s="15" t="s">
        <v>4039</v>
      </c>
      <c r="J444" s="15" t="s">
        <v>4040</v>
      </c>
      <c r="K444" s="96" t="str">
        <f>IFERROR(INDEX(競技会設定!$J$3:$O$47,MATCH(J444,競技会設定!$M$3:$M$47,0),5),"")</f>
        <v>中京大</v>
      </c>
      <c r="L444" s="96" t="str">
        <f>IFERROR(INDEX(競技会設定!$J$3:$N$47,MATCH(K444,競技会設定!$N$3:$N$47,0),2),"")</f>
        <v>492173</v>
      </c>
      <c r="M444" s="15" t="s">
        <v>3859</v>
      </c>
      <c r="N444" s="96" t="str">
        <f t="shared" si="19"/>
        <v>MORIYA, Yui</v>
      </c>
      <c r="O444" s="96" t="str">
        <f t="shared" si="20"/>
        <v>00</v>
      </c>
    </row>
  </sheetData>
  <phoneticPr fontId="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2D16E-F616-40C4-93B6-46F0B31049F0}">
  <sheetPr codeName="Sheet17"/>
  <dimension ref="A1:BC104"/>
  <sheetViews>
    <sheetView topLeftCell="O1" workbookViewId="0">
      <selection activeCell="P20" sqref="P20"/>
    </sheetView>
  </sheetViews>
  <sheetFormatPr defaultRowHeight="13.2"/>
  <cols>
    <col min="1" max="1" width="10.3984375" style="7" bestFit="1" customWidth="1"/>
    <col min="2" max="2" width="3.19921875" style="5" bestFit="1" customWidth="1"/>
    <col min="3" max="3" width="35.8984375" style="5" bestFit="1" customWidth="1"/>
    <col min="4" max="4" width="12.3984375" style="9" bestFit="1" customWidth="1"/>
    <col min="5" max="5" width="6.796875" style="9" bestFit="1" customWidth="1"/>
    <col min="6" max="6" width="8.59765625" style="1" bestFit="1" customWidth="1"/>
    <col min="7" max="7" width="8.59765625" style="8" bestFit="1" customWidth="1"/>
    <col min="8" max="8" width="7.69921875" style="1" bestFit="1" customWidth="1"/>
    <col min="9" max="9" width="3.19921875" style="1" bestFit="1" customWidth="1"/>
    <col min="10" max="11" width="10" style="1" customWidth="1"/>
    <col min="12" max="12" width="16.296875" style="1" bestFit="1" customWidth="1"/>
    <col min="13" max="13" width="24.09765625" style="1" bestFit="1" customWidth="1"/>
    <col min="14" max="14" width="14.3984375" style="1" bestFit="1" customWidth="1"/>
    <col min="15" max="15" width="10" style="1" customWidth="1"/>
    <col min="16" max="34" width="8.796875" style="1"/>
    <col min="35" max="35" width="3.19921875" style="1" customWidth="1"/>
    <col min="36" max="36" width="5.8984375" style="1" customWidth="1"/>
    <col min="37" max="37" width="5" style="1" customWidth="1"/>
    <col min="38" max="38" width="14.3984375" style="1" customWidth="1"/>
    <col min="39" max="40" width="5" style="1" customWidth="1"/>
    <col min="41" max="41" width="12.3984375" style="1" customWidth="1"/>
    <col min="42" max="42" width="10.3984375" style="1" customWidth="1"/>
    <col min="43" max="43" width="5.8984375" style="1" customWidth="1"/>
    <col min="44" max="44" width="7.69921875" style="1" customWidth="1"/>
    <col min="45" max="45" width="14.3984375" style="1" customWidth="1"/>
    <col min="46" max="47" width="8.59765625" style="1" customWidth="1"/>
    <col min="48" max="48" width="14.3984375" style="1" customWidth="1"/>
    <col min="49" max="16384" width="8.796875" style="1"/>
  </cols>
  <sheetData>
    <row r="1" spans="1:55">
      <c r="A1" s="7" t="s">
        <v>182</v>
      </c>
      <c r="B1" s="5" t="s">
        <v>183</v>
      </c>
      <c r="C1" s="5" t="str">
        <f>AI3&amp;AJ3&amp;AK3&amp;AL3&amp;AM3&amp;AN3&amp;AO3</f>
        <v>第47回東海学生陸上競技秋季選手権大会</v>
      </c>
      <c r="D1" s="538" t="s">
        <v>6798</v>
      </c>
      <c r="E1" s="538"/>
      <c r="F1" s="538" t="s">
        <v>6800</v>
      </c>
      <c r="G1" s="538"/>
      <c r="H1" s="538"/>
      <c r="I1" s="538"/>
      <c r="J1" s="1" t="s">
        <v>22</v>
      </c>
      <c r="K1" s="1" t="s">
        <v>0</v>
      </c>
      <c r="L1" s="1" t="s">
        <v>1</v>
      </c>
      <c r="M1" s="1" t="s">
        <v>6856</v>
      </c>
      <c r="N1" s="1" t="s">
        <v>2</v>
      </c>
      <c r="O1" s="1" t="s">
        <v>5</v>
      </c>
      <c r="P1" s="1" t="s">
        <v>6805</v>
      </c>
      <c r="Q1" s="1" t="s">
        <v>6801</v>
      </c>
      <c r="R1" s="1" t="s">
        <v>6802</v>
      </c>
      <c r="S1" s="1" t="s">
        <v>6803</v>
      </c>
      <c r="T1" s="1" t="s">
        <v>6806</v>
      </c>
      <c r="U1" s="1" t="s">
        <v>6801</v>
      </c>
      <c r="V1" s="1" t="s">
        <v>6802</v>
      </c>
      <c r="W1" s="1" t="s">
        <v>6803</v>
      </c>
      <c r="X1" s="538" t="s">
        <v>6800</v>
      </c>
      <c r="Y1" s="538"/>
      <c r="Z1" s="538"/>
      <c r="AA1" s="538"/>
      <c r="AB1" s="538"/>
      <c r="AC1" s="538"/>
      <c r="AD1" s="1" t="s">
        <v>6804</v>
      </c>
      <c r="AI1" s="537"/>
      <c r="AJ1" s="537"/>
      <c r="AK1" s="537"/>
      <c r="AL1" s="537"/>
      <c r="AM1" s="537"/>
      <c r="AN1" s="537"/>
      <c r="AO1" s="537"/>
      <c r="AP1" s="538" t="s">
        <v>59</v>
      </c>
      <c r="AQ1" s="538"/>
      <c r="AR1" s="538"/>
      <c r="AS1" s="538"/>
      <c r="AT1" s="538"/>
      <c r="AU1" s="538"/>
      <c r="AV1" s="538"/>
    </row>
    <row r="2" spans="1:55">
      <c r="A2" s="7" t="s">
        <v>6787</v>
      </c>
      <c r="B2" s="5" t="s">
        <v>6999</v>
      </c>
      <c r="C2" s="5">
        <v>1500</v>
      </c>
      <c r="D2" s="9" t="s">
        <v>6833</v>
      </c>
      <c r="E2" s="9" t="s">
        <v>6834</v>
      </c>
      <c r="F2" s="538" t="s">
        <v>6835</v>
      </c>
      <c r="G2" s="538"/>
      <c r="H2" s="538"/>
      <c r="I2" s="538"/>
      <c r="P2" s="1" t="s">
        <v>3766</v>
      </c>
      <c r="Q2" s="1">
        <v>1</v>
      </c>
      <c r="R2" s="1" t="str">
        <f>IF(Q2&lt;3,"Athle32","NANS21v")</f>
        <v>Athle32</v>
      </c>
      <c r="S2" s="1">
        <v>2</v>
      </c>
      <c r="T2" s="1" t="s">
        <v>3766</v>
      </c>
      <c r="U2" s="1">
        <v>1</v>
      </c>
      <c r="V2" s="1" t="str">
        <f>IF(U2&lt;3,"Athle32","NANS21v")</f>
        <v>Athle32</v>
      </c>
      <c r="W2" s="1">
        <v>2</v>
      </c>
      <c r="X2" s="1">
        <v>1</v>
      </c>
      <c r="Y2" s="1">
        <v>2</v>
      </c>
      <c r="Z2" s="1">
        <v>2</v>
      </c>
      <c r="AA2" s="1">
        <v>1</v>
      </c>
      <c r="AB2" s="1" t="s">
        <v>6951</v>
      </c>
      <c r="AC2" s="1" t="str">
        <f>IF(COUNTIF(AB2,"*(*")=0,MID(AB2,FIND("子",AB2)+1,LEN(AB2)-FIND("子",AB2)),MID(AB2,FIND("子",AB2)+1,LEN(AB2)-FIND("子",AB2)-(LEN(AB2)-FIND("(",AB2)+1)))</f>
        <v>100m</v>
      </c>
      <c r="AI2" s="6" t="s">
        <v>53</v>
      </c>
      <c r="AJ2" s="6" t="s">
        <v>54</v>
      </c>
      <c r="AK2" s="6" t="s">
        <v>55</v>
      </c>
      <c r="AL2" s="6" t="s">
        <v>56</v>
      </c>
      <c r="AM2" s="6" t="s">
        <v>57</v>
      </c>
      <c r="AN2" s="6" t="s">
        <v>178</v>
      </c>
      <c r="AO2" s="6" t="s">
        <v>58</v>
      </c>
      <c r="AP2" s="1" t="s">
        <v>53</v>
      </c>
      <c r="AQ2" s="1" t="s">
        <v>54</v>
      </c>
      <c r="AR2" s="1" t="s">
        <v>60</v>
      </c>
      <c r="AS2" s="1" t="s">
        <v>56</v>
      </c>
      <c r="AT2" s="1" t="s">
        <v>57</v>
      </c>
      <c r="AU2" s="1" t="s">
        <v>178</v>
      </c>
      <c r="AV2" s="1" t="s">
        <v>58</v>
      </c>
    </row>
    <row r="3" spans="1:55">
      <c r="A3" s="7" t="s">
        <v>6996</v>
      </c>
      <c r="B3" s="5" t="s">
        <v>6999</v>
      </c>
      <c r="C3" s="5">
        <v>1500</v>
      </c>
      <c r="D3" s="9" t="s">
        <v>3812</v>
      </c>
      <c r="E3" s="9" t="s">
        <v>3813</v>
      </c>
      <c r="F3" s="9" t="s">
        <v>3812</v>
      </c>
      <c r="G3" s="8" t="s">
        <v>3812</v>
      </c>
      <c r="H3" s="1" t="s">
        <v>3913</v>
      </c>
      <c r="I3" s="1">
        <v>1</v>
      </c>
      <c r="J3" s="18">
        <v>1</v>
      </c>
      <c r="K3" s="14" t="s">
        <v>6672</v>
      </c>
      <c r="L3" s="1" t="s">
        <v>6857</v>
      </c>
      <c r="M3" s="14" t="s">
        <v>4046</v>
      </c>
      <c r="N3" s="1" t="s">
        <v>6716</v>
      </c>
      <c r="O3" s="1" t="s">
        <v>3859</v>
      </c>
      <c r="P3" s="1" t="s">
        <v>3768</v>
      </c>
      <c r="Q3" s="1">
        <v>3</v>
      </c>
      <c r="R3" s="1" t="str">
        <f t="shared" ref="R3:R25" si="0">IF(Q3&lt;3,"Athle32","NANS21v")</f>
        <v>NANS21v</v>
      </c>
      <c r="S3" s="1">
        <v>3</v>
      </c>
      <c r="T3" s="1" t="s">
        <v>3768</v>
      </c>
      <c r="U3" s="1">
        <v>3</v>
      </c>
      <c r="V3" s="1" t="str">
        <f t="shared" ref="V3:V25" si="1">IF(U3&lt;3,"Athle32","NANS21v")</f>
        <v>NANS21v</v>
      </c>
      <c r="W3" s="1">
        <v>3</v>
      </c>
      <c r="X3" s="1">
        <v>2</v>
      </c>
      <c r="Y3" s="1">
        <v>3</v>
      </c>
      <c r="Z3" s="1">
        <v>2</v>
      </c>
      <c r="AA3" s="1">
        <v>1</v>
      </c>
      <c r="AB3" s="1" t="s">
        <v>6952</v>
      </c>
      <c r="AC3" s="1" t="str">
        <f t="shared" ref="AC3:AC47" si="2">IF(COUNTIF(AB3,"*(*")=0,MID(AB3,FIND("子",AB3)+1,LEN(AB3)-FIND("子",AB3)),MID(AB3,FIND("子",AB3)+1,LEN(AB3)-FIND("子",AB3)-(LEN(AB3)-FIND("(",AB3)+1)))</f>
        <v>200m</v>
      </c>
      <c r="AD3" s="1" t="s">
        <v>4009</v>
      </c>
      <c r="AE3" s="1">
        <v>2019</v>
      </c>
      <c r="AF3" s="1">
        <v>1</v>
      </c>
      <c r="AG3" s="1">
        <v>1</v>
      </c>
      <c r="AH3" s="1">
        <v>1</v>
      </c>
      <c r="AI3" s="4"/>
      <c r="AJ3" s="4" t="s">
        <v>62</v>
      </c>
      <c r="AK3" s="4" t="s">
        <v>120</v>
      </c>
      <c r="AL3" s="4" t="s">
        <v>174</v>
      </c>
      <c r="AM3" s="4" t="s">
        <v>64</v>
      </c>
      <c r="AN3" s="4" t="s">
        <v>181</v>
      </c>
      <c r="AO3" s="4" t="s">
        <v>68</v>
      </c>
    </row>
    <row r="4" spans="1:55">
      <c r="A4" s="7" t="s">
        <v>7000</v>
      </c>
      <c r="B4" s="5" t="s">
        <v>6999</v>
      </c>
      <c r="C4" s="5">
        <v>2000</v>
      </c>
      <c r="D4" s="9" t="s">
        <v>3814</v>
      </c>
      <c r="E4" s="9" t="s">
        <v>3815</v>
      </c>
      <c r="F4" s="9" t="s">
        <v>3814</v>
      </c>
      <c r="G4" s="8" t="s">
        <v>3914</v>
      </c>
      <c r="H4" s="1" t="s">
        <v>3915</v>
      </c>
      <c r="I4" s="1">
        <v>2</v>
      </c>
      <c r="J4" s="18">
        <v>2</v>
      </c>
      <c r="K4" s="14" t="s">
        <v>6667</v>
      </c>
      <c r="L4" s="1" t="s">
        <v>6858</v>
      </c>
      <c r="M4" s="14" t="s">
        <v>4041</v>
      </c>
      <c r="N4" s="1" t="s">
        <v>6711</v>
      </c>
      <c r="O4" s="1" t="s">
        <v>3859</v>
      </c>
      <c r="P4" s="1" t="s">
        <v>3770</v>
      </c>
      <c r="Q4" s="1">
        <v>2</v>
      </c>
      <c r="R4" s="1" t="str">
        <f t="shared" si="0"/>
        <v>Athle32</v>
      </c>
      <c r="S4" s="1">
        <v>5</v>
      </c>
      <c r="T4" s="1" t="s">
        <v>3770</v>
      </c>
      <c r="U4" s="1">
        <v>2</v>
      </c>
      <c r="V4" s="1" t="str">
        <f t="shared" si="1"/>
        <v>Athle32</v>
      </c>
      <c r="W4" s="1">
        <v>5</v>
      </c>
      <c r="X4" s="1">
        <v>3</v>
      </c>
      <c r="Y4" s="1">
        <v>4</v>
      </c>
      <c r="Z4" s="1">
        <v>2</v>
      </c>
      <c r="AA4" s="1">
        <v>1</v>
      </c>
      <c r="AB4" s="1" t="s">
        <v>6953</v>
      </c>
      <c r="AC4" s="1" t="str">
        <f t="shared" si="2"/>
        <v>400m</v>
      </c>
      <c r="AE4" s="1">
        <v>2020</v>
      </c>
      <c r="AF4" s="1">
        <v>2</v>
      </c>
      <c r="AG4" s="1">
        <v>3</v>
      </c>
      <c r="AH4" s="1">
        <v>2</v>
      </c>
      <c r="AP4" s="1" t="s">
        <v>61</v>
      </c>
      <c r="AQ4" s="1" t="s">
        <v>62</v>
      </c>
      <c r="AR4" s="1" t="s">
        <v>63</v>
      </c>
      <c r="AS4" s="1" t="s">
        <v>174</v>
      </c>
      <c r="AT4" s="1" t="s">
        <v>64</v>
      </c>
      <c r="AU4" s="1" t="s">
        <v>179</v>
      </c>
      <c r="AV4" s="1" t="s">
        <v>65</v>
      </c>
    </row>
    <row r="5" spans="1:55">
      <c r="A5" s="7" t="s">
        <v>7086</v>
      </c>
      <c r="B5" s="5" t="s">
        <v>183</v>
      </c>
      <c r="C5" s="239">
        <v>43466</v>
      </c>
      <c r="D5" s="9" t="s">
        <v>3816</v>
      </c>
      <c r="E5" s="9" t="s">
        <v>3817</v>
      </c>
      <c r="F5" s="9" t="s">
        <v>3816</v>
      </c>
      <c r="G5" s="8" t="s">
        <v>3916</v>
      </c>
      <c r="H5" s="1" t="s">
        <v>3917</v>
      </c>
      <c r="I5" s="1">
        <v>3</v>
      </c>
      <c r="J5" s="18">
        <v>3</v>
      </c>
      <c r="K5" s="14" t="s">
        <v>6668</v>
      </c>
      <c r="L5" s="1" t="s">
        <v>6859</v>
      </c>
      <c r="M5" s="14" t="s">
        <v>4042</v>
      </c>
      <c r="N5" s="1" t="s">
        <v>6712</v>
      </c>
      <c r="O5" s="1" t="s">
        <v>3859</v>
      </c>
      <c r="P5" s="1" t="s">
        <v>3772</v>
      </c>
      <c r="Q5" s="1">
        <v>4</v>
      </c>
      <c r="R5" s="1" t="str">
        <f t="shared" si="0"/>
        <v>NANS21v</v>
      </c>
      <c r="S5" s="1">
        <v>5</v>
      </c>
      <c r="T5" s="1" t="s">
        <v>3772</v>
      </c>
      <c r="U5" s="1">
        <v>4</v>
      </c>
      <c r="V5" s="1" t="str">
        <f t="shared" si="1"/>
        <v>NANS21v</v>
      </c>
      <c r="W5" s="1">
        <v>5</v>
      </c>
      <c r="X5" s="1">
        <v>4</v>
      </c>
      <c r="Y5" s="1">
        <v>5</v>
      </c>
      <c r="Z5" s="1">
        <v>2</v>
      </c>
      <c r="AA5" s="1">
        <v>1</v>
      </c>
      <c r="AB5" s="1" t="s">
        <v>6954</v>
      </c>
      <c r="AC5" s="1" t="str">
        <f t="shared" si="2"/>
        <v>800m</v>
      </c>
      <c r="AF5" s="1">
        <v>3</v>
      </c>
      <c r="AG5" s="1">
        <v>1</v>
      </c>
      <c r="AH5" s="1">
        <v>3</v>
      </c>
      <c r="AP5" s="1" t="s">
        <v>66</v>
      </c>
      <c r="AQ5" s="1">
        <v>2020</v>
      </c>
      <c r="AR5" s="1" t="s">
        <v>67</v>
      </c>
      <c r="AS5" s="1" t="s">
        <v>175</v>
      </c>
      <c r="AT5" s="1" t="s">
        <v>177</v>
      </c>
      <c r="AU5" s="1" t="s">
        <v>180</v>
      </c>
      <c r="AV5" s="1" t="s">
        <v>68</v>
      </c>
    </row>
    <row r="6" spans="1:55">
      <c r="A6" s="7" t="s">
        <v>7087</v>
      </c>
      <c r="B6" s="5" t="s">
        <v>183</v>
      </c>
      <c r="C6" s="239">
        <v>44094</v>
      </c>
      <c r="D6" s="9" t="s">
        <v>3818</v>
      </c>
      <c r="E6" s="9" t="s">
        <v>3819</v>
      </c>
      <c r="F6" s="9" t="s">
        <v>3818</v>
      </c>
      <c r="G6" s="8" t="s">
        <v>3918</v>
      </c>
      <c r="H6" s="1" t="s">
        <v>3919</v>
      </c>
      <c r="I6" s="1">
        <v>4</v>
      </c>
      <c r="J6" s="18">
        <v>4</v>
      </c>
      <c r="K6" s="14" t="s">
        <v>6669</v>
      </c>
      <c r="L6" s="1" t="s">
        <v>6861</v>
      </c>
      <c r="M6" s="14" t="s">
        <v>4043</v>
      </c>
      <c r="N6" s="1" t="s">
        <v>6713</v>
      </c>
      <c r="O6" s="1" t="s">
        <v>3859</v>
      </c>
      <c r="P6" s="1" t="s">
        <v>3774</v>
      </c>
      <c r="Q6" s="1">
        <v>2</v>
      </c>
      <c r="R6" s="1" t="str">
        <f t="shared" si="0"/>
        <v>Athle32</v>
      </c>
      <c r="S6" s="1">
        <v>8</v>
      </c>
      <c r="T6" s="1" t="s">
        <v>3774</v>
      </c>
      <c r="U6" s="1">
        <v>2</v>
      </c>
      <c r="V6" s="1" t="str">
        <f t="shared" si="1"/>
        <v>Athle32</v>
      </c>
      <c r="W6" s="1">
        <v>8</v>
      </c>
      <c r="X6" s="1">
        <v>5</v>
      </c>
      <c r="Y6" s="1">
        <v>7</v>
      </c>
      <c r="Z6" s="1">
        <v>2</v>
      </c>
      <c r="AA6" s="1">
        <v>1</v>
      </c>
      <c r="AB6" s="1" t="s">
        <v>6955</v>
      </c>
      <c r="AC6" s="1" t="str">
        <f t="shared" si="2"/>
        <v>1500m</v>
      </c>
      <c r="AF6" s="1">
        <v>4</v>
      </c>
      <c r="AG6" s="1">
        <v>2</v>
      </c>
      <c r="AH6" s="1">
        <v>4</v>
      </c>
      <c r="AP6" s="1" t="s">
        <v>69</v>
      </c>
      <c r="AQ6" s="1">
        <v>2021</v>
      </c>
      <c r="AR6" s="1" t="s">
        <v>70</v>
      </c>
      <c r="AS6" s="1" t="s">
        <v>176</v>
      </c>
      <c r="AU6" s="1" t="s">
        <v>181</v>
      </c>
      <c r="AV6" s="1" t="s">
        <v>71</v>
      </c>
    </row>
    <row r="7" spans="1:55">
      <c r="D7" s="9" t="s">
        <v>3820</v>
      </c>
      <c r="E7" s="9" t="s">
        <v>3821</v>
      </c>
      <c r="F7" s="9" t="s">
        <v>3820</v>
      </c>
      <c r="G7" s="8" t="s">
        <v>3920</v>
      </c>
      <c r="H7" s="1" t="s">
        <v>3921</v>
      </c>
      <c r="I7" s="1">
        <v>5</v>
      </c>
      <c r="J7" s="18">
        <v>6</v>
      </c>
      <c r="K7" s="14" t="s">
        <v>6670</v>
      </c>
      <c r="L7" s="1" t="s">
        <v>6860</v>
      </c>
      <c r="M7" s="14" t="s">
        <v>4044</v>
      </c>
      <c r="N7" s="1" t="s">
        <v>6714</v>
      </c>
      <c r="O7" s="1" t="s">
        <v>3859</v>
      </c>
      <c r="P7" s="1" t="s">
        <v>3776</v>
      </c>
      <c r="Q7" s="1">
        <v>1</v>
      </c>
      <c r="R7" s="1" t="str">
        <f t="shared" si="0"/>
        <v>Athle32</v>
      </c>
      <c r="S7" s="1">
        <v>11</v>
      </c>
      <c r="T7" s="1" t="s">
        <v>3776</v>
      </c>
      <c r="U7" s="1">
        <v>1</v>
      </c>
      <c r="V7" s="1" t="str">
        <f t="shared" si="1"/>
        <v>Athle32</v>
      </c>
      <c r="W7" s="1">
        <v>11</v>
      </c>
      <c r="X7" s="1">
        <v>6</v>
      </c>
      <c r="Y7" s="1">
        <v>9</v>
      </c>
      <c r="Z7" s="1">
        <v>2</v>
      </c>
      <c r="AA7" s="1">
        <v>1</v>
      </c>
      <c r="AB7" s="1" t="s">
        <v>6956</v>
      </c>
      <c r="AC7" s="1" t="str">
        <f t="shared" si="2"/>
        <v>5000m</v>
      </c>
      <c r="AF7" s="1">
        <v>5</v>
      </c>
      <c r="AG7" s="1">
        <v>1</v>
      </c>
      <c r="AH7" s="1">
        <v>5</v>
      </c>
      <c r="AP7" s="1" t="s">
        <v>72</v>
      </c>
      <c r="AQ7" s="1">
        <v>2022</v>
      </c>
      <c r="AR7" s="1" t="s">
        <v>73</v>
      </c>
      <c r="AV7" s="1" t="s">
        <v>74</v>
      </c>
    </row>
    <row r="8" spans="1:55">
      <c r="D8" s="9" t="s">
        <v>3822</v>
      </c>
      <c r="E8" s="9" t="s">
        <v>3823</v>
      </c>
      <c r="F8" s="9" t="s">
        <v>3822</v>
      </c>
      <c r="G8" s="8" t="s">
        <v>3922</v>
      </c>
      <c r="H8" s="1" t="s">
        <v>3923</v>
      </c>
      <c r="I8" s="1">
        <v>6</v>
      </c>
      <c r="J8" s="18">
        <v>7</v>
      </c>
      <c r="K8" s="14" t="s">
        <v>6671</v>
      </c>
      <c r="L8" s="1" t="s">
        <v>6862</v>
      </c>
      <c r="M8" s="14" t="s">
        <v>4045</v>
      </c>
      <c r="N8" s="1" t="s">
        <v>6715</v>
      </c>
      <c r="O8" s="1" t="s">
        <v>3859</v>
      </c>
      <c r="P8" s="1" t="s">
        <v>3778</v>
      </c>
      <c r="Q8" s="1">
        <v>3</v>
      </c>
      <c r="R8" s="1" t="str">
        <f t="shared" si="0"/>
        <v>NANS21v</v>
      </c>
      <c r="S8" s="1">
        <v>10</v>
      </c>
      <c r="T8" s="1" t="s">
        <v>3778</v>
      </c>
      <c r="U8" s="1">
        <v>3</v>
      </c>
      <c r="V8" s="1" t="str">
        <f t="shared" si="1"/>
        <v>NANS21v</v>
      </c>
      <c r="W8" s="1">
        <v>10</v>
      </c>
      <c r="X8" s="1">
        <v>7</v>
      </c>
      <c r="Y8" s="1">
        <v>10</v>
      </c>
      <c r="Z8" s="1">
        <v>2</v>
      </c>
      <c r="AA8" s="1">
        <v>1</v>
      </c>
      <c r="AB8" s="1" t="s">
        <v>6957</v>
      </c>
      <c r="AC8" s="1" t="str">
        <f t="shared" si="2"/>
        <v>10000m</v>
      </c>
      <c r="AF8" s="1">
        <v>6</v>
      </c>
      <c r="AG8" s="1">
        <v>2</v>
      </c>
      <c r="AH8" s="1">
        <v>6</v>
      </c>
      <c r="AQ8" s="1">
        <v>2023</v>
      </c>
      <c r="AR8" s="1" t="s">
        <v>75</v>
      </c>
      <c r="AV8" s="1" t="s">
        <v>76</v>
      </c>
    </row>
    <row r="9" spans="1:55">
      <c r="D9" s="9" t="s">
        <v>3824</v>
      </c>
      <c r="E9" s="9" t="s">
        <v>3825</v>
      </c>
      <c r="F9" s="9" t="s">
        <v>3824</v>
      </c>
      <c r="G9" s="8" t="s">
        <v>3924</v>
      </c>
      <c r="H9" s="1" t="s">
        <v>3925</v>
      </c>
      <c r="I9" s="1">
        <v>7</v>
      </c>
      <c r="J9" s="18">
        <v>8</v>
      </c>
      <c r="K9" s="14" t="s">
        <v>6697</v>
      </c>
      <c r="L9" s="1" t="s">
        <v>6863</v>
      </c>
      <c r="M9" s="14" t="s">
        <v>4068</v>
      </c>
      <c r="N9" s="1" t="s">
        <v>6741</v>
      </c>
      <c r="O9" s="1" t="s">
        <v>3859</v>
      </c>
      <c r="P9" s="1" t="s">
        <v>3780</v>
      </c>
      <c r="Q9" s="1">
        <v>2</v>
      </c>
      <c r="R9" s="1" t="str">
        <f t="shared" si="0"/>
        <v>Athle32</v>
      </c>
      <c r="S9" s="1">
        <v>34</v>
      </c>
      <c r="T9" s="1" t="s">
        <v>3811</v>
      </c>
      <c r="U9" s="1">
        <v>3</v>
      </c>
      <c r="V9" s="1" t="str">
        <f t="shared" si="1"/>
        <v>NANS21v</v>
      </c>
      <c r="W9" s="1">
        <v>15</v>
      </c>
      <c r="X9" s="1">
        <v>8</v>
      </c>
      <c r="Y9" s="1">
        <v>19</v>
      </c>
      <c r="Z9" s="1">
        <v>2</v>
      </c>
      <c r="AA9" s="1">
        <v>1</v>
      </c>
      <c r="AB9" s="1" t="s">
        <v>6987</v>
      </c>
      <c r="AC9" s="1" t="str">
        <f t="shared" si="2"/>
        <v>110mH</v>
      </c>
      <c r="AF9" s="1">
        <v>7</v>
      </c>
      <c r="AG9" s="1">
        <v>1</v>
      </c>
      <c r="AH9" s="1">
        <v>7</v>
      </c>
      <c r="AQ9" s="1">
        <v>2024</v>
      </c>
      <c r="AR9" s="1" t="s">
        <v>77</v>
      </c>
      <c r="AV9" s="1" t="s">
        <v>78</v>
      </c>
    </row>
    <row r="10" spans="1:55">
      <c r="D10" s="9" t="s">
        <v>3826</v>
      </c>
      <c r="E10" s="9" t="s">
        <v>3827</v>
      </c>
      <c r="F10" s="9" t="s">
        <v>3826</v>
      </c>
      <c r="G10" s="8" t="s">
        <v>3926</v>
      </c>
      <c r="H10" s="1" t="s">
        <v>3927</v>
      </c>
      <c r="I10" s="1">
        <v>8</v>
      </c>
      <c r="J10" s="18">
        <v>9</v>
      </c>
      <c r="K10" s="14" t="s">
        <v>6676</v>
      </c>
      <c r="L10" s="1" t="s">
        <v>6864</v>
      </c>
      <c r="M10" s="14" t="s">
        <v>4050</v>
      </c>
      <c r="N10" s="1" t="s">
        <v>6720</v>
      </c>
      <c r="O10" s="1" t="s">
        <v>3855</v>
      </c>
      <c r="P10" s="1" t="s">
        <v>3782</v>
      </c>
      <c r="Q10" s="1">
        <v>3</v>
      </c>
      <c r="R10" s="1" t="str">
        <f t="shared" si="0"/>
        <v>NANS21v</v>
      </c>
      <c r="S10" s="1">
        <v>23</v>
      </c>
      <c r="T10" s="1" t="s">
        <v>3782</v>
      </c>
      <c r="U10" s="1">
        <v>3</v>
      </c>
      <c r="V10" s="1" t="str">
        <f t="shared" si="1"/>
        <v>NANS21v</v>
      </c>
      <c r="W10" s="1">
        <v>21</v>
      </c>
      <c r="X10" s="1">
        <v>9</v>
      </c>
      <c r="Y10" s="1">
        <v>23</v>
      </c>
      <c r="Z10" s="1">
        <v>2</v>
      </c>
      <c r="AA10" s="1">
        <v>1</v>
      </c>
      <c r="AB10" s="1" t="s">
        <v>6958</v>
      </c>
      <c r="AC10" s="1" t="str">
        <f t="shared" si="2"/>
        <v>400mH</v>
      </c>
      <c r="AF10" s="1">
        <v>8</v>
      </c>
      <c r="AG10" s="1">
        <v>1</v>
      </c>
      <c r="AH10" s="1">
        <v>8</v>
      </c>
      <c r="AQ10" s="1">
        <v>2025</v>
      </c>
      <c r="AR10" s="1" t="s">
        <v>79</v>
      </c>
      <c r="AX10" s="35"/>
      <c r="AY10" s="35"/>
      <c r="AZ10" s="35"/>
      <c r="BA10" s="35"/>
      <c r="BB10" s="35"/>
      <c r="BC10" s="35"/>
    </row>
    <row r="11" spans="1:55">
      <c r="D11" s="9" t="s">
        <v>3828</v>
      </c>
      <c r="E11" s="9" t="s">
        <v>3829</v>
      </c>
      <c r="F11" s="9" t="s">
        <v>3828</v>
      </c>
      <c r="G11" s="8" t="s">
        <v>3928</v>
      </c>
      <c r="H11" s="1" t="s">
        <v>3929</v>
      </c>
      <c r="I11" s="1">
        <v>9</v>
      </c>
      <c r="J11" s="18">
        <v>10</v>
      </c>
      <c r="K11" s="14" t="s">
        <v>6673</v>
      </c>
      <c r="L11" s="1" t="s">
        <v>6865</v>
      </c>
      <c r="M11" s="14" t="s">
        <v>4047</v>
      </c>
      <c r="N11" s="1" t="s">
        <v>6717</v>
      </c>
      <c r="O11" s="1" t="s">
        <v>3855</v>
      </c>
      <c r="P11" s="1" t="s">
        <v>3784</v>
      </c>
      <c r="Q11" s="1">
        <v>4</v>
      </c>
      <c r="R11" s="1" t="str">
        <f t="shared" si="0"/>
        <v>NANS21v</v>
      </c>
      <c r="S11" s="1">
        <v>26</v>
      </c>
      <c r="T11" s="1" t="s">
        <v>3784</v>
      </c>
      <c r="U11" s="1">
        <v>4</v>
      </c>
      <c r="V11" s="1" t="str">
        <f t="shared" si="1"/>
        <v>NANS21v</v>
      </c>
      <c r="W11" s="1">
        <v>25</v>
      </c>
      <c r="X11" s="1">
        <v>10</v>
      </c>
      <c r="Y11" s="1">
        <v>24</v>
      </c>
      <c r="Z11" s="1">
        <v>2</v>
      </c>
      <c r="AA11" s="1">
        <v>1</v>
      </c>
      <c r="AB11" s="1" t="s">
        <v>6959</v>
      </c>
      <c r="AC11" s="1" t="str">
        <f t="shared" si="2"/>
        <v>3000mSC</v>
      </c>
      <c r="AF11" s="1">
        <v>9</v>
      </c>
      <c r="AG11" s="1">
        <v>2</v>
      </c>
      <c r="AH11" s="1">
        <v>9</v>
      </c>
      <c r="AQ11" s="1">
        <v>2026</v>
      </c>
      <c r="AR11" s="1" t="s">
        <v>80</v>
      </c>
      <c r="AX11" s="35"/>
      <c r="AY11" s="35"/>
      <c r="AZ11" s="35"/>
      <c r="BA11" s="35"/>
      <c r="BB11" s="35"/>
      <c r="BC11" s="35"/>
    </row>
    <row r="12" spans="1:55">
      <c r="D12" s="9" t="s">
        <v>3830</v>
      </c>
      <c r="E12" s="9" t="s">
        <v>3831</v>
      </c>
      <c r="F12" s="9" t="s">
        <v>3830</v>
      </c>
      <c r="G12" s="8" t="s">
        <v>3930</v>
      </c>
      <c r="H12" s="1" t="s">
        <v>3931</v>
      </c>
      <c r="I12" s="1">
        <v>10</v>
      </c>
      <c r="J12" s="18">
        <v>11</v>
      </c>
      <c r="K12" s="14" t="s">
        <v>6674</v>
      </c>
      <c r="L12" s="1" t="s">
        <v>6866</v>
      </c>
      <c r="M12" s="14" t="s">
        <v>4048</v>
      </c>
      <c r="N12" s="1" t="s">
        <v>6718</v>
      </c>
      <c r="O12" s="1" t="s">
        <v>3855</v>
      </c>
      <c r="P12" s="1" t="s">
        <v>7103</v>
      </c>
      <c r="Q12" s="1">
        <v>2</v>
      </c>
      <c r="R12" s="1" t="str">
        <f t="shared" si="0"/>
        <v>Athle32</v>
      </c>
      <c r="S12" s="1">
        <v>61</v>
      </c>
      <c r="T12" s="1" t="s">
        <v>7103</v>
      </c>
      <c r="U12" s="1">
        <v>2</v>
      </c>
      <c r="V12" s="1" t="str">
        <f t="shared" si="1"/>
        <v>Athle32</v>
      </c>
      <c r="W12" s="1">
        <v>61</v>
      </c>
      <c r="X12" s="1">
        <v>11</v>
      </c>
      <c r="Y12" s="1">
        <v>28</v>
      </c>
      <c r="Z12" s="1">
        <v>2</v>
      </c>
      <c r="AA12" s="1">
        <v>1</v>
      </c>
      <c r="AB12" s="1" t="s">
        <v>7104</v>
      </c>
      <c r="AC12" s="1" t="str">
        <f t="shared" si="2"/>
        <v>5000mW</v>
      </c>
      <c r="AF12" s="1">
        <v>10</v>
      </c>
      <c r="AG12" s="1">
        <v>1</v>
      </c>
      <c r="AH12" s="1">
        <v>10</v>
      </c>
      <c r="AQ12" s="1">
        <v>2027</v>
      </c>
      <c r="AR12" s="1" t="s">
        <v>81</v>
      </c>
      <c r="AX12" s="35"/>
      <c r="AY12" s="35"/>
      <c r="AZ12" s="35"/>
      <c r="BA12" s="35"/>
      <c r="BB12" s="35"/>
      <c r="BC12" s="35"/>
    </row>
    <row r="13" spans="1:55">
      <c r="D13" s="9" t="s">
        <v>3833</v>
      </c>
      <c r="E13" s="9" t="s">
        <v>3834</v>
      </c>
      <c r="F13" s="9" t="s">
        <v>3833</v>
      </c>
      <c r="G13" s="8" t="s">
        <v>3932</v>
      </c>
      <c r="H13" s="1" t="s">
        <v>3933</v>
      </c>
      <c r="I13" s="1">
        <v>11</v>
      </c>
      <c r="J13" s="18">
        <v>12</v>
      </c>
      <c r="K13" s="14" t="s">
        <v>6675</v>
      </c>
      <c r="L13" s="1" t="s">
        <v>6867</v>
      </c>
      <c r="M13" s="14" t="s">
        <v>4049</v>
      </c>
      <c r="N13" s="1" t="s">
        <v>6719</v>
      </c>
      <c r="O13" s="1" t="s">
        <v>6855</v>
      </c>
      <c r="P13" s="1" t="s">
        <v>3786</v>
      </c>
      <c r="Q13" s="1">
        <v>4</v>
      </c>
      <c r="R13" s="1" t="str">
        <f t="shared" si="0"/>
        <v>NANS21v</v>
      </c>
      <c r="S13" s="1">
        <v>29</v>
      </c>
      <c r="T13" s="1" t="s">
        <v>3786</v>
      </c>
      <c r="U13" s="1">
        <v>4</v>
      </c>
      <c r="V13" s="1" t="str">
        <f t="shared" si="1"/>
        <v>NANS21v</v>
      </c>
      <c r="W13" s="1">
        <v>29</v>
      </c>
      <c r="X13" s="1">
        <v>12</v>
      </c>
      <c r="Y13" s="1">
        <v>29</v>
      </c>
      <c r="Z13" s="1">
        <v>2</v>
      </c>
      <c r="AA13" s="1">
        <v>1</v>
      </c>
      <c r="AB13" s="1" t="s">
        <v>6960</v>
      </c>
      <c r="AC13" s="1" t="str">
        <f t="shared" si="2"/>
        <v>10000mW</v>
      </c>
      <c r="AF13" s="1">
        <v>11</v>
      </c>
      <c r="AG13" s="1">
        <v>2</v>
      </c>
      <c r="AH13" s="1">
        <v>11</v>
      </c>
      <c r="AQ13" s="1">
        <v>2028</v>
      </c>
      <c r="AR13" s="1" t="s">
        <v>82</v>
      </c>
      <c r="AX13" s="35"/>
      <c r="AY13" s="35"/>
      <c r="AZ13" s="35"/>
      <c r="BA13" s="35"/>
      <c r="BB13" s="35"/>
      <c r="BC13" s="35"/>
    </row>
    <row r="14" spans="1:55">
      <c r="D14" s="9" t="s">
        <v>3835</v>
      </c>
      <c r="E14" s="9" t="s">
        <v>3836</v>
      </c>
      <c r="F14" s="9" t="s">
        <v>3835</v>
      </c>
      <c r="G14" s="8" t="s">
        <v>3934</v>
      </c>
      <c r="H14" s="1" t="s">
        <v>3935</v>
      </c>
      <c r="I14" s="1">
        <v>12</v>
      </c>
      <c r="J14" s="18">
        <v>13</v>
      </c>
      <c r="K14" s="14" t="s">
        <v>6703</v>
      </c>
      <c r="L14" s="1" t="s">
        <v>6868</v>
      </c>
      <c r="M14" s="14" t="s">
        <v>4073</v>
      </c>
      <c r="N14" s="1" t="s">
        <v>6746</v>
      </c>
      <c r="O14" s="1" t="s">
        <v>3855</v>
      </c>
      <c r="P14" s="1" t="s">
        <v>3791</v>
      </c>
      <c r="Q14" s="1">
        <v>3</v>
      </c>
      <c r="R14" s="1" t="str">
        <f t="shared" si="0"/>
        <v>NANS21v</v>
      </c>
      <c r="S14" s="1">
        <v>34</v>
      </c>
      <c r="T14" s="1" t="s">
        <v>3791</v>
      </c>
      <c r="U14" s="1">
        <v>1</v>
      </c>
      <c r="V14" s="1" t="str">
        <f t="shared" si="1"/>
        <v>Athle32</v>
      </c>
      <c r="W14" s="1">
        <v>71</v>
      </c>
      <c r="X14" s="1">
        <v>13</v>
      </c>
      <c r="Y14" s="1">
        <v>30</v>
      </c>
      <c r="Z14" s="1">
        <v>2</v>
      </c>
      <c r="AA14" s="1">
        <v>1</v>
      </c>
      <c r="AB14" s="1" t="s">
        <v>6988</v>
      </c>
      <c r="AC14" s="1" t="str">
        <f t="shared" si="2"/>
        <v>4X100mR</v>
      </c>
      <c r="AF14" s="1">
        <v>12</v>
      </c>
      <c r="AG14" s="1">
        <v>1</v>
      </c>
      <c r="AH14" s="1">
        <v>12</v>
      </c>
      <c r="AQ14" s="1">
        <v>2029</v>
      </c>
      <c r="AR14" s="1" t="s">
        <v>83</v>
      </c>
      <c r="AX14" s="35"/>
      <c r="AY14" s="35"/>
      <c r="AZ14" s="35"/>
      <c r="BA14" s="35"/>
      <c r="BB14" s="35"/>
      <c r="BC14" s="35"/>
    </row>
    <row r="15" spans="1:55">
      <c r="D15" s="9" t="s">
        <v>3838</v>
      </c>
      <c r="E15" s="9" t="s">
        <v>3839</v>
      </c>
      <c r="F15" s="9" t="s">
        <v>3838</v>
      </c>
      <c r="G15" s="8" t="s">
        <v>3936</v>
      </c>
      <c r="H15" s="1" t="s">
        <v>3937</v>
      </c>
      <c r="I15" s="1">
        <v>13</v>
      </c>
      <c r="J15" s="18">
        <v>14</v>
      </c>
      <c r="K15" s="14" t="s">
        <v>6677</v>
      </c>
      <c r="L15" s="1" t="s">
        <v>6869</v>
      </c>
      <c r="M15" s="14" t="s">
        <v>4051</v>
      </c>
      <c r="N15" s="1" t="s">
        <v>6721</v>
      </c>
      <c r="O15" s="1" t="s">
        <v>3861</v>
      </c>
      <c r="P15" s="1" t="s">
        <v>3793</v>
      </c>
      <c r="Q15" s="1">
        <v>2</v>
      </c>
      <c r="R15" s="1" t="str">
        <f t="shared" si="0"/>
        <v>Athle32</v>
      </c>
      <c r="S15" s="1">
        <v>72</v>
      </c>
      <c r="T15" s="1" t="s">
        <v>3793</v>
      </c>
      <c r="U15" s="1">
        <v>2</v>
      </c>
      <c r="V15" s="1" t="str">
        <f t="shared" si="1"/>
        <v>Athle32</v>
      </c>
      <c r="W15" s="1">
        <v>72</v>
      </c>
      <c r="X15" s="1">
        <v>14</v>
      </c>
      <c r="Y15" s="1">
        <v>32</v>
      </c>
      <c r="Z15" s="1">
        <v>2</v>
      </c>
      <c r="AA15" s="1">
        <v>1</v>
      </c>
      <c r="AB15" s="1" t="s">
        <v>6961</v>
      </c>
      <c r="AC15" s="1" t="str">
        <f t="shared" si="2"/>
        <v>4X400mR</v>
      </c>
      <c r="AH15" s="1">
        <v>13</v>
      </c>
      <c r="AQ15" s="1">
        <v>2030</v>
      </c>
      <c r="AR15" s="1" t="s">
        <v>84</v>
      </c>
      <c r="AX15" s="35"/>
      <c r="AY15" s="35"/>
      <c r="AZ15" s="35"/>
      <c r="BA15" s="35"/>
      <c r="BB15" s="35"/>
      <c r="BC15" s="35"/>
    </row>
    <row r="16" spans="1:55">
      <c r="D16" s="9" t="s">
        <v>3841</v>
      </c>
      <c r="E16" s="9" t="s">
        <v>3842</v>
      </c>
      <c r="F16" s="9" t="s">
        <v>3841</v>
      </c>
      <c r="G16" s="8" t="s">
        <v>3938</v>
      </c>
      <c r="H16" s="1" t="s">
        <v>3939</v>
      </c>
      <c r="I16" s="1">
        <v>14</v>
      </c>
      <c r="J16" s="18">
        <v>15</v>
      </c>
      <c r="K16" s="14" t="s">
        <v>6678</v>
      </c>
      <c r="L16" s="1" t="s">
        <v>6870</v>
      </c>
      <c r="M16" s="14" t="s">
        <v>6660</v>
      </c>
      <c r="N16" s="1" t="s">
        <v>6722</v>
      </c>
      <c r="O16" s="1" t="s">
        <v>3859</v>
      </c>
      <c r="P16" s="1" t="s">
        <v>3795</v>
      </c>
      <c r="Q16" s="1">
        <v>4</v>
      </c>
      <c r="R16" s="1" t="str">
        <f t="shared" si="0"/>
        <v>NANS21v</v>
      </c>
      <c r="S16" s="1">
        <v>36</v>
      </c>
      <c r="T16" s="1" t="s">
        <v>3795</v>
      </c>
      <c r="U16" s="1">
        <v>4</v>
      </c>
      <c r="V16" s="1" t="str">
        <f t="shared" si="1"/>
        <v>NANS21v</v>
      </c>
      <c r="W16" s="1">
        <v>36</v>
      </c>
      <c r="X16" s="1">
        <v>15</v>
      </c>
      <c r="Y16" s="1">
        <v>34</v>
      </c>
      <c r="Z16" s="1">
        <v>2</v>
      </c>
      <c r="AA16" s="1">
        <v>1</v>
      </c>
      <c r="AB16" s="1" t="s">
        <v>3832</v>
      </c>
      <c r="AC16" s="1" t="str">
        <f t="shared" si="2"/>
        <v>走高跳</v>
      </c>
      <c r="AF16" s="1">
        <v>1</v>
      </c>
      <c r="AG16" s="1">
        <v>1</v>
      </c>
      <c r="AH16" s="1">
        <v>14</v>
      </c>
      <c r="AQ16" s="1">
        <v>2031</v>
      </c>
      <c r="AR16" s="1" t="s">
        <v>85</v>
      </c>
      <c r="AX16" s="35"/>
      <c r="AY16" s="35"/>
      <c r="AZ16" s="35"/>
      <c r="BA16" s="35"/>
      <c r="BB16" s="35"/>
      <c r="BC16" s="35"/>
    </row>
    <row r="17" spans="4:53">
      <c r="D17" s="9" t="s">
        <v>3843</v>
      </c>
      <c r="E17" s="9" t="s">
        <v>3844</v>
      </c>
      <c r="F17" s="9" t="s">
        <v>6836</v>
      </c>
      <c r="G17" s="8" t="s">
        <v>3940</v>
      </c>
      <c r="H17" s="1" t="s">
        <v>3941</v>
      </c>
      <c r="I17" s="1">
        <v>15</v>
      </c>
      <c r="J17" s="18">
        <v>16</v>
      </c>
      <c r="K17" s="14" t="s">
        <v>6679</v>
      </c>
      <c r="L17" s="1" t="s">
        <v>6871</v>
      </c>
      <c r="M17" s="14" t="s">
        <v>4052</v>
      </c>
      <c r="N17" s="1" t="s">
        <v>6723</v>
      </c>
      <c r="O17" s="1" t="s">
        <v>3861</v>
      </c>
      <c r="P17" s="1" t="s">
        <v>3797</v>
      </c>
      <c r="Q17" s="1">
        <v>1</v>
      </c>
      <c r="R17" s="1" t="str">
        <f t="shared" si="0"/>
        <v>Athle32</v>
      </c>
      <c r="S17" s="1">
        <v>74</v>
      </c>
      <c r="T17" s="1" t="s">
        <v>3797</v>
      </c>
      <c r="U17" s="1">
        <v>1</v>
      </c>
      <c r="V17" s="1" t="str">
        <f t="shared" si="1"/>
        <v>Athle32</v>
      </c>
      <c r="W17" s="1">
        <v>74</v>
      </c>
      <c r="X17" s="1">
        <v>16</v>
      </c>
      <c r="Y17" s="1">
        <v>35</v>
      </c>
      <c r="Z17" s="1">
        <v>2</v>
      </c>
      <c r="AA17" s="1">
        <v>1</v>
      </c>
      <c r="AB17" s="1" t="s">
        <v>6962</v>
      </c>
      <c r="AC17" s="1" t="str">
        <f t="shared" si="2"/>
        <v>棒高跳</v>
      </c>
      <c r="AF17" s="1">
        <v>2</v>
      </c>
      <c r="AG17" s="1">
        <v>4</v>
      </c>
      <c r="AH17" s="1">
        <v>15</v>
      </c>
      <c r="AQ17" s="1">
        <v>2032</v>
      </c>
      <c r="AR17" s="1" t="s">
        <v>86</v>
      </c>
      <c r="AX17" s="35"/>
      <c r="AY17" s="35"/>
      <c r="AZ17" s="35"/>
      <c r="BA17" s="35"/>
    </row>
    <row r="18" spans="4:53">
      <c r="D18" s="9" t="s">
        <v>3845</v>
      </c>
      <c r="E18" s="9" t="s">
        <v>3846</v>
      </c>
      <c r="F18" s="9" t="s">
        <v>6837</v>
      </c>
      <c r="G18" s="8" t="s">
        <v>3942</v>
      </c>
      <c r="H18" s="1" t="s">
        <v>3943</v>
      </c>
      <c r="I18" s="1">
        <v>16</v>
      </c>
      <c r="J18" s="18">
        <v>17</v>
      </c>
      <c r="K18" s="14" t="s">
        <v>6683</v>
      </c>
      <c r="L18" s="1" t="s">
        <v>6872</v>
      </c>
      <c r="M18" s="14" t="s">
        <v>4056</v>
      </c>
      <c r="N18" s="1" t="s">
        <v>6726</v>
      </c>
      <c r="O18" s="1" t="s">
        <v>3859</v>
      </c>
      <c r="P18" s="1" t="s">
        <v>3799</v>
      </c>
      <c r="Q18" s="1">
        <v>3</v>
      </c>
      <c r="R18" s="1" t="str">
        <f t="shared" si="0"/>
        <v>NANS21v</v>
      </c>
      <c r="S18" s="1">
        <v>43</v>
      </c>
      <c r="T18" s="1" t="s">
        <v>3799</v>
      </c>
      <c r="U18" s="1">
        <v>3</v>
      </c>
      <c r="V18" s="1" t="str">
        <f t="shared" si="1"/>
        <v>NANS21v</v>
      </c>
      <c r="W18" s="1">
        <v>40</v>
      </c>
      <c r="X18" s="1">
        <v>17</v>
      </c>
      <c r="Y18" s="1">
        <v>36</v>
      </c>
      <c r="Z18" s="1">
        <v>2</v>
      </c>
      <c r="AA18" s="1">
        <v>1</v>
      </c>
      <c r="AB18" s="1" t="s">
        <v>3837</v>
      </c>
      <c r="AC18" s="1" t="str">
        <f t="shared" si="2"/>
        <v>走幅跳</v>
      </c>
      <c r="AF18" s="1">
        <v>3</v>
      </c>
      <c r="AG18" s="1">
        <v>1</v>
      </c>
      <c r="AH18" s="1">
        <v>16</v>
      </c>
      <c r="AQ18" s="1">
        <v>2033</v>
      </c>
      <c r="AR18" s="1" t="s">
        <v>87</v>
      </c>
    </row>
    <row r="19" spans="4:53">
      <c r="D19" s="9" t="s">
        <v>3847</v>
      </c>
      <c r="E19" s="9" t="s">
        <v>3848</v>
      </c>
      <c r="F19" s="9" t="s">
        <v>6838</v>
      </c>
      <c r="G19" s="8" t="s">
        <v>3944</v>
      </c>
      <c r="H19" s="1" t="s">
        <v>3945</v>
      </c>
      <c r="I19" s="1">
        <v>17</v>
      </c>
      <c r="J19" s="18">
        <v>18</v>
      </c>
      <c r="K19" s="14" t="s">
        <v>6708</v>
      </c>
      <c r="L19" s="1" t="s">
        <v>6873</v>
      </c>
      <c r="M19" s="14" t="s">
        <v>4077</v>
      </c>
      <c r="N19" s="1" t="s">
        <v>6751</v>
      </c>
      <c r="O19" s="1" t="s">
        <v>3857</v>
      </c>
      <c r="P19" s="1" t="s">
        <v>3801</v>
      </c>
      <c r="Q19" s="1">
        <v>4</v>
      </c>
      <c r="R19" s="1" t="str">
        <f t="shared" si="0"/>
        <v>NANS21v</v>
      </c>
      <c r="S19" s="1">
        <v>48</v>
      </c>
      <c r="T19" s="1" t="s">
        <v>3801</v>
      </c>
      <c r="U19" s="1">
        <v>4</v>
      </c>
      <c r="V19" s="1" t="str">
        <f t="shared" si="1"/>
        <v>NANS21v</v>
      </c>
      <c r="W19" s="1">
        <v>45</v>
      </c>
      <c r="X19" s="1">
        <v>18</v>
      </c>
      <c r="Y19" s="1">
        <v>37</v>
      </c>
      <c r="Z19" s="1">
        <v>2</v>
      </c>
      <c r="AA19" s="1">
        <v>1</v>
      </c>
      <c r="AB19" s="1" t="s">
        <v>3840</v>
      </c>
      <c r="AC19" s="1" t="str">
        <f t="shared" si="2"/>
        <v>三段跳</v>
      </c>
      <c r="AF19" s="1">
        <v>4</v>
      </c>
      <c r="AG19" s="1">
        <v>2</v>
      </c>
      <c r="AH19" s="1">
        <v>17</v>
      </c>
      <c r="AQ19" s="1">
        <v>2034</v>
      </c>
      <c r="AR19" s="1" t="s">
        <v>88</v>
      </c>
    </row>
    <row r="20" spans="4:53">
      <c r="D20" s="9" t="s">
        <v>3849</v>
      </c>
      <c r="E20" s="9" t="s">
        <v>3850</v>
      </c>
      <c r="F20" s="9" t="s">
        <v>6839</v>
      </c>
      <c r="G20" s="8" t="s">
        <v>3946</v>
      </c>
      <c r="H20" s="1" t="s">
        <v>3947</v>
      </c>
      <c r="I20" s="1">
        <v>18</v>
      </c>
      <c r="J20" s="18">
        <v>19</v>
      </c>
      <c r="K20" s="14" t="s">
        <v>6685</v>
      </c>
      <c r="L20" s="1" t="s">
        <v>6874</v>
      </c>
      <c r="M20" s="14" t="s">
        <v>4057</v>
      </c>
      <c r="N20" s="1" t="s">
        <v>6728</v>
      </c>
      <c r="O20" s="1" t="s">
        <v>3857</v>
      </c>
      <c r="P20" s="1" t="s">
        <v>3803</v>
      </c>
      <c r="Q20" s="1">
        <v>2</v>
      </c>
      <c r="R20" s="1" t="str">
        <f t="shared" si="0"/>
        <v>Athle32</v>
      </c>
      <c r="S20" s="1">
        <v>89</v>
      </c>
      <c r="T20" s="1" t="s">
        <v>3803</v>
      </c>
      <c r="U20" s="1">
        <v>2</v>
      </c>
      <c r="V20" s="1" t="str">
        <f t="shared" si="1"/>
        <v>Athle32</v>
      </c>
      <c r="W20" s="1">
        <v>50</v>
      </c>
      <c r="X20" s="1">
        <v>19</v>
      </c>
      <c r="Y20" s="1">
        <v>43</v>
      </c>
      <c r="Z20" s="1">
        <v>2</v>
      </c>
      <c r="AA20" s="1">
        <v>1</v>
      </c>
      <c r="AB20" s="1" t="s">
        <v>6963</v>
      </c>
      <c r="AC20" s="1" t="str">
        <f t="shared" si="2"/>
        <v>砲丸投</v>
      </c>
      <c r="AF20" s="1">
        <v>5</v>
      </c>
      <c r="AG20" s="1">
        <v>1</v>
      </c>
      <c r="AH20" s="1">
        <v>18</v>
      </c>
      <c r="AQ20" s="1">
        <v>2035</v>
      </c>
      <c r="AR20" s="1" t="s">
        <v>89</v>
      </c>
    </row>
    <row r="21" spans="4:53">
      <c r="D21" s="9" t="s">
        <v>3851</v>
      </c>
      <c r="E21" s="9" t="s">
        <v>3852</v>
      </c>
      <c r="F21" s="9" t="s">
        <v>6840</v>
      </c>
      <c r="G21" s="8" t="s">
        <v>3948</v>
      </c>
      <c r="H21" s="1" t="s">
        <v>3949</v>
      </c>
      <c r="I21" s="1">
        <v>19</v>
      </c>
      <c r="J21" s="18">
        <v>20</v>
      </c>
      <c r="K21" s="14" t="s">
        <v>6698</v>
      </c>
      <c r="L21" s="1" t="s">
        <v>6875</v>
      </c>
      <c r="M21" s="14" t="s">
        <v>4069</v>
      </c>
      <c r="N21" s="1" t="s">
        <v>6742</v>
      </c>
      <c r="O21" s="1" t="s">
        <v>3857</v>
      </c>
      <c r="P21" s="1" t="s">
        <v>3805</v>
      </c>
      <c r="Q21" s="1">
        <v>1</v>
      </c>
      <c r="R21" s="1" t="str">
        <f t="shared" si="0"/>
        <v>Athle32</v>
      </c>
      <c r="S21" s="1">
        <v>92</v>
      </c>
      <c r="T21" s="1" t="s">
        <v>3805</v>
      </c>
      <c r="U21" s="1">
        <v>1</v>
      </c>
      <c r="V21" s="1" t="str">
        <f t="shared" si="1"/>
        <v>Athle32</v>
      </c>
      <c r="W21" s="1">
        <v>93</v>
      </c>
      <c r="X21" s="1">
        <v>20</v>
      </c>
      <c r="Y21" s="1">
        <v>48</v>
      </c>
      <c r="Z21" s="1">
        <v>2</v>
      </c>
      <c r="AA21" s="1">
        <v>1</v>
      </c>
      <c r="AB21" s="1" t="s">
        <v>6964</v>
      </c>
      <c r="AC21" s="1" t="str">
        <f t="shared" si="2"/>
        <v>円盤投</v>
      </c>
      <c r="AF21" s="1">
        <v>6</v>
      </c>
      <c r="AG21" s="1">
        <v>2</v>
      </c>
      <c r="AH21" s="1">
        <v>19</v>
      </c>
      <c r="AQ21" s="1">
        <v>2036</v>
      </c>
      <c r="AR21" s="1" t="s">
        <v>90</v>
      </c>
    </row>
    <row r="22" spans="4:53">
      <c r="D22" s="9" t="s">
        <v>3853</v>
      </c>
      <c r="E22" s="9" t="s">
        <v>3854</v>
      </c>
      <c r="F22" s="9" t="s">
        <v>6841</v>
      </c>
      <c r="G22" s="8" t="s">
        <v>3950</v>
      </c>
      <c r="H22" s="1" t="s">
        <v>3951</v>
      </c>
      <c r="I22" s="1">
        <v>20</v>
      </c>
      <c r="J22" s="18">
        <v>21</v>
      </c>
      <c r="K22" s="14" t="s">
        <v>6684</v>
      </c>
      <c r="L22" s="1" t="s">
        <v>6876</v>
      </c>
      <c r="M22" s="14" t="s">
        <v>6661</v>
      </c>
      <c r="N22" s="1" t="s">
        <v>6727</v>
      </c>
      <c r="O22" s="1" t="s">
        <v>3859</v>
      </c>
      <c r="P22" s="1" t="s">
        <v>3807</v>
      </c>
      <c r="Q22" s="1">
        <v>1</v>
      </c>
      <c r="R22" s="1" t="str">
        <f t="shared" si="0"/>
        <v>Athle32</v>
      </c>
      <c r="S22" s="1">
        <v>201</v>
      </c>
      <c r="T22" s="1" t="s">
        <v>3809</v>
      </c>
      <c r="U22" s="1">
        <v>3</v>
      </c>
      <c r="V22" s="1" t="str">
        <f t="shared" si="1"/>
        <v>NANS21v</v>
      </c>
      <c r="W22" s="1">
        <v>61</v>
      </c>
      <c r="X22" s="1">
        <v>21</v>
      </c>
      <c r="Y22" s="1">
        <v>53</v>
      </c>
      <c r="Z22" s="1">
        <v>2</v>
      </c>
      <c r="AA22" s="1">
        <v>1</v>
      </c>
      <c r="AB22" s="1" t="s">
        <v>6965</v>
      </c>
      <c r="AC22" s="1" t="str">
        <f t="shared" si="2"/>
        <v>ハンマー投</v>
      </c>
      <c r="AF22" s="1">
        <v>7</v>
      </c>
      <c r="AG22" s="1">
        <v>1</v>
      </c>
      <c r="AH22" s="1">
        <v>20</v>
      </c>
      <c r="AQ22" s="1">
        <v>2037</v>
      </c>
      <c r="AR22" s="1" t="s">
        <v>91</v>
      </c>
    </row>
    <row r="23" spans="4:53">
      <c r="D23" s="9" t="s">
        <v>3855</v>
      </c>
      <c r="E23" s="9" t="s">
        <v>3856</v>
      </c>
      <c r="F23" s="9" t="s">
        <v>6842</v>
      </c>
      <c r="G23" s="8" t="s">
        <v>3952</v>
      </c>
      <c r="H23" s="1" t="s">
        <v>3953</v>
      </c>
      <c r="I23" s="1">
        <v>21</v>
      </c>
      <c r="J23" s="18">
        <v>22</v>
      </c>
      <c r="K23" s="14" t="s">
        <v>6702</v>
      </c>
      <c r="L23" s="1" t="s">
        <v>6877</v>
      </c>
      <c r="M23" s="14" t="s">
        <v>6664</v>
      </c>
      <c r="N23" s="1" t="s">
        <v>6745</v>
      </c>
      <c r="O23" s="1" t="s">
        <v>3861</v>
      </c>
      <c r="X23" s="1">
        <v>22</v>
      </c>
      <c r="Y23" s="1">
        <v>57</v>
      </c>
      <c r="Z23" s="1">
        <v>2</v>
      </c>
      <c r="AA23" s="1">
        <v>1</v>
      </c>
      <c r="AB23" s="1" t="s">
        <v>6966</v>
      </c>
      <c r="AC23" s="1" t="str">
        <f t="shared" si="2"/>
        <v>やり投</v>
      </c>
      <c r="AF23" s="1">
        <v>8</v>
      </c>
      <c r="AG23" s="1">
        <v>1</v>
      </c>
      <c r="AH23" s="1">
        <v>21</v>
      </c>
      <c r="AQ23" s="1">
        <v>2038</v>
      </c>
      <c r="AR23" s="1" t="s">
        <v>92</v>
      </c>
    </row>
    <row r="24" spans="4:53">
      <c r="D24" s="9" t="s">
        <v>3857</v>
      </c>
      <c r="E24" s="9" t="s">
        <v>3858</v>
      </c>
      <c r="F24" s="9" t="s">
        <v>6843</v>
      </c>
      <c r="G24" s="8" t="s">
        <v>3954</v>
      </c>
      <c r="H24" s="1" t="s">
        <v>3955</v>
      </c>
      <c r="I24" s="1">
        <v>22</v>
      </c>
      <c r="J24" s="18">
        <v>23</v>
      </c>
      <c r="K24" s="14" t="s">
        <v>6696</v>
      </c>
      <c r="L24" s="1" t="s">
        <v>6878</v>
      </c>
      <c r="M24" s="14" t="s">
        <v>4067</v>
      </c>
      <c r="N24" s="1" t="s">
        <v>6740</v>
      </c>
      <c r="O24" s="1" t="s">
        <v>3861</v>
      </c>
      <c r="P24" s="1" t="s">
        <v>3787</v>
      </c>
      <c r="Q24" s="1">
        <v>2</v>
      </c>
      <c r="R24" s="1" t="str">
        <f t="shared" si="0"/>
        <v>Athle32</v>
      </c>
      <c r="S24" s="1">
        <v>601</v>
      </c>
      <c r="T24" s="1" t="s">
        <v>3787</v>
      </c>
      <c r="U24" s="1">
        <v>2</v>
      </c>
      <c r="V24" s="1" t="str">
        <f t="shared" si="1"/>
        <v>Athle32</v>
      </c>
      <c r="W24" s="1">
        <v>601</v>
      </c>
      <c r="X24" s="1">
        <v>23</v>
      </c>
      <c r="Y24" s="1">
        <v>58</v>
      </c>
      <c r="Z24" s="1">
        <v>2</v>
      </c>
      <c r="AA24" s="1">
        <v>1</v>
      </c>
      <c r="AB24" s="1" t="s">
        <v>6967</v>
      </c>
      <c r="AC24" s="1" t="str">
        <f t="shared" si="2"/>
        <v>十種競技</v>
      </c>
      <c r="AF24" s="1">
        <v>9</v>
      </c>
      <c r="AG24" s="1">
        <v>5</v>
      </c>
      <c r="AH24" s="1">
        <v>22</v>
      </c>
      <c r="AQ24" s="1">
        <v>2039</v>
      </c>
      <c r="AR24" s="1" t="s">
        <v>93</v>
      </c>
    </row>
    <row r="25" spans="4:53">
      <c r="D25" s="9" t="s">
        <v>3859</v>
      </c>
      <c r="E25" s="9" t="s">
        <v>3860</v>
      </c>
      <c r="F25" s="9" t="s">
        <v>6844</v>
      </c>
      <c r="G25" s="8" t="s">
        <v>3956</v>
      </c>
      <c r="H25" s="1" t="s">
        <v>3957</v>
      </c>
      <c r="I25" s="1">
        <v>23</v>
      </c>
      <c r="J25" s="18">
        <v>25</v>
      </c>
      <c r="K25" s="14" t="s">
        <v>6666</v>
      </c>
      <c r="L25" s="1" t="s">
        <v>6879</v>
      </c>
      <c r="M25" s="14" t="s">
        <v>4040</v>
      </c>
      <c r="N25" s="1" t="s">
        <v>6710</v>
      </c>
      <c r="O25" s="1" t="s">
        <v>3859</v>
      </c>
      <c r="P25" s="1" t="s">
        <v>3789</v>
      </c>
      <c r="Q25" s="1">
        <v>4</v>
      </c>
      <c r="R25" s="1" t="str">
        <f t="shared" si="0"/>
        <v>NANS21v</v>
      </c>
      <c r="S25" s="1">
        <v>32</v>
      </c>
      <c r="T25" s="1" t="s">
        <v>3789</v>
      </c>
      <c r="U25" s="1">
        <v>4</v>
      </c>
      <c r="V25" s="1" t="str">
        <f t="shared" si="1"/>
        <v>NANS21v</v>
      </c>
      <c r="W25" s="1">
        <v>32</v>
      </c>
      <c r="X25" s="1">
        <v>24</v>
      </c>
      <c r="Y25" s="1">
        <v>2</v>
      </c>
      <c r="Z25" s="1">
        <v>2</v>
      </c>
      <c r="AA25" s="1">
        <v>2</v>
      </c>
      <c r="AB25" s="1" t="s">
        <v>3912</v>
      </c>
      <c r="AC25" s="1" t="str">
        <f t="shared" si="2"/>
        <v>100m</v>
      </c>
      <c r="AH25" s="1">
        <v>23</v>
      </c>
      <c r="AQ25" s="1">
        <v>2040</v>
      </c>
      <c r="AR25" s="1" t="s">
        <v>94</v>
      </c>
    </row>
    <row r="26" spans="4:53">
      <c r="D26" s="9" t="s">
        <v>3861</v>
      </c>
      <c r="E26" s="9" t="s">
        <v>3862</v>
      </c>
      <c r="F26" s="9" t="s">
        <v>6845</v>
      </c>
      <c r="G26" s="8" t="s">
        <v>3958</v>
      </c>
      <c r="H26" s="1" t="s">
        <v>3959</v>
      </c>
      <c r="I26" s="1">
        <v>24</v>
      </c>
      <c r="J26" s="18">
        <v>26</v>
      </c>
      <c r="K26" s="14" t="s">
        <v>6686</v>
      </c>
      <c r="L26" s="1" t="s">
        <v>6880</v>
      </c>
      <c r="M26" s="14" t="s">
        <v>6662</v>
      </c>
      <c r="N26" s="1" t="s">
        <v>6729</v>
      </c>
      <c r="O26" s="1" t="s">
        <v>3855</v>
      </c>
      <c r="X26" s="1">
        <v>25</v>
      </c>
      <c r="Y26" s="1">
        <v>3</v>
      </c>
      <c r="Z26" s="1">
        <v>2</v>
      </c>
      <c r="AA26" s="1">
        <v>2</v>
      </c>
      <c r="AB26" s="1" t="s">
        <v>6968</v>
      </c>
      <c r="AC26" s="1" t="str">
        <f t="shared" si="2"/>
        <v>200m</v>
      </c>
      <c r="AH26" s="1">
        <v>24</v>
      </c>
      <c r="AQ26" s="1">
        <v>2041</v>
      </c>
      <c r="AR26" s="1" t="s">
        <v>95</v>
      </c>
    </row>
    <row r="27" spans="4:53">
      <c r="D27" s="9" t="s">
        <v>3863</v>
      </c>
      <c r="E27" s="9" t="s">
        <v>3864</v>
      </c>
      <c r="F27" s="9" t="s">
        <v>3863</v>
      </c>
      <c r="G27" s="8" t="s">
        <v>3960</v>
      </c>
      <c r="H27" s="1" t="s">
        <v>3961</v>
      </c>
      <c r="I27" s="1">
        <v>25</v>
      </c>
      <c r="J27" s="18">
        <v>27</v>
      </c>
      <c r="K27" s="14" t="s">
        <v>6688</v>
      </c>
      <c r="L27" s="1" t="s">
        <v>6881</v>
      </c>
      <c r="M27" s="14" t="s">
        <v>4059</v>
      </c>
      <c r="N27" s="1" t="s">
        <v>6731</v>
      </c>
      <c r="O27" s="1" t="s">
        <v>3859</v>
      </c>
      <c r="X27" s="1">
        <v>26</v>
      </c>
      <c r="Y27" s="1">
        <v>4</v>
      </c>
      <c r="Z27" s="1">
        <v>2</v>
      </c>
      <c r="AA27" s="1">
        <v>2</v>
      </c>
      <c r="AB27" s="1" t="s">
        <v>6969</v>
      </c>
      <c r="AC27" s="1" t="str">
        <f t="shared" si="2"/>
        <v>400m</v>
      </c>
      <c r="AH27" s="1">
        <v>25</v>
      </c>
      <c r="AQ27" s="1">
        <v>2042</v>
      </c>
      <c r="AR27" s="1" t="s">
        <v>96</v>
      </c>
    </row>
    <row r="28" spans="4:53">
      <c r="D28" s="9" t="s">
        <v>3865</v>
      </c>
      <c r="E28" s="9" t="s">
        <v>3866</v>
      </c>
      <c r="F28" s="9" t="s">
        <v>3865</v>
      </c>
      <c r="G28" s="8" t="s">
        <v>3962</v>
      </c>
      <c r="H28" s="1" t="s">
        <v>3963</v>
      </c>
      <c r="I28" s="1">
        <v>26</v>
      </c>
      <c r="J28" s="18">
        <v>28</v>
      </c>
      <c r="K28" s="14" t="s">
        <v>6687</v>
      </c>
      <c r="L28" s="1" t="s">
        <v>6882</v>
      </c>
      <c r="M28" s="14" t="s">
        <v>4058</v>
      </c>
      <c r="N28" s="1" t="s">
        <v>6730</v>
      </c>
      <c r="O28" s="1" t="s">
        <v>3855</v>
      </c>
      <c r="X28" s="1">
        <v>27</v>
      </c>
      <c r="Y28" s="1">
        <v>5</v>
      </c>
      <c r="Z28" s="1">
        <v>2</v>
      </c>
      <c r="AA28" s="1">
        <v>2</v>
      </c>
      <c r="AB28" s="1" t="s">
        <v>6970</v>
      </c>
      <c r="AC28" s="1" t="str">
        <f t="shared" si="2"/>
        <v>800m</v>
      </c>
      <c r="AH28" s="1">
        <v>26</v>
      </c>
      <c r="AQ28" s="1">
        <v>2043</v>
      </c>
      <c r="AR28" s="1" t="s">
        <v>97</v>
      </c>
    </row>
    <row r="29" spans="4:53">
      <c r="D29" s="9" t="s">
        <v>3867</v>
      </c>
      <c r="E29" s="9" t="s">
        <v>3868</v>
      </c>
      <c r="F29" s="9" t="s">
        <v>3867</v>
      </c>
      <c r="G29" s="8" t="s">
        <v>3964</v>
      </c>
      <c r="H29" s="1" t="s">
        <v>3965</v>
      </c>
      <c r="I29" s="1">
        <v>27</v>
      </c>
      <c r="J29" s="18">
        <v>29</v>
      </c>
      <c r="K29" s="14" t="s">
        <v>6704</v>
      </c>
      <c r="L29" s="1" t="s">
        <v>6883</v>
      </c>
      <c r="M29" s="14" t="s">
        <v>4074</v>
      </c>
      <c r="N29" s="1" t="s">
        <v>6747</v>
      </c>
      <c r="O29" s="1" t="s">
        <v>3859</v>
      </c>
      <c r="X29" s="1">
        <v>28</v>
      </c>
      <c r="Y29" s="1">
        <v>7</v>
      </c>
      <c r="Z29" s="1">
        <v>2</v>
      </c>
      <c r="AA29" s="1">
        <v>2</v>
      </c>
      <c r="AB29" s="1" t="s">
        <v>6971</v>
      </c>
      <c r="AC29" s="1" t="str">
        <f t="shared" si="2"/>
        <v>1500m</v>
      </c>
      <c r="AH29" s="1">
        <v>27</v>
      </c>
      <c r="AQ29" s="1">
        <v>2044</v>
      </c>
      <c r="AR29" s="1" t="s">
        <v>98</v>
      </c>
    </row>
    <row r="30" spans="4:53">
      <c r="D30" s="9" t="s">
        <v>3870</v>
      </c>
      <c r="E30" s="9" t="s">
        <v>3871</v>
      </c>
      <c r="F30" s="9" t="s">
        <v>3870</v>
      </c>
      <c r="G30" s="8" t="s">
        <v>3966</v>
      </c>
      <c r="H30" s="1" t="s">
        <v>3967</v>
      </c>
      <c r="I30" s="1">
        <v>28</v>
      </c>
      <c r="J30" s="18">
        <v>30</v>
      </c>
      <c r="K30" s="14" t="s">
        <v>6705</v>
      </c>
      <c r="L30" s="1" t="s">
        <v>6884</v>
      </c>
      <c r="M30" s="14" t="s">
        <v>4075</v>
      </c>
      <c r="N30" s="1" t="s">
        <v>6748</v>
      </c>
      <c r="O30" s="1" t="s">
        <v>3857</v>
      </c>
      <c r="X30" s="1">
        <v>29</v>
      </c>
      <c r="Y30" s="1">
        <v>9</v>
      </c>
      <c r="Z30" s="1">
        <v>2</v>
      </c>
      <c r="AA30" s="1">
        <v>2</v>
      </c>
      <c r="AB30" s="1" t="s">
        <v>6972</v>
      </c>
      <c r="AC30" s="1" t="str">
        <f t="shared" si="2"/>
        <v>5000m</v>
      </c>
      <c r="AH30" s="1">
        <v>28</v>
      </c>
      <c r="AQ30" s="1">
        <v>2045</v>
      </c>
      <c r="AR30" s="1" t="s">
        <v>99</v>
      </c>
    </row>
    <row r="31" spans="4:53">
      <c r="D31" s="9" t="s">
        <v>3872</v>
      </c>
      <c r="E31" s="9" t="s">
        <v>3873</v>
      </c>
      <c r="F31" s="9" t="s">
        <v>3872</v>
      </c>
      <c r="G31" s="8" t="s">
        <v>3968</v>
      </c>
      <c r="H31" s="1" t="s">
        <v>3969</v>
      </c>
      <c r="I31" s="1">
        <v>29</v>
      </c>
      <c r="J31" s="18">
        <v>31</v>
      </c>
      <c r="K31" s="14" t="s">
        <v>6706</v>
      </c>
      <c r="L31" s="1" t="s">
        <v>6885</v>
      </c>
      <c r="M31" s="14" t="s">
        <v>4076</v>
      </c>
      <c r="N31" s="1" t="s">
        <v>6749</v>
      </c>
      <c r="O31" s="1" t="s">
        <v>3857</v>
      </c>
      <c r="X31" s="1">
        <v>30</v>
      </c>
      <c r="Y31" s="1">
        <v>10</v>
      </c>
      <c r="Z31" s="1">
        <v>2</v>
      </c>
      <c r="AA31" s="1">
        <v>2</v>
      </c>
      <c r="AB31" s="1" t="s">
        <v>6973</v>
      </c>
      <c r="AC31" s="1" t="str">
        <f t="shared" si="2"/>
        <v>10000m</v>
      </c>
      <c r="AH31" s="1">
        <v>29</v>
      </c>
      <c r="AQ31" s="1">
        <v>2046</v>
      </c>
      <c r="AR31" s="1" t="s">
        <v>100</v>
      </c>
    </row>
    <row r="32" spans="4:53">
      <c r="D32" s="9" t="s">
        <v>3875</v>
      </c>
      <c r="E32" s="9" t="s">
        <v>3876</v>
      </c>
      <c r="F32" s="9" t="s">
        <v>3875</v>
      </c>
      <c r="G32" s="8" t="s">
        <v>3970</v>
      </c>
      <c r="H32" s="1" t="s">
        <v>3971</v>
      </c>
      <c r="I32" s="1">
        <v>30</v>
      </c>
      <c r="J32" s="18">
        <v>33</v>
      </c>
      <c r="K32" s="14" t="s">
        <v>6680</v>
      </c>
      <c r="L32" s="1" t="s">
        <v>6886</v>
      </c>
      <c r="M32" s="14" t="s">
        <v>4053</v>
      </c>
      <c r="N32" s="1" t="s">
        <v>6724</v>
      </c>
      <c r="O32" s="1" t="s">
        <v>3859</v>
      </c>
      <c r="X32" s="1">
        <v>31</v>
      </c>
      <c r="Y32" s="1">
        <v>15</v>
      </c>
      <c r="Z32" s="1">
        <v>2</v>
      </c>
      <c r="AA32" s="1">
        <v>2</v>
      </c>
      <c r="AB32" s="1" t="s">
        <v>6974</v>
      </c>
      <c r="AC32" s="1" t="str">
        <f t="shared" si="2"/>
        <v>100mH</v>
      </c>
      <c r="AH32" s="1">
        <v>30</v>
      </c>
      <c r="AQ32" s="1">
        <v>2047</v>
      </c>
      <c r="AR32" s="1" t="s">
        <v>101</v>
      </c>
    </row>
    <row r="33" spans="4:44">
      <c r="D33" s="9" t="s">
        <v>3877</v>
      </c>
      <c r="E33" s="9" t="s">
        <v>3878</v>
      </c>
      <c r="F33" s="9" t="s">
        <v>3877</v>
      </c>
      <c r="G33" s="8" t="s">
        <v>3972</v>
      </c>
      <c r="H33" s="1" t="s">
        <v>3973</v>
      </c>
      <c r="I33" s="1">
        <v>31</v>
      </c>
      <c r="J33" s="18">
        <v>35</v>
      </c>
      <c r="K33" s="14" t="s">
        <v>6694</v>
      </c>
      <c r="L33" s="1" t="s">
        <v>6887</v>
      </c>
      <c r="M33" s="14" t="s">
        <v>4065</v>
      </c>
      <c r="N33" s="1" t="s">
        <v>6738</v>
      </c>
      <c r="O33" s="1" t="s">
        <v>3859</v>
      </c>
      <c r="X33" s="1">
        <v>32</v>
      </c>
      <c r="Y33" s="1">
        <v>21</v>
      </c>
      <c r="Z33" s="1">
        <v>2</v>
      </c>
      <c r="AA33" s="1">
        <v>2</v>
      </c>
      <c r="AB33" s="1" t="s">
        <v>6975</v>
      </c>
      <c r="AC33" s="1" t="str">
        <f t="shared" si="2"/>
        <v>400mH</v>
      </c>
      <c r="AH33" s="1">
        <v>31</v>
      </c>
      <c r="AQ33" s="1">
        <v>2048</v>
      </c>
      <c r="AR33" s="1" t="s">
        <v>102</v>
      </c>
    </row>
    <row r="34" spans="4:44">
      <c r="D34" s="9" t="s">
        <v>3879</v>
      </c>
      <c r="E34" s="9" t="s">
        <v>3880</v>
      </c>
      <c r="F34" s="9" t="s">
        <v>3879</v>
      </c>
      <c r="G34" s="8" t="s">
        <v>3974</v>
      </c>
      <c r="H34" s="1" t="s">
        <v>3975</v>
      </c>
      <c r="I34" s="1">
        <v>32</v>
      </c>
      <c r="J34" s="18">
        <v>36</v>
      </c>
      <c r="K34" s="14" t="s">
        <v>6700</v>
      </c>
      <c r="L34" s="1" t="s">
        <v>6888</v>
      </c>
      <c r="M34" s="14" t="s">
        <v>4071</v>
      </c>
      <c r="N34" s="1" t="s">
        <v>6743</v>
      </c>
      <c r="O34" s="1" t="s">
        <v>3859</v>
      </c>
      <c r="X34" s="1">
        <v>33</v>
      </c>
      <c r="Y34" s="1">
        <v>24</v>
      </c>
      <c r="Z34" s="1">
        <v>2</v>
      </c>
      <c r="AA34" s="1">
        <v>2</v>
      </c>
      <c r="AB34" s="1" t="s">
        <v>6976</v>
      </c>
      <c r="AC34" s="1" t="str">
        <f t="shared" si="2"/>
        <v>3000mSC</v>
      </c>
      <c r="AQ34" s="1">
        <v>2049</v>
      </c>
      <c r="AR34" s="1" t="s">
        <v>103</v>
      </c>
    </row>
    <row r="35" spans="4:44">
      <c r="D35" s="9" t="s">
        <v>3881</v>
      </c>
      <c r="E35" s="9" t="s">
        <v>3882</v>
      </c>
      <c r="F35" s="9" t="s">
        <v>3881</v>
      </c>
      <c r="G35" s="8" t="s">
        <v>3976</v>
      </c>
      <c r="H35" s="1" t="s">
        <v>3977</v>
      </c>
      <c r="I35" s="1">
        <v>33</v>
      </c>
      <c r="J35" s="18">
        <v>37</v>
      </c>
      <c r="K35" s="14" t="s">
        <v>6701</v>
      </c>
      <c r="L35" s="1" t="s">
        <v>6889</v>
      </c>
      <c r="M35" s="14" t="s">
        <v>4072</v>
      </c>
      <c r="N35" s="1" t="s">
        <v>6744</v>
      </c>
      <c r="O35" s="1" t="s">
        <v>3859</v>
      </c>
      <c r="X35" s="1">
        <v>34</v>
      </c>
      <c r="Y35" s="1">
        <v>28</v>
      </c>
      <c r="Z35" s="1">
        <v>2</v>
      </c>
      <c r="AA35" s="1">
        <v>2</v>
      </c>
      <c r="AB35" s="1" t="s">
        <v>7105</v>
      </c>
      <c r="AC35" s="1" t="str">
        <f t="shared" si="2"/>
        <v>5000mW</v>
      </c>
      <c r="AQ35" s="1">
        <v>2050</v>
      </c>
      <c r="AR35" s="1" t="s">
        <v>104</v>
      </c>
    </row>
    <row r="36" spans="4:44">
      <c r="D36" s="9" t="s">
        <v>3883</v>
      </c>
      <c r="E36" s="9" t="s">
        <v>3884</v>
      </c>
      <c r="F36" s="9" t="s">
        <v>3883</v>
      </c>
      <c r="G36" s="8" t="s">
        <v>3978</v>
      </c>
      <c r="H36" s="1" t="s">
        <v>3979</v>
      </c>
      <c r="I36" s="1">
        <v>34</v>
      </c>
      <c r="J36" s="18">
        <v>38</v>
      </c>
      <c r="K36" s="14" t="s">
        <v>6693</v>
      </c>
      <c r="L36" s="1" t="s">
        <v>6890</v>
      </c>
      <c r="M36" s="14" t="s">
        <v>4064</v>
      </c>
      <c r="N36" s="1" t="s">
        <v>6737</v>
      </c>
      <c r="O36" s="1" t="s">
        <v>3859</v>
      </c>
      <c r="X36" s="1">
        <v>35</v>
      </c>
      <c r="Y36" s="1">
        <v>29</v>
      </c>
      <c r="Z36" s="1">
        <v>2</v>
      </c>
      <c r="AA36" s="1">
        <v>2</v>
      </c>
      <c r="AB36" s="1" t="s">
        <v>6977</v>
      </c>
      <c r="AC36" s="1" t="str">
        <f t="shared" si="2"/>
        <v>10000mW</v>
      </c>
      <c r="AQ36" s="1">
        <v>2051</v>
      </c>
      <c r="AR36" s="1" t="s">
        <v>105</v>
      </c>
    </row>
    <row r="37" spans="4:44">
      <c r="D37" s="9" t="s">
        <v>3885</v>
      </c>
      <c r="E37" s="9" t="s">
        <v>3886</v>
      </c>
      <c r="F37" s="9" t="s">
        <v>3885</v>
      </c>
      <c r="G37" s="8" t="s">
        <v>3980</v>
      </c>
      <c r="H37" s="1" t="s">
        <v>3981</v>
      </c>
      <c r="I37" s="1">
        <v>35</v>
      </c>
      <c r="J37" s="18">
        <v>39</v>
      </c>
      <c r="K37" s="14" t="s">
        <v>6692</v>
      </c>
      <c r="L37" s="1" t="s">
        <v>6891</v>
      </c>
      <c r="M37" s="14" t="s">
        <v>6663</v>
      </c>
      <c r="N37" s="1" t="s">
        <v>6736</v>
      </c>
      <c r="O37" s="1" t="s">
        <v>3859</v>
      </c>
      <c r="X37" s="1">
        <v>36</v>
      </c>
      <c r="Y37" s="1">
        <v>30</v>
      </c>
      <c r="Z37" s="1">
        <v>2</v>
      </c>
      <c r="AA37" s="1">
        <v>2</v>
      </c>
      <c r="AB37" s="1" t="s">
        <v>6978</v>
      </c>
      <c r="AC37" s="1" t="str">
        <f t="shared" si="2"/>
        <v>4X100mR</v>
      </c>
      <c r="AQ37" s="1">
        <v>2052</v>
      </c>
      <c r="AR37" s="1" t="s">
        <v>106</v>
      </c>
    </row>
    <row r="38" spans="4:44">
      <c r="D38" s="9" t="s">
        <v>3887</v>
      </c>
      <c r="E38" s="9" t="s">
        <v>3888</v>
      </c>
      <c r="F38" s="9" t="s">
        <v>3887</v>
      </c>
      <c r="G38" s="8" t="s">
        <v>3982</v>
      </c>
      <c r="H38" s="1" t="s">
        <v>3983</v>
      </c>
      <c r="I38" s="1">
        <v>36</v>
      </c>
      <c r="J38" s="18">
        <v>40</v>
      </c>
      <c r="K38" s="14" t="s">
        <v>6691</v>
      </c>
      <c r="L38" s="1" t="s">
        <v>6892</v>
      </c>
      <c r="M38" s="14" t="s">
        <v>4063</v>
      </c>
      <c r="N38" s="1" t="s">
        <v>6735</v>
      </c>
      <c r="O38" s="1" t="s">
        <v>3859</v>
      </c>
      <c r="X38" s="1">
        <v>37</v>
      </c>
      <c r="Y38" s="1">
        <v>32</v>
      </c>
      <c r="Z38" s="1">
        <v>2</v>
      </c>
      <c r="AA38" s="1">
        <v>2</v>
      </c>
      <c r="AB38" s="1" t="s">
        <v>6979</v>
      </c>
      <c r="AC38" s="1" t="str">
        <f t="shared" si="2"/>
        <v>4X400mR</v>
      </c>
      <c r="AQ38" s="1">
        <v>2053</v>
      </c>
      <c r="AR38" s="1" t="s">
        <v>107</v>
      </c>
    </row>
    <row r="39" spans="4:44">
      <c r="D39" s="9" t="s">
        <v>3889</v>
      </c>
      <c r="E39" s="9" t="s">
        <v>3890</v>
      </c>
      <c r="F39" s="9" t="s">
        <v>3889</v>
      </c>
      <c r="G39" s="8" t="s">
        <v>3984</v>
      </c>
      <c r="H39" s="1" t="s">
        <v>3985</v>
      </c>
      <c r="I39" s="1">
        <v>37</v>
      </c>
      <c r="J39" s="18">
        <v>41</v>
      </c>
      <c r="K39" s="14" t="s">
        <v>6689</v>
      </c>
      <c r="L39" s="1" t="s">
        <v>6893</v>
      </c>
      <c r="M39" s="14" t="s">
        <v>4060</v>
      </c>
      <c r="N39" s="1" t="s">
        <v>6732</v>
      </c>
      <c r="O39" s="1" t="s">
        <v>3859</v>
      </c>
      <c r="X39" s="1">
        <v>38</v>
      </c>
      <c r="Y39" s="1">
        <v>34</v>
      </c>
      <c r="Z39" s="1">
        <v>2</v>
      </c>
      <c r="AA39" s="1">
        <v>2</v>
      </c>
      <c r="AB39" s="1" t="s">
        <v>3869</v>
      </c>
      <c r="AC39" s="1" t="str">
        <f t="shared" si="2"/>
        <v>走高跳</v>
      </c>
      <c r="AQ39" s="1">
        <v>2054</v>
      </c>
      <c r="AR39" s="1" t="s">
        <v>108</v>
      </c>
    </row>
    <row r="40" spans="4:44">
      <c r="D40" s="9" t="s">
        <v>3891</v>
      </c>
      <c r="E40" s="9" t="s">
        <v>3892</v>
      </c>
      <c r="F40" s="9" t="s">
        <v>3891</v>
      </c>
      <c r="G40" s="8" t="s">
        <v>3986</v>
      </c>
      <c r="H40" s="1" t="s">
        <v>3987</v>
      </c>
      <c r="I40" s="1">
        <v>38</v>
      </c>
      <c r="J40" s="18">
        <v>42</v>
      </c>
      <c r="K40" s="14">
        <v>492183</v>
      </c>
      <c r="L40" s="1" t="s">
        <v>6894</v>
      </c>
      <c r="M40" s="14" t="s">
        <v>4061</v>
      </c>
      <c r="N40" s="1" t="s">
        <v>6733</v>
      </c>
      <c r="O40" s="1" t="s">
        <v>3859</v>
      </c>
      <c r="X40" s="1">
        <v>39</v>
      </c>
      <c r="Y40" s="1">
        <v>35</v>
      </c>
      <c r="Z40" s="1">
        <v>2</v>
      </c>
      <c r="AA40" s="1">
        <v>2</v>
      </c>
      <c r="AB40" s="1" t="s">
        <v>6980</v>
      </c>
      <c r="AC40" s="1" t="str">
        <f t="shared" si="2"/>
        <v>棒高跳</v>
      </c>
      <c r="AQ40" s="1">
        <v>2055</v>
      </c>
      <c r="AR40" s="1" t="s">
        <v>109</v>
      </c>
    </row>
    <row r="41" spans="4:44">
      <c r="D41" s="9" t="s">
        <v>3893</v>
      </c>
      <c r="E41" s="9" t="s">
        <v>3894</v>
      </c>
      <c r="F41" s="9" t="s">
        <v>3893</v>
      </c>
      <c r="G41" s="8" t="s">
        <v>3988</v>
      </c>
      <c r="H41" s="1" t="s">
        <v>3989</v>
      </c>
      <c r="I41" s="1">
        <v>39</v>
      </c>
      <c r="J41" s="18">
        <v>43</v>
      </c>
      <c r="K41" s="14" t="s">
        <v>6709</v>
      </c>
      <c r="L41" s="1" t="s">
        <v>6895</v>
      </c>
      <c r="M41" s="14" t="s">
        <v>4078</v>
      </c>
      <c r="N41" s="1" t="s">
        <v>6752</v>
      </c>
      <c r="O41" s="1" t="s">
        <v>3857</v>
      </c>
      <c r="X41" s="1">
        <v>40</v>
      </c>
      <c r="Y41" s="1">
        <v>36</v>
      </c>
      <c r="Z41" s="1">
        <v>2</v>
      </c>
      <c r="AA41" s="1">
        <v>2</v>
      </c>
      <c r="AB41" s="1" t="s">
        <v>3874</v>
      </c>
      <c r="AC41" s="1" t="str">
        <f t="shared" si="2"/>
        <v>走幅跳</v>
      </c>
      <c r="AQ41" s="1">
        <v>2056</v>
      </c>
      <c r="AR41" s="1" t="s">
        <v>110</v>
      </c>
    </row>
    <row r="42" spans="4:44">
      <c r="D42" s="9" t="s">
        <v>3895</v>
      </c>
      <c r="E42" s="9" t="s">
        <v>3896</v>
      </c>
      <c r="F42" s="9" t="s">
        <v>3895</v>
      </c>
      <c r="G42" s="8" t="s">
        <v>3990</v>
      </c>
      <c r="H42" s="1" t="s">
        <v>3991</v>
      </c>
      <c r="I42" s="1">
        <v>40</v>
      </c>
      <c r="J42" s="18">
        <v>44</v>
      </c>
      <c r="K42" s="14" t="s">
        <v>6690</v>
      </c>
      <c r="L42" s="1" t="s">
        <v>6896</v>
      </c>
      <c r="M42" s="14" t="s">
        <v>4062</v>
      </c>
      <c r="N42" s="1" t="s">
        <v>6734</v>
      </c>
      <c r="O42" s="1" t="s">
        <v>3857</v>
      </c>
      <c r="X42" s="1">
        <v>41</v>
      </c>
      <c r="Y42" s="1">
        <v>37</v>
      </c>
      <c r="Z42" s="1">
        <v>2</v>
      </c>
      <c r="AA42" s="1">
        <v>2</v>
      </c>
      <c r="AB42" s="1" t="s">
        <v>6981</v>
      </c>
      <c r="AC42" s="1" t="str">
        <f t="shared" si="2"/>
        <v>三段跳</v>
      </c>
      <c r="AQ42" s="1">
        <v>2057</v>
      </c>
      <c r="AR42" s="1" t="s">
        <v>111</v>
      </c>
    </row>
    <row r="43" spans="4:44">
      <c r="D43" s="9" t="s">
        <v>3897</v>
      </c>
      <c r="E43" s="9" t="s">
        <v>3898</v>
      </c>
      <c r="F43" s="9" t="s">
        <v>3897</v>
      </c>
      <c r="G43" s="8" t="s">
        <v>3992</v>
      </c>
      <c r="H43" s="1" t="s">
        <v>3993</v>
      </c>
      <c r="I43" s="1">
        <v>41</v>
      </c>
      <c r="J43" s="18">
        <v>45</v>
      </c>
      <c r="K43" s="14" t="s">
        <v>6699</v>
      </c>
      <c r="L43" s="1" t="s">
        <v>6897</v>
      </c>
      <c r="M43" s="14" t="s">
        <v>4070</v>
      </c>
      <c r="N43" s="1" t="s">
        <v>6898</v>
      </c>
      <c r="O43" s="1" t="s">
        <v>3859</v>
      </c>
      <c r="X43" s="1">
        <v>42</v>
      </c>
      <c r="Y43" s="1">
        <v>40</v>
      </c>
      <c r="Z43" s="1">
        <v>2</v>
      </c>
      <c r="AA43" s="1">
        <v>2</v>
      </c>
      <c r="AB43" s="1" t="s">
        <v>6982</v>
      </c>
      <c r="AC43" s="1" t="str">
        <f t="shared" si="2"/>
        <v>砲丸投</v>
      </c>
      <c r="AQ43" s="1">
        <v>2058</v>
      </c>
      <c r="AR43" s="1" t="s">
        <v>112</v>
      </c>
    </row>
    <row r="44" spans="4:44">
      <c r="D44" s="9" t="s">
        <v>3899</v>
      </c>
      <c r="E44" s="9" t="s">
        <v>3900</v>
      </c>
      <c r="F44" s="9" t="s">
        <v>3899</v>
      </c>
      <c r="G44" s="8" t="s">
        <v>3994</v>
      </c>
      <c r="H44" s="1" t="s">
        <v>3995</v>
      </c>
      <c r="I44" s="1">
        <v>42</v>
      </c>
      <c r="J44" s="18">
        <v>46</v>
      </c>
      <c r="K44" s="14" t="s">
        <v>6681</v>
      </c>
      <c r="L44" s="1" t="s">
        <v>6899</v>
      </c>
      <c r="M44" s="14" t="s">
        <v>4054</v>
      </c>
      <c r="N44" s="1" t="s">
        <v>6725</v>
      </c>
      <c r="O44" s="1" t="s">
        <v>3861</v>
      </c>
      <c r="X44" s="1">
        <v>43</v>
      </c>
      <c r="Y44" s="1">
        <v>45</v>
      </c>
      <c r="Z44" s="1">
        <v>2</v>
      </c>
      <c r="AA44" s="1">
        <v>2</v>
      </c>
      <c r="AB44" s="1" t="s">
        <v>6983</v>
      </c>
      <c r="AC44" s="1" t="str">
        <f t="shared" si="2"/>
        <v>円盤投</v>
      </c>
      <c r="AQ44" s="1">
        <v>2059</v>
      </c>
      <c r="AR44" s="1" t="s">
        <v>113</v>
      </c>
    </row>
    <row r="45" spans="4:44">
      <c r="D45" s="9" t="s">
        <v>3901</v>
      </c>
      <c r="E45" s="9" t="s">
        <v>3902</v>
      </c>
      <c r="F45" s="9" t="s">
        <v>3901</v>
      </c>
      <c r="G45" s="8" t="s">
        <v>3996</v>
      </c>
      <c r="H45" s="1" t="s">
        <v>3997</v>
      </c>
      <c r="I45" s="1">
        <v>43</v>
      </c>
      <c r="J45" s="18">
        <v>48</v>
      </c>
      <c r="K45" s="14" t="s">
        <v>6682</v>
      </c>
      <c r="L45" s="1" t="s">
        <v>6900</v>
      </c>
      <c r="M45" s="14" t="s">
        <v>4055</v>
      </c>
      <c r="N45" s="1" t="s">
        <v>6901</v>
      </c>
      <c r="O45" s="1" t="s">
        <v>3861</v>
      </c>
      <c r="X45" s="1">
        <v>44</v>
      </c>
      <c r="Y45" s="1">
        <v>50</v>
      </c>
      <c r="Z45" s="1">
        <v>2</v>
      </c>
      <c r="AA45" s="1">
        <v>2</v>
      </c>
      <c r="AB45" s="1" t="s">
        <v>6984</v>
      </c>
      <c r="AC45" s="1" t="str">
        <f t="shared" si="2"/>
        <v>ハンマー投</v>
      </c>
      <c r="AQ45" s="1">
        <v>2060</v>
      </c>
      <c r="AR45" s="1" t="s">
        <v>114</v>
      </c>
    </row>
    <row r="46" spans="4:44">
      <c r="D46" s="9" t="s">
        <v>3903</v>
      </c>
      <c r="E46" s="9" t="s">
        <v>3904</v>
      </c>
      <c r="F46" s="9" t="s">
        <v>3903</v>
      </c>
      <c r="G46" s="8" t="s">
        <v>3998</v>
      </c>
      <c r="H46" s="1" t="s">
        <v>3999</v>
      </c>
      <c r="I46" s="1">
        <v>44</v>
      </c>
      <c r="J46" s="18">
        <v>49</v>
      </c>
      <c r="K46" s="14" t="s">
        <v>6695</v>
      </c>
      <c r="L46" s="1" t="s">
        <v>6902</v>
      </c>
      <c r="M46" s="14" t="s">
        <v>4066</v>
      </c>
      <c r="N46" s="1" t="s">
        <v>6739</v>
      </c>
      <c r="O46" s="1" t="s">
        <v>3859</v>
      </c>
      <c r="X46" s="1">
        <v>45</v>
      </c>
      <c r="Y46" s="1">
        <v>55</v>
      </c>
      <c r="Z46" s="1">
        <v>2</v>
      </c>
      <c r="AA46" s="1">
        <v>2</v>
      </c>
      <c r="AB46" s="1" t="s">
        <v>6985</v>
      </c>
      <c r="AC46" s="1" t="str">
        <f t="shared" si="2"/>
        <v>やり投</v>
      </c>
      <c r="AQ46" s="1">
        <v>2061</v>
      </c>
      <c r="AR46" s="1" t="s">
        <v>115</v>
      </c>
    </row>
    <row r="47" spans="4:44">
      <c r="D47" s="9" t="s">
        <v>3905</v>
      </c>
      <c r="E47" s="9" t="s">
        <v>3906</v>
      </c>
      <c r="F47" s="9" t="s">
        <v>3905</v>
      </c>
      <c r="G47" s="8" t="s">
        <v>4000</v>
      </c>
      <c r="H47" s="1" t="s">
        <v>4001</v>
      </c>
      <c r="I47" s="1">
        <v>45</v>
      </c>
      <c r="J47" s="18">
        <v>50</v>
      </c>
      <c r="K47" s="14" t="s">
        <v>6707</v>
      </c>
      <c r="L47" s="1" t="s">
        <v>6903</v>
      </c>
      <c r="M47" s="14" t="s">
        <v>6665</v>
      </c>
      <c r="N47" s="1" t="s">
        <v>6750</v>
      </c>
      <c r="O47" s="1" t="s">
        <v>3859</v>
      </c>
      <c r="X47" s="1">
        <v>46</v>
      </c>
      <c r="Y47" s="1">
        <v>61</v>
      </c>
      <c r="Z47" s="1">
        <v>2</v>
      </c>
      <c r="AA47" s="1">
        <v>2</v>
      </c>
      <c r="AB47" s="1" t="s">
        <v>6986</v>
      </c>
      <c r="AC47" s="1" t="str">
        <f t="shared" si="2"/>
        <v>七種競技</v>
      </c>
      <c r="AQ47" s="1">
        <v>2062</v>
      </c>
      <c r="AR47" s="1" t="s">
        <v>116</v>
      </c>
    </row>
    <row r="48" spans="4:44">
      <c r="D48" s="9" t="s">
        <v>3907</v>
      </c>
      <c r="E48" s="9" t="s">
        <v>3908</v>
      </c>
      <c r="F48" s="9" t="s">
        <v>3907</v>
      </c>
      <c r="G48" s="8" t="s">
        <v>4002</v>
      </c>
      <c r="H48" s="1" t="s">
        <v>4003</v>
      </c>
      <c r="I48" s="1">
        <v>46</v>
      </c>
      <c r="AQ48" s="1">
        <v>2063</v>
      </c>
      <c r="AR48" s="1" t="s">
        <v>117</v>
      </c>
    </row>
    <row r="49" spans="4:44">
      <c r="D49" s="9" t="s">
        <v>3909</v>
      </c>
      <c r="E49" s="9" t="s">
        <v>3910</v>
      </c>
      <c r="F49" s="9" t="s">
        <v>3909</v>
      </c>
      <c r="G49" s="8" t="s">
        <v>4004</v>
      </c>
      <c r="H49" s="1" t="s">
        <v>4005</v>
      </c>
      <c r="I49" s="1">
        <v>47</v>
      </c>
      <c r="AQ49" s="1">
        <v>2064</v>
      </c>
      <c r="AR49" s="1" t="s">
        <v>118</v>
      </c>
    </row>
    <row r="50" spans="4:44">
      <c r="D50" s="9" t="s">
        <v>3911</v>
      </c>
      <c r="F50" s="9" t="s">
        <v>6846</v>
      </c>
      <c r="G50" s="8" t="s">
        <v>4006</v>
      </c>
      <c r="H50" s="1" t="s">
        <v>4007</v>
      </c>
      <c r="I50" s="1">
        <v>48</v>
      </c>
      <c r="AQ50" s="1">
        <v>2065</v>
      </c>
      <c r="AR50" s="1" t="s">
        <v>119</v>
      </c>
    </row>
    <row r="51" spans="4:44">
      <c r="AQ51" s="1">
        <v>2066</v>
      </c>
      <c r="AR51" s="1" t="s">
        <v>120</v>
      </c>
    </row>
    <row r="52" spans="4:44">
      <c r="AQ52" s="1">
        <v>2067</v>
      </c>
      <c r="AR52" s="1" t="s">
        <v>121</v>
      </c>
    </row>
    <row r="53" spans="4:44">
      <c r="AQ53" s="1">
        <v>2068</v>
      </c>
      <c r="AR53" s="1" t="s">
        <v>122</v>
      </c>
    </row>
    <row r="54" spans="4:44">
      <c r="AQ54" s="1">
        <v>2069</v>
      </c>
      <c r="AR54" s="1" t="s">
        <v>123</v>
      </c>
    </row>
    <row r="55" spans="4:44">
      <c r="AQ55" s="1">
        <v>2070</v>
      </c>
      <c r="AR55" s="1" t="s">
        <v>124</v>
      </c>
    </row>
    <row r="56" spans="4:44">
      <c r="AQ56" s="1">
        <v>2071</v>
      </c>
      <c r="AR56" s="1" t="s">
        <v>125</v>
      </c>
    </row>
    <row r="57" spans="4:44">
      <c r="AQ57" s="1">
        <v>2072</v>
      </c>
      <c r="AR57" s="1" t="s">
        <v>126</v>
      </c>
    </row>
    <row r="58" spans="4:44">
      <c r="AQ58" s="1">
        <v>2073</v>
      </c>
      <c r="AR58" s="1" t="s">
        <v>127</v>
      </c>
    </row>
    <row r="59" spans="4:44">
      <c r="AQ59" s="1">
        <v>2074</v>
      </c>
      <c r="AR59" s="1" t="s">
        <v>128</v>
      </c>
    </row>
    <row r="60" spans="4:44">
      <c r="AQ60" s="1">
        <v>2075</v>
      </c>
      <c r="AR60" s="1" t="s">
        <v>129</v>
      </c>
    </row>
    <row r="61" spans="4:44">
      <c r="AQ61" s="1">
        <v>2076</v>
      </c>
      <c r="AR61" s="1" t="s">
        <v>130</v>
      </c>
    </row>
    <row r="62" spans="4:44">
      <c r="AQ62" s="1">
        <v>2077</v>
      </c>
      <c r="AR62" s="1" t="s">
        <v>131</v>
      </c>
    </row>
    <row r="63" spans="4:44">
      <c r="AQ63" s="1">
        <v>2078</v>
      </c>
      <c r="AR63" s="1" t="s">
        <v>132</v>
      </c>
    </row>
    <row r="64" spans="4:44">
      <c r="AQ64" s="1">
        <v>2079</v>
      </c>
      <c r="AR64" s="1" t="s">
        <v>133</v>
      </c>
    </row>
    <row r="65" spans="43:44">
      <c r="AQ65" s="1">
        <v>2080</v>
      </c>
      <c r="AR65" s="1" t="s">
        <v>134</v>
      </c>
    </row>
    <row r="66" spans="43:44">
      <c r="AQ66" s="1">
        <v>2081</v>
      </c>
      <c r="AR66" s="1" t="s">
        <v>135</v>
      </c>
    </row>
    <row r="67" spans="43:44">
      <c r="AQ67" s="1">
        <v>2082</v>
      </c>
      <c r="AR67" s="1" t="s">
        <v>136</v>
      </c>
    </row>
    <row r="68" spans="43:44">
      <c r="AQ68" s="1">
        <v>2083</v>
      </c>
      <c r="AR68" s="1" t="s">
        <v>137</v>
      </c>
    </row>
    <row r="69" spans="43:44">
      <c r="AQ69" s="1">
        <v>2084</v>
      </c>
      <c r="AR69" s="1" t="s">
        <v>138</v>
      </c>
    </row>
    <row r="70" spans="43:44">
      <c r="AQ70" s="1">
        <v>2085</v>
      </c>
      <c r="AR70" s="1" t="s">
        <v>139</v>
      </c>
    </row>
    <row r="71" spans="43:44">
      <c r="AQ71" s="1">
        <v>2086</v>
      </c>
      <c r="AR71" s="1" t="s">
        <v>140</v>
      </c>
    </row>
    <row r="72" spans="43:44">
      <c r="AQ72" s="1">
        <v>2087</v>
      </c>
      <c r="AR72" s="1" t="s">
        <v>141</v>
      </c>
    </row>
    <row r="73" spans="43:44">
      <c r="AQ73" s="1">
        <v>2088</v>
      </c>
      <c r="AR73" s="1" t="s">
        <v>142</v>
      </c>
    </row>
    <row r="74" spans="43:44">
      <c r="AQ74" s="1">
        <v>2089</v>
      </c>
      <c r="AR74" s="1" t="s">
        <v>143</v>
      </c>
    </row>
    <row r="75" spans="43:44">
      <c r="AQ75" s="1">
        <v>2090</v>
      </c>
      <c r="AR75" s="1" t="s">
        <v>144</v>
      </c>
    </row>
    <row r="76" spans="43:44">
      <c r="AQ76" s="1">
        <v>2091</v>
      </c>
      <c r="AR76" s="1" t="s">
        <v>145</v>
      </c>
    </row>
    <row r="77" spans="43:44">
      <c r="AQ77" s="1">
        <v>2092</v>
      </c>
      <c r="AR77" s="1" t="s">
        <v>146</v>
      </c>
    </row>
    <row r="78" spans="43:44">
      <c r="AQ78" s="1">
        <v>2093</v>
      </c>
      <c r="AR78" s="1" t="s">
        <v>147</v>
      </c>
    </row>
    <row r="79" spans="43:44">
      <c r="AQ79" s="1">
        <v>2094</v>
      </c>
      <c r="AR79" s="1" t="s">
        <v>148</v>
      </c>
    </row>
    <row r="80" spans="43:44">
      <c r="AQ80" s="1">
        <v>2095</v>
      </c>
      <c r="AR80" s="1" t="s">
        <v>149</v>
      </c>
    </row>
    <row r="81" spans="43:44">
      <c r="AQ81" s="1">
        <v>2096</v>
      </c>
      <c r="AR81" s="1" t="s">
        <v>150</v>
      </c>
    </row>
    <row r="82" spans="43:44">
      <c r="AQ82" s="1">
        <v>2097</v>
      </c>
      <c r="AR82" s="1" t="s">
        <v>151</v>
      </c>
    </row>
    <row r="83" spans="43:44">
      <c r="AQ83" s="1">
        <v>2098</v>
      </c>
      <c r="AR83" s="1" t="s">
        <v>152</v>
      </c>
    </row>
    <row r="84" spans="43:44">
      <c r="AQ84" s="1">
        <v>2099</v>
      </c>
      <c r="AR84" s="1" t="s">
        <v>153</v>
      </c>
    </row>
    <row r="85" spans="43:44">
      <c r="AQ85" s="1">
        <v>2100</v>
      </c>
      <c r="AR85" s="1" t="s">
        <v>154</v>
      </c>
    </row>
    <row r="86" spans="43:44">
      <c r="AQ86" s="1">
        <v>2101</v>
      </c>
      <c r="AR86" s="1" t="s">
        <v>155</v>
      </c>
    </row>
    <row r="87" spans="43:44">
      <c r="AQ87" s="1">
        <v>2102</v>
      </c>
      <c r="AR87" s="1" t="s">
        <v>156</v>
      </c>
    </row>
    <row r="88" spans="43:44">
      <c r="AQ88" s="1">
        <v>2103</v>
      </c>
      <c r="AR88" s="1" t="s">
        <v>157</v>
      </c>
    </row>
    <row r="89" spans="43:44">
      <c r="AQ89" s="1">
        <v>2104</v>
      </c>
      <c r="AR89" s="1" t="s">
        <v>158</v>
      </c>
    </row>
    <row r="90" spans="43:44">
      <c r="AQ90" s="1">
        <v>2105</v>
      </c>
      <c r="AR90" s="1" t="s">
        <v>159</v>
      </c>
    </row>
    <row r="91" spans="43:44">
      <c r="AQ91" s="1">
        <v>2106</v>
      </c>
      <c r="AR91" s="1" t="s">
        <v>160</v>
      </c>
    </row>
    <row r="92" spans="43:44">
      <c r="AQ92" s="1">
        <v>2107</v>
      </c>
      <c r="AR92" s="1" t="s">
        <v>161</v>
      </c>
    </row>
    <row r="93" spans="43:44">
      <c r="AQ93" s="1">
        <v>2108</v>
      </c>
      <c r="AR93" s="1" t="s">
        <v>162</v>
      </c>
    </row>
    <row r="94" spans="43:44">
      <c r="AQ94" s="1">
        <v>2109</v>
      </c>
      <c r="AR94" s="1" t="s">
        <v>163</v>
      </c>
    </row>
    <row r="95" spans="43:44">
      <c r="AQ95" s="1">
        <v>2110</v>
      </c>
      <c r="AR95" s="1" t="s">
        <v>164</v>
      </c>
    </row>
    <row r="96" spans="43:44">
      <c r="AQ96" s="1">
        <v>2111</v>
      </c>
      <c r="AR96" s="1" t="s">
        <v>165</v>
      </c>
    </row>
    <row r="97" spans="43:44">
      <c r="AQ97" s="1">
        <v>2112</v>
      </c>
      <c r="AR97" s="1" t="s">
        <v>166</v>
      </c>
    </row>
    <row r="98" spans="43:44">
      <c r="AQ98" s="1">
        <v>2113</v>
      </c>
      <c r="AR98" s="1" t="s">
        <v>167</v>
      </c>
    </row>
    <row r="99" spans="43:44">
      <c r="AQ99" s="1">
        <v>2114</v>
      </c>
      <c r="AR99" s="1" t="s">
        <v>168</v>
      </c>
    </row>
    <row r="100" spans="43:44">
      <c r="AQ100" s="1">
        <v>2115</v>
      </c>
      <c r="AR100" s="1" t="s">
        <v>169</v>
      </c>
    </row>
    <row r="101" spans="43:44">
      <c r="AQ101" s="1">
        <v>2116</v>
      </c>
      <c r="AR101" s="1" t="s">
        <v>170</v>
      </c>
    </row>
    <row r="102" spans="43:44">
      <c r="AQ102" s="1">
        <v>2117</v>
      </c>
      <c r="AR102" s="1" t="s">
        <v>171</v>
      </c>
    </row>
    <row r="103" spans="43:44">
      <c r="AQ103" s="1">
        <v>2118</v>
      </c>
      <c r="AR103" s="1" t="s">
        <v>172</v>
      </c>
    </row>
    <row r="104" spans="43:44">
      <c r="AQ104" s="1">
        <v>2119</v>
      </c>
      <c r="AR104" s="1" t="s">
        <v>173</v>
      </c>
    </row>
  </sheetData>
  <autoFilter ref="J2:O47" xr:uid="{C80D0BE6-8C84-4C77-9E2E-0EE654E6217D}">
    <sortState xmlns:xlrd2="http://schemas.microsoft.com/office/spreadsheetml/2017/richdata2" ref="J3:O104">
      <sortCondition ref="J2:J47"/>
    </sortState>
  </autoFilter>
  <mergeCells count="6">
    <mergeCell ref="AI1:AO1"/>
    <mergeCell ref="AP1:AV1"/>
    <mergeCell ref="F2:I2"/>
    <mergeCell ref="F1:I1"/>
    <mergeCell ref="D1:E1"/>
    <mergeCell ref="X1:AC1"/>
  </mergeCells>
  <phoneticPr fontId="3"/>
  <dataValidations count="1">
    <dataValidation type="list" allowBlank="1" showInputMessage="1" showErrorMessage="1" sqref="AI3:AO3" xr:uid="{CE1C05E9-CDCF-4CDD-9D61-5AE21FE70277}">
      <formula1>AP$3:AP$104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BC42E-A84C-4717-A5AA-8F30F7E026ED}">
  <sheetPr codeName="Sheet2">
    <tabColor rgb="FF00B0F0"/>
  </sheetPr>
  <dimension ref="A1:BR423"/>
  <sheetViews>
    <sheetView zoomScale="80" zoomScaleNormal="80" zoomScaleSheetLayoutView="80" workbookViewId="0">
      <pane ySplit="6" topLeftCell="A7" activePane="bottomLeft" state="frozen"/>
      <selection pane="bottomLeft" sqref="A1:R1"/>
    </sheetView>
  </sheetViews>
  <sheetFormatPr defaultRowHeight="17.399999999999999"/>
  <cols>
    <col min="1" max="1" width="8.59765625" style="218" customWidth="1"/>
    <col min="2" max="2" width="4.19921875" style="218" customWidth="1"/>
    <col min="3" max="3" width="8.796875" style="218" customWidth="1"/>
    <col min="4" max="4" width="12.796875" style="218" hidden="1" customWidth="1"/>
    <col min="5" max="6" width="18.5" style="218" customWidth="1"/>
    <col min="7" max="7" width="19.796875" style="218" customWidth="1"/>
    <col min="8" max="8" width="11.09765625" style="218" hidden="1" customWidth="1"/>
    <col min="9" max="9" width="6.796875" style="218" bestFit="1" customWidth="1"/>
    <col min="10" max="10" width="13.19921875" style="218" customWidth="1"/>
    <col min="11" max="11" width="3.3984375" style="218" bestFit="1" customWidth="1"/>
    <col min="12" max="12" width="8.796875" style="218"/>
    <col min="13" max="13" width="6.19921875" style="218" bestFit="1" customWidth="1"/>
    <col min="14" max="15" width="4" style="231" bestFit="1" customWidth="1"/>
    <col min="16" max="16" width="31.796875" style="218" bestFit="1" customWidth="1"/>
    <col min="17" max="18" width="15.19921875" style="218" bestFit="1" customWidth="1"/>
    <col min="19" max="20" width="12.796875" style="218" hidden="1" customWidth="1"/>
    <col min="21" max="21" width="10.69921875" style="218" hidden="1" customWidth="1"/>
    <col min="22" max="23" width="12.796875" style="218" hidden="1" customWidth="1"/>
    <col min="24" max="24" width="8.796875" style="218" hidden="1" customWidth="1"/>
    <col min="25" max="25" width="18.796875" style="218" hidden="1" customWidth="1"/>
    <col min="26" max="31" width="8.796875" style="218" hidden="1" customWidth="1"/>
    <col min="32" max="32" width="12.5" style="218" hidden="1" customWidth="1"/>
    <col min="33" max="50" width="8.796875" style="218" hidden="1" customWidth="1"/>
    <col min="51" max="51" width="10" style="218" hidden="1" customWidth="1"/>
    <col min="52" max="52" width="10" style="274" hidden="1" customWidth="1"/>
    <col min="53" max="61" width="8.796875" style="218" hidden="1" customWidth="1"/>
    <col min="62" max="63" width="8.796875" style="231" hidden="1" customWidth="1"/>
    <col min="64" max="69" width="8.796875" style="218" hidden="1" customWidth="1"/>
    <col min="70" max="16384" width="8.796875" style="218"/>
  </cols>
  <sheetData>
    <row r="1" spans="1:70" s="125" customFormat="1" ht="30" customHeight="1">
      <c r="A1" s="427" t="str">
        <f>競技会設定!$C$1&amp;"　男子エントリー"</f>
        <v>第47回東海学生陸上競技秋季選手権大会　男子エントリー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</row>
    <row r="2" spans="1:70" ht="211.2" customHeight="1" thickBot="1">
      <c r="A2" s="426" t="s">
        <v>7789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126"/>
      <c r="T2" s="126"/>
      <c r="U2" s="126"/>
      <c r="V2" s="126"/>
      <c r="W2" s="126"/>
      <c r="AI2" s="218">
        <f>COUNTIF(AI7:AI406,"*")</f>
        <v>0</v>
      </c>
      <c r="AK2" s="274">
        <f>COUNTIF(AK7:AK406,"*")</f>
        <v>0</v>
      </c>
      <c r="AL2" s="274"/>
      <c r="AM2" s="274">
        <f>COUNTIF(AM7:AM406,"*")</f>
        <v>0</v>
      </c>
      <c r="AN2" s="274"/>
      <c r="AO2" s="274">
        <f>COUNTIF(AO7:AO406,"*")</f>
        <v>0</v>
      </c>
      <c r="AP2" s="274"/>
    </row>
    <row r="3" spans="1:70" s="12" customFormat="1" ht="30" customHeight="1" thickTop="1" thickBot="1">
      <c r="A3" s="445" t="s">
        <v>4010</v>
      </c>
      <c r="B3" s="446"/>
      <c r="C3" s="446"/>
      <c r="D3" s="225"/>
      <c r="E3" s="433" t="s">
        <v>6763</v>
      </c>
      <c r="F3" s="433"/>
      <c r="G3" s="433"/>
      <c r="H3" s="433"/>
      <c r="I3" s="433"/>
      <c r="J3" s="433"/>
      <c r="K3" s="433"/>
      <c r="L3" s="433"/>
      <c r="M3" s="433"/>
      <c r="N3" s="434"/>
      <c r="O3" s="434"/>
      <c r="P3" s="435"/>
      <c r="Q3" s="128" t="s">
        <v>6788</v>
      </c>
      <c r="R3" s="129" t="s">
        <v>6789</v>
      </c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1"/>
      <c r="AO3" s="131"/>
      <c r="AP3" s="131"/>
      <c r="AQ3" s="131"/>
      <c r="AR3" s="131"/>
      <c r="AS3" s="131"/>
      <c r="AT3" s="131"/>
      <c r="AU3" s="131"/>
      <c r="AV3" s="218">
        <f t="shared" ref="AV3:BL3" si="0">IF(COUNTIF(AV7:AV406,TRUE)&gt;0,1,0)</f>
        <v>0</v>
      </c>
      <c r="AW3" s="218">
        <f t="shared" si="0"/>
        <v>0</v>
      </c>
      <c r="AX3" s="218">
        <f t="shared" si="0"/>
        <v>0</v>
      </c>
      <c r="AY3" s="218">
        <f t="shared" si="0"/>
        <v>0</v>
      </c>
      <c r="AZ3" s="274">
        <f t="shared" si="0"/>
        <v>0</v>
      </c>
      <c r="BA3" s="218">
        <f t="shared" si="0"/>
        <v>0</v>
      </c>
      <c r="BB3" s="218">
        <f>IF(COUNTIF(BB7:BB406,TRUE)&gt;0,1,0)</f>
        <v>0</v>
      </c>
      <c r="BC3" s="218">
        <f t="shared" ref="BC3:BD3" si="1">IF(COUNTIF(BC7:BC406,TRUE)&gt;0,1,0)</f>
        <v>0</v>
      </c>
      <c r="BD3" s="218">
        <f t="shared" si="1"/>
        <v>0</v>
      </c>
      <c r="BE3" s="12">
        <f t="shared" si="0"/>
        <v>0</v>
      </c>
      <c r="BF3" s="12">
        <f t="shared" si="0"/>
        <v>0</v>
      </c>
      <c r="BG3" s="12">
        <f t="shared" si="0"/>
        <v>0</v>
      </c>
      <c r="BH3" s="12">
        <f t="shared" si="0"/>
        <v>0</v>
      </c>
      <c r="BI3" s="12">
        <f t="shared" si="0"/>
        <v>0</v>
      </c>
      <c r="BJ3" s="182"/>
      <c r="BK3" s="12">
        <f>IF(COUNTIF(BK7:BK406,TRUE)&gt;0,1,0)</f>
        <v>0</v>
      </c>
      <c r="BL3" s="12">
        <f t="shared" si="0"/>
        <v>0</v>
      </c>
      <c r="BM3" s="12">
        <f>IF(BM7,1,0)</f>
        <v>0</v>
      </c>
      <c r="BN3" s="12">
        <f>IF(BN7,1,0)</f>
        <v>0</v>
      </c>
      <c r="BP3" s="218">
        <f>IF(COUNTIF(リレーエントリー!Q6:Y17,TRUE)&gt;0,1,0)</f>
        <v>0</v>
      </c>
      <c r="BQ3" s="12">
        <f>IF(COUNTIF(混成競技エントリー!AI6:AL11,TRUE)&gt;0,1,0)</f>
        <v>0</v>
      </c>
      <c r="BR3" s="289"/>
    </row>
    <row r="4" spans="1:70" s="12" customFormat="1" ht="30" customHeight="1" thickTop="1" thickBot="1">
      <c r="A4" s="445" t="s">
        <v>4011</v>
      </c>
      <c r="B4" s="446"/>
      <c r="C4" s="446"/>
      <c r="D4" s="225"/>
      <c r="E4" s="430" t="str">
        <f>IFERROR(HLOOKUP(1,AN3:$BQ$4,2,0),"エラーはありません。")</f>
        <v>エラーはありません。</v>
      </c>
      <c r="F4" s="430"/>
      <c r="G4" s="430"/>
      <c r="H4" s="430"/>
      <c r="I4" s="430"/>
      <c r="J4" s="430"/>
      <c r="K4" s="430"/>
      <c r="L4" s="430"/>
      <c r="M4" s="430"/>
      <c r="N4" s="431"/>
      <c r="O4" s="431"/>
      <c r="P4" s="432"/>
      <c r="Q4" s="132">
        <f>IFERROR(SUM(BO7:BO406),"エラーあり")</f>
        <v>0</v>
      </c>
      <c r="R4" s="133">
        <f>SUM(AI2,AK2,AM2,AO2,リレーエントリー!Z6,リレーエントリー!Z12,混成競技エントリー!AM6:AM11)</f>
        <v>0</v>
      </c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4" t="s">
        <v>7074</v>
      </c>
      <c r="AW4" s="134" t="s">
        <v>7016</v>
      </c>
      <c r="AX4" s="134" t="s">
        <v>7017</v>
      </c>
      <c r="AY4" s="134" t="s">
        <v>7072</v>
      </c>
      <c r="AZ4" s="134" t="s">
        <v>7596</v>
      </c>
      <c r="BA4" s="134" t="s">
        <v>7018</v>
      </c>
      <c r="BB4" s="134" t="s">
        <v>7046</v>
      </c>
      <c r="BC4" s="134" t="s">
        <v>7047</v>
      </c>
      <c r="BD4" s="218" t="s">
        <v>7070</v>
      </c>
      <c r="BE4" s="12" t="s">
        <v>7019</v>
      </c>
      <c r="BF4" s="12" t="s">
        <v>7093</v>
      </c>
      <c r="BG4" s="12" t="s">
        <v>6807</v>
      </c>
      <c r="BH4" s="12" t="s">
        <v>7020</v>
      </c>
      <c r="BI4" s="12" t="s">
        <v>7095</v>
      </c>
      <c r="BJ4" s="182"/>
      <c r="BK4" s="12" t="s">
        <v>7098</v>
      </c>
      <c r="BL4" s="12" t="s">
        <v>7096</v>
      </c>
      <c r="BM4" s="12" t="s">
        <v>7048</v>
      </c>
      <c r="BN4" s="12" t="s">
        <v>7049</v>
      </c>
      <c r="BP4" s="12" t="s">
        <v>7055</v>
      </c>
      <c r="BQ4" s="12" t="s">
        <v>7056</v>
      </c>
      <c r="BR4" s="65" t="s">
        <v>7111</v>
      </c>
    </row>
    <row r="5" spans="1:70" ht="18" thickTop="1">
      <c r="A5" s="428" t="s">
        <v>6753</v>
      </c>
      <c r="B5" s="423" t="s">
        <v>4012</v>
      </c>
      <c r="C5" s="423"/>
      <c r="D5" s="223" t="s">
        <v>0</v>
      </c>
      <c r="E5" s="223" t="s">
        <v>209</v>
      </c>
      <c r="F5" s="223" t="s">
        <v>4017</v>
      </c>
      <c r="G5" s="447" t="s">
        <v>6758</v>
      </c>
      <c r="H5" s="226" t="s">
        <v>6768</v>
      </c>
      <c r="I5" s="423" t="s">
        <v>4013</v>
      </c>
      <c r="J5" s="423"/>
      <c r="K5" s="423" t="s">
        <v>4014</v>
      </c>
      <c r="L5" s="423"/>
      <c r="M5" s="423"/>
      <c r="N5" s="423"/>
      <c r="O5" s="423"/>
      <c r="P5" s="423"/>
      <c r="Q5" s="423" t="s">
        <v>6757</v>
      </c>
      <c r="R5" s="424"/>
      <c r="S5" s="443" t="s">
        <v>7021</v>
      </c>
      <c r="T5" s="444"/>
      <c r="U5" s="371"/>
      <c r="V5" s="371" t="s">
        <v>3788</v>
      </c>
      <c r="W5" s="371"/>
      <c r="X5" s="371"/>
      <c r="Y5" s="371" t="s">
        <v>7022</v>
      </c>
      <c r="Z5" s="371"/>
      <c r="AA5" s="371" t="s">
        <v>7023</v>
      </c>
      <c r="AB5" s="371"/>
      <c r="AC5" s="371"/>
      <c r="AD5" s="371" t="s">
        <v>7024</v>
      </c>
      <c r="AE5" s="371"/>
      <c r="AF5" s="371"/>
      <c r="AG5" s="371"/>
      <c r="AH5" s="371"/>
      <c r="AI5" s="371" t="s">
        <v>7025</v>
      </c>
      <c r="AJ5" s="371"/>
      <c r="AK5" s="371"/>
      <c r="AL5" s="371"/>
      <c r="AM5" s="371"/>
      <c r="AN5" s="371"/>
      <c r="AO5" s="371"/>
      <c r="AP5" s="371"/>
      <c r="AQ5" s="371"/>
      <c r="AR5" s="371"/>
      <c r="BR5" s="290" t="s">
        <v>7109</v>
      </c>
    </row>
    <row r="6" spans="1:70" ht="18" customHeight="1" thickBot="1">
      <c r="A6" s="429"/>
      <c r="B6" s="425"/>
      <c r="C6" s="425"/>
      <c r="D6" s="224"/>
      <c r="E6" s="425" t="s">
        <v>6762</v>
      </c>
      <c r="F6" s="425"/>
      <c r="G6" s="425"/>
      <c r="H6" s="224"/>
      <c r="I6" s="425"/>
      <c r="J6" s="425"/>
      <c r="K6" s="425" t="s">
        <v>4016</v>
      </c>
      <c r="L6" s="425"/>
      <c r="M6" s="249" t="s">
        <v>7083</v>
      </c>
      <c r="N6" s="250" t="s">
        <v>7084</v>
      </c>
      <c r="O6" s="251" t="s">
        <v>7085</v>
      </c>
      <c r="P6" s="224" t="s">
        <v>182</v>
      </c>
      <c r="Q6" s="224" t="s">
        <v>6990</v>
      </c>
      <c r="R6" s="135" t="s">
        <v>6989</v>
      </c>
      <c r="S6" s="218" t="s">
        <v>6790</v>
      </c>
      <c r="T6" s="218" t="s">
        <v>7026</v>
      </c>
      <c r="U6" s="218" t="s">
        <v>6791</v>
      </c>
      <c r="V6" s="218" t="s">
        <v>6790</v>
      </c>
      <c r="W6" s="218" t="s">
        <v>7026</v>
      </c>
      <c r="X6" s="218" t="s">
        <v>6791</v>
      </c>
      <c r="Y6" s="218" t="s">
        <v>6790</v>
      </c>
      <c r="Z6" s="218" t="s">
        <v>6791</v>
      </c>
      <c r="AB6" s="218" t="s">
        <v>6791</v>
      </c>
      <c r="AC6" s="218" t="s">
        <v>7027</v>
      </c>
      <c r="AD6" s="218" t="s">
        <v>7028</v>
      </c>
      <c r="AE6" s="218" t="s">
        <v>6797</v>
      </c>
      <c r="AF6" s="218" t="s">
        <v>6791</v>
      </c>
      <c r="AG6" s="218" t="s">
        <v>6799</v>
      </c>
      <c r="AH6" s="218" t="s">
        <v>6791</v>
      </c>
      <c r="AI6" s="371">
        <v>1</v>
      </c>
      <c r="AJ6" s="371"/>
      <c r="AK6" s="371">
        <v>2</v>
      </c>
      <c r="AL6" s="371"/>
      <c r="AM6" s="371">
        <v>3</v>
      </c>
      <c r="AN6" s="371"/>
      <c r="AO6" s="371">
        <v>4</v>
      </c>
      <c r="AP6" s="371"/>
      <c r="AQ6" s="371" t="s">
        <v>7029</v>
      </c>
      <c r="AR6" s="371"/>
      <c r="AS6" s="218" t="s">
        <v>7030</v>
      </c>
      <c r="AT6" s="218" t="s">
        <v>7031</v>
      </c>
      <c r="AU6" s="218" t="s">
        <v>7032</v>
      </c>
      <c r="AV6" s="218" t="s">
        <v>7033</v>
      </c>
      <c r="AW6" s="218" t="s">
        <v>7034</v>
      </c>
      <c r="AX6" s="218" t="s">
        <v>7035</v>
      </c>
      <c r="AY6" s="218" t="s">
        <v>7036</v>
      </c>
      <c r="AZ6" s="274" t="s">
        <v>7595</v>
      </c>
      <c r="BA6" s="218" t="s">
        <v>7037</v>
      </c>
      <c r="BB6" s="218" t="s">
        <v>7038</v>
      </c>
      <c r="BC6" s="218" t="s">
        <v>7039</v>
      </c>
      <c r="BD6" s="218" t="s">
        <v>7040</v>
      </c>
      <c r="BE6" s="218" t="s">
        <v>7041</v>
      </c>
      <c r="BF6" s="218" t="s">
        <v>7042</v>
      </c>
      <c r="BG6" s="218" t="s">
        <v>6794</v>
      </c>
      <c r="BH6" s="218" t="s">
        <v>7043</v>
      </c>
      <c r="BI6" s="218" t="s">
        <v>7004</v>
      </c>
      <c r="BJ6" s="231" t="s">
        <v>7089</v>
      </c>
      <c r="BK6" s="231" t="s">
        <v>7091</v>
      </c>
      <c r="BL6" s="218" t="s">
        <v>7005</v>
      </c>
      <c r="BM6" s="218" t="s">
        <v>7044</v>
      </c>
      <c r="BN6" s="218" t="s">
        <v>7045</v>
      </c>
      <c r="BR6" s="290" t="s">
        <v>7110</v>
      </c>
    </row>
    <row r="7" spans="1:70" ht="18" customHeight="1" thickTop="1">
      <c r="A7" s="417">
        <v>1</v>
      </c>
      <c r="B7" s="401" t="s">
        <v>7050</v>
      </c>
      <c r="C7" s="403"/>
      <c r="D7" s="220" t="str">
        <f t="shared" ref="D7" si="2">IF(C7="","",501&amp;TEXT(C7,"000000"))</f>
        <v/>
      </c>
      <c r="E7" s="396" t="str">
        <f>IF(D7="","",(VLOOKUP(D7,男子登録!$A$2:$N$2001,3,0)))</f>
        <v/>
      </c>
      <c r="F7" s="396" t="str">
        <f>IF(D7="","",(VLOOKUP(D7,男子登録!$A$2:$N$2001,4,0)))</f>
        <v/>
      </c>
      <c r="G7" s="220" t="str">
        <f>IF(C7="","",(VLOOKUP(D7,男子登録!$A$2:$N$2001,8,0)))</f>
        <v/>
      </c>
      <c r="H7" s="220">
        <f>IFERROR(VLOOKUP(D7,男子登録!$A$2:$N$2001,11,0),基本情報!$E$5)</f>
        <v>0</v>
      </c>
      <c r="I7" s="220" t="s">
        <v>7059</v>
      </c>
      <c r="J7" s="148"/>
      <c r="K7" s="220" t="s">
        <v>7060</v>
      </c>
      <c r="L7" s="148"/>
      <c r="M7" s="252"/>
      <c r="N7" s="253"/>
      <c r="O7" s="254"/>
      <c r="P7" s="170"/>
      <c r="Q7" s="411"/>
      <c r="R7" s="414"/>
      <c r="S7" s="136">
        <f>IF(OR(E7="",Q7=""),0,E7)</f>
        <v>0</v>
      </c>
      <c r="T7" s="137">
        <f>IF(S7=0,0,COUNTIF($S$7:S7,"*"))</f>
        <v>0</v>
      </c>
      <c r="U7" s="137">
        <f>IF(S7=0,0,COUNTIF($S$7:S7,S7))</f>
        <v>0</v>
      </c>
      <c r="V7" s="137">
        <f>IF(OR(E7="",R7=""),0,E7&amp;MAX(COUNTIF($AG$7:$AG$406,E7&amp;"nans21v"))+1)</f>
        <v>0</v>
      </c>
      <c r="W7" s="137">
        <f>IF(V7=0,0,COUNTIF($V$7:V7,"*"))</f>
        <v>0</v>
      </c>
      <c r="X7" s="137">
        <f>IF(V7=0,0,COUNTIF($V$7:V7,V7))</f>
        <v>0</v>
      </c>
      <c r="Y7" s="218">
        <f>IF(OR(E7="",J7=""),0,J7&amp;E7)</f>
        <v>0</v>
      </c>
      <c r="Z7" s="218">
        <f>IF(Y7=0,0,COUNTIF($Y$7:Y7,Y7))</f>
        <v>0</v>
      </c>
      <c r="AA7" s="218" t="b">
        <f>IF(COUNTIF(J7:J10,"十種競技")&gt;0,TRUE,FALSE)</f>
        <v>0</v>
      </c>
      <c r="AB7" s="218">
        <f>IF(E7="",0,IF(AA7,COUNTIF($AA$7:AA7,TRUE),0))</f>
        <v>0</v>
      </c>
      <c r="AC7" s="218">
        <f>IFERROR(VLOOKUP("十種競技",J7:L10,3,0),0)</f>
        <v>0</v>
      </c>
      <c r="AD7" s="218">
        <f>IFERROR(VLOOKUP(J7,競技会設定!$P$2:$S$22,2,0),0)</f>
        <v>0</v>
      </c>
      <c r="AE7" s="218">
        <f>IF(E7="",0,IF(AD7=0,0,IF(AD7&lt;3,E7&amp;$AE$6,0)))</f>
        <v>0</v>
      </c>
      <c r="AF7" s="218">
        <f>IF(AE7=0,0,E7&amp;COUNTIF($AE$7:AE7,AE7))</f>
        <v>0</v>
      </c>
      <c r="AG7" s="218">
        <f>IF(E7="",0,IF(AD7=0,0,IF(AD7&gt;=3,E7&amp;$AG$6,0)))</f>
        <v>0</v>
      </c>
      <c r="AH7" s="218">
        <f>IF(AG7=0,0,E7&amp;COUNTIF($AG$7:AG7,AG7))</f>
        <v>0</v>
      </c>
      <c r="AI7" s="218">
        <f>IF(COUNTIF(Y7,"*十種*")&gt;0,0,IF($AD7=AI$6,$E7,0))</f>
        <v>0</v>
      </c>
      <c r="AJ7" s="218" t="b">
        <f>IF(AI7=0,FALSE,IF(COUNTIF(AI$7:AI7,AI7)&gt;1,TRUE,FALSE))</f>
        <v>0</v>
      </c>
      <c r="AK7" s="218">
        <f>IF($AD7=AK$6,$E7,0)</f>
        <v>0</v>
      </c>
      <c r="AL7" s="218" t="b">
        <f>IF(AK7=0,FALSE,IF(COUNTIF(AK$7:AK7,AK7)&gt;1,TRUE,FALSE))</f>
        <v>0</v>
      </c>
      <c r="AM7" s="218">
        <f>IF($AD7=AM$6,$E7,0)</f>
        <v>0</v>
      </c>
      <c r="AN7" s="218" t="b">
        <f>IF(AM7=0,FALSE,IF(COUNTIF(AM$7:AM7,AM7)&gt;1,TRUE,FALSE))</f>
        <v>0</v>
      </c>
      <c r="AO7" s="218">
        <f>IF($AD7=AO$6,$E7,0)</f>
        <v>0</v>
      </c>
      <c r="AP7" s="218" t="b">
        <f>IF(AO7=0,FALSE,IF(COUNTIF(AO$7:AO7,AO7)&gt;1,TRUE,FALSE))</f>
        <v>0</v>
      </c>
      <c r="AQ7" s="218">
        <f>IF(COUNTIF(Y7,"*十種競技*")&gt;0,E7,0)</f>
        <v>0</v>
      </c>
      <c r="AR7" s="218" t="b">
        <f>IF(AQ7=0,FALSE,IF(OR(COUNTIF($AI$7:$AI$406,AQ7)+COUNTIF($AQ7:$AQ$406,AQ7)&gt;1,COUNTIF($AK$7:$AK$406,AQ7)+COUNTIF($AQ$7:$AQ$406,AQ7)&gt;1),TRUE,FALSE))</f>
        <v>0</v>
      </c>
      <c r="AS7" s="218" t="b">
        <f>IF(AND(C7="",E7&lt;&gt;"",F7&lt;&gt;"",E9&lt;&gt;"",G7&lt;&gt;"",G8&lt;&gt;"",G9&lt;&gt;""),TRUE,FALSE)</f>
        <v>0</v>
      </c>
      <c r="AT7" s="218" t="b">
        <f>IF(AND(J7="",OR(L7&lt;&gt;"",M7&lt;&gt;"",P7&lt;&gt;"")),TRUE,FALSE)</f>
        <v>0</v>
      </c>
      <c r="AU7" s="218" t="b">
        <f>IFERROR(IF(D7&amp;E7&amp;F7&amp;E9&amp;G7&amp;G8&amp;G9&amp;J7&amp;J8&amp;J9&amp;J10&amp;L7&amp;L8&amp;L9&amp;L10&amp;M7&amp;M8&amp;M9&amp;M10&amp;N7&amp;N8&amp;N9&amp;N10&amp;O7&amp;O8&amp;O9&amp;O10&amp;P7&amp;P8&amp;P9&amp;P10&amp;Q7&amp;R7="",FALSE,TRUE),FALSE)</f>
        <v>0</v>
      </c>
      <c r="AV7" s="218" t="b">
        <f>IF(AS7,FALSE,IF(C7="",AU7,FALSE))</f>
        <v>0</v>
      </c>
      <c r="AW7" s="218" t="b">
        <f>IF(C7="",FALSE,IF(C7&gt;2000,TRUE,FALSE))</f>
        <v>0</v>
      </c>
      <c r="AX7" s="218" t="b">
        <f>IF(H7=0,FALSE,IF(EXACT(基本情報!$E$5,H7)=TRUE,FALSE,TRUE))</f>
        <v>0</v>
      </c>
      <c r="AY7" s="218" t="b">
        <f>IF(C7="",FALSE,IF(ISNA(E7)=TRUE,TRUE,FALSE))</f>
        <v>0</v>
      </c>
      <c r="AZ7" s="274" t="b">
        <f>IFERROR(IF(E7="",FALSE,IF(COUNTIF($E$7:E7,E7)&gt;1,TRUE,FALSE)),FALSE)</f>
        <v>0</v>
      </c>
      <c r="BA7" s="218" t="b">
        <f>IF(OR(J7&amp;J8&amp;J9&amp;J10&amp;Q7&amp;R7="",AT7,AT8,AT9,AT10),AU7,FALSE)</f>
        <v>0</v>
      </c>
      <c r="BB7" s="218" t="b">
        <f>IF(U7&gt;1,TRUE,FALSE)</f>
        <v>0</v>
      </c>
      <c r="BC7" s="218" t="b">
        <f>IF(X7&gt;1,TRUE,FALSE)</f>
        <v>0</v>
      </c>
      <c r="BD7" s="218" t="b">
        <f t="shared" ref="BD7:BD70" si="3">IF(Z7&gt;1,TRUE,FALSE)</f>
        <v>0</v>
      </c>
      <c r="BE7" s="218" t="b">
        <f>IF(COUNTIF(AJ7:AJ406,TRUE)+COUNTIF(AL7:AL406,TRUE)+COUNTIF(AN7:AN406,TRUE)+COUNTIF(AP7:AP406,TRUE)+COUNTIF(AR7:AR406,TRUE)&gt;0,TRUE,FALSE)</f>
        <v>0</v>
      </c>
      <c r="BF7" s="218" t="b">
        <f>IF(J7="",FALSE,IF(OR(AND(AU7,L7=""),AND(AU7,L7="",OR(M7&lt;&gt;"",N7&lt;&gt;"",O7&lt;&gt;"",P7&lt;&gt;""))),TRUE,FALSE))</f>
        <v>0</v>
      </c>
      <c r="BG7" s="218" t="b">
        <f>IF(J7="",FALSE,IF(ISNUMBER(L7)&lt;&gt;TRUE,TRUE,IFERROR(IF(MOD(L7,1)=0,FALSE,TRUE),FALSE)))</f>
        <v>0</v>
      </c>
      <c r="BH7" s="218" t="b">
        <f>IF(COUNTIF(J7,"*m*")=0,FALSE,IF(VALUE(RIGHT(INT(L7/100),2))&gt;59,TRUE,IF(VALUE(RIGHT(INT(L7/10000),2))&gt;59,TRUE,FALSE)))</f>
        <v>0</v>
      </c>
      <c r="BI7" s="218" t="b">
        <f>IF(J7="",FALSE,IF(L7=0,FALSE,IF(AND(AU7,NOT(BF7),OR(M7="",N7="",O7="")),TRUE,FALSE)))</f>
        <v>0</v>
      </c>
      <c r="BJ7" s="240" t="b">
        <f>IF(OR(M7="",N7="",O7=""),FALSE,DATE(M7,N7,O7))</f>
        <v>0</v>
      </c>
      <c r="BK7" s="231" t="b">
        <f>IF(NOT(BJ7),FALSE,IF(AND(競技会設定!$C$5&lt;=BJ7,BJ7&lt;=競技会設定!$C$6),FALSE,TRUE))</f>
        <v>0</v>
      </c>
      <c r="BL7" s="218" t="b">
        <f>IF(J7="",FALSE,IF(L7=0,FALSE,IF(AND(AU7,NOT(BF7),NOT(BI7),P7=""),TRUE,FALSE)))</f>
        <v>0</v>
      </c>
      <c r="BM7" s="218" t="b">
        <f>IFERROR(IF(MAX($T$7:$T$406)=0,FALSE,IF((OR(MAX($T$7:$T$406)&gt;6,4&gt;MAX($T$7:$T$406))),TRUE,FALSE)),FALSE)</f>
        <v>0</v>
      </c>
      <c r="BN7" s="218" t="b">
        <f>IFERROR(IF(MAX($W$7:$W$406)=0,FALSE,IF((OR(MAX($W$7:$W$406)&gt;6,4&gt;MAX($W$7:$W$406))),TRUE,FALSE)),FALSE)</f>
        <v>0</v>
      </c>
      <c r="BO7" s="218">
        <f>IF(AND(AU7,SUM(COUNTIF(AV7:BC7,TRUE),COUNTIF(BF7:BL10,TRUE),COUNTIF(BD7:BD10,TRUE))=0,NOT($BE$7)),1,0)</f>
        <v>0</v>
      </c>
    </row>
    <row r="8" spans="1:70" ht="18" customHeight="1">
      <c r="A8" s="418"/>
      <c r="B8" s="402"/>
      <c r="C8" s="404"/>
      <c r="D8" s="221"/>
      <c r="E8" s="397"/>
      <c r="F8" s="397"/>
      <c r="G8" s="221" t="str">
        <f>IF(C7="","",(VLOOKUP(D7,男子登録!$A$2:$N$2001,13,0)))</f>
        <v/>
      </c>
      <c r="H8" s="221"/>
      <c r="I8" s="221" t="s">
        <v>7061</v>
      </c>
      <c r="J8" s="149"/>
      <c r="K8" s="221" t="s">
        <v>7062</v>
      </c>
      <c r="L8" s="149"/>
      <c r="M8" s="255"/>
      <c r="N8" s="256"/>
      <c r="O8" s="257"/>
      <c r="P8" s="171"/>
      <c r="Q8" s="412"/>
      <c r="R8" s="415"/>
      <c r="S8" s="136"/>
      <c r="T8" s="137"/>
      <c r="U8" s="137"/>
      <c r="V8" s="137"/>
      <c r="W8" s="137"/>
      <c r="X8" s="137"/>
      <c r="Y8" s="218">
        <f>IF(OR(E7="",J8=""),0,J8&amp;E7)</f>
        <v>0</v>
      </c>
      <c r="Z8" s="218">
        <f>IF(Y8=0,0,COUNTIF($Y$7:Y8,Y8))</f>
        <v>0</v>
      </c>
      <c r="AD8" s="218">
        <f>IFERROR(VLOOKUP(J8,競技会設定!$P$2:$S$22,2,0),0)</f>
        <v>0</v>
      </c>
      <c r="AE8" s="218">
        <f>IF(E7="",0,IF(AD8=0,0,IF(AD8&lt;3,E7&amp;$AE$6,0)))</f>
        <v>0</v>
      </c>
      <c r="AF8" s="218">
        <f>IF(AE8=0,0,E7&amp;COUNTIF($AE$7:AE8,AE8))</f>
        <v>0</v>
      </c>
      <c r="AG8" s="218">
        <f>IF(E7="",0,IF(AD8=0,0,IF(AD8&gt;=3,E7&amp;$AG$6,0)))</f>
        <v>0</v>
      </c>
      <c r="AH8" s="218">
        <f>IF(AG8=0,0,E7&amp;COUNTIF($AG$7:AG8,AG8))</f>
        <v>0</v>
      </c>
      <c r="AI8" s="218">
        <f>IF(COUNTIF(Y8,"*十種*")&gt;0,0,IF($AD8=AI$6,$E7,0))</f>
        <v>0</v>
      </c>
      <c r="AJ8" s="218" t="b">
        <f>IF(AI8=0,FALSE,IF(COUNTIF(AI$7:AI8,AI8)&gt;1,TRUE,FALSE))</f>
        <v>0</v>
      </c>
      <c r="AK8" s="218">
        <f>IF($AD8=AK$6,$E7,0)</f>
        <v>0</v>
      </c>
      <c r="AL8" s="218" t="b">
        <f>IF(AK8=0,FALSE,IF(COUNTIF(AK$7:AK8,AK8)&gt;1,TRUE,FALSE))</f>
        <v>0</v>
      </c>
      <c r="AM8" s="218">
        <f>IF($AD8=AM$6,$E7,0)</f>
        <v>0</v>
      </c>
      <c r="AN8" s="218" t="b">
        <f>IF(AM8=0,FALSE,IF(COUNTIF(AM$7:AM8,AM8)&gt;1,TRUE,FALSE))</f>
        <v>0</v>
      </c>
      <c r="AO8" s="218">
        <f>IF($AD8=AO$6,$E7,0)</f>
        <v>0</v>
      </c>
      <c r="AP8" s="218" t="b">
        <f>IF(AO8=0,FALSE,IF(COUNTIF(AO$7:AO8,AO8)&gt;1,TRUE,FALSE))</f>
        <v>0</v>
      </c>
      <c r="AQ8" s="218">
        <f>IF(COUNTIF(Y8,"*十種競技*")&gt;0,E7,0)</f>
        <v>0</v>
      </c>
      <c r="AR8" s="218" t="b">
        <f>IF(AQ8=0,FALSE,IF(OR(COUNTIF($AI$7:$AI$406,AQ8)+COUNTIF($AQ8:$AQ$406,AQ8)&gt;1,COUNTIF($AK$7:$AK$406,AQ8)+COUNTIF($AQ$7:$AQ$406,AQ8)&gt;1),TRUE,FALSE))</f>
        <v>0</v>
      </c>
      <c r="AT8" s="218" t="b">
        <f>IF(AND(J8="",OR(L8&lt;&gt;"",M8&lt;&gt;"",P8&lt;&gt;"")),TRUE,FALSE)</f>
        <v>0</v>
      </c>
      <c r="BD8" s="218" t="b">
        <f t="shared" si="3"/>
        <v>0</v>
      </c>
      <c r="BF8" s="231" t="b">
        <f>IF(J8="",FALSE,IF(OR(AND(AU7,L8=""),AND(AU7,L8="",OR(M8&lt;&gt;"",N8&lt;&gt;"",O8&lt;&gt;"",P8&lt;&gt;""))),TRUE,FALSE))</f>
        <v>0</v>
      </c>
      <c r="BG8" s="218" t="b">
        <f t="shared" ref="BG8:BG70" si="4">IF(J8="",FALSE,IF(ISNUMBER(L8)&lt;&gt;TRUE,TRUE,IFERROR(IF(MOD(L8,1)=0,FALSE,TRUE),FALSE)))</f>
        <v>0</v>
      </c>
      <c r="BH8" s="218" t="b">
        <f>IF(COUNTIF(J8,"*m*")=0,FALSE,IF(VALUE(RIGHT(INT(L8/100),2))&gt;59,TRUE,IF(VALUE(RIGHT(INT(L8/10000),2))&gt;59,TRUE,FALSE)))</f>
        <v>0</v>
      </c>
      <c r="BI8" s="231" t="b">
        <f>IF(J8="",FALSE,IF(L8=0,FALSE,IF(AND(AU7,NOT(BF8),OR(M8="",N8="",O8="")),TRUE,FALSE)))</f>
        <v>0</v>
      </c>
      <c r="BJ8" s="240" t="b">
        <f t="shared" ref="BJ8:BJ71" si="5">IF(OR(M8="",N8="",O8=""),FALSE,DATE(M8,N8,O8))</f>
        <v>0</v>
      </c>
      <c r="BK8" s="231" t="b">
        <f>IF(NOT(BJ8),FALSE,IF(AND(競技会設定!$C$5&lt;=BJ8,BJ8&lt;=競技会設定!$C$6),FALSE,TRUE))</f>
        <v>0</v>
      </c>
      <c r="BL8" s="218" t="b">
        <f>IF(J8="",FALSE,IF(L8=0,FALSE,IF(AND(AU7,NOT(BF8),NOT(BI8),P8=""),TRUE,FALSE)))</f>
        <v>0</v>
      </c>
    </row>
    <row r="9" spans="1:70" ht="18" customHeight="1">
      <c r="A9" s="418"/>
      <c r="B9" s="402"/>
      <c r="C9" s="404"/>
      <c r="D9" s="221"/>
      <c r="E9" s="394" t="str">
        <f>IF(C7="","",VLOOKUP(D7,男子登録!$A$2:$O$2001,14,0)&amp;" ("&amp;VLOOKUP(D7,男子登録!$A$2:$O$2001,15,0)&amp;")")</f>
        <v/>
      </c>
      <c r="F9" s="394"/>
      <c r="G9" s="222" t="str">
        <f>IF(C7="","",(VLOOKUP(D7,男子登録!$A$2:$N$2001,9,0)))</f>
        <v/>
      </c>
      <c r="H9" s="222"/>
      <c r="I9" s="222" t="s">
        <v>7063</v>
      </c>
      <c r="J9" s="150"/>
      <c r="K9" s="222" t="s">
        <v>7064</v>
      </c>
      <c r="L9" s="150"/>
      <c r="M9" s="255"/>
      <c r="N9" s="256"/>
      <c r="O9" s="257"/>
      <c r="P9" s="171"/>
      <c r="Q9" s="412"/>
      <c r="R9" s="415"/>
      <c r="S9" s="136"/>
      <c r="T9" s="137"/>
      <c r="U9" s="137"/>
      <c r="V9" s="137"/>
      <c r="W9" s="137"/>
      <c r="X9" s="137"/>
      <c r="Y9" s="218">
        <f>IF(OR(E7="",J9=""),0,J9&amp;E7)</f>
        <v>0</v>
      </c>
      <c r="Z9" s="218">
        <f>IF(Y9=0,0,COUNTIF($Y$7:Y9,Y9))</f>
        <v>0</v>
      </c>
      <c r="AD9" s="218">
        <f>IFERROR(VLOOKUP(J9,競技会設定!$P$2:$S$22,2,0),0)</f>
        <v>0</v>
      </c>
      <c r="AE9" s="218">
        <f>IF(E7="",0,IF(AD9=0,0,IF(AD9&lt;3,E7&amp;$AE$6,0)))</f>
        <v>0</v>
      </c>
      <c r="AF9" s="218">
        <f>IF(AE9=0,0,E7&amp;COUNTIF($AE$7:AE9,AE9))</f>
        <v>0</v>
      </c>
      <c r="AG9" s="218">
        <f>IF(E7="",0,IF(AD9=0,0,IF(AD9&gt;=3,E7&amp;$AG$6,0)))</f>
        <v>0</v>
      </c>
      <c r="AH9" s="218">
        <f>IF(AG9=0,0,E7&amp;COUNTIF($AG$7:AG9,AG9))</f>
        <v>0</v>
      </c>
      <c r="AI9" s="218">
        <f>IF(COUNTIF(Y9,"*十種*")&gt;0,0,IF($AD9=AI$6,$E7,0))</f>
        <v>0</v>
      </c>
      <c r="AJ9" s="218" t="b">
        <f>IF(AI9=0,FALSE,IF(COUNTIF(AI$7:AI9,AI9)&gt;1,TRUE,FALSE))</f>
        <v>0</v>
      </c>
      <c r="AK9" s="218">
        <f>IF($AD9=AK$6,$E7,0)</f>
        <v>0</v>
      </c>
      <c r="AL9" s="218" t="b">
        <f>IF(AK9=0,FALSE,IF(COUNTIF(AK$7:AK9,AK9)&gt;1,TRUE,FALSE))</f>
        <v>0</v>
      </c>
      <c r="AM9" s="218">
        <f>IF($AD9=AM$6,$E7,0)</f>
        <v>0</v>
      </c>
      <c r="AN9" s="218" t="b">
        <f>IF(AM9=0,FALSE,IF(COUNTIF(AM$7:AM9,AM9)&gt;1,TRUE,FALSE))</f>
        <v>0</v>
      </c>
      <c r="AO9" s="218">
        <f>IF($AD9=AO$6,$E7,0)</f>
        <v>0</v>
      </c>
      <c r="AP9" s="218" t="b">
        <f>IF(AO9=0,FALSE,IF(COUNTIF(AO$7:AO9,AO9)&gt;1,TRUE,FALSE))</f>
        <v>0</v>
      </c>
      <c r="AQ9" s="218">
        <f>IF(COUNTIF(Y9,"*十種競技*")&gt;0,E7,0)</f>
        <v>0</v>
      </c>
      <c r="AR9" s="218" t="b">
        <f>IF(AQ9=0,FALSE,IF(OR(COUNTIF($AI$7:$AI$406,AQ9)+COUNTIF($AQ9:$AQ$406,AQ9)&gt;1,COUNTIF($AK$7:$AK$406,AQ9)+COUNTIF($AQ$7:$AQ$406,AQ9)&gt;1),TRUE,FALSE))</f>
        <v>0</v>
      </c>
      <c r="AT9" s="218" t="b">
        <f t="shared" ref="AT9:AT71" si="6">IF(AND(J9="",OR(L9&lt;&gt;"",M9&lt;&gt;"",P9&lt;&gt;"")),TRUE,FALSE)</f>
        <v>0</v>
      </c>
      <c r="BD9" s="218" t="b">
        <f t="shared" si="3"/>
        <v>0</v>
      </c>
      <c r="BF9" s="231" t="b">
        <f>IF(J9="",FALSE,IF(OR(AND(AU7,L9=""),AND(AU7,L9="",OR(M9&lt;&gt;"",N9&lt;&gt;"",O9&lt;&gt;"",P9&lt;&gt;""))),TRUE,FALSE))</f>
        <v>0</v>
      </c>
      <c r="BG9" s="218" t="b">
        <f t="shared" si="4"/>
        <v>0</v>
      </c>
      <c r="BH9" s="218" t="b">
        <f>IF(COUNTIF(J9,"*m*")=0,FALSE,IF(VALUE(RIGHT(INT(L9/100),2))&gt;59,TRUE,IF(VALUE(RIGHT(INT(L9/10000),2))&gt;59,TRUE,FALSE)))</f>
        <v>0</v>
      </c>
      <c r="BI9" s="231" t="b">
        <f>IF(J9="",FALSE,IF(L9=0,FALSE,IF(AND(AU7,NOT(BF9),OR(M9="",N9="",O9="")),TRUE,FALSE)))</f>
        <v>0</v>
      </c>
      <c r="BJ9" s="240" t="b">
        <f t="shared" si="5"/>
        <v>0</v>
      </c>
      <c r="BK9" s="231" t="b">
        <f>IF(NOT(BJ9),FALSE,IF(AND(競技会設定!$C$5&lt;=BJ9,BJ9&lt;=競技会設定!$C$6),FALSE,TRUE))</f>
        <v>0</v>
      </c>
      <c r="BL9" s="218" t="b">
        <f>IF(J9="",FALSE,IF(L9=0,FALSE,IF(AND(AU7,NOT(BF9),NOT(BI9),P9=""),TRUE,FALSE)))</f>
        <v>0</v>
      </c>
    </row>
    <row r="10" spans="1:70" ht="18" customHeight="1" thickBot="1">
      <c r="A10" s="419"/>
      <c r="B10" s="395" t="s">
        <v>7051</v>
      </c>
      <c r="C10" s="395"/>
      <c r="D10" s="221"/>
      <c r="E10" s="372"/>
      <c r="F10" s="372"/>
      <c r="G10" s="372"/>
      <c r="H10" s="214"/>
      <c r="I10" s="214" t="s">
        <v>7065</v>
      </c>
      <c r="J10" s="219"/>
      <c r="K10" s="214" t="s">
        <v>7066</v>
      </c>
      <c r="L10" s="219"/>
      <c r="M10" s="258"/>
      <c r="N10" s="259"/>
      <c r="O10" s="260"/>
      <c r="P10" s="307"/>
      <c r="Q10" s="413"/>
      <c r="R10" s="416"/>
      <c r="S10" s="136"/>
      <c r="T10" s="137"/>
      <c r="U10" s="137"/>
      <c r="V10" s="137"/>
      <c r="W10" s="137"/>
      <c r="X10" s="137"/>
      <c r="Y10" s="218">
        <f>IF(OR(E7="",J10=""),0,J10&amp;E7)</f>
        <v>0</v>
      </c>
      <c r="Z10" s="218">
        <f>IF(Y10=0,0,COUNTIF($Y$7:Y10,Y10))</f>
        <v>0</v>
      </c>
      <c r="AD10" s="218">
        <f>IFERROR(VLOOKUP(J10,競技会設定!$P$2:$S$22,2,0),0)</f>
        <v>0</v>
      </c>
      <c r="AE10" s="218">
        <f>IF(E7="",0,IF(AD10=0,0,IF(AD10&lt;3,E7&amp;$AE$6,0)))</f>
        <v>0</v>
      </c>
      <c r="AF10" s="218">
        <f>IF(AE10=0,0,E7&amp;COUNTIF($AE$7:AE10,AE10))</f>
        <v>0</v>
      </c>
      <c r="AG10" s="218">
        <f>IF(E7="",0,IF(AD10=0,0,IF(AD10&gt;=3,E7&amp;$AG$6,0)))</f>
        <v>0</v>
      </c>
      <c r="AH10" s="218">
        <f>IF(AG10=0,0,E7&amp;COUNTIF($AG$7:AG10,AG10))</f>
        <v>0</v>
      </c>
      <c r="AI10" s="218">
        <f>IF(COUNTIF(Y10,"*十種*")&gt;0,0,IF($AD10=AI$6,$E7,0))</f>
        <v>0</v>
      </c>
      <c r="AJ10" s="218" t="b">
        <f>IF(AI10=0,FALSE,IF(COUNTIF(AI$7:AI10,AI10)&gt;1,TRUE,FALSE))</f>
        <v>0</v>
      </c>
      <c r="AK10" s="218">
        <f>IF($AD10=AK$6,$E7,0)</f>
        <v>0</v>
      </c>
      <c r="AL10" s="218" t="b">
        <f>IF(AK10=0,FALSE,IF(COUNTIF(AK$7:AK10,AK10)&gt;1,TRUE,FALSE))</f>
        <v>0</v>
      </c>
      <c r="AM10" s="218">
        <f>IF($AD10=AM$6,$E7,0)</f>
        <v>0</v>
      </c>
      <c r="AN10" s="218" t="b">
        <f>IF(AM10=0,FALSE,IF(COUNTIF(AM$7:AM10,AM10)&gt;1,TRUE,FALSE))</f>
        <v>0</v>
      </c>
      <c r="AO10" s="218">
        <f>IF($AD10=AO$6,$E7,0)</f>
        <v>0</v>
      </c>
      <c r="AP10" s="218" t="b">
        <f>IF(AO10=0,FALSE,IF(COUNTIF(AO$7:AO10,AO10)&gt;1,TRUE,FALSE))</f>
        <v>0</v>
      </c>
      <c r="AQ10" s="218">
        <f>IF(COUNTIF(Y10,"*十種競技*")&gt;0,E7,0)</f>
        <v>0</v>
      </c>
      <c r="AR10" s="218" t="b">
        <f>IF(AQ10=0,FALSE,IF(OR(COUNTIF($AI$7:$AI$406,AQ10)+COUNTIF($AQ10:$AQ$406,AQ10)&gt;1,COUNTIF($AK$7:$AK$406,AQ10)+COUNTIF($AQ$7:$AQ$406,AQ10)&gt;1),TRUE,FALSE))</f>
        <v>0</v>
      </c>
      <c r="AT10" s="218" t="b">
        <f t="shared" si="6"/>
        <v>0</v>
      </c>
      <c r="BD10" s="218" t="b">
        <f t="shared" si="3"/>
        <v>0</v>
      </c>
      <c r="BF10" s="231" t="b">
        <f>IF(J10="",FALSE,IF(OR(AND(AU7,L10=""),AND(AU7,L10="",OR(M10&lt;&gt;"",N10&lt;&gt;"",O10&lt;&gt;"",P10&lt;&gt;""))),TRUE,FALSE))</f>
        <v>0</v>
      </c>
      <c r="BG10" s="218" t="b">
        <f t="shared" si="4"/>
        <v>0</v>
      </c>
      <c r="BH10" s="218" t="b">
        <f>IF(COUNTIF(J10,"*m*")=0,FALSE,IF(VALUE(RIGHT(INT(L10/100),2))&gt;59,TRUE,IF(VALUE(RIGHT(INT(L10/10000),2))&gt;59,TRUE,FALSE)))</f>
        <v>0</v>
      </c>
      <c r="BI10" s="231" t="b">
        <f>IF(J10="",FALSE,IF(L10=0,FALSE,IF(AND(AU7,NOT(BF10),OR(M10="",N10="",O10="")),TRUE,FALSE)))</f>
        <v>0</v>
      </c>
      <c r="BJ10" s="240" t="b">
        <f t="shared" si="5"/>
        <v>0</v>
      </c>
      <c r="BK10" s="231" t="b">
        <f>IF(NOT(BJ10),FALSE,IF(AND(競技会設定!$C$5&lt;=BJ10,BJ10&lt;=競技会設定!$C$6),FALSE,TRUE))</f>
        <v>0</v>
      </c>
      <c r="BL10" s="218" t="b">
        <f>IF(J10="",FALSE,IF(L10=0,FALSE,IF(AND(AU7,NOT(BF10),NOT(BI10),P10=""),TRUE,FALSE)))</f>
        <v>0</v>
      </c>
    </row>
    <row r="11" spans="1:70" ht="18" customHeight="1" thickTop="1">
      <c r="A11" s="420">
        <v>2</v>
      </c>
      <c r="B11" s="373" t="s">
        <v>7050</v>
      </c>
      <c r="C11" s="375"/>
      <c r="D11" s="138" t="str">
        <f t="shared" ref="D11" si="7">IF(C11="","",501&amp;TEXT(C11,"000000"))</f>
        <v/>
      </c>
      <c r="E11" s="377" t="str">
        <f>IF(D11="","",(VLOOKUP(D11,男子登録!$A$2:$N$2001,3,0)))</f>
        <v/>
      </c>
      <c r="F11" s="377" t="str">
        <f>IF(D11="","",(VLOOKUP(D11,男子登録!$A$2:$N$2001,4,0)))</f>
        <v/>
      </c>
      <c r="G11" s="138" t="str">
        <f>IF(C11="","",(VLOOKUP(D11,男子登録!$A$2:$N$2001,8,0)))</f>
        <v/>
      </c>
      <c r="H11" s="138">
        <f>IFERROR(VLOOKUP(D11,男子登録!$A$2:$N$2001,11,0),基本情報!$E$5)</f>
        <v>0</v>
      </c>
      <c r="I11" s="138" t="s">
        <v>7059</v>
      </c>
      <c r="J11" s="151"/>
      <c r="K11" s="138" t="s">
        <v>7060</v>
      </c>
      <c r="L11" s="151"/>
      <c r="M11" s="261"/>
      <c r="N11" s="262"/>
      <c r="O11" s="263"/>
      <c r="P11" s="174"/>
      <c r="Q11" s="405"/>
      <c r="R11" s="408"/>
      <c r="S11" s="136">
        <f t="shared" ref="S11" si="8">IF(OR(E11="",Q11=""),0,E11)</f>
        <v>0</v>
      </c>
      <c r="T11" s="137">
        <f>IF(S11=0,0,COUNTIF($S$7:S11,"*"))</f>
        <v>0</v>
      </c>
      <c r="U11" s="137">
        <f>IF(S11=0,0,COUNTIF($S$7:S11,S11))</f>
        <v>0</v>
      </c>
      <c r="V11" s="137">
        <f t="shared" ref="V11:V23" si="9">IF(OR(E11="",R11=""),0,E11&amp;MAX(COUNTIF($AG$7:$AG$406,E11&amp;"nans21v"))+1)</f>
        <v>0</v>
      </c>
      <c r="W11" s="137">
        <f>IF(V11=0,0,COUNTIF($V$7:V11,"*"))</f>
        <v>0</v>
      </c>
      <c r="X11" s="137">
        <f>IF(V11=0,0,COUNTIF($V$7:V11,V11))</f>
        <v>0</v>
      </c>
      <c r="Y11" s="218">
        <f t="shared" ref="Y11" si="10">IF(OR(E11="",J11=""),0,J11&amp;E11)</f>
        <v>0</v>
      </c>
      <c r="Z11" s="218">
        <f>IF(Y11=0,0,COUNTIF($Y$7:Y11,Y11))</f>
        <v>0</v>
      </c>
      <c r="AA11" s="218" t="b">
        <f t="shared" ref="AA11" si="11">IF(COUNTIF(J11:J14,"十種競技")&gt;0,TRUE,FALSE)</f>
        <v>0</v>
      </c>
      <c r="AB11" s="218">
        <f>IF(E11="",0,IF(AA11,COUNTIF($AA$7:AA11,TRUE),0))</f>
        <v>0</v>
      </c>
      <c r="AC11" s="218">
        <f>IFERROR(VLOOKUP("十種競技",J11:L14,3,0),0)</f>
        <v>0</v>
      </c>
      <c r="AD11" s="218">
        <f>IFERROR(VLOOKUP(J11,競技会設定!$P$2:$S$22,2,0),0)</f>
        <v>0</v>
      </c>
      <c r="AE11" s="218">
        <f t="shared" ref="AE11" si="12">IF(E11="",0,IF(AD11=0,0,IF(AD11&lt;3,E11&amp;$AE$6,0)))</f>
        <v>0</v>
      </c>
      <c r="AF11" s="218">
        <f>IF(AE11=0,0,E11&amp;COUNTIF($AE$7:AE11,AE11))</f>
        <v>0</v>
      </c>
      <c r="AG11" s="218">
        <f t="shared" ref="AG11" si="13">IF(E11="",0,IF(AD11=0,0,IF(AD11&gt;=3,E11&amp;$AG$6,0)))</f>
        <v>0</v>
      </c>
      <c r="AH11" s="218">
        <f>IF(AG11=0,0,E11&amp;COUNTIF($AG$7:AG11,AG11))</f>
        <v>0</v>
      </c>
      <c r="AI11" s="218">
        <f t="shared" ref="AI11" si="14">IF(COUNTIF(Y11,"*十種*")&gt;0,0,IF($AD11=AI$6,$E11,0))</f>
        <v>0</v>
      </c>
      <c r="AJ11" s="218" t="b">
        <f>IF(AI11=0,FALSE,IF(COUNTIF(AI$7:AI11,AI11)&gt;1,TRUE,FALSE))</f>
        <v>0</v>
      </c>
      <c r="AK11" s="218">
        <f t="shared" ref="AK11" si="15">IF($AD11=AK$6,$E11,0)</f>
        <v>0</v>
      </c>
      <c r="AL11" s="218" t="b">
        <f>IF(AK11=0,FALSE,IF(COUNTIF(AK$7:AK11,AK11)&gt;1,TRUE,FALSE))</f>
        <v>0</v>
      </c>
      <c r="AM11" s="218">
        <f t="shared" ref="AM11" si="16">IF($AD11=AM$6,$E11,0)</f>
        <v>0</v>
      </c>
      <c r="AN11" s="218" t="b">
        <f>IF(AM11=0,FALSE,IF(COUNTIF(AM$7:AM11,AM11)&gt;1,TRUE,FALSE))</f>
        <v>0</v>
      </c>
      <c r="AO11" s="218">
        <f t="shared" ref="AO11" si="17">IF($AD11=AO$6,$E11,0)</f>
        <v>0</v>
      </c>
      <c r="AP11" s="218" t="b">
        <f>IF(AO11=0,FALSE,IF(COUNTIF(AO$7:AO11,AO11)&gt;1,TRUE,FALSE))</f>
        <v>0</v>
      </c>
      <c r="AQ11" s="218">
        <f t="shared" ref="AQ11" si="18">IF(COUNTIF(Y11,"*十種競技*")&gt;0,E11,0)</f>
        <v>0</v>
      </c>
      <c r="AR11" s="218" t="b">
        <f>IF(AQ11=0,FALSE,IF(OR(COUNTIF($AI$7:$AI$406,AQ11)+COUNTIF($AQ11:$AQ$406,AQ11)&gt;1,COUNTIF($AK$7:$AK$406,AQ11)+COUNTIF($AQ$7:$AQ$406,AQ11)&gt;1),TRUE,FALSE))</f>
        <v>0</v>
      </c>
      <c r="AS11" s="218" t="b">
        <f t="shared" ref="AS11" si="19">IF(AND(C11="",E11&lt;&gt;"",F11&lt;&gt;"",E13&lt;&gt;"",G11&lt;&gt;"",G12&lt;&gt;"",G13&lt;&gt;""),TRUE,FALSE)</f>
        <v>0</v>
      </c>
      <c r="AT11" s="218" t="b">
        <f t="shared" si="6"/>
        <v>0</v>
      </c>
      <c r="AU11" s="274" t="b">
        <f t="shared" ref="AU11" si="20">IFERROR(IF(D11&amp;E11&amp;F11&amp;E13&amp;G11&amp;G12&amp;G13&amp;J11&amp;J12&amp;J13&amp;J14&amp;L11&amp;L12&amp;L13&amp;L14&amp;M11&amp;M12&amp;M13&amp;M14&amp;N11&amp;N12&amp;N13&amp;N14&amp;O11&amp;O12&amp;O13&amp;O14&amp;P11&amp;P12&amp;P13&amp;P14&amp;Q11&amp;R11="",FALSE,TRUE),FALSE)</f>
        <v>0</v>
      </c>
      <c r="AV11" s="218" t="b">
        <f t="shared" ref="AV11" si="21">IF(AS11,FALSE,IF(C11="",AU11,FALSE))</f>
        <v>0</v>
      </c>
      <c r="AW11" s="218" t="b">
        <f>IF(C11="",FALSE,IF(C11&gt;2000,TRUE,FALSE))</f>
        <v>0</v>
      </c>
      <c r="AX11" s="274" t="b">
        <f>IF(H11=0,FALSE,IF(EXACT(基本情報!$E$5,H11)=TRUE,FALSE,TRUE))</f>
        <v>0</v>
      </c>
      <c r="AY11" s="218" t="b">
        <f>IF(C11="",FALSE,IF(ISNA(E11)=TRUE,TRUE,FALSE))</f>
        <v>0</v>
      </c>
      <c r="AZ11" s="274" t="b">
        <f>IFERROR(IF(E11="",FALSE,IF(COUNTIF($E$7:E11,E11)&gt;1,TRUE,FALSE)),FALSE)</f>
        <v>0</v>
      </c>
      <c r="BA11" s="218" t="b">
        <f t="shared" ref="BA11" si="22">IF(OR(J11&amp;J12&amp;J13&amp;J14&amp;Q11&amp;R11="",AT11,AT12,AT13,AT14),AU11,FALSE)</f>
        <v>0</v>
      </c>
      <c r="BB11" s="218" t="b">
        <f>IF(U11&gt;1,TRUE,FALSE)</f>
        <v>0</v>
      </c>
      <c r="BC11" s="218" t="b">
        <f>IF(X11&gt;1,TRUE,FALSE)</f>
        <v>0</v>
      </c>
      <c r="BD11" s="218" t="b">
        <f t="shared" si="3"/>
        <v>0</v>
      </c>
      <c r="BF11" s="231" t="b">
        <f t="shared" ref="BF11" si="23">IF(J11="",FALSE,IF(OR(AND(AU11,L11=""),AND(AU11,L11="",OR(M11&lt;&gt;"",N11&lt;&gt;"",O11&lt;&gt;"",P11&lt;&gt;""))),TRUE,FALSE))</f>
        <v>0</v>
      </c>
      <c r="BG11" s="218" t="b">
        <f t="shared" si="4"/>
        <v>0</v>
      </c>
      <c r="BH11" s="218" t="b">
        <f t="shared" ref="BH11:BH71" si="24">IF(COUNTIF(J11,"*m*")=0,FALSE,IF(VALUE(RIGHT(INT(L11/100),2))&gt;59,TRUE,IF(VALUE(RIGHT(INT(L11/10000),2))&gt;59,TRUE,FALSE)))</f>
        <v>0</v>
      </c>
      <c r="BI11" s="231" t="b">
        <f t="shared" ref="BI11" si="25">IF(J11="",FALSE,IF(L11=0,FALSE,IF(AND(AU11,NOT(BF11),OR(M11="",N11="",O11="")),TRUE,FALSE)))</f>
        <v>0</v>
      </c>
      <c r="BJ11" s="240" t="b">
        <f t="shared" si="5"/>
        <v>0</v>
      </c>
      <c r="BK11" s="231" t="b">
        <f>IF(NOT(BJ11),FALSE,IF(AND(競技会設定!$C$5&lt;=BJ11,BJ11&lt;=競技会設定!$C$6),FALSE,TRUE))</f>
        <v>0</v>
      </c>
      <c r="BL11" s="218" t="b">
        <f>IF(J11="",FALSE,IF(L11=0,FALSE,IF(AND(AU11,NOT(BF11),NOT(BI11),P11=""),TRUE,FALSE)))</f>
        <v>0</v>
      </c>
      <c r="BO11" s="274">
        <f t="shared" ref="BO11" si="26">IF(AND(AU11,SUM(COUNTIF(AV11:BC11,TRUE),COUNTIF(BF11:BL14,TRUE),COUNTIF(BD11:BD14,TRUE))=0,NOT($BE$7)),1,0)</f>
        <v>0</v>
      </c>
    </row>
    <row r="12" spans="1:70" ht="17.399999999999999" customHeight="1">
      <c r="A12" s="421"/>
      <c r="B12" s="374"/>
      <c r="C12" s="376"/>
      <c r="D12" s="139"/>
      <c r="E12" s="378"/>
      <c r="F12" s="378"/>
      <c r="G12" s="139" t="str">
        <f>IF(C11="","",(VLOOKUP(D11,男子登録!$A$2:$N$2001,13,0)))</f>
        <v/>
      </c>
      <c r="H12" s="139"/>
      <c r="I12" s="139" t="s">
        <v>7061</v>
      </c>
      <c r="J12" s="152"/>
      <c r="K12" s="139" t="s">
        <v>7062</v>
      </c>
      <c r="L12" s="152"/>
      <c r="M12" s="264"/>
      <c r="N12" s="265"/>
      <c r="O12" s="266"/>
      <c r="P12" s="175"/>
      <c r="Q12" s="406"/>
      <c r="R12" s="409"/>
      <c r="S12" s="136"/>
      <c r="T12" s="137"/>
      <c r="U12" s="137"/>
      <c r="V12" s="137"/>
      <c r="W12" s="137"/>
      <c r="X12" s="137"/>
      <c r="Y12" s="218">
        <f t="shared" ref="Y12" si="27">IF(OR(E11="",J12=""),0,J12&amp;E11)</f>
        <v>0</v>
      </c>
      <c r="Z12" s="218">
        <f>IF(Y12=0,0,COUNTIF($Y$7:Y12,Y12))</f>
        <v>0</v>
      </c>
      <c r="AD12" s="218">
        <f>IFERROR(VLOOKUP(J12,競技会設定!$P$2:$S$22,2,0),0)</f>
        <v>0</v>
      </c>
      <c r="AE12" s="218">
        <f t="shared" ref="AE12" si="28">IF(E11="",0,IF(AD12=0,0,IF(AD12&lt;3,E11&amp;$AE$6,0)))</f>
        <v>0</v>
      </c>
      <c r="AF12" s="218">
        <f>IF(AE12=0,0,E11&amp;COUNTIF($AE$7:AE12,AE12))</f>
        <v>0</v>
      </c>
      <c r="AG12" s="218">
        <f t="shared" ref="AG12" si="29">IF(E11="",0,IF(AD12=0,0,IF(AD12&gt;=3,E11&amp;$AG$6,0)))</f>
        <v>0</v>
      </c>
      <c r="AH12" s="218">
        <f>IF(AG12=0,0,E11&amp;COUNTIF($AG$7:AG12,AG12))</f>
        <v>0</v>
      </c>
      <c r="AI12" s="218">
        <f t="shared" ref="AI12" si="30">IF(COUNTIF(Y12,"*十種*")&gt;0,0,IF($AD12=AI$6,$E11,0))</f>
        <v>0</v>
      </c>
      <c r="AJ12" s="218" t="b">
        <f>IF(AI12=0,FALSE,IF(COUNTIF(AI$7:AI12,AI12)&gt;1,TRUE,FALSE))</f>
        <v>0</v>
      </c>
      <c r="AK12" s="218">
        <f t="shared" ref="AK12" si="31">IF($AD12=AK$6,$E11,0)</f>
        <v>0</v>
      </c>
      <c r="AL12" s="218" t="b">
        <f>IF(AK12=0,FALSE,IF(COUNTIF(AK$7:AK12,AK12)&gt;1,TRUE,FALSE))</f>
        <v>0</v>
      </c>
      <c r="AM12" s="218">
        <f t="shared" ref="AM12" si="32">IF($AD12=AM$6,$E11,0)</f>
        <v>0</v>
      </c>
      <c r="AN12" s="218" t="b">
        <f>IF(AM12=0,FALSE,IF(COUNTIF(AM$7:AM12,AM12)&gt;1,TRUE,FALSE))</f>
        <v>0</v>
      </c>
      <c r="AO12" s="218">
        <f t="shared" ref="AO12" si="33">IF($AD12=AO$6,$E11,0)</f>
        <v>0</v>
      </c>
      <c r="AP12" s="218" t="b">
        <f>IF(AO12=0,FALSE,IF(COUNTIF(AO$7:AO12,AO12)&gt;1,TRUE,FALSE))</f>
        <v>0</v>
      </c>
      <c r="AQ12" s="218">
        <f t="shared" ref="AQ12" si="34">IF(COUNTIF(Y12,"*十種競技*")&gt;0,E11,0)</f>
        <v>0</v>
      </c>
      <c r="AR12" s="218" t="b">
        <f>IF(AQ12=0,FALSE,IF(OR(COUNTIF($AI$7:$AI$406,AQ12)+COUNTIF($AQ12:$AQ$406,AQ12)&gt;1,COUNTIF($AK$7:$AK$406,AQ12)+COUNTIF($AQ$7:$AQ$406,AQ12)&gt;1),TRUE,FALSE))</f>
        <v>0</v>
      </c>
      <c r="AT12" s="218" t="b">
        <f t="shared" si="6"/>
        <v>0</v>
      </c>
      <c r="AU12" s="274"/>
      <c r="AX12" s="274"/>
      <c r="BD12" s="218" t="b">
        <f t="shared" si="3"/>
        <v>0</v>
      </c>
      <c r="BF12" s="231" t="b">
        <f t="shared" ref="BF12" si="35">IF(J12="",FALSE,IF(OR(AND(AU11,L12=""),AND(AU11,L12="",OR(M12&lt;&gt;"",N12&lt;&gt;"",O12&lt;&gt;"",P12&lt;&gt;""))),TRUE,FALSE))</f>
        <v>0</v>
      </c>
      <c r="BG12" s="218" t="b">
        <f t="shared" si="4"/>
        <v>0</v>
      </c>
      <c r="BH12" s="218" t="b">
        <f t="shared" si="24"/>
        <v>0</v>
      </c>
      <c r="BI12" s="231" t="b">
        <f t="shared" ref="BI12" si="36">IF(J12="",FALSE,IF(L12=0,FALSE,IF(AND(AU11,NOT(BF12),OR(M12="",N12="",O12="")),TRUE,FALSE)))</f>
        <v>0</v>
      </c>
      <c r="BJ12" s="240" t="b">
        <f t="shared" si="5"/>
        <v>0</v>
      </c>
      <c r="BK12" s="231" t="b">
        <f>IF(NOT(BJ12),FALSE,IF(AND(競技会設定!$C$5&lt;=BJ12,BJ12&lt;=競技会設定!$C$6),FALSE,TRUE))</f>
        <v>0</v>
      </c>
      <c r="BL12" s="218" t="b">
        <f>IF(J12="",FALSE,IF(L12=0,FALSE,IF(AND(AU11,NOT(BF12),NOT(BI12),P12=""),TRUE,FALSE)))</f>
        <v>0</v>
      </c>
      <c r="BO12" s="274"/>
    </row>
    <row r="13" spans="1:70" ht="17.399999999999999" customHeight="1">
      <c r="A13" s="421"/>
      <c r="B13" s="374"/>
      <c r="C13" s="376"/>
      <c r="D13" s="140"/>
      <c r="E13" s="379" t="str">
        <f>IF(C11="","",VLOOKUP(D11,男子登録!$A$2:$O$2001,14,0)&amp;" ("&amp;VLOOKUP(D11,男子登録!$A$2:$O$2001,15,0)&amp;")")</f>
        <v/>
      </c>
      <c r="F13" s="380"/>
      <c r="G13" s="140" t="str">
        <f>IF(C11="","",(VLOOKUP(D11,男子登録!$A$2:$N$2001,9,0)))</f>
        <v/>
      </c>
      <c r="H13" s="140"/>
      <c r="I13" s="140" t="s">
        <v>7063</v>
      </c>
      <c r="J13" s="153"/>
      <c r="K13" s="140" t="s">
        <v>7064</v>
      </c>
      <c r="L13" s="153"/>
      <c r="M13" s="264"/>
      <c r="N13" s="265"/>
      <c r="O13" s="266"/>
      <c r="P13" s="175"/>
      <c r="Q13" s="406"/>
      <c r="R13" s="409"/>
      <c r="S13" s="136"/>
      <c r="T13" s="137"/>
      <c r="U13" s="137"/>
      <c r="V13" s="137"/>
      <c r="W13" s="137"/>
      <c r="X13" s="137"/>
      <c r="Y13" s="218">
        <f t="shared" ref="Y13" si="37">IF(OR(E11="",J13=""),0,J13&amp;E11)</f>
        <v>0</v>
      </c>
      <c r="Z13" s="218">
        <f>IF(Y13=0,0,COUNTIF($Y$7:Y13,Y13))</f>
        <v>0</v>
      </c>
      <c r="AD13" s="218">
        <f>IFERROR(VLOOKUP(J13,競技会設定!$P$2:$S$22,2,0),0)</f>
        <v>0</v>
      </c>
      <c r="AE13" s="218">
        <f t="shared" ref="AE13" si="38">IF(E11="",0,IF(AD13=0,0,IF(AD13&lt;3,E11&amp;$AE$6,0)))</f>
        <v>0</v>
      </c>
      <c r="AF13" s="218">
        <f>IF(AE13=0,0,E11&amp;COUNTIF($AE$7:AE13,AE13))</f>
        <v>0</v>
      </c>
      <c r="AG13" s="218">
        <f t="shared" ref="AG13" si="39">IF(E11="",0,IF(AD13=0,0,IF(AD13&gt;=3,E11&amp;$AG$6,0)))</f>
        <v>0</v>
      </c>
      <c r="AH13" s="218">
        <f>IF(AG13=0,0,E11&amp;COUNTIF($AG$7:AG13,AG13))</f>
        <v>0</v>
      </c>
      <c r="AI13" s="218">
        <f t="shared" ref="AI13" si="40">IF(COUNTIF(Y13,"*十種*")&gt;0,0,IF($AD13=AI$6,$E11,0))</f>
        <v>0</v>
      </c>
      <c r="AJ13" s="218" t="b">
        <f>IF(AI13=0,FALSE,IF(COUNTIF(AI$7:AI13,AI13)&gt;1,TRUE,FALSE))</f>
        <v>0</v>
      </c>
      <c r="AK13" s="218">
        <f t="shared" ref="AK13" si="41">IF($AD13=AK$6,$E11,0)</f>
        <v>0</v>
      </c>
      <c r="AL13" s="218" t="b">
        <f>IF(AK13=0,FALSE,IF(COUNTIF(AK$7:AK13,AK13)&gt;1,TRUE,FALSE))</f>
        <v>0</v>
      </c>
      <c r="AM13" s="218">
        <f t="shared" ref="AM13" si="42">IF($AD13=AM$6,$E11,0)</f>
        <v>0</v>
      </c>
      <c r="AN13" s="218" t="b">
        <f>IF(AM13=0,FALSE,IF(COUNTIF(AM$7:AM13,AM13)&gt;1,TRUE,FALSE))</f>
        <v>0</v>
      </c>
      <c r="AO13" s="218">
        <f t="shared" ref="AO13" si="43">IF($AD13=AO$6,$E11,0)</f>
        <v>0</v>
      </c>
      <c r="AP13" s="218" t="b">
        <f>IF(AO13=0,FALSE,IF(COUNTIF(AO$7:AO13,AO13)&gt;1,TRUE,FALSE))</f>
        <v>0</v>
      </c>
      <c r="AQ13" s="218">
        <f t="shared" ref="AQ13" si="44">IF(COUNTIF(Y13,"*十種競技*")&gt;0,E11,0)</f>
        <v>0</v>
      </c>
      <c r="AR13" s="218" t="b">
        <f>IF(AQ13=0,FALSE,IF(OR(COUNTIF($AI$7:$AI$406,AQ13)+COUNTIF($AQ13:$AQ$406,AQ13)&gt;1,COUNTIF($AK$7:$AK$406,AQ13)+COUNTIF($AQ$7:$AQ$406,AQ13)&gt;1),TRUE,FALSE))</f>
        <v>0</v>
      </c>
      <c r="AT13" s="218" t="b">
        <f t="shared" si="6"/>
        <v>0</v>
      </c>
      <c r="AU13" s="274"/>
      <c r="AX13" s="274"/>
      <c r="BD13" s="218" t="b">
        <f t="shared" si="3"/>
        <v>0</v>
      </c>
      <c r="BF13" s="231" t="b">
        <f t="shared" ref="BF13" si="45">IF(J13="",FALSE,IF(OR(AND(AU11,L13=""),AND(AU11,L13="",OR(M13&lt;&gt;"",N13&lt;&gt;"",O13&lt;&gt;"",P13&lt;&gt;""))),TRUE,FALSE))</f>
        <v>0</v>
      </c>
      <c r="BG13" s="218" t="b">
        <f t="shared" si="4"/>
        <v>0</v>
      </c>
      <c r="BH13" s="218" t="b">
        <f t="shared" si="24"/>
        <v>0</v>
      </c>
      <c r="BI13" s="231" t="b">
        <f t="shared" ref="BI13" si="46">IF(J13="",FALSE,IF(L13=0,FALSE,IF(AND(AU11,NOT(BF13),OR(M13="",N13="",O13="")),TRUE,FALSE)))</f>
        <v>0</v>
      </c>
      <c r="BJ13" s="240" t="b">
        <f t="shared" si="5"/>
        <v>0</v>
      </c>
      <c r="BK13" s="231" t="b">
        <f>IF(NOT(BJ13),FALSE,IF(AND(競技会設定!$C$5&lt;=BJ13,BJ13&lt;=競技会設定!$C$6),FALSE,TRUE))</f>
        <v>0</v>
      </c>
      <c r="BL13" s="218" t="b">
        <f>IF(J13="",FALSE,IF(L13=0,FALSE,IF(AND(AU11,NOT(BF13),NOT(BI13),P13=""),TRUE,FALSE)))</f>
        <v>0</v>
      </c>
      <c r="BO13" s="274"/>
    </row>
    <row r="14" spans="1:70" ht="18" customHeight="1" thickBot="1">
      <c r="A14" s="422"/>
      <c r="B14" s="387" t="s">
        <v>7051</v>
      </c>
      <c r="C14" s="387"/>
      <c r="D14" s="213"/>
      <c r="E14" s="388"/>
      <c r="F14" s="389"/>
      <c r="G14" s="390"/>
      <c r="H14" s="141"/>
      <c r="I14" s="213" t="s">
        <v>7065</v>
      </c>
      <c r="J14" s="154"/>
      <c r="K14" s="213" t="s">
        <v>7066</v>
      </c>
      <c r="L14" s="154"/>
      <c r="M14" s="267"/>
      <c r="N14" s="268"/>
      <c r="O14" s="269"/>
      <c r="P14" s="177"/>
      <c r="Q14" s="407"/>
      <c r="R14" s="410"/>
      <c r="S14" s="136"/>
      <c r="T14" s="137"/>
      <c r="U14" s="137"/>
      <c r="V14" s="137"/>
      <c r="W14" s="137"/>
      <c r="X14" s="137"/>
      <c r="Y14" s="218">
        <f t="shared" ref="Y14" si="47">IF(OR(E11="",J14=""),0,J14&amp;E11)</f>
        <v>0</v>
      </c>
      <c r="Z14" s="218">
        <f>IF(Y14=0,0,COUNTIF($Y$7:Y14,Y14))</f>
        <v>0</v>
      </c>
      <c r="AD14" s="218">
        <f>IFERROR(VLOOKUP(J14,競技会設定!$P$2:$S$22,2,0),0)</f>
        <v>0</v>
      </c>
      <c r="AE14" s="218">
        <f t="shared" ref="AE14" si="48">IF(E11="",0,IF(AD14=0,0,IF(AD14&lt;3,E11&amp;$AE$6,0)))</f>
        <v>0</v>
      </c>
      <c r="AF14" s="218">
        <f>IF(AE14=0,0,E11&amp;COUNTIF($AE$7:AE14,AE14))</f>
        <v>0</v>
      </c>
      <c r="AG14" s="218">
        <f t="shared" ref="AG14" si="49">IF(E11="",0,IF(AD14=0,0,IF(AD14&gt;=3,E11&amp;$AG$6,0)))</f>
        <v>0</v>
      </c>
      <c r="AH14" s="218">
        <f>IF(AG14=0,0,E11&amp;COUNTIF($AG$7:AG14,AG14))</f>
        <v>0</v>
      </c>
      <c r="AI14" s="218">
        <f t="shared" ref="AI14" si="50">IF(COUNTIF(Y14,"*十種*")&gt;0,0,IF($AD14=AI$6,$E11,0))</f>
        <v>0</v>
      </c>
      <c r="AJ14" s="218" t="b">
        <f>IF(AI14=0,FALSE,IF(COUNTIF(AI$7:AI14,AI14)&gt;1,TRUE,FALSE))</f>
        <v>0</v>
      </c>
      <c r="AK14" s="218">
        <f t="shared" ref="AK14" si="51">IF($AD14=AK$6,$E11,0)</f>
        <v>0</v>
      </c>
      <c r="AL14" s="218" t="b">
        <f>IF(AK14=0,FALSE,IF(COUNTIF(AK$7:AK14,AK14)&gt;1,TRUE,FALSE))</f>
        <v>0</v>
      </c>
      <c r="AM14" s="218">
        <f t="shared" ref="AM14" si="52">IF($AD14=AM$6,$E11,0)</f>
        <v>0</v>
      </c>
      <c r="AN14" s="218" t="b">
        <f>IF(AM14=0,FALSE,IF(COUNTIF(AM$7:AM14,AM14)&gt;1,TRUE,FALSE))</f>
        <v>0</v>
      </c>
      <c r="AO14" s="218">
        <f t="shared" ref="AO14" si="53">IF($AD14=AO$6,$E11,0)</f>
        <v>0</v>
      </c>
      <c r="AP14" s="218" t="b">
        <f>IF(AO14=0,FALSE,IF(COUNTIF(AO$7:AO14,AO14)&gt;1,TRUE,FALSE))</f>
        <v>0</v>
      </c>
      <c r="AQ14" s="218">
        <f t="shared" ref="AQ14" si="54">IF(COUNTIF(Y14,"*十種競技*")&gt;0,E11,0)</f>
        <v>0</v>
      </c>
      <c r="AR14" s="218" t="b">
        <f>IF(AQ14=0,FALSE,IF(OR(COUNTIF($AI$7:$AI$406,AQ14)+COUNTIF($AQ14:$AQ$406,AQ14)&gt;1,COUNTIF($AK$7:$AK$406,AQ14)+COUNTIF($AQ$7:$AQ$406,AQ14)&gt;1),TRUE,FALSE))</f>
        <v>0</v>
      </c>
      <c r="AT14" s="218" t="b">
        <f t="shared" si="6"/>
        <v>0</v>
      </c>
      <c r="AU14" s="274"/>
      <c r="AX14" s="274"/>
      <c r="BD14" s="218" t="b">
        <f t="shared" si="3"/>
        <v>0</v>
      </c>
      <c r="BF14" s="231" t="b">
        <f t="shared" ref="BF14" si="55">IF(J14="",FALSE,IF(OR(AND(AU11,L14=""),AND(AU11,L14="",OR(M14&lt;&gt;"",N14&lt;&gt;"",O14&lt;&gt;"",P14&lt;&gt;""))),TRUE,FALSE))</f>
        <v>0</v>
      </c>
      <c r="BG14" s="218" t="b">
        <f t="shared" si="4"/>
        <v>0</v>
      </c>
      <c r="BH14" s="218" t="b">
        <f t="shared" si="24"/>
        <v>0</v>
      </c>
      <c r="BI14" s="231" t="b">
        <f t="shared" ref="BI14" si="56">IF(J14="",FALSE,IF(L14=0,FALSE,IF(AND(AU11,NOT(BF14),OR(M14="",N14="",O14="")),TRUE,FALSE)))</f>
        <v>0</v>
      </c>
      <c r="BJ14" s="240" t="b">
        <f t="shared" si="5"/>
        <v>0</v>
      </c>
      <c r="BK14" s="231" t="b">
        <f>IF(NOT(BJ14),FALSE,IF(AND(競技会設定!$C$5&lt;=BJ14,BJ14&lt;=競技会設定!$C$6),FALSE,TRUE))</f>
        <v>0</v>
      </c>
      <c r="BL14" s="218" t="b">
        <f>IF(J14="",FALSE,IF(L14=0,FALSE,IF(AND(AU11,NOT(BF14),NOT(BI14),P14=""),TRUE,FALSE)))</f>
        <v>0</v>
      </c>
      <c r="BO14" s="274"/>
    </row>
    <row r="15" spans="1:70" ht="18" customHeight="1" thickTop="1">
      <c r="A15" s="417">
        <v>3</v>
      </c>
      <c r="B15" s="401" t="s">
        <v>7050</v>
      </c>
      <c r="C15" s="403"/>
      <c r="D15" s="220" t="str">
        <f t="shared" ref="D15" si="57">IF(C15="","",501&amp;TEXT(C15,"000000"))</f>
        <v/>
      </c>
      <c r="E15" s="396" t="str">
        <f>IF(D15="","",(VLOOKUP(D15,男子登録!$A$2:$N$2001,3,0)))</f>
        <v/>
      </c>
      <c r="F15" s="396" t="str">
        <f>IF(D15="","",(VLOOKUP(D15,男子登録!$A$2:$N$2001,4,0)))</f>
        <v/>
      </c>
      <c r="G15" s="220" t="str">
        <f>IF(C15="","",(VLOOKUP(D15,男子登録!$A$2:$N$2001,8,0)))</f>
        <v/>
      </c>
      <c r="H15" s="220">
        <f>IFERROR(VLOOKUP(D15,男子登録!$A$2:$N$2001,11,0),基本情報!$E$5)</f>
        <v>0</v>
      </c>
      <c r="I15" s="220" t="s">
        <v>7059</v>
      </c>
      <c r="J15" s="148"/>
      <c r="K15" s="220" t="s">
        <v>7060</v>
      </c>
      <c r="L15" s="148"/>
      <c r="M15" s="252"/>
      <c r="N15" s="253"/>
      <c r="O15" s="254"/>
      <c r="P15" s="170"/>
      <c r="Q15" s="411"/>
      <c r="R15" s="414"/>
      <c r="S15" s="136">
        <f t="shared" ref="S15" si="58">IF(OR(E15="",Q15=""),0,E15)</f>
        <v>0</v>
      </c>
      <c r="T15" s="137">
        <f>IF(S15=0,0,COUNTIF($S$7:S15,"*"))</f>
        <v>0</v>
      </c>
      <c r="U15" s="137">
        <f>IF(S15=0,0,COUNTIF($S$7:S15,S15))</f>
        <v>0</v>
      </c>
      <c r="V15" s="137">
        <f t="shared" si="9"/>
        <v>0</v>
      </c>
      <c r="W15" s="137">
        <f>IF(V15=0,0,COUNTIF($V$7:V15,"*"))</f>
        <v>0</v>
      </c>
      <c r="X15" s="137">
        <f>IF(V15=0,0,COUNTIF($V$7:V15,V15))</f>
        <v>0</v>
      </c>
      <c r="Y15" s="218">
        <f t="shared" ref="Y15" si="59">IF(OR(E15="",J15=""),0,J15&amp;E15)</f>
        <v>0</v>
      </c>
      <c r="Z15" s="218">
        <f>IF(Y15=0,0,COUNTIF($Y$7:Y15,Y15))</f>
        <v>0</v>
      </c>
      <c r="AA15" s="218" t="b">
        <f t="shared" ref="AA15" si="60">IF(COUNTIF(J15:J18,"十種競技")&gt;0,TRUE,FALSE)</f>
        <v>0</v>
      </c>
      <c r="AB15" s="218">
        <f>IF(E15="",0,IF(AA15,COUNTIF($AA$7:AA15,TRUE),0))</f>
        <v>0</v>
      </c>
      <c r="AC15" s="218">
        <f>IFERROR(VLOOKUP("十種競技",J15:L18,3,0),0)</f>
        <v>0</v>
      </c>
      <c r="AD15" s="218">
        <f>IFERROR(VLOOKUP(J15,競技会設定!$P$2:$S$22,2,0),0)</f>
        <v>0</v>
      </c>
      <c r="AE15" s="218">
        <f t="shared" ref="AE15" si="61">IF(E15="",0,IF(AD15=0,0,IF(AD15&lt;3,E15&amp;$AE$6,0)))</f>
        <v>0</v>
      </c>
      <c r="AF15" s="218">
        <f>IF(AE15=0,0,E15&amp;COUNTIF($AE$7:AE15,AE15))</f>
        <v>0</v>
      </c>
      <c r="AG15" s="218">
        <f t="shared" ref="AG15" si="62">IF(E15="",0,IF(AD15=0,0,IF(AD15&gt;=3,E15&amp;$AG$6,0)))</f>
        <v>0</v>
      </c>
      <c r="AH15" s="218">
        <f>IF(AG15=0,0,E15&amp;COUNTIF($AG$7:AG15,AG15))</f>
        <v>0</v>
      </c>
      <c r="AI15" s="218">
        <f t="shared" ref="AI15" si="63">IF(COUNTIF(Y15,"*十種*")&gt;0,0,IF($AD15=AI$6,$E15,0))</f>
        <v>0</v>
      </c>
      <c r="AJ15" s="218" t="b">
        <f>IF(AI15=0,FALSE,IF(COUNTIF(AI$7:AI15,AI15)&gt;1,TRUE,FALSE))</f>
        <v>0</v>
      </c>
      <c r="AK15" s="218">
        <f t="shared" ref="AK15" si="64">IF($AD15=AK$6,$E15,0)</f>
        <v>0</v>
      </c>
      <c r="AL15" s="218" t="b">
        <f>IF(AK15=0,FALSE,IF(COUNTIF(AK$7:AK15,AK15)&gt;1,TRUE,FALSE))</f>
        <v>0</v>
      </c>
      <c r="AM15" s="218">
        <f t="shared" ref="AM15" si="65">IF($AD15=AM$6,$E15,0)</f>
        <v>0</v>
      </c>
      <c r="AN15" s="218" t="b">
        <f>IF(AM15=0,FALSE,IF(COUNTIF(AM$7:AM15,AM15)&gt;1,TRUE,FALSE))</f>
        <v>0</v>
      </c>
      <c r="AO15" s="218">
        <f t="shared" ref="AO15" si="66">IF($AD15=AO$6,$E15,0)</f>
        <v>0</v>
      </c>
      <c r="AP15" s="218" t="b">
        <f>IF(AO15=0,FALSE,IF(COUNTIF(AO$7:AO15,AO15)&gt;1,TRUE,FALSE))</f>
        <v>0</v>
      </c>
      <c r="AQ15" s="218">
        <f t="shared" ref="AQ15" si="67">IF(COUNTIF(Y15,"*十種競技*")&gt;0,E15,0)</f>
        <v>0</v>
      </c>
      <c r="AR15" s="218" t="b">
        <f>IF(AQ15=0,FALSE,IF(OR(COUNTIF($AI$7:$AI$406,AQ15)+COUNTIF($AQ15:$AQ$406,AQ15)&gt;1,COUNTIF($AK$7:$AK$406,AQ15)+COUNTIF($AQ$7:$AQ$406,AQ15)&gt;1),TRUE,FALSE))</f>
        <v>0</v>
      </c>
      <c r="AS15" s="218" t="b">
        <f t="shared" ref="AS15" si="68">IF(AND(C15="",E15&lt;&gt;"",F15&lt;&gt;"",E17&lt;&gt;"",G15&lt;&gt;"",G16&lt;&gt;"",G17&lt;&gt;""),TRUE,FALSE)</f>
        <v>0</v>
      </c>
      <c r="AT15" s="218" t="b">
        <f t="shared" si="6"/>
        <v>0</v>
      </c>
      <c r="AU15" s="274" t="b">
        <f t="shared" ref="AU15" si="69">IFERROR(IF(D15&amp;E15&amp;F15&amp;E17&amp;G15&amp;G16&amp;G17&amp;J15&amp;J16&amp;J17&amp;J18&amp;L15&amp;L16&amp;L17&amp;L18&amp;M15&amp;M16&amp;M17&amp;M18&amp;N15&amp;N16&amp;N17&amp;N18&amp;O15&amp;O16&amp;O17&amp;O18&amp;P15&amp;P16&amp;P17&amp;P18&amp;Q15&amp;R15="",FALSE,TRUE),FALSE)</f>
        <v>0</v>
      </c>
      <c r="AV15" s="218" t="b">
        <f t="shared" ref="AV15" si="70">IF(AS15,FALSE,IF(C15="",AU15,FALSE))</f>
        <v>0</v>
      </c>
      <c r="AW15" s="218" t="b">
        <f>IF(C15="",FALSE,IF(C15&gt;2000,TRUE,FALSE))</f>
        <v>0</v>
      </c>
      <c r="AX15" s="274" t="b">
        <f>IF(H15=0,FALSE,IF(EXACT(基本情報!$E$5,H15)=TRUE,FALSE,TRUE))</f>
        <v>0</v>
      </c>
      <c r="AY15" s="218" t="b">
        <f>IF(C15="",FALSE,IF(ISNA(E15)=TRUE,TRUE,FALSE))</f>
        <v>0</v>
      </c>
      <c r="AZ15" s="274" t="b">
        <f>IFERROR(IF(E15="",FALSE,IF(COUNTIF($E$7:E15,E15)&gt;1,TRUE,FALSE)),FALSE)</f>
        <v>0</v>
      </c>
      <c r="BA15" s="218" t="b">
        <f t="shared" ref="BA15" si="71">IF(OR(J15&amp;J16&amp;J17&amp;J18&amp;Q15&amp;R15="",AT15,AT16,AT17,AT18),AU15,FALSE)</f>
        <v>0</v>
      </c>
      <c r="BB15" s="218" t="b">
        <f>IF(U15&gt;1,TRUE,FALSE)</f>
        <v>0</v>
      </c>
      <c r="BC15" s="218" t="b">
        <f>IF(X15&gt;1,TRUE,FALSE)</f>
        <v>0</v>
      </c>
      <c r="BD15" s="218" t="b">
        <f t="shared" si="3"/>
        <v>0</v>
      </c>
      <c r="BF15" s="231" t="b">
        <f t="shared" ref="BF15" si="72">IF(J15="",FALSE,IF(OR(AND(AU15,L15=""),AND(AU15,L15="",OR(M15&lt;&gt;"",N15&lt;&gt;"",O15&lt;&gt;"",P15&lt;&gt;""))),TRUE,FALSE))</f>
        <v>0</v>
      </c>
      <c r="BG15" s="218" t="b">
        <f t="shared" si="4"/>
        <v>0</v>
      </c>
      <c r="BH15" s="218" t="b">
        <f t="shared" si="24"/>
        <v>0</v>
      </c>
      <c r="BI15" s="231" t="b">
        <f t="shared" ref="BI15" si="73">IF(J15="",FALSE,IF(L15=0,FALSE,IF(AND(AU15,NOT(BF15),OR(M15="",N15="",O15="")),TRUE,FALSE)))</f>
        <v>0</v>
      </c>
      <c r="BJ15" s="240" t="b">
        <f t="shared" si="5"/>
        <v>0</v>
      </c>
      <c r="BK15" s="231" t="b">
        <f>IF(NOT(BJ15),FALSE,IF(AND(競技会設定!$C$5&lt;=BJ15,BJ15&lt;=競技会設定!$C$6),FALSE,TRUE))</f>
        <v>0</v>
      </c>
      <c r="BL15" s="218" t="b">
        <f>IF(J15="",FALSE,IF(L15=0,FALSE,IF(AND(AU15,NOT(BF15),NOT(BI15),P15=""),TRUE,FALSE)))</f>
        <v>0</v>
      </c>
      <c r="BO15" s="274">
        <f t="shared" ref="BO15" si="74">IF(AND(AU15,SUM(COUNTIF(AV15:BC15,TRUE),COUNTIF(BF15:BL18,TRUE),COUNTIF(BD15:BD18,TRUE))=0,NOT($BE$7)),1,0)</f>
        <v>0</v>
      </c>
    </row>
    <row r="16" spans="1:70" ht="17.399999999999999" customHeight="1">
      <c r="A16" s="418"/>
      <c r="B16" s="402"/>
      <c r="C16" s="404"/>
      <c r="D16" s="221"/>
      <c r="E16" s="397"/>
      <c r="F16" s="397"/>
      <c r="G16" s="221" t="str">
        <f>IF(C15="","",(VLOOKUP(D15,男子登録!$A$2:$N$2001,13,0)))</f>
        <v/>
      </c>
      <c r="H16" s="221"/>
      <c r="I16" s="221" t="s">
        <v>7061</v>
      </c>
      <c r="J16" s="149"/>
      <c r="K16" s="221" t="s">
        <v>7062</v>
      </c>
      <c r="L16" s="149"/>
      <c r="M16" s="255"/>
      <c r="N16" s="256"/>
      <c r="O16" s="257"/>
      <c r="P16" s="171"/>
      <c r="Q16" s="412"/>
      <c r="R16" s="415"/>
      <c r="S16" s="136"/>
      <c r="T16" s="137"/>
      <c r="U16" s="137"/>
      <c r="V16" s="137"/>
      <c r="W16" s="137"/>
      <c r="X16" s="137"/>
      <c r="Y16" s="218">
        <f t="shared" ref="Y16" si="75">IF(OR(E15="",J16=""),0,J16&amp;E15)</f>
        <v>0</v>
      </c>
      <c r="Z16" s="218">
        <f>IF(Y16=0,0,COUNTIF($Y$7:Y16,Y16))</f>
        <v>0</v>
      </c>
      <c r="AD16" s="218">
        <f>IFERROR(VLOOKUP(J16,競技会設定!$P$2:$S$22,2,0),0)</f>
        <v>0</v>
      </c>
      <c r="AE16" s="218">
        <f t="shared" ref="AE16" si="76">IF(E15="",0,IF(AD16=0,0,IF(AD16&lt;3,E15&amp;$AE$6,0)))</f>
        <v>0</v>
      </c>
      <c r="AF16" s="218">
        <f>IF(AE16=0,0,E15&amp;COUNTIF($AE$7:AE16,AE16))</f>
        <v>0</v>
      </c>
      <c r="AG16" s="218">
        <f t="shared" ref="AG16" si="77">IF(E15="",0,IF(AD16=0,0,IF(AD16&gt;=3,E15&amp;$AG$6,0)))</f>
        <v>0</v>
      </c>
      <c r="AH16" s="218">
        <f>IF(AG16=0,0,E15&amp;COUNTIF($AG$7:AG16,AG16))</f>
        <v>0</v>
      </c>
      <c r="AI16" s="218">
        <f t="shared" ref="AI16" si="78">IF(COUNTIF(Y16,"*十種*")&gt;0,0,IF($AD16=AI$6,$E15,0))</f>
        <v>0</v>
      </c>
      <c r="AJ16" s="218" t="b">
        <f>IF(AI16=0,FALSE,IF(COUNTIF(AI$7:AI16,AI16)&gt;1,TRUE,FALSE))</f>
        <v>0</v>
      </c>
      <c r="AK16" s="218">
        <f t="shared" ref="AK16" si="79">IF($AD16=AK$6,$E15,0)</f>
        <v>0</v>
      </c>
      <c r="AL16" s="218" t="b">
        <f>IF(AK16=0,FALSE,IF(COUNTIF(AK$7:AK16,AK16)&gt;1,TRUE,FALSE))</f>
        <v>0</v>
      </c>
      <c r="AM16" s="218">
        <f t="shared" ref="AM16" si="80">IF($AD16=AM$6,$E15,0)</f>
        <v>0</v>
      </c>
      <c r="AN16" s="218" t="b">
        <f>IF(AM16=0,FALSE,IF(COUNTIF(AM$7:AM16,AM16)&gt;1,TRUE,FALSE))</f>
        <v>0</v>
      </c>
      <c r="AO16" s="218">
        <f t="shared" ref="AO16" si="81">IF($AD16=AO$6,$E15,0)</f>
        <v>0</v>
      </c>
      <c r="AP16" s="218" t="b">
        <f>IF(AO16=0,FALSE,IF(COUNTIF(AO$7:AO16,AO16)&gt;1,TRUE,FALSE))</f>
        <v>0</v>
      </c>
      <c r="AQ16" s="218">
        <f t="shared" ref="AQ16" si="82">IF(COUNTIF(Y16,"*十種競技*")&gt;0,E15,0)</f>
        <v>0</v>
      </c>
      <c r="AR16" s="218" t="b">
        <f>IF(AQ16=0,FALSE,IF(OR(COUNTIF($AI$7:$AI$406,AQ16)+COUNTIF($AQ16:$AQ$406,AQ16)&gt;1,COUNTIF($AK$7:$AK$406,AQ16)+COUNTIF($AQ$7:$AQ$406,AQ16)&gt;1),TRUE,FALSE))</f>
        <v>0</v>
      </c>
      <c r="AT16" s="218" t="b">
        <f t="shared" si="6"/>
        <v>0</v>
      </c>
      <c r="AU16" s="274"/>
      <c r="AX16" s="274"/>
      <c r="BD16" s="218" t="b">
        <f t="shared" si="3"/>
        <v>0</v>
      </c>
      <c r="BF16" s="231" t="b">
        <f t="shared" ref="BF16" si="83">IF(J16="",FALSE,IF(OR(AND(AU15,L16=""),AND(AU15,L16="",OR(M16&lt;&gt;"",N16&lt;&gt;"",O16&lt;&gt;"",P16&lt;&gt;""))),TRUE,FALSE))</f>
        <v>0</v>
      </c>
      <c r="BG16" s="218" t="b">
        <f t="shared" si="4"/>
        <v>0</v>
      </c>
      <c r="BH16" s="218" t="b">
        <f t="shared" si="24"/>
        <v>0</v>
      </c>
      <c r="BI16" s="231" t="b">
        <f t="shared" ref="BI16" si="84">IF(J16="",FALSE,IF(L16=0,FALSE,IF(AND(AU15,NOT(BF16),OR(M16="",N16="",O16="")),TRUE,FALSE)))</f>
        <v>0</v>
      </c>
      <c r="BJ16" s="240" t="b">
        <f t="shared" si="5"/>
        <v>0</v>
      </c>
      <c r="BK16" s="231" t="b">
        <f>IF(NOT(BJ16),FALSE,IF(AND(競技会設定!$C$5&lt;=BJ16,BJ16&lt;=競技会設定!$C$6),FALSE,TRUE))</f>
        <v>0</v>
      </c>
      <c r="BL16" s="218" t="b">
        <f>IF(J16="",FALSE,IF(L16=0,FALSE,IF(AND(AU15,NOT(BF16),NOT(BI16),P16=""),TRUE,FALSE)))</f>
        <v>0</v>
      </c>
      <c r="BO16" s="274"/>
    </row>
    <row r="17" spans="1:67" ht="17.399999999999999" customHeight="1">
      <c r="A17" s="418"/>
      <c r="B17" s="402"/>
      <c r="C17" s="404"/>
      <c r="D17" s="221"/>
      <c r="E17" s="394" t="str">
        <f>IF(C15="","",VLOOKUP(D15,男子登録!$A$2:$O$2001,14,0)&amp;" ("&amp;VLOOKUP(D15,男子登録!$A$2:$O$2001,15,0)&amp;")")</f>
        <v/>
      </c>
      <c r="F17" s="394"/>
      <c r="G17" s="222" t="str">
        <f>IF(C15="","",(VLOOKUP(D15,男子登録!$A$2:$N$2001,9,0)))</f>
        <v/>
      </c>
      <c r="H17" s="222"/>
      <c r="I17" s="222" t="s">
        <v>7063</v>
      </c>
      <c r="J17" s="150"/>
      <c r="K17" s="222" t="s">
        <v>7064</v>
      </c>
      <c r="L17" s="150"/>
      <c r="M17" s="255"/>
      <c r="N17" s="256"/>
      <c r="O17" s="257"/>
      <c r="P17" s="171"/>
      <c r="Q17" s="412"/>
      <c r="R17" s="415"/>
      <c r="S17" s="136"/>
      <c r="T17" s="137"/>
      <c r="U17" s="137"/>
      <c r="V17" s="137"/>
      <c r="W17" s="137"/>
      <c r="X17" s="137"/>
      <c r="Y17" s="218">
        <f t="shared" ref="Y17" si="85">IF(OR(E15="",J17=""),0,J17&amp;E15)</f>
        <v>0</v>
      </c>
      <c r="Z17" s="218">
        <f>IF(Y17=0,0,COUNTIF($Y$7:Y17,Y17))</f>
        <v>0</v>
      </c>
      <c r="AD17" s="218">
        <f>IFERROR(VLOOKUP(J17,競技会設定!$P$2:$S$22,2,0),0)</f>
        <v>0</v>
      </c>
      <c r="AE17" s="218">
        <f t="shared" ref="AE17" si="86">IF(E15="",0,IF(AD17=0,0,IF(AD17&lt;3,E15&amp;$AE$6,0)))</f>
        <v>0</v>
      </c>
      <c r="AF17" s="218">
        <f>IF(AE17=0,0,E15&amp;COUNTIF($AE$7:AE17,AE17))</f>
        <v>0</v>
      </c>
      <c r="AG17" s="218">
        <f t="shared" ref="AG17" si="87">IF(E15="",0,IF(AD17=0,0,IF(AD17&gt;=3,E15&amp;$AG$6,0)))</f>
        <v>0</v>
      </c>
      <c r="AH17" s="218">
        <f>IF(AG17=0,0,E15&amp;COUNTIF($AG$7:AG17,AG17))</f>
        <v>0</v>
      </c>
      <c r="AI17" s="218">
        <f t="shared" ref="AI17" si="88">IF(COUNTIF(Y17,"*十種*")&gt;0,0,IF($AD17=AI$6,$E15,0))</f>
        <v>0</v>
      </c>
      <c r="AJ17" s="218" t="b">
        <f>IF(AI17=0,FALSE,IF(COUNTIF(AI$7:AI17,AI17)&gt;1,TRUE,FALSE))</f>
        <v>0</v>
      </c>
      <c r="AK17" s="218">
        <f t="shared" ref="AK17" si="89">IF($AD17=AK$6,$E15,0)</f>
        <v>0</v>
      </c>
      <c r="AL17" s="218" t="b">
        <f>IF(AK17=0,FALSE,IF(COUNTIF(AK$7:AK17,AK17)&gt;1,TRUE,FALSE))</f>
        <v>0</v>
      </c>
      <c r="AM17" s="218">
        <f t="shared" ref="AM17" si="90">IF($AD17=AM$6,$E15,0)</f>
        <v>0</v>
      </c>
      <c r="AN17" s="218" t="b">
        <f>IF(AM17=0,FALSE,IF(COUNTIF(AM$7:AM17,AM17)&gt;1,TRUE,FALSE))</f>
        <v>0</v>
      </c>
      <c r="AO17" s="218">
        <f t="shared" ref="AO17" si="91">IF($AD17=AO$6,$E15,0)</f>
        <v>0</v>
      </c>
      <c r="AP17" s="218" t="b">
        <f>IF(AO17=0,FALSE,IF(COUNTIF(AO$7:AO17,AO17)&gt;1,TRUE,FALSE))</f>
        <v>0</v>
      </c>
      <c r="AQ17" s="218">
        <f t="shared" ref="AQ17" si="92">IF(COUNTIF(Y17,"*十種競技*")&gt;0,E15,0)</f>
        <v>0</v>
      </c>
      <c r="AR17" s="218" t="b">
        <f>IF(AQ17=0,FALSE,IF(OR(COUNTIF($AI$7:$AI$406,AQ17)+COUNTIF($AQ17:$AQ$406,AQ17)&gt;1,COUNTIF($AK$7:$AK$406,AQ17)+COUNTIF($AQ$7:$AQ$406,AQ17)&gt;1),TRUE,FALSE))</f>
        <v>0</v>
      </c>
      <c r="AT17" s="218" t="b">
        <f t="shared" si="6"/>
        <v>0</v>
      </c>
      <c r="AU17" s="274"/>
      <c r="AX17" s="274"/>
      <c r="BD17" s="218" t="b">
        <f t="shared" si="3"/>
        <v>0</v>
      </c>
      <c r="BF17" s="231" t="b">
        <f t="shared" ref="BF17" si="93">IF(J17="",FALSE,IF(OR(AND(AU15,L17=""),AND(AU15,L17="",OR(M17&lt;&gt;"",N17&lt;&gt;"",O17&lt;&gt;"",P17&lt;&gt;""))),TRUE,FALSE))</f>
        <v>0</v>
      </c>
      <c r="BG17" s="218" t="b">
        <f t="shared" si="4"/>
        <v>0</v>
      </c>
      <c r="BH17" s="218" t="b">
        <f t="shared" si="24"/>
        <v>0</v>
      </c>
      <c r="BI17" s="231" t="b">
        <f t="shared" ref="BI17" si="94">IF(J17="",FALSE,IF(L17=0,FALSE,IF(AND(AU15,NOT(BF17),OR(M17="",N17="",O17="")),TRUE,FALSE)))</f>
        <v>0</v>
      </c>
      <c r="BJ17" s="240" t="b">
        <f t="shared" si="5"/>
        <v>0</v>
      </c>
      <c r="BK17" s="231" t="b">
        <f>IF(NOT(BJ17),FALSE,IF(AND(競技会設定!$C$5&lt;=BJ17,BJ17&lt;=競技会設定!$C$6),FALSE,TRUE))</f>
        <v>0</v>
      </c>
      <c r="BL17" s="218" t="b">
        <f>IF(J17="",FALSE,IF(L17=0,FALSE,IF(AND(AU15,NOT(BF17),NOT(BI17),P17=""),TRUE,FALSE)))</f>
        <v>0</v>
      </c>
      <c r="BO17" s="274"/>
    </row>
    <row r="18" spans="1:67" ht="18" customHeight="1" thickBot="1">
      <c r="A18" s="419"/>
      <c r="B18" s="395" t="s">
        <v>7051</v>
      </c>
      <c r="C18" s="395"/>
      <c r="D18" s="221"/>
      <c r="E18" s="372"/>
      <c r="F18" s="372"/>
      <c r="G18" s="372"/>
      <c r="H18" s="214"/>
      <c r="I18" s="214" t="s">
        <v>7065</v>
      </c>
      <c r="J18" s="219"/>
      <c r="K18" s="214" t="s">
        <v>7066</v>
      </c>
      <c r="L18" s="219"/>
      <c r="M18" s="258"/>
      <c r="N18" s="259"/>
      <c r="O18" s="260"/>
      <c r="P18" s="307"/>
      <c r="Q18" s="413"/>
      <c r="R18" s="416"/>
      <c r="S18" s="136"/>
      <c r="T18" s="137"/>
      <c r="U18" s="137"/>
      <c r="V18" s="137"/>
      <c r="W18" s="137"/>
      <c r="X18" s="137"/>
      <c r="Y18" s="218">
        <f t="shared" ref="Y18" si="95">IF(OR(E15="",J18=""),0,J18&amp;E15)</f>
        <v>0</v>
      </c>
      <c r="Z18" s="218">
        <f>IF(Y18=0,0,COUNTIF($Y$7:Y18,Y18))</f>
        <v>0</v>
      </c>
      <c r="AD18" s="218">
        <f>IFERROR(VLOOKUP(J18,競技会設定!$P$2:$S$22,2,0),0)</f>
        <v>0</v>
      </c>
      <c r="AE18" s="218">
        <f t="shared" ref="AE18" si="96">IF(E15="",0,IF(AD18=0,0,IF(AD18&lt;3,E15&amp;$AE$6,0)))</f>
        <v>0</v>
      </c>
      <c r="AF18" s="218">
        <f>IF(AE18=0,0,E15&amp;COUNTIF($AE$7:AE18,AE18))</f>
        <v>0</v>
      </c>
      <c r="AG18" s="218">
        <f t="shared" ref="AG18" si="97">IF(E15="",0,IF(AD18=0,0,IF(AD18&gt;=3,E15&amp;$AG$6,0)))</f>
        <v>0</v>
      </c>
      <c r="AH18" s="218">
        <f>IF(AG18=0,0,E15&amp;COUNTIF($AG$7:AG18,AG18))</f>
        <v>0</v>
      </c>
      <c r="AI18" s="218">
        <f t="shared" ref="AI18" si="98">IF(COUNTIF(Y18,"*十種*")&gt;0,0,IF($AD18=AI$6,$E15,0))</f>
        <v>0</v>
      </c>
      <c r="AJ18" s="218" t="b">
        <f>IF(AI18=0,FALSE,IF(COUNTIF(AI$7:AI18,AI18)&gt;1,TRUE,FALSE))</f>
        <v>0</v>
      </c>
      <c r="AK18" s="218">
        <f t="shared" ref="AK18" si="99">IF($AD18=AK$6,$E15,0)</f>
        <v>0</v>
      </c>
      <c r="AL18" s="218" t="b">
        <f>IF(AK18=0,FALSE,IF(COUNTIF(AK$7:AK18,AK18)&gt;1,TRUE,FALSE))</f>
        <v>0</v>
      </c>
      <c r="AM18" s="218">
        <f t="shared" ref="AM18" si="100">IF($AD18=AM$6,$E15,0)</f>
        <v>0</v>
      </c>
      <c r="AN18" s="218" t="b">
        <f>IF(AM18=0,FALSE,IF(COUNTIF(AM$7:AM18,AM18)&gt;1,TRUE,FALSE))</f>
        <v>0</v>
      </c>
      <c r="AO18" s="218">
        <f t="shared" ref="AO18" si="101">IF($AD18=AO$6,$E15,0)</f>
        <v>0</v>
      </c>
      <c r="AP18" s="218" t="b">
        <f>IF(AO18=0,FALSE,IF(COUNTIF(AO$7:AO18,AO18)&gt;1,TRUE,FALSE))</f>
        <v>0</v>
      </c>
      <c r="AQ18" s="218">
        <f t="shared" ref="AQ18" si="102">IF(COUNTIF(Y18,"*十種競技*")&gt;0,E15,0)</f>
        <v>0</v>
      </c>
      <c r="AR18" s="218" t="b">
        <f>IF(AQ18=0,FALSE,IF(OR(COUNTIF($AI$7:$AI$406,AQ18)+COUNTIF($AQ18:$AQ$406,AQ18)&gt;1,COUNTIF($AK$7:$AK$406,AQ18)+COUNTIF($AQ$7:$AQ$406,AQ18)&gt;1),TRUE,FALSE))</f>
        <v>0</v>
      </c>
      <c r="AT18" s="218" t="b">
        <f t="shared" si="6"/>
        <v>0</v>
      </c>
      <c r="AU18" s="274"/>
      <c r="AX18" s="274"/>
      <c r="BD18" s="218" t="b">
        <f t="shared" si="3"/>
        <v>0</v>
      </c>
      <c r="BF18" s="231" t="b">
        <f t="shared" ref="BF18" si="103">IF(J18="",FALSE,IF(OR(AND(AU15,L18=""),AND(AU15,L18="",OR(M18&lt;&gt;"",N18&lt;&gt;"",O18&lt;&gt;"",P18&lt;&gt;""))),TRUE,FALSE))</f>
        <v>0</v>
      </c>
      <c r="BG18" s="218" t="b">
        <f t="shared" si="4"/>
        <v>0</v>
      </c>
      <c r="BH18" s="218" t="b">
        <f t="shared" si="24"/>
        <v>0</v>
      </c>
      <c r="BI18" s="231" t="b">
        <f t="shared" ref="BI18" si="104">IF(J18="",FALSE,IF(L18=0,FALSE,IF(AND(AU15,NOT(BF18),OR(M18="",N18="",O18="")),TRUE,FALSE)))</f>
        <v>0</v>
      </c>
      <c r="BJ18" s="240" t="b">
        <f t="shared" si="5"/>
        <v>0</v>
      </c>
      <c r="BK18" s="231" t="b">
        <f>IF(NOT(BJ18),FALSE,IF(AND(競技会設定!$C$5&lt;=BJ18,BJ18&lt;=競技会設定!$C$6),FALSE,TRUE))</f>
        <v>0</v>
      </c>
      <c r="BL18" s="218" t="b">
        <f>IF(J18="",FALSE,IF(L18=0,FALSE,IF(AND(AU15,NOT(BF18),NOT(BI18),P18=""),TRUE,FALSE)))</f>
        <v>0</v>
      </c>
      <c r="BO18" s="274"/>
    </row>
    <row r="19" spans="1:67" ht="18" customHeight="1" thickTop="1">
      <c r="A19" s="420">
        <v>4</v>
      </c>
      <c r="B19" s="373" t="s">
        <v>7050</v>
      </c>
      <c r="C19" s="375"/>
      <c r="D19" s="138" t="str">
        <f t="shared" ref="D19" si="105">IF(C19="","",501&amp;TEXT(C19,"000000"))</f>
        <v/>
      </c>
      <c r="E19" s="377" t="str">
        <f>IF(D19="","",(VLOOKUP(D19,男子登録!$A$2:$N$2001,3,0)))</f>
        <v/>
      </c>
      <c r="F19" s="377" t="str">
        <f>IF(D19="","",(VLOOKUP(D19,男子登録!$A$2:$N$2001,4,0)))</f>
        <v/>
      </c>
      <c r="G19" s="138" t="str">
        <f>IF(C19="","",(VLOOKUP(D19,男子登録!$A$2:$N$2001,8,0)))</f>
        <v/>
      </c>
      <c r="H19" s="138">
        <f>IFERROR(VLOOKUP(D19,男子登録!$A$2:$N$2001,11,0),基本情報!$E$5)</f>
        <v>0</v>
      </c>
      <c r="I19" s="138" t="s">
        <v>7059</v>
      </c>
      <c r="J19" s="151"/>
      <c r="K19" s="138" t="s">
        <v>7060</v>
      </c>
      <c r="L19" s="151"/>
      <c r="M19" s="261"/>
      <c r="N19" s="262"/>
      <c r="O19" s="263"/>
      <c r="P19" s="174"/>
      <c r="Q19" s="405"/>
      <c r="R19" s="408"/>
      <c r="S19" s="136">
        <f t="shared" ref="S19" si="106">IF(OR(E19="",Q19=""),0,E19)</f>
        <v>0</v>
      </c>
      <c r="T19" s="137">
        <f>IF(S19=0,0,COUNTIF($S$7:S19,"*"))</f>
        <v>0</v>
      </c>
      <c r="U19" s="137">
        <f>IF(S19=0,0,COUNTIF($S$7:S19,S19))</f>
        <v>0</v>
      </c>
      <c r="V19" s="137">
        <f t="shared" si="9"/>
        <v>0</v>
      </c>
      <c r="W19" s="137">
        <f>IF(V19=0,0,COUNTIF($V$7:V19,"*"))</f>
        <v>0</v>
      </c>
      <c r="X19" s="137">
        <f>IF(V19=0,0,COUNTIF($V$7:V19,V19))</f>
        <v>0</v>
      </c>
      <c r="Y19" s="218">
        <f t="shared" ref="Y19" si="107">IF(OR(E19="",J19=""),0,J19&amp;E19)</f>
        <v>0</v>
      </c>
      <c r="Z19" s="218">
        <f>IF(Y19=0,0,COUNTIF($Y$7:Y19,Y19))</f>
        <v>0</v>
      </c>
      <c r="AA19" s="218" t="b">
        <f t="shared" ref="AA19" si="108">IF(COUNTIF(J19:J22,"十種競技")&gt;0,TRUE,FALSE)</f>
        <v>0</v>
      </c>
      <c r="AB19" s="218">
        <f>IF(E19="",0,IF(AA19,COUNTIF($AA$7:AA19,TRUE),0))</f>
        <v>0</v>
      </c>
      <c r="AC19" s="218">
        <f>IFERROR(VLOOKUP("十種競技",J19:L22,3,0),0)</f>
        <v>0</v>
      </c>
      <c r="AD19" s="218">
        <f>IFERROR(VLOOKUP(J19,競技会設定!$P$2:$S$22,2,0),0)</f>
        <v>0</v>
      </c>
      <c r="AE19" s="218">
        <f t="shared" ref="AE19" si="109">IF(E19="",0,IF(AD19=0,0,IF(AD19&lt;3,E19&amp;$AE$6,0)))</f>
        <v>0</v>
      </c>
      <c r="AF19" s="218">
        <f>IF(AE19=0,0,E19&amp;COUNTIF($AE$7:AE19,AE19))</f>
        <v>0</v>
      </c>
      <c r="AG19" s="218">
        <f t="shared" ref="AG19" si="110">IF(E19="",0,IF(AD19=0,0,IF(AD19&gt;=3,E19&amp;$AG$6,0)))</f>
        <v>0</v>
      </c>
      <c r="AH19" s="218">
        <f>IF(AG19=0,0,E19&amp;COUNTIF($AG$7:AG19,AG19))</f>
        <v>0</v>
      </c>
      <c r="AI19" s="218">
        <f t="shared" ref="AI19" si="111">IF(COUNTIF(Y19,"*十種*")&gt;0,0,IF($AD19=AI$6,$E19,0))</f>
        <v>0</v>
      </c>
      <c r="AJ19" s="218" t="b">
        <f>IF(AI19=0,FALSE,IF(COUNTIF(AI$7:AI19,AI19)&gt;1,TRUE,FALSE))</f>
        <v>0</v>
      </c>
      <c r="AK19" s="218">
        <f t="shared" ref="AK19" si="112">IF($AD19=AK$6,$E19,0)</f>
        <v>0</v>
      </c>
      <c r="AL19" s="218" t="b">
        <f>IF(AK19=0,FALSE,IF(COUNTIF(AK$7:AK19,AK19)&gt;1,TRUE,FALSE))</f>
        <v>0</v>
      </c>
      <c r="AM19" s="218">
        <f t="shared" ref="AM19" si="113">IF($AD19=AM$6,$E19,0)</f>
        <v>0</v>
      </c>
      <c r="AN19" s="218" t="b">
        <f>IF(AM19=0,FALSE,IF(COUNTIF(AM$7:AM19,AM19)&gt;1,TRUE,FALSE))</f>
        <v>0</v>
      </c>
      <c r="AO19" s="218">
        <f t="shared" ref="AO19" si="114">IF($AD19=AO$6,$E19,0)</f>
        <v>0</v>
      </c>
      <c r="AP19" s="218" t="b">
        <f>IF(AO19=0,FALSE,IF(COUNTIF(AO$7:AO19,AO19)&gt;1,TRUE,FALSE))</f>
        <v>0</v>
      </c>
      <c r="AQ19" s="218">
        <f t="shared" ref="AQ19" si="115">IF(COUNTIF(Y19,"*十種競技*")&gt;0,E19,0)</f>
        <v>0</v>
      </c>
      <c r="AR19" s="218" t="b">
        <f>IF(AQ19=0,FALSE,IF(OR(COUNTIF($AI$7:$AI$406,AQ19)+COUNTIF($AQ19:$AQ$406,AQ19)&gt;1,COUNTIF($AK$7:$AK$406,AQ19)+COUNTIF($AQ$7:$AQ$406,AQ19)&gt;1),TRUE,FALSE))</f>
        <v>0</v>
      </c>
      <c r="AS19" s="218" t="b">
        <f t="shared" ref="AS19" si="116">IF(AND(C19="",E19&lt;&gt;"",F19&lt;&gt;"",E21&lt;&gt;"",G19&lt;&gt;"",G20&lt;&gt;"",G21&lt;&gt;""),TRUE,FALSE)</f>
        <v>0</v>
      </c>
      <c r="AT19" s="218" t="b">
        <f t="shared" si="6"/>
        <v>0</v>
      </c>
      <c r="AU19" s="274" t="b">
        <f t="shared" ref="AU19" si="117">IFERROR(IF(D19&amp;E19&amp;F19&amp;E21&amp;G19&amp;G20&amp;G21&amp;J19&amp;J20&amp;J21&amp;J22&amp;L19&amp;L20&amp;L21&amp;L22&amp;M19&amp;M20&amp;M21&amp;M22&amp;N19&amp;N20&amp;N21&amp;N22&amp;O19&amp;O20&amp;O21&amp;O22&amp;P19&amp;P20&amp;P21&amp;P22&amp;Q19&amp;R19="",FALSE,TRUE),FALSE)</f>
        <v>0</v>
      </c>
      <c r="AV19" s="218" t="b">
        <f t="shared" ref="AV19" si="118">IF(AS19,FALSE,IF(C19="",AU19,FALSE))</f>
        <v>0</v>
      </c>
      <c r="AW19" s="218" t="b">
        <f>IF(C19="",FALSE,IF(C19&gt;2000,TRUE,FALSE))</f>
        <v>0</v>
      </c>
      <c r="AX19" s="274" t="b">
        <f>IF(H19=0,FALSE,IF(EXACT(基本情報!$E$5,H19)=TRUE,FALSE,TRUE))</f>
        <v>0</v>
      </c>
      <c r="AY19" s="218" t="b">
        <f>IF(C19="",FALSE,IF(ISNA(E19)=TRUE,TRUE,FALSE))</f>
        <v>0</v>
      </c>
      <c r="AZ19" s="274" t="b">
        <f>IFERROR(IF(E19="",FALSE,IF(COUNTIF($E$7:E19,E19)&gt;1,TRUE,FALSE)),FALSE)</f>
        <v>0</v>
      </c>
      <c r="BA19" s="218" t="b">
        <f t="shared" ref="BA19" si="119">IF(OR(J19&amp;J20&amp;J21&amp;J22&amp;Q19&amp;R19="",AT19,AT20,AT21,AT22),AU19,FALSE)</f>
        <v>0</v>
      </c>
      <c r="BB19" s="218" t="b">
        <f>IF(U19&gt;1,TRUE,FALSE)</f>
        <v>0</v>
      </c>
      <c r="BC19" s="218" t="b">
        <f>IF(X19&gt;1,TRUE,FALSE)</f>
        <v>0</v>
      </c>
      <c r="BD19" s="218" t="b">
        <f t="shared" si="3"/>
        <v>0</v>
      </c>
      <c r="BF19" s="231" t="b">
        <f t="shared" ref="BF19" si="120">IF(J19="",FALSE,IF(OR(AND(AU19,L19=""),AND(AU19,L19="",OR(M19&lt;&gt;"",N19&lt;&gt;"",O19&lt;&gt;"",P19&lt;&gt;""))),TRUE,FALSE))</f>
        <v>0</v>
      </c>
      <c r="BG19" s="218" t="b">
        <f t="shared" si="4"/>
        <v>0</v>
      </c>
      <c r="BH19" s="218" t="b">
        <f t="shared" si="24"/>
        <v>0</v>
      </c>
      <c r="BI19" s="231" t="b">
        <f t="shared" ref="BI19" si="121">IF(J19="",FALSE,IF(L19=0,FALSE,IF(AND(AU19,NOT(BF19),OR(M19="",N19="",O19="")),TRUE,FALSE)))</f>
        <v>0</v>
      </c>
      <c r="BJ19" s="240" t="b">
        <f t="shared" si="5"/>
        <v>0</v>
      </c>
      <c r="BK19" s="231" t="b">
        <f>IF(NOT(BJ19),FALSE,IF(AND(競技会設定!$C$5&lt;=BJ19,BJ19&lt;=競技会設定!$C$6),FALSE,TRUE))</f>
        <v>0</v>
      </c>
      <c r="BL19" s="218" t="b">
        <f>IF(J19="",FALSE,IF(L19=0,FALSE,IF(AND(AU19,NOT(BF19),NOT(BI19),P19=""),TRUE,FALSE)))</f>
        <v>0</v>
      </c>
      <c r="BO19" s="274">
        <f t="shared" ref="BO19" si="122">IF(AND(AU19,SUM(COUNTIF(AV19:BC19,TRUE),COUNTIF(BF19:BL22,TRUE),COUNTIF(BD19:BD22,TRUE))=0,NOT($BE$7)),1,0)</f>
        <v>0</v>
      </c>
    </row>
    <row r="20" spans="1:67" ht="17.399999999999999" customHeight="1">
      <c r="A20" s="421"/>
      <c r="B20" s="374"/>
      <c r="C20" s="376"/>
      <c r="D20" s="139"/>
      <c r="E20" s="378"/>
      <c r="F20" s="378"/>
      <c r="G20" s="139" t="str">
        <f>IF(C19="","",(VLOOKUP(D19,男子登録!$A$2:$N$2001,13,0)))</f>
        <v/>
      </c>
      <c r="H20" s="139"/>
      <c r="I20" s="139" t="s">
        <v>7061</v>
      </c>
      <c r="J20" s="152"/>
      <c r="K20" s="139" t="s">
        <v>7062</v>
      </c>
      <c r="L20" s="152"/>
      <c r="M20" s="264"/>
      <c r="N20" s="265"/>
      <c r="O20" s="266"/>
      <c r="P20" s="175"/>
      <c r="Q20" s="406"/>
      <c r="R20" s="409"/>
      <c r="S20" s="136"/>
      <c r="T20" s="137"/>
      <c r="U20" s="137"/>
      <c r="V20" s="137"/>
      <c r="W20" s="137"/>
      <c r="X20" s="137"/>
      <c r="Y20" s="218">
        <f t="shared" ref="Y20" si="123">IF(OR(E19="",J20=""),0,J20&amp;E19)</f>
        <v>0</v>
      </c>
      <c r="Z20" s="218">
        <f>IF(Y20=0,0,COUNTIF($Y$7:Y20,Y20))</f>
        <v>0</v>
      </c>
      <c r="AD20" s="218">
        <f>IFERROR(VLOOKUP(J20,競技会設定!$P$2:$S$22,2,0),0)</f>
        <v>0</v>
      </c>
      <c r="AE20" s="218">
        <f t="shared" ref="AE20" si="124">IF(E19="",0,IF(AD20=0,0,IF(AD20&lt;3,E19&amp;$AE$6,0)))</f>
        <v>0</v>
      </c>
      <c r="AF20" s="218">
        <f>IF(AE20=0,0,E19&amp;COUNTIF($AE$7:AE20,AE20))</f>
        <v>0</v>
      </c>
      <c r="AG20" s="218">
        <f t="shared" ref="AG20" si="125">IF(E19="",0,IF(AD20=0,0,IF(AD20&gt;=3,E19&amp;$AG$6,0)))</f>
        <v>0</v>
      </c>
      <c r="AH20" s="218">
        <f>IF(AG20=0,0,E19&amp;COUNTIF($AG$7:AG20,AG20))</f>
        <v>0</v>
      </c>
      <c r="AI20" s="218">
        <f t="shared" ref="AI20" si="126">IF(COUNTIF(Y20,"*十種*")&gt;0,0,IF($AD20=AI$6,$E19,0))</f>
        <v>0</v>
      </c>
      <c r="AJ20" s="218" t="b">
        <f>IF(AI20=0,FALSE,IF(COUNTIF(AI$7:AI20,AI20)&gt;1,TRUE,FALSE))</f>
        <v>0</v>
      </c>
      <c r="AK20" s="218">
        <f t="shared" ref="AK20" si="127">IF($AD20=AK$6,$E19,0)</f>
        <v>0</v>
      </c>
      <c r="AL20" s="218" t="b">
        <f>IF(AK20=0,FALSE,IF(COUNTIF(AK$7:AK20,AK20)&gt;1,TRUE,FALSE))</f>
        <v>0</v>
      </c>
      <c r="AM20" s="218">
        <f t="shared" ref="AM20" si="128">IF($AD20=AM$6,$E19,0)</f>
        <v>0</v>
      </c>
      <c r="AN20" s="218" t="b">
        <f>IF(AM20=0,FALSE,IF(COUNTIF(AM$7:AM20,AM20)&gt;1,TRUE,FALSE))</f>
        <v>0</v>
      </c>
      <c r="AO20" s="218">
        <f t="shared" ref="AO20" si="129">IF($AD20=AO$6,$E19,0)</f>
        <v>0</v>
      </c>
      <c r="AP20" s="218" t="b">
        <f>IF(AO20=0,FALSE,IF(COUNTIF(AO$7:AO20,AO20)&gt;1,TRUE,FALSE))</f>
        <v>0</v>
      </c>
      <c r="AQ20" s="218">
        <f t="shared" ref="AQ20" si="130">IF(COUNTIF(Y20,"*十種競技*")&gt;0,E19,0)</f>
        <v>0</v>
      </c>
      <c r="AR20" s="218" t="b">
        <f>IF(AQ20=0,FALSE,IF(OR(COUNTIF($AI$7:$AI$406,AQ20)+COUNTIF($AQ20:$AQ$406,AQ20)&gt;1,COUNTIF($AK$7:$AK$406,AQ20)+COUNTIF($AQ$7:$AQ$406,AQ20)&gt;1),TRUE,FALSE))</f>
        <v>0</v>
      </c>
      <c r="AT20" s="218" t="b">
        <f t="shared" si="6"/>
        <v>0</v>
      </c>
      <c r="AU20" s="274"/>
      <c r="AX20" s="274"/>
      <c r="BD20" s="218" t="b">
        <f t="shared" si="3"/>
        <v>0</v>
      </c>
      <c r="BF20" s="231" t="b">
        <f t="shared" ref="BF20" si="131">IF(J20="",FALSE,IF(OR(AND(AU19,L20=""),AND(AU19,L20="",OR(M20&lt;&gt;"",N20&lt;&gt;"",O20&lt;&gt;"",P20&lt;&gt;""))),TRUE,FALSE))</f>
        <v>0</v>
      </c>
      <c r="BG20" s="218" t="b">
        <f t="shared" si="4"/>
        <v>0</v>
      </c>
      <c r="BH20" s="218" t="b">
        <f t="shared" si="24"/>
        <v>0</v>
      </c>
      <c r="BI20" s="231" t="b">
        <f t="shared" ref="BI20" si="132">IF(J20="",FALSE,IF(L20=0,FALSE,IF(AND(AU19,NOT(BF20),OR(M20="",N20="",O20="")),TRUE,FALSE)))</f>
        <v>0</v>
      </c>
      <c r="BJ20" s="240" t="b">
        <f t="shared" si="5"/>
        <v>0</v>
      </c>
      <c r="BK20" s="231" t="b">
        <f>IF(NOT(BJ20),FALSE,IF(AND(競技会設定!$C$5&lt;=BJ20,BJ20&lt;=競技会設定!$C$6),FALSE,TRUE))</f>
        <v>0</v>
      </c>
      <c r="BL20" s="218" t="b">
        <f>IF(J20="",FALSE,IF(L20=0,FALSE,IF(AND(AU19,NOT(BF20),NOT(BI20),P20=""),TRUE,FALSE)))</f>
        <v>0</v>
      </c>
      <c r="BO20" s="274"/>
    </row>
    <row r="21" spans="1:67" ht="17.399999999999999" customHeight="1">
      <c r="A21" s="421"/>
      <c r="B21" s="374"/>
      <c r="C21" s="376"/>
      <c r="D21" s="140"/>
      <c r="E21" s="379" t="str">
        <f>IF(C19="","",VLOOKUP(D19,男子登録!$A$2:$O$2001,14,0)&amp;" ("&amp;VLOOKUP(D19,男子登録!$A$2:$O$2001,15,0)&amp;")")</f>
        <v/>
      </c>
      <c r="F21" s="380"/>
      <c r="G21" s="140" t="str">
        <f>IF(C19="","",(VLOOKUP(D19,男子登録!$A$2:$N$2001,9,0)))</f>
        <v/>
      </c>
      <c r="H21" s="140"/>
      <c r="I21" s="140" t="s">
        <v>7063</v>
      </c>
      <c r="J21" s="153"/>
      <c r="K21" s="140" t="s">
        <v>7064</v>
      </c>
      <c r="L21" s="153"/>
      <c r="M21" s="264"/>
      <c r="N21" s="265"/>
      <c r="O21" s="266"/>
      <c r="P21" s="175"/>
      <c r="Q21" s="406"/>
      <c r="R21" s="409"/>
      <c r="S21" s="136"/>
      <c r="T21" s="137"/>
      <c r="U21" s="137"/>
      <c r="V21" s="137"/>
      <c r="W21" s="137"/>
      <c r="X21" s="137"/>
      <c r="Y21" s="218">
        <f t="shared" ref="Y21" si="133">IF(OR(E19="",J21=""),0,J21&amp;E19)</f>
        <v>0</v>
      </c>
      <c r="Z21" s="218">
        <f>IF(Y21=0,0,COUNTIF($Y$7:Y21,Y21))</f>
        <v>0</v>
      </c>
      <c r="AD21" s="218">
        <f>IFERROR(VLOOKUP(J21,競技会設定!$P$2:$S$22,2,0),0)</f>
        <v>0</v>
      </c>
      <c r="AE21" s="218">
        <f t="shared" ref="AE21" si="134">IF(E19="",0,IF(AD21=0,0,IF(AD21&lt;3,E19&amp;$AE$6,0)))</f>
        <v>0</v>
      </c>
      <c r="AF21" s="218">
        <f>IF(AE21=0,0,E19&amp;COUNTIF($AE$7:AE21,AE21))</f>
        <v>0</v>
      </c>
      <c r="AG21" s="218">
        <f t="shared" ref="AG21" si="135">IF(E19="",0,IF(AD21=0,0,IF(AD21&gt;=3,E19&amp;$AG$6,0)))</f>
        <v>0</v>
      </c>
      <c r="AH21" s="218">
        <f>IF(AG21=0,0,E19&amp;COUNTIF($AG$7:AG21,AG21))</f>
        <v>0</v>
      </c>
      <c r="AI21" s="218">
        <f t="shared" ref="AI21" si="136">IF(COUNTIF(Y21,"*十種*")&gt;0,0,IF($AD21=AI$6,$E19,0))</f>
        <v>0</v>
      </c>
      <c r="AJ21" s="218" t="b">
        <f>IF(AI21=0,FALSE,IF(COUNTIF(AI$7:AI21,AI21)&gt;1,TRUE,FALSE))</f>
        <v>0</v>
      </c>
      <c r="AK21" s="218">
        <f t="shared" ref="AK21" si="137">IF($AD21=AK$6,$E19,0)</f>
        <v>0</v>
      </c>
      <c r="AL21" s="218" t="b">
        <f>IF(AK21=0,FALSE,IF(COUNTIF(AK$7:AK21,AK21)&gt;1,TRUE,FALSE))</f>
        <v>0</v>
      </c>
      <c r="AM21" s="218">
        <f t="shared" ref="AM21" si="138">IF($AD21=AM$6,$E19,0)</f>
        <v>0</v>
      </c>
      <c r="AN21" s="218" t="b">
        <f>IF(AM21=0,FALSE,IF(COUNTIF(AM$7:AM21,AM21)&gt;1,TRUE,FALSE))</f>
        <v>0</v>
      </c>
      <c r="AO21" s="218">
        <f t="shared" ref="AO21" si="139">IF($AD21=AO$6,$E19,0)</f>
        <v>0</v>
      </c>
      <c r="AP21" s="218" t="b">
        <f>IF(AO21=0,FALSE,IF(COUNTIF(AO$7:AO21,AO21)&gt;1,TRUE,FALSE))</f>
        <v>0</v>
      </c>
      <c r="AQ21" s="218">
        <f t="shared" ref="AQ21" si="140">IF(COUNTIF(Y21,"*十種競技*")&gt;0,E19,0)</f>
        <v>0</v>
      </c>
      <c r="AR21" s="218" t="b">
        <f>IF(AQ21=0,FALSE,IF(OR(COUNTIF($AI$7:$AI$406,AQ21)+COUNTIF($AQ21:$AQ$406,AQ21)&gt;1,COUNTIF($AK$7:$AK$406,AQ21)+COUNTIF($AQ$7:$AQ$406,AQ21)&gt;1),TRUE,FALSE))</f>
        <v>0</v>
      </c>
      <c r="AT21" s="218" t="b">
        <f t="shared" si="6"/>
        <v>0</v>
      </c>
      <c r="AU21" s="274"/>
      <c r="AX21" s="274"/>
      <c r="BD21" s="218" t="b">
        <f t="shared" si="3"/>
        <v>0</v>
      </c>
      <c r="BF21" s="231" t="b">
        <f t="shared" ref="BF21" si="141">IF(J21="",FALSE,IF(OR(AND(AU19,L21=""),AND(AU19,L21="",OR(M21&lt;&gt;"",N21&lt;&gt;"",O21&lt;&gt;"",P21&lt;&gt;""))),TRUE,FALSE))</f>
        <v>0</v>
      </c>
      <c r="BG21" s="218" t="b">
        <f t="shared" si="4"/>
        <v>0</v>
      </c>
      <c r="BH21" s="218" t="b">
        <f t="shared" si="24"/>
        <v>0</v>
      </c>
      <c r="BI21" s="231" t="b">
        <f t="shared" ref="BI21" si="142">IF(J21="",FALSE,IF(L21=0,FALSE,IF(AND(AU19,NOT(BF21),OR(M21="",N21="",O21="")),TRUE,FALSE)))</f>
        <v>0</v>
      </c>
      <c r="BJ21" s="240" t="b">
        <f t="shared" si="5"/>
        <v>0</v>
      </c>
      <c r="BK21" s="231" t="b">
        <f>IF(NOT(BJ21),FALSE,IF(AND(競技会設定!$C$5&lt;=BJ21,BJ21&lt;=競技会設定!$C$6),FALSE,TRUE))</f>
        <v>0</v>
      </c>
      <c r="BL21" s="218" t="b">
        <f>IF(J21="",FALSE,IF(L21=0,FALSE,IF(AND(AU19,NOT(BF21),NOT(BI21),P21=""),TRUE,FALSE)))</f>
        <v>0</v>
      </c>
      <c r="BO21" s="274"/>
    </row>
    <row r="22" spans="1:67" ht="18" customHeight="1" thickBot="1">
      <c r="A22" s="422"/>
      <c r="B22" s="387" t="s">
        <v>7051</v>
      </c>
      <c r="C22" s="387"/>
      <c r="D22" s="213"/>
      <c r="E22" s="388"/>
      <c r="F22" s="389"/>
      <c r="G22" s="390"/>
      <c r="H22" s="141"/>
      <c r="I22" s="213" t="s">
        <v>7065</v>
      </c>
      <c r="J22" s="154"/>
      <c r="K22" s="213" t="s">
        <v>7066</v>
      </c>
      <c r="L22" s="154"/>
      <c r="M22" s="267"/>
      <c r="N22" s="268"/>
      <c r="O22" s="269"/>
      <c r="P22" s="177"/>
      <c r="Q22" s="407"/>
      <c r="R22" s="410"/>
      <c r="S22" s="136"/>
      <c r="T22" s="137"/>
      <c r="U22" s="137"/>
      <c r="V22" s="137"/>
      <c r="W22" s="137"/>
      <c r="X22" s="137"/>
      <c r="Y22" s="218">
        <f t="shared" ref="Y22" si="143">IF(OR(E19="",J22=""),0,J22&amp;E19)</f>
        <v>0</v>
      </c>
      <c r="Z22" s="218">
        <f>IF(Y22=0,0,COUNTIF($Y$7:Y22,Y22))</f>
        <v>0</v>
      </c>
      <c r="AD22" s="218">
        <f>IFERROR(VLOOKUP(J22,競技会設定!$P$2:$S$22,2,0),0)</f>
        <v>0</v>
      </c>
      <c r="AE22" s="218">
        <f t="shared" ref="AE22" si="144">IF(E19="",0,IF(AD22=0,0,IF(AD22&lt;3,E19&amp;$AE$6,0)))</f>
        <v>0</v>
      </c>
      <c r="AF22" s="218">
        <f>IF(AE22=0,0,E19&amp;COUNTIF($AE$7:AE22,AE22))</f>
        <v>0</v>
      </c>
      <c r="AG22" s="218">
        <f t="shared" ref="AG22" si="145">IF(E19="",0,IF(AD22=0,0,IF(AD22&gt;=3,E19&amp;$AG$6,0)))</f>
        <v>0</v>
      </c>
      <c r="AH22" s="218">
        <f>IF(AG22=0,0,E19&amp;COUNTIF($AG$7:AG22,AG22))</f>
        <v>0</v>
      </c>
      <c r="AI22" s="218">
        <f t="shared" ref="AI22" si="146">IF(COUNTIF(Y22,"*十種*")&gt;0,0,IF($AD22=AI$6,$E19,0))</f>
        <v>0</v>
      </c>
      <c r="AJ22" s="218" t="b">
        <f>IF(AI22=0,FALSE,IF(COUNTIF(AI$7:AI22,AI22)&gt;1,TRUE,FALSE))</f>
        <v>0</v>
      </c>
      <c r="AK22" s="218">
        <f t="shared" ref="AK22" si="147">IF($AD22=AK$6,$E19,0)</f>
        <v>0</v>
      </c>
      <c r="AL22" s="218" t="b">
        <f>IF(AK22=0,FALSE,IF(COUNTIF(AK$7:AK22,AK22)&gt;1,TRUE,FALSE))</f>
        <v>0</v>
      </c>
      <c r="AM22" s="218">
        <f t="shared" ref="AM22" si="148">IF($AD22=AM$6,$E19,0)</f>
        <v>0</v>
      </c>
      <c r="AN22" s="218" t="b">
        <f>IF(AM22=0,FALSE,IF(COUNTIF(AM$7:AM22,AM22)&gt;1,TRUE,FALSE))</f>
        <v>0</v>
      </c>
      <c r="AO22" s="218">
        <f t="shared" ref="AO22" si="149">IF($AD22=AO$6,$E19,0)</f>
        <v>0</v>
      </c>
      <c r="AP22" s="218" t="b">
        <f>IF(AO22=0,FALSE,IF(COUNTIF(AO$7:AO22,AO22)&gt;1,TRUE,FALSE))</f>
        <v>0</v>
      </c>
      <c r="AQ22" s="218">
        <f t="shared" ref="AQ22" si="150">IF(COUNTIF(Y22,"*十種競技*")&gt;0,E19,0)</f>
        <v>0</v>
      </c>
      <c r="AR22" s="218" t="b">
        <f>IF(AQ22=0,FALSE,IF(OR(COUNTIF($AI$7:$AI$406,AQ22)+COUNTIF($AQ22:$AQ$406,AQ22)&gt;1,COUNTIF($AK$7:$AK$406,AQ22)+COUNTIF($AQ$7:$AQ$406,AQ22)&gt;1),TRUE,FALSE))</f>
        <v>0</v>
      </c>
      <c r="AT22" s="218" t="b">
        <f t="shared" si="6"/>
        <v>0</v>
      </c>
      <c r="AU22" s="274"/>
      <c r="AX22" s="274"/>
      <c r="BD22" s="218" t="b">
        <f t="shared" si="3"/>
        <v>0</v>
      </c>
      <c r="BF22" s="231" t="b">
        <f t="shared" ref="BF22" si="151">IF(J22="",FALSE,IF(OR(AND(AU19,L22=""),AND(AU19,L22="",OR(M22&lt;&gt;"",N22&lt;&gt;"",O22&lt;&gt;"",P22&lt;&gt;""))),TRUE,FALSE))</f>
        <v>0</v>
      </c>
      <c r="BG22" s="218" t="b">
        <f t="shared" si="4"/>
        <v>0</v>
      </c>
      <c r="BH22" s="218" t="b">
        <f t="shared" si="24"/>
        <v>0</v>
      </c>
      <c r="BI22" s="231" t="b">
        <f t="shared" ref="BI22" si="152">IF(J22="",FALSE,IF(L22=0,FALSE,IF(AND(AU19,NOT(BF22),OR(M22="",N22="",O22="")),TRUE,FALSE)))</f>
        <v>0</v>
      </c>
      <c r="BJ22" s="240" t="b">
        <f t="shared" si="5"/>
        <v>0</v>
      </c>
      <c r="BK22" s="231" t="b">
        <f>IF(NOT(BJ22),FALSE,IF(AND(競技会設定!$C$5&lt;=BJ22,BJ22&lt;=競技会設定!$C$6),FALSE,TRUE))</f>
        <v>0</v>
      </c>
      <c r="BL22" s="218" t="b">
        <f>IF(J22="",FALSE,IF(L22=0,FALSE,IF(AND(AU19,NOT(BF22),NOT(BI22),P22=""),TRUE,FALSE)))</f>
        <v>0</v>
      </c>
      <c r="BO22" s="274"/>
    </row>
    <row r="23" spans="1:67" ht="18" customHeight="1" thickTop="1">
      <c r="A23" s="417">
        <v>5</v>
      </c>
      <c r="B23" s="401" t="s">
        <v>7050</v>
      </c>
      <c r="C23" s="403"/>
      <c r="D23" s="220" t="str">
        <f t="shared" ref="D23" si="153">IF(C23="","",501&amp;TEXT(C23,"000000"))</f>
        <v/>
      </c>
      <c r="E23" s="396" t="str">
        <f>IF(D23="","",(VLOOKUP(D23,男子登録!$A$2:$N$2001,3,0)))</f>
        <v/>
      </c>
      <c r="F23" s="396" t="str">
        <f>IF(D23="","",(VLOOKUP(D23,男子登録!$A$2:$N$2001,4,0)))</f>
        <v/>
      </c>
      <c r="G23" s="220" t="str">
        <f>IF(C23="","",(VLOOKUP(D23,男子登録!$A$2:$N$2001,8,0)))</f>
        <v/>
      </c>
      <c r="H23" s="220">
        <f>IFERROR(VLOOKUP(D23,男子登録!$A$2:$N$2001,11,0),基本情報!$E$5)</f>
        <v>0</v>
      </c>
      <c r="I23" s="220" t="s">
        <v>7059</v>
      </c>
      <c r="J23" s="148"/>
      <c r="K23" s="220" t="s">
        <v>7060</v>
      </c>
      <c r="L23" s="148"/>
      <c r="M23" s="252"/>
      <c r="N23" s="253"/>
      <c r="O23" s="254"/>
      <c r="P23" s="170"/>
      <c r="Q23" s="411"/>
      <c r="R23" s="414"/>
      <c r="S23" s="136">
        <f t="shared" ref="S23" si="154">IF(OR(E23="",Q23=""),0,E23)</f>
        <v>0</v>
      </c>
      <c r="T23" s="137">
        <f>IF(S23=0,0,COUNTIF($S$7:S23,"*"))</f>
        <v>0</v>
      </c>
      <c r="U23" s="137">
        <f>IF(S23=0,0,COUNTIF($S$7:S23,S23))</f>
        <v>0</v>
      </c>
      <c r="V23" s="137">
        <f t="shared" si="9"/>
        <v>0</v>
      </c>
      <c r="W23" s="137">
        <f>IF(V23=0,0,COUNTIF($V$7:V23,"*"))</f>
        <v>0</v>
      </c>
      <c r="X23" s="137">
        <f>IF(V23=0,0,COUNTIF($V$7:V23,V23))</f>
        <v>0</v>
      </c>
      <c r="Y23" s="218">
        <f t="shared" ref="Y23" si="155">IF(OR(E23="",J23=""),0,J23&amp;E23)</f>
        <v>0</v>
      </c>
      <c r="Z23" s="218">
        <f>IF(Y23=0,0,COUNTIF($Y$7:Y23,Y23))</f>
        <v>0</v>
      </c>
      <c r="AA23" s="218" t="b">
        <f t="shared" ref="AA23" si="156">IF(COUNTIF(J23:J26,"十種競技")&gt;0,TRUE,FALSE)</f>
        <v>0</v>
      </c>
      <c r="AB23" s="218">
        <f>IF(E23="",0,IF(AA23,COUNTIF($AA$7:AA23,TRUE),0))</f>
        <v>0</v>
      </c>
      <c r="AC23" s="218">
        <f>IFERROR(VLOOKUP("十種競技",J23:L26,3,0),0)</f>
        <v>0</v>
      </c>
      <c r="AD23" s="218">
        <f>IFERROR(VLOOKUP(J23,競技会設定!$P$2:$S$22,2,0),0)</f>
        <v>0</v>
      </c>
      <c r="AE23" s="218">
        <f t="shared" ref="AE23" si="157">IF(E23="",0,IF(AD23=0,0,IF(AD23&lt;3,E23&amp;$AE$6,0)))</f>
        <v>0</v>
      </c>
      <c r="AF23" s="218">
        <f>IF(AE23=0,0,E23&amp;COUNTIF($AE$7:AE23,AE23))</f>
        <v>0</v>
      </c>
      <c r="AG23" s="218">
        <f t="shared" ref="AG23" si="158">IF(E23="",0,IF(AD23=0,0,IF(AD23&gt;=3,E23&amp;$AG$6,0)))</f>
        <v>0</v>
      </c>
      <c r="AH23" s="218">
        <f>IF(AG23=0,0,E23&amp;COUNTIF($AG$7:AG23,AG23))</f>
        <v>0</v>
      </c>
      <c r="AI23" s="218">
        <f t="shared" ref="AI23" si="159">IF(COUNTIF(Y23,"*十種*")&gt;0,0,IF($AD23=AI$6,$E23,0))</f>
        <v>0</v>
      </c>
      <c r="AJ23" s="218" t="b">
        <f>IF(AI23=0,FALSE,IF(COUNTIF(AI$7:AI23,AI23)&gt;1,TRUE,FALSE))</f>
        <v>0</v>
      </c>
      <c r="AK23" s="218">
        <f t="shared" ref="AK23" si="160">IF($AD23=AK$6,$E23,0)</f>
        <v>0</v>
      </c>
      <c r="AL23" s="218" t="b">
        <f>IF(AK23=0,FALSE,IF(COUNTIF(AK$7:AK23,AK23)&gt;1,TRUE,FALSE))</f>
        <v>0</v>
      </c>
      <c r="AM23" s="218">
        <f t="shared" ref="AM23" si="161">IF($AD23=AM$6,$E23,0)</f>
        <v>0</v>
      </c>
      <c r="AN23" s="218" t="b">
        <f>IF(AM23=0,FALSE,IF(COUNTIF(AM$7:AM23,AM23)&gt;1,TRUE,FALSE))</f>
        <v>0</v>
      </c>
      <c r="AO23" s="218">
        <f t="shared" ref="AO23" si="162">IF($AD23=AO$6,$E23,0)</f>
        <v>0</v>
      </c>
      <c r="AP23" s="218" t="b">
        <f>IF(AO23=0,FALSE,IF(COUNTIF(AO$7:AO23,AO23)&gt;1,TRUE,FALSE))</f>
        <v>0</v>
      </c>
      <c r="AQ23" s="218">
        <f t="shared" ref="AQ23" si="163">IF(COUNTIF(Y23,"*十種競技*")&gt;0,E23,0)</f>
        <v>0</v>
      </c>
      <c r="AR23" s="218" t="b">
        <f>IF(AQ23=0,FALSE,IF(OR(COUNTIF($AI$7:$AI$406,AQ23)+COUNTIF($AQ23:$AQ$406,AQ23)&gt;1,COUNTIF($AK$7:$AK$406,AQ23)+COUNTIF($AQ$7:$AQ$406,AQ23)&gt;1),TRUE,FALSE))</f>
        <v>0</v>
      </c>
      <c r="AS23" s="218" t="b">
        <f t="shared" ref="AS23" si="164">IF(AND(C23="",E23&lt;&gt;"",F23&lt;&gt;"",E25&lt;&gt;"",G23&lt;&gt;"",G24&lt;&gt;"",G25&lt;&gt;""),TRUE,FALSE)</f>
        <v>0</v>
      </c>
      <c r="AT23" s="218" t="b">
        <f t="shared" si="6"/>
        <v>0</v>
      </c>
      <c r="AU23" s="274" t="b">
        <f t="shared" ref="AU23" si="165">IFERROR(IF(D23&amp;E23&amp;F23&amp;E25&amp;G23&amp;G24&amp;G25&amp;J23&amp;J24&amp;J25&amp;J26&amp;L23&amp;L24&amp;L25&amp;L26&amp;M23&amp;M24&amp;M25&amp;M26&amp;N23&amp;N24&amp;N25&amp;N26&amp;O23&amp;O24&amp;O25&amp;O26&amp;P23&amp;P24&amp;P25&amp;P26&amp;Q23&amp;R23="",FALSE,TRUE),FALSE)</f>
        <v>0</v>
      </c>
      <c r="AV23" s="218" t="b">
        <f t="shared" ref="AV23" si="166">IF(AS23,FALSE,IF(C23="",AU23,FALSE))</f>
        <v>0</v>
      </c>
      <c r="AW23" s="218" t="b">
        <f>IF(C23="",FALSE,IF(C23&gt;2000,TRUE,FALSE))</f>
        <v>0</v>
      </c>
      <c r="AX23" s="274" t="b">
        <f>IF(H23=0,FALSE,IF(EXACT(基本情報!$E$5,H23)=TRUE,FALSE,TRUE))</f>
        <v>0</v>
      </c>
      <c r="AY23" s="218" t="b">
        <f>IF(C23="",FALSE,IF(ISNA(E23)=TRUE,TRUE,FALSE))</f>
        <v>0</v>
      </c>
      <c r="AZ23" s="274" t="b">
        <f>IFERROR(IF(E23="",FALSE,IF(COUNTIF($E$7:E23,E23)&gt;1,TRUE,FALSE)),FALSE)</f>
        <v>0</v>
      </c>
      <c r="BA23" s="218" t="b">
        <f t="shared" ref="BA23" si="167">IF(OR(J23&amp;J24&amp;J25&amp;J26&amp;Q23&amp;R23="",AT23,AT24,AT25,AT26),AU23,FALSE)</f>
        <v>0</v>
      </c>
      <c r="BB23" s="218" t="b">
        <f>IF(U23&gt;1,TRUE,FALSE)</f>
        <v>0</v>
      </c>
      <c r="BC23" s="218" t="b">
        <f>IF(X23&gt;1,TRUE,FALSE)</f>
        <v>0</v>
      </c>
      <c r="BD23" s="218" t="b">
        <f t="shared" si="3"/>
        <v>0</v>
      </c>
      <c r="BF23" s="231" t="b">
        <f t="shared" ref="BF23" si="168">IF(J23="",FALSE,IF(OR(AND(AU23,L23=""),AND(AU23,L23="",OR(M23&lt;&gt;"",N23&lt;&gt;"",O23&lt;&gt;"",P23&lt;&gt;""))),TRUE,FALSE))</f>
        <v>0</v>
      </c>
      <c r="BG23" s="218" t="b">
        <f t="shared" si="4"/>
        <v>0</v>
      </c>
      <c r="BH23" s="218" t="b">
        <f t="shared" si="24"/>
        <v>0</v>
      </c>
      <c r="BI23" s="231" t="b">
        <f t="shared" ref="BI23" si="169">IF(J23="",FALSE,IF(L23=0,FALSE,IF(AND(AU23,NOT(BF23),OR(M23="",N23="",O23="")),TRUE,FALSE)))</f>
        <v>0</v>
      </c>
      <c r="BJ23" s="240" t="b">
        <f t="shared" si="5"/>
        <v>0</v>
      </c>
      <c r="BK23" s="231" t="b">
        <f>IF(NOT(BJ23),FALSE,IF(AND(競技会設定!$C$5&lt;=BJ23,BJ23&lt;=競技会設定!$C$6),FALSE,TRUE))</f>
        <v>0</v>
      </c>
      <c r="BL23" s="218" t="b">
        <f>IF(J23="",FALSE,IF(L23=0,FALSE,IF(AND(AU23,NOT(BF23),NOT(BI23),P23=""),TRUE,FALSE)))</f>
        <v>0</v>
      </c>
      <c r="BO23" s="274">
        <f t="shared" ref="BO23" si="170">IF(AND(AU23,SUM(COUNTIF(AV23:BC23,TRUE),COUNTIF(BF23:BL26,TRUE),COUNTIF(BD23:BD26,TRUE))=0,NOT($BE$7)),1,0)</f>
        <v>0</v>
      </c>
    </row>
    <row r="24" spans="1:67" ht="17.399999999999999" customHeight="1">
      <c r="A24" s="418"/>
      <c r="B24" s="402"/>
      <c r="C24" s="404"/>
      <c r="D24" s="221"/>
      <c r="E24" s="397"/>
      <c r="F24" s="397"/>
      <c r="G24" s="221" t="str">
        <f>IF(C23="","",(VLOOKUP(D23,男子登録!$A$2:$N$2001,13,0)))</f>
        <v/>
      </c>
      <c r="H24" s="221"/>
      <c r="I24" s="221" t="s">
        <v>7061</v>
      </c>
      <c r="J24" s="149"/>
      <c r="K24" s="221" t="s">
        <v>7062</v>
      </c>
      <c r="L24" s="149"/>
      <c r="M24" s="255"/>
      <c r="N24" s="256"/>
      <c r="O24" s="257"/>
      <c r="P24" s="171"/>
      <c r="Q24" s="412"/>
      <c r="R24" s="415"/>
      <c r="S24" s="136"/>
      <c r="T24" s="137"/>
      <c r="U24" s="137"/>
      <c r="V24" s="137"/>
      <c r="W24" s="137"/>
      <c r="X24" s="137"/>
      <c r="Y24" s="218">
        <f t="shared" ref="Y24" si="171">IF(OR(E23="",J24=""),0,J24&amp;E23)</f>
        <v>0</v>
      </c>
      <c r="Z24" s="218">
        <f>IF(Y24=0,0,COUNTIF($Y$7:Y24,Y24))</f>
        <v>0</v>
      </c>
      <c r="AD24" s="218">
        <f>IFERROR(VLOOKUP(J24,競技会設定!$P$2:$S$22,2,0),0)</f>
        <v>0</v>
      </c>
      <c r="AE24" s="218">
        <f t="shared" ref="AE24" si="172">IF(E23="",0,IF(AD24=0,0,IF(AD24&lt;3,E23&amp;$AE$6,0)))</f>
        <v>0</v>
      </c>
      <c r="AF24" s="218">
        <f>IF(AE24=0,0,E23&amp;COUNTIF($AE$7:AE24,AE24))</f>
        <v>0</v>
      </c>
      <c r="AG24" s="218">
        <f t="shared" ref="AG24" si="173">IF(E23="",0,IF(AD24=0,0,IF(AD24&gt;=3,E23&amp;$AG$6,0)))</f>
        <v>0</v>
      </c>
      <c r="AH24" s="218">
        <f>IF(AG24=0,0,E23&amp;COUNTIF($AG$7:AG24,AG24))</f>
        <v>0</v>
      </c>
      <c r="AI24" s="218">
        <f t="shared" ref="AI24" si="174">IF(COUNTIF(Y24,"*十種*")&gt;0,0,IF($AD24=AI$6,$E23,0))</f>
        <v>0</v>
      </c>
      <c r="AJ24" s="218" t="b">
        <f>IF(AI24=0,FALSE,IF(COUNTIF(AI$7:AI24,AI24)&gt;1,TRUE,FALSE))</f>
        <v>0</v>
      </c>
      <c r="AK24" s="218">
        <f t="shared" ref="AK24" si="175">IF($AD24=AK$6,$E23,0)</f>
        <v>0</v>
      </c>
      <c r="AL24" s="218" t="b">
        <f>IF(AK24=0,FALSE,IF(COUNTIF(AK$7:AK24,AK24)&gt;1,TRUE,FALSE))</f>
        <v>0</v>
      </c>
      <c r="AM24" s="218">
        <f t="shared" ref="AM24" si="176">IF($AD24=AM$6,$E23,0)</f>
        <v>0</v>
      </c>
      <c r="AN24" s="218" t="b">
        <f>IF(AM24=0,FALSE,IF(COUNTIF(AM$7:AM24,AM24)&gt;1,TRUE,FALSE))</f>
        <v>0</v>
      </c>
      <c r="AO24" s="218">
        <f t="shared" ref="AO24" si="177">IF($AD24=AO$6,$E23,0)</f>
        <v>0</v>
      </c>
      <c r="AP24" s="218" t="b">
        <f>IF(AO24=0,FALSE,IF(COUNTIF(AO$7:AO24,AO24)&gt;1,TRUE,FALSE))</f>
        <v>0</v>
      </c>
      <c r="AQ24" s="218">
        <f t="shared" ref="AQ24" si="178">IF(COUNTIF(Y24,"*十種競技*")&gt;0,E23,0)</f>
        <v>0</v>
      </c>
      <c r="AR24" s="218" t="b">
        <f>IF(AQ24=0,FALSE,IF(OR(COUNTIF($AI$7:$AI$406,AQ24)+COUNTIF($AQ24:$AQ$406,AQ24)&gt;1,COUNTIF($AK$7:$AK$406,AQ24)+COUNTIF($AQ$7:$AQ$406,AQ24)&gt;1),TRUE,FALSE))</f>
        <v>0</v>
      </c>
      <c r="AT24" s="218" t="b">
        <f t="shared" si="6"/>
        <v>0</v>
      </c>
      <c r="AU24" s="274"/>
      <c r="AX24" s="274"/>
      <c r="BD24" s="218" t="b">
        <f t="shared" si="3"/>
        <v>0</v>
      </c>
      <c r="BF24" s="231" t="b">
        <f t="shared" ref="BF24" si="179">IF(J24="",FALSE,IF(OR(AND(AU23,L24=""),AND(AU23,L24="",OR(M24&lt;&gt;"",N24&lt;&gt;"",O24&lt;&gt;"",P24&lt;&gt;""))),TRUE,FALSE))</f>
        <v>0</v>
      </c>
      <c r="BG24" s="218" t="b">
        <f t="shared" si="4"/>
        <v>0</v>
      </c>
      <c r="BH24" s="218" t="b">
        <f t="shared" si="24"/>
        <v>0</v>
      </c>
      <c r="BI24" s="231" t="b">
        <f t="shared" ref="BI24" si="180">IF(J24="",FALSE,IF(L24=0,FALSE,IF(AND(AU23,NOT(BF24),OR(M24="",N24="",O24="")),TRUE,FALSE)))</f>
        <v>0</v>
      </c>
      <c r="BJ24" s="240" t="b">
        <f t="shared" si="5"/>
        <v>0</v>
      </c>
      <c r="BK24" s="231" t="b">
        <f>IF(NOT(BJ24),FALSE,IF(AND(競技会設定!$C$5&lt;=BJ24,BJ24&lt;=競技会設定!$C$6),FALSE,TRUE))</f>
        <v>0</v>
      </c>
      <c r="BL24" s="218" t="b">
        <f>IF(J24="",FALSE,IF(L24=0,FALSE,IF(AND(AU23,NOT(BF24),NOT(BI24),P24=""),TRUE,FALSE)))</f>
        <v>0</v>
      </c>
      <c r="BO24" s="274"/>
    </row>
    <row r="25" spans="1:67" ht="17.399999999999999" customHeight="1">
      <c r="A25" s="418"/>
      <c r="B25" s="402"/>
      <c r="C25" s="404"/>
      <c r="D25" s="221"/>
      <c r="E25" s="394" t="str">
        <f>IF(C23="","",VLOOKUP(D23,男子登録!$A$2:$O$2001,14,0)&amp;" ("&amp;VLOOKUP(D23,男子登録!$A$2:$O$2001,15,0)&amp;")")</f>
        <v/>
      </c>
      <c r="F25" s="394"/>
      <c r="G25" s="222" t="str">
        <f>IF(C23="","",(VLOOKUP(D23,男子登録!$A$2:$N$2001,9,0)))</f>
        <v/>
      </c>
      <c r="H25" s="222"/>
      <c r="I25" s="222" t="s">
        <v>7063</v>
      </c>
      <c r="J25" s="150"/>
      <c r="K25" s="222" t="s">
        <v>7064</v>
      </c>
      <c r="L25" s="150"/>
      <c r="M25" s="255"/>
      <c r="N25" s="256"/>
      <c r="O25" s="257"/>
      <c r="P25" s="171"/>
      <c r="Q25" s="412"/>
      <c r="R25" s="415"/>
      <c r="S25" s="136"/>
      <c r="T25" s="137"/>
      <c r="U25" s="137"/>
      <c r="V25" s="137"/>
      <c r="W25" s="137"/>
      <c r="X25" s="137"/>
      <c r="Y25" s="218">
        <f t="shared" ref="Y25" si="181">IF(OR(E23="",J25=""),0,J25&amp;E23)</f>
        <v>0</v>
      </c>
      <c r="Z25" s="218">
        <f>IF(Y25=0,0,COUNTIF($Y$7:Y25,Y25))</f>
        <v>0</v>
      </c>
      <c r="AD25" s="218">
        <f>IFERROR(VLOOKUP(J25,競技会設定!$P$2:$S$22,2,0),0)</f>
        <v>0</v>
      </c>
      <c r="AE25" s="218">
        <f t="shared" ref="AE25" si="182">IF(E23="",0,IF(AD25=0,0,IF(AD25&lt;3,E23&amp;$AE$6,0)))</f>
        <v>0</v>
      </c>
      <c r="AF25" s="218">
        <f>IF(AE25=0,0,E23&amp;COUNTIF($AE$7:AE25,AE25))</f>
        <v>0</v>
      </c>
      <c r="AG25" s="218">
        <f t="shared" ref="AG25" si="183">IF(E23="",0,IF(AD25=0,0,IF(AD25&gt;=3,E23&amp;$AG$6,0)))</f>
        <v>0</v>
      </c>
      <c r="AH25" s="218">
        <f>IF(AG25=0,0,E23&amp;COUNTIF($AG$7:AG25,AG25))</f>
        <v>0</v>
      </c>
      <c r="AI25" s="218">
        <f t="shared" ref="AI25" si="184">IF(COUNTIF(Y25,"*十種*")&gt;0,0,IF($AD25=AI$6,$E23,0))</f>
        <v>0</v>
      </c>
      <c r="AJ25" s="218" t="b">
        <f>IF(AI25=0,FALSE,IF(COUNTIF(AI$7:AI25,AI25)&gt;1,TRUE,FALSE))</f>
        <v>0</v>
      </c>
      <c r="AK25" s="218">
        <f t="shared" ref="AK25" si="185">IF($AD25=AK$6,$E23,0)</f>
        <v>0</v>
      </c>
      <c r="AL25" s="218" t="b">
        <f>IF(AK25=0,FALSE,IF(COUNTIF(AK$7:AK25,AK25)&gt;1,TRUE,FALSE))</f>
        <v>0</v>
      </c>
      <c r="AM25" s="218">
        <f t="shared" ref="AM25" si="186">IF($AD25=AM$6,$E23,0)</f>
        <v>0</v>
      </c>
      <c r="AN25" s="218" t="b">
        <f>IF(AM25=0,FALSE,IF(COUNTIF(AM$7:AM25,AM25)&gt;1,TRUE,FALSE))</f>
        <v>0</v>
      </c>
      <c r="AO25" s="218">
        <f t="shared" ref="AO25" si="187">IF($AD25=AO$6,$E23,0)</f>
        <v>0</v>
      </c>
      <c r="AP25" s="218" t="b">
        <f>IF(AO25=0,FALSE,IF(COUNTIF(AO$7:AO25,AO25)&gt;1,TRUE,FALSE))</f>
        <v>0</v>
      </c>
      <c r="AQ25" s="218">
        <f t="shared" ref="AQ25" si="188">IF(COUNTIF(Y25,"*十種競技*")&gt;0,E23,0)</f>
        <v>0</v>
      </c>
      <c r="AR25" s="218" t="b">
        <f>IF(AQ25=0,FALSE,IF(OR(COUNTIF($AI$7:$AI$406,AQ25)+COUNTIF($AQ25:$AQ$406,AQ25)&gt;1,COUNTIF($AK$7:$AK$406,AQ25)+COUNTIF($AQ$7:$AQ$406,AQ25)&gt;1),TRUE,FALSE))</f>
        <v>0</v>
      </c>
      <c r="AT25" s="218" t="b">
        <f t="shared" si="6"/>
        <v>0</v>
      </c>
      <c r="AU25" s="274"/>
      <c r="AX25" s="274"/>
      <c r="BD25" s="218" t="b">
        <f t="shared" si="3"/>
        <v>0</v>
      </c>
      <c r="BF25" s="231" t="b">
        <f t="shared" ref="BF25" si="189">IF(J25="",FALSE,IF(OR(AND(AU23,L25=""),AND(AU23,L25="",OR(M25&lt;&gt;"",N25&lt;&gt;"",O25&lt;&gt;"",P25&lt;&gt;""))),TRUE,FALSE))</f>
        <v>0</v>
      </c>
      <c r="BG25" s="218" t="b">
        <f t="shared" si="4"/>
        <v>0</v>
      </c>
      <c r="BH25" s="218" t="b">
        <f t="shared" si="24"/>
        <v>0</v>
      </c>
      <c r="BI25" s="231" t="b">
        <f t="shared" ref="BI25" si="190">IF(J25="",FALSE,IF(L25=0,FALSE,IF(AND(AU23,NOT(BF25),OR(M25="",N25="",O25="")),TRUE,FALSE)))</f>
        <v>0</v>
      </c>
      <c r="BJ25" s="240" t="b">
        <f t="shared" si="5"/>
        <v>0</v>
      </c>
      <c r="BK25" s="231" t="b">
        <f>IF(NOT(BJ25),FALSE,IF(AND(競技会設定!$C$5&lt;=BJ25,BJ25&lt;=競技会設定!$C$6),FALSE,TRUE))</f>
        <v>0</v>
      </c>
      <c r="BL25" s="218" t="b">
        <f>IF(J25="",FALSE,IF(L25=0,FALSE,IF(AND(AU23,NOT(BF25),NOT(BI25),P25=""),TRUE,FALSE)))</f>
        <v>0</v>
      </c>
      <c r="BO25" s="274"/>
    </row>
    <row r="26" spans="1:67" ht="18" customHeight="1" thickBot="1">
      <c r="A26" s="419"/>
      <c r="B26" s="395" t="s">
        <v>7051</v>
      </c>
      <c r="C26" s="395"/>
      <c r="D26" s="221"/>
      <c r="E26" s="372"/>
      <c r="F26" s="372"/>
      <c r="G26" s="372"/>
      <c r="H26" s="214"/>
      <c r="I26" s="214" t="s">
        <v>7065</v>
      </c>
      <c r="J26" s="219"/>
      <c r="K26" s="214" t="s">
        <v>7066</v>
      </c>
      <c r="L26" s="219"/>
      <c r="M26" s="258"/>
      <c r="N26" s="259"/>
      <c r="O26" s="260"/>
      <c r="P26" s="307"/>
      <c r="Q26" s="413"/>
      <c r="R26" s="416"/>
      <c r="S26" s="136"/>
      <c r="T26" s="137"/>
      <c r="U26" s="137"/>
      <c r="V26" s="137"/>
      <c r="W26" s="137"/>
      <c r="X26" s="137"/>
      <c r="Y26" s="218">
        <f t="shared" ref="Y26" si="191">IF(OR(E23="",J26=""),0,J26&amp;E23)</f>
        <v>0</v>
      </c>
      <c r="Z26" s="218">
        <f>IF(Y26=0,0,COUNTIF($Y$7:Y26,Y26))</f>
        <v>0</v>
      </c>
      <c r="AD26" s="218">
        <f>IFERROR(VLOOKUP(J26,競技会設定!$P$2:$S$22,2,0),0)</f>
        <v>0</v>
      </c>
      <c r="AE26" s="218">
        <f t="shared" ref="AE26" si="192">IF(E23="",0,IF(AD26=0,0,IF(AD26&lt;3,E23&amp;$AE$6,0)))</f>
        <v>0</v>
      </c>
      <c r="AF26" s="218">
        <f>IF(AE26=0,0,E23&amp;COUNTIF($AE$7:AE26,AE26))</f>
        <v>0</v>
      </c>
      <c r="AG26" s="218">
        <f t="shared" ref="AG26" si="193">IF(E23="",0,IF(AD26=0,0,IF(AD26&gt;=3,E23&amp;$AG$6,0)))</f>
        <v>0</v>
      </c>
      <c r="AH26" s="218">
        <f>IF(AG26=0,0,E23&amp;COUNTIF($AG$7:AG26,AG26))</f>
        <v>0</v>
      </c>
      <c r="AI26" s="218">
        <f t="shared" ref="AI26" si="194">IF(COUNTIF(Y26,"*十種*")&gt;0,0,IF($AD26=AI$6,$E23,0))</f>
        <v>0</v>
      </c>
      <c r="AJ26" s="218" t="b">
        <f>IF(AI26=0,FALSE,IF(COUNTIF(AI$7:AI26,AI26)&gt;1,TRUE,FALSE))</f>
        <v>0</v>
      </c>
      <c r="AK26" s="218">
        <f t="shared" ref="AK26" si="195">IF($AD26=AK$6,$E23,0)</f>
        <v>0</v>
      </c>
      <c r="AL26" s="218" t="b">
        <f>IF(AK26=0,FALSE,IF(COUNTIF(AK$7:AK26,AK26)&gt;1,TRUE,FALSE))</f>
        <v>0</v>
      </c>
      <c r="AM26" s="218">
        <f t="shared" ref="AM26" si="196">IF($AD26=AM$6,$E23,0)</f>
        <v>0</v>
      </c>
      <c r="AN26" s="218" t="b">
        <f>IF(AM26=0,FALSE,IF(COUNTIF(AM$7:AM26,AM26)&gt;1,TRUE,FALSE))</f>
        <v>0</v>
      </c>
      <c r="AO26" s="218">
        <f t="shared" ref="AO26" si="197">IF($AD26=AO$6,$E23,0)</f>
        <v>0</v>
      </c>
      <c r="AP26" s="218" t="b">
        <f>IF(AO26=0,FALSE,IF(COUNTIF(AO$7:AO26,AO26)&gt;1,TRUE,FALSE))</f>
        <v>0</v>
      </c>
      <c r="AQ26" s="218">
        <f t="shared" ref="AQ26" si="198">IF(COUNTIF(Y26,"*十種競技*")&gt;0,E23,0)</f>
        <v>0</v>
      </c>
      <c r="AR26" s="218" t="b">
        <f>IF(AQ26=0,FALSE,IF(OR(COUNTIF($AI$7:$AI$406,AQ26)+COUNTIF($AQ26:$AQ$406,AQ26)&gt;1,COUNTIF($AK$7:$AK$406,AQ26)+COUNTIF($AQ$7:$AQ$406,AQ26)&gt;1),TRUE,FALSE))</f>
        <v>0</v>
      </c>
      <c r="AT26" s="218" t="b">
        <f t="shared" si="6"/>
        <v>0</v>
      </c>
      <c r="AU26" s="274"/>
      <c r="AX26" s="274"/>
      <c r="BD26" s="218" t="b">
        <f t="shared" si="3"/>
        <v>0</v>
      </c>
      <c r="BF26" s="231" t="b">
        <f t="shared" ref="BF26" si="199">IF(J26="",FALSE,IF(OR(AND(AU23,L26=""),AND(AU23,L26="",OR(M26&lt;&gt;"",N26&lt;&gt;"",O26&lt;&gt;"",P26&lt;&gt;""))),TRUE,FALSE))</f>
        <v>0</v>
      </c>
      <c r="BG26" s="218" t="b">
        <f t="shared" si="4"/>
        <v>0</v>
      </c>
      <c r="BH26" s="218" t="b">
        <f t="shared" si="24"/>
        <v>0</v>
      </c>
      <c r="BI26" s="231" t="b">
        <f t="shared" ref="BI26" si="200">IF(J26="",FALSE,IF(L26=0,FALSE,IF(AND(AU23,NOT(BF26),OR(M26="",N26="",O26="")),TRUE,FALSE)))</f>
        <v>0</v>
      </c>
      <c r="BJ26" s="240" t="b">
        <f t="shared" si="5"/>
        <v>0</v>
      </c>
      <c r="BK26" s="231" t="b">
        <f>IF(NOT(BJ26),FALSE,IF(AND(競技会設定!$C$5&lt;=BJ26,BJ26&lt;=競技会設定!$C$6),FALSE,TRUE))</f>
        <v>0</v>
      </c>
      <c r="BL26" s="218" t="b">
        <f>IF(J26="",FALSE,IF(L26=0,FALSE,IF(AND(AU23,NOT(BF26),NOT(BI26),P26=""),TRUE,FALSE)))</f>
        <v>0</v>
      </c>
      <c r="BO26" s="274"/>
    </row>
    <row r="27" spans="1:67" ht="18" customHeight="1" thickTop="1">
      <c r="A27" s="420">
        <v>6</v>
      </c>
      <c r="B27" s="373" t="s">
        <v>7050</v>
      </c>
      <c r="C27" s="375"/>
      <c r="D27" s="138" t="str">
        <f t="shared" ref="D27" si="201">IF(C27="","",501&amp;TEXT(C27,"000000"))</f>
        <v/>
      </c>
      <c r="E27" s="377" t="str">
        <f>IF(D27="","",(VLOOKUP(D27,男子登録!$A$2:$N$2001,3,0)))</f>
        <v/>
      </c>
      <c r="F27" s="377" t="str">
        <f>IF(D27="","",(VLOOKUP(D27,男子登録!$A$2:$N$2001,4,0)))</f>
        <v/>
      </c>
      <c r="G27" s="138" t="str">
        <f>IF(C27="","",(VLOOKUP(D27,男子登録!$A$2:$N$2001,8,0)))</f>
        <v/>
      </c>
      <c r="H27" s="138">
        <f>IFERROR(VLOOKUP(D27,男子登録!$A$2:$N$2001,11,0),基本情報!$E$5)</f>
        <v>0</v>
      </c>
      <c r="I27" s="138" t="s">
        <v>7059</v>
      </c>
      <c r="J27" s="151"/>
      <c r="K27" s="138" t="s">
        <v>7060</v>
      </c>
      <c r="L27" s="151"/>
      <c r="M27" s="261"/>
      <c r="N27" s="262"/>
      <c r="O27" s="263"/>
      <c r="P27" s="174"/>
      <c r="Q27" s="405"/>
      <c r="R27" s="408"/>
      <c r="S27" s="136">
        <f t="shared" ref="S27" si="202">IF(OR(E27="",Q27=""),0,E27)</f>
        <v>0</v>
      </c>
      <c r="T27" s="137">
        <f>IF(S27=0,0,COUNTIF($S$7:S27,"*"))</f>
        <v>0</v>
      </c>
      <c r="U27" s="137">
        <f>IF(S27=0,0,COUNTIF($S$7:S27,S27))</f>
        <v>0</v>
      </c>
      <c r="V27" s="137">
        <f t="shared" ref="V27:V87" si="203">IF(OR(E27="",R27=""),0,E27&amp;MAX(COUNTIF($AG$7:$AG$406,E27&amp;"nans21v"))+1)</f>
        <v>0</v>
      </c>
      <c r="W27" s="137">
        <f>IF(V27=0,0,COUNTIF($V$7:V27,"*"))</f>
        <v>0</v>
      </c>
      <c r="X27" s="137">
        <f>IF(V27=0,0,COUNTIF($V$7:V27,V27))</f>
        <v>0</v>
      </c>
      <c r="Y27" s="218">
        <f t="shared" ref="Y27" si="204">IF(OR(E27="",J27=""),0,J27&amp;E27)</f>
        <v>0</v>
      </c>
      <c r="Z27" s="218">
        <f>IF(Y27=0,0,COUNTIF($Y$7:Y27,Y27))</f>
        <v>0</v>
      </c>
      <c r="AA27" s="218" t="b">
        <f t="shared" ref="AA27" si="205">IF(COUNTIF(J27:J30,"十種競技")&gt;0,TRUE,FALSE)</f>
        <v>0</v>
      </c>
      <c r="AB27" s="218">
        <f>IF(E27="",0,IF(AA27,COUNTIF($AA$7:AA27,TRUE),0))</f>
        <v>0</v>
      </c>
      <c r="AC27" s="218">
        <f>IFERROR(VLOOKUP("十種競技",J27:L30,3,0),0)</f>
        <v>0</v>
      </c>
      <c r="AD27" s="218">
        <f>IFERROR(VLOOKUP(J27,競技会設定!$P$2:$S$22,2,0),0)</f>
        <v>0</v>
      </c>
      <c r="AE27" s="218">
        <f t="shared" ref="AE27" si="206">IF(E27="",0,IF(AD27=0,0,IF(AD27&lt;3,E27&amp;$AE$6,0)))</f>
        <v>0</v>
      </c>
      <c r="AF27" s="218">
        <f>IF(AE27=0,0,E27&amp;COUNTIF($AE$7:AE27,AE27))</f>
        <v>0</v>
      </c>
      <c r="AG27" s="218">
        <f t="shared" ref="AG27" si="207">IF(E27="",0,IF(AD27=0,0,IF(AD27&gt;=3,E27&amp;$AG$6,0)))</f>
        <v>0</v>
      </c>
      <c r="AH27" s="218">
        <f>IF(AG27=0,0,E27&amp;COUNTIF($AG$7:AG27,AG27))</f>
        <v>0</v>
      </c>
      <c r="AI27" s="218">
        <f t="shared" ref="AI27" si="208">IF(COUNTIF(Y27,"*十種*")&gt;0,0,IF($AD27=AI$6,$E27,0))</f>
        <v>0</v>
      </c>
      <c r="AJ27" s="218" t="b">
        <f>IF(AI27=0,FALSE,IF(COUNTIF(AI$7:AI27,AI27)&gt;1,TRUE,FALSE))</f>
        <v>0</v>
      </c>
      <c r="AK27" s="218">
        <f t="shared" ref="AK27" si="209">IF($AD27=AK$6,$E27,0)</f>
        <v>0</v>
      </c>
      <c r="AL27" s="218" t="b">
        <f>IF(AK27=0,FALSE,IF(COUNTIF(AK$7:AK27,AK27)&gt;1,TRUE,FALSE))</f>
        <v>0</v>
      </c>
      <c r="AM27" s="218">
        <f t="shared" ref="AM27" si="210">IF($AD27=AM$6,$E27,0)</f>
        <v>0</v>
      </c>
      <c r="AN27" s="218" t="b">
        <f>IF(AM27=0,FALSE,IF(COUNTIF(AM$7:AM27,AM27)&gt;1,TRUE,FALSE))</f>
        <v>0</v>
      </c>
      <c r="AO27" s="218">
        <f t="shared" ref="AO27" si="211">IF($AD27=AO$6,$E27,0)</f>
        <v>0</v>
      </c>
      <c r="AP27" s="218" t="b">
        <f>IF(AO27=0,FALSE,IF(COUNTIF(AO$7:AO27,AO27)&gt;1,TRUE,FALSE))</f>
        <v>0</v>
      </c>
      <c r="AQ27" s="218">
        <f t="shared" ref="AQ27" si="212">IF(COUNTIF(Y27,"*十種競技*")&gt;0,E27,0)</f>
        <v>0</v>
      </c>
      <c r="AR27" s="218" t="b">
        <f>IF(AQ27=0,FALSE,IF(OR(COUNTIF($AI$7:$AI$406,AQ27)+COUNTIF($AQ27:$AQ$406,AQ27)&gt;1,COUNTIF($AK$7:$AK$406,AQ27)+COUNTIF($AQ$7:$AQ$406,AQ27)&gt;1),TRUE,FALSE))</f>
        <v>0</v>
      </c>
      <c r="AS27" s="218" t="b">
        <f t="shared" ref="AS27" si="213">IF(AND(C27="",E27&lt;&gt;"",F27&lt;&gt;"",E29&lt;&gt;"",G27&lt;&gt;"",G28&lt;&gt;"",G29&lt;&gt;""),TRUE,FALSE)</f>
        <v>0</v>
      </c>
      <c r="AT27" s="218" t="b">
        <f t="shared" si="6"/>
        <v>0</v>
      </c>
      <c r="AU27" s="274" t="b">
        <f t="shared" ref="AU27" si="214">IFERROR(IF(D27&amp;E27&amp;F27&amp;E29&amp;G27&amp;G28&amp;G29&amp;J27&amp;J28&amp;J29&amp;J30&amp;L27&amp;L28&amp;L29&amp;L30&amp;M27&amp;M28&amp;M29&amp;M30&amp;N27&amp;N28&amp;N29&amp;N30&amp;O27&amp;O28&amp;O29&amp;O30&amp;P27&amp;P28&amp;P29&amp;P30&amp;Q27&amp;R27="",FALSE,TRUE),FALSE)</f>
        <v>0</v>
      </c>
      <c r="AV27" s="218" t="b">
        <f t="shared" ref="AV27" si="215">IF(AS27,FALSE,IF(C27="",AU27,FALSE))</f>
        <v>0</v>
      </c>
      <c r="AW27" s="218" t="b">
        <f>IF(C27="",FALSE,IF(C27&gt;2000,TRUE,FALSE))</f>
        <v>0</v>
      </c>
      <c r="AX27" s="274" t="b">
        <f>IF(H27=0,FALSE,IF(EXACT(基本情報!$E$5,H27)=TRUE,FALSE,TRUE))</f>
        <v>0</v>
      </c>
      <c r="AY27" s="218" t="b">
        <f>IF(C27="",FALSE,IF(ISNA(E27)=TRUE,TRUE,FALSE))</f>
        <v>0</v>
      </c>
      <c r="AZ27" s="274" t="b">
        <f>IFERROR(IF(E27="",FALSE,IF(COUNTIF($E$7:E27,E27)&gt;1,TRUE,FALSE)),FALSE)</f>
        <v>0</v>
      </c>
      <c r="BA27" s="218" t="b">
        <f t="shared" ref="BA27" si="216">IF(OR(J27&amp;J28&amp;J29&amp;J30&amp;Q27&amp;R27="",AT27,AT28,AT29,AT30),AU27,FALSE)</f>
        <v>0</v>
      </c>
      <c r="BB27" s="218" t="b">
        <f>IF(U27&gt;1,TRUE,FALSE)</f>
        <v>0</v>
      </c>
      <c r="BC27" s="218" t="b">
        <f>IF(X27&gt;1,TRUE,FALSE)</f>
        <v>0</v>
      </c>
      <c r="BD27" s="218" t="b">
        <f t="shared" si="3"/>
        <v>0</v>
      </c>
      <c r="BF27" s="231" t="b">
        <f t="shared" ref="BF27" si="217">IF(J27="",FALSE,IF(OR(AND(AU27,L27=""),AND(AU27,L27="",OR(M27&lt;&gt;"",N27&lt;&gt;"",O27&lt;&gt;"",P27&lt;&gt;""))),TRUE,FALSE))</f>
        <v>0</v>
      </c>
      <c r="BG27" s="218" t="b">
        <f t="shared" si="4"/>
        <v>0</v>
      </c>
      <c r="BH27" s="218" t="b">
        <f t="shared" si="24"/>
        <v>0</v>
      </c>
      <c r="BI27" s="231" t="b">
        <f t="shared" ref="BI27" si="218">IF(J27="",FALSE,IF(L27=0,FALSE,IF(AND(AU27,NOT(BF27),OR(M27="",N27="",O27="")),TRUE,FALSE)))</f>
        <v>0</v>
      </c>
      <c r="BJ27" s="240" t="b">
        <f t="shared" si="5"/>
        <v>0</v>
      </c>
      <c r="BK27" s="231" t="b">
        <f>IF(NOT(BJ27),FALSE,IF(AND(競技会設定!$C$5&lt;=BJ27,BJ27&lt;=競技会設定!$C$6),FALSE,TRUE))</f>
        <v>0</v>
      </c>
      <c r="BL27" s="218" t="b">
        <f>IF(J27="",FALSE,IF(L27=0,FALSE,IF(AND(AU27,NOT(BF27),NOT(BI27),P27=""),TRUE,FALSE)))</f>
        <v>0</v>
      </c>
      <c r="BO27" s="274">
        <f t="shared" ref="BO27" si="219">IF(AND(AU27,SUM(COUNTIF(AV27:BC27,TRUE),COUNTIF(BF27:BL30,TRUE),COUNTIF(BD27:BD30,TRUE))=0,NOT($BE$7)),1,0)</f>
        <v>0</v>
      </c>
    </row>
    <row r="28" spans="1:67" ht="17.399999999999999" customHeight="1">
      <c r="A28" s="421"/>
      <c r="B28" s="374"/>
      <c r="C28" s="376"/>
      <c r="D28" s="139"/>
      <c r="E28" s="378"/>
      <c r="F28" s="378"/>
      <c r="G28" s="139" t="str">
        <f>IF(C27="","",(VLOOKUP(D27,男子登録!$A$2:$N$2001,13,0)))</f>
        <v/>
      </c>
      <c r="H28" s="139"/>
      <c r="I28" s="139" t="s">
        <v>7061</v>
      </c>
      <c r="J28" s="152"/>
      <c r="K28" s="139" t="s">
        <v>7062</v>
      </c>
      <c r="L28" s="152"/>
      <c r="M28" s="264"/>
      <c r="N28" s="265"/>
      <c r="O28" s="266"/>
      <c r="P28" s="175"/>
      <c r="Q28" s="406"/>
      <c r="R28" s="409"/>
      <c r="S28" s="136"/>
      <c r="T28" s="137"/>
      <c r="U28" s="137"/>
      <c r="V28" s="137"/>
      <c r="W28" s="137"/>
      <c r="X28" s="137"/>
      <c r="Y28" s="218">
        <f t="shared" ref="Y28" si="220">IF(OR(E27="",J28=""),0,J28&amp;E27)</f>
        <v>0</v>
      </c>
      <c r="Z28" s="218">
        <f>IF(Y28=0,0,COUNTIF($Y$7:Y28,Y28))</f>
        <v>0</v>
      </c>
      <c r="AD28" s="218">
        <f>IFERROR(VLOOKUP(J28,競技会設定!$P$2:$S$22,2,0),0)</f>
        <v>0</v>
      </c>
      <c r="AE28" s="218">
        <f t="shared" ref="AE28" si="221">IF(E27="",0,IF(AD28=0,0,IF(AD28&lt;3,E27&amp;$AE$6,0)))</f>
        <v>0</v>
      </c>
      <c r="AF28" s="218">
        <f>IF(AE28=0,0,E27&amp;COUNTIF($AE$7:AE28,AE28))</f>
        <v>0</v>
      </c>
      <c r="AG28" s="218">
        <f t="shared" ref="AG28" si="222">IF(E27="",0,IF(AD28=0,0,IF(AD28&gt;=3,E27&amp;$AG$6,0)))</f>
        <v>0</v>
      </c>
      <c r="AH28" s="218">
        <f>IF(AG28=0,0,E27&amp;COUNTIF($AG$7:AG28,AG28))</f>
        <v>0</v>
      </c>
      <c r="AI28" s="218">
        <f t="shared" ref="AI28" si="223">IF(COUNTIF(Y28,"*十種*")&gt;0,0,IF($AD28=AI$6,$E27,0))</f>
        <v>0</v>
      </c>
      <c r="AJ28" s="218" t="b">
        <f>IF(AI28=0,FALSE,IF(COUNTIF(AI$7:AI28,AI28)&gt;1,TRUE,FALSE))</f>
        <v>0</v>
      </c>
      <c r="AK28" s="218">
        <f t="shared" ref="AK28" si="224">IF($AD28=AK$6,$E27,0)</f>
        <v>0</v>
      </c>
      <c r="AL28" s="218" t="b">
        <f>IF(AK28=0,FALSE,IF(COUNTIF(AK$7:AK28,AK28)&gt;1,TRUE,FALSE))</f>
        <v>0</v>
      </c>
      <c r="AM28" s="218">
        <f t="shared" ref="AM28" si="225">IF($AD28=AM$6,$E27,0)</f>
        <v>0</v>
      </c>
      <c r="AN28" s="218" t="b">
        <f>IF(AM28=0,FALSE,IF(COUNTIF(AM$7:AM28,AM28)&gt;1,TRUE,FALSE))</f>
        <v>0</v>
      </c>
      <c r="AO28" s="218">
        <f t="shared" ref="AO28" si="226">IF($AD28=AO$6,$E27,0)</f>
        <v>0</v>
      </c>
      <c r="AP28" s="218" t="b">
        <f>IF(AO28=0,FALSE,IF(COUNTIF(AO$7:AO28,AO28)&gt;1,TRUE,FALSE))</f>
        <v>0</v>
      </c>
      <c r="AQ28" s="218">
        <f t="shared" ref="AQ28" si="227">IF(COUNTIF(Y28,"*十種競技*")&gt;0,E27,0)</f>
        <v>0</v>
      </c>
      <c r="AR28" s="218" t="b">
        <f>IF(AQ28=0,FALSE,IF(OR(COUNTIF($AI$7:$AI$406,AQ28)+COUNTIF($AQ28:$AQ$406,AQ28)&gt;1,COUNTIF($AK$7:$AK$406,AQ28)+COUNTIF($AQ$7:$AQ$406,AQ28)&gt;1),TRUE,FALSE))</f>
        <v>0</v>
      </c>
      <c r="AT28" s="218" t="b">
        <f t="shared" si="6"/>
        <v>0</v>
      </c>
      <c r="AU28" s="274"/>
      <c r="AX28" s="274"/>
      <c r="BD28" s="218" t="b">
        <f t="shared" si="3"/>
        <v>0</v>
      </c>
      <c r="BF28" s="231" t="b">
        <f t="shared" ref="BF28" si="228">IF(J28="",FALSE,IF(OR(AND(AU27,L28=""),AND(AU27,L28="",OR(M28&lt;&gt;"",N28&lt;&gt;"",O28&lt;&gt;"",P28&lt;&gt;""))),TRUE,FALSE))</f>
        <v>0</v>
      </c>
      <c r="BG28" s="218" t="b">
        <f t="shared" si="4"/>
        <v>0</v>
      </c>
      <c r="BH28" s="218" t="b">
        <f t="shared" si="24"/>
        <v>0</v>
      </c>
      <c r="BI28" s="231" t="b">
        <f t="shared" ref="BI28" si="229">IF(J28="",FALSE,IF(L28=0,FALSE,IF(AND(AU27,NOT(BF28),OR(M28="",N28="",O28="")),TRUE,FALSE)))</f>
        <v>0</v>
      </c>
      <c r="BJ28" s="240" t="b">
        <f t="shared" si="5"/>
        <v>0</v>
      </c>
      <c r="BK28" s="231" t="b">
        <f>IF(NOT(BJ28),FALSE,IF(AND(競技会設定!$C$5&lt;=BJ28,BJ28&lt;=競技会設定!$C$6),FALSE,TRUE))</f>
        <v>0</v>
      </c>
      <c r="BL28" s="218" t="b">
        <f>IF(J28="",FALSE,IF(L28=0,FALSE,IF(AND(AU27,NOT(BF28),NOT(BI28),P28=""),TRUE,FALSE)))</f>
        <v>0</v>
      </c>
      <c r="BO28" s="274"/>
    </row>
    <row r="29" spans="1:67" ht="17.399999999999999" customHeight="1">
      <c r="A29" s="421"/>
      <c r="B29" s="374"/>
      <c r="C29" s="376"/>
      <c r="D29" s="140"/>
      <c r="E29" s="379" t="str">
        <f>IF(C27="","",VLOOKUP(D27,男子登録!$A$2:$O$2001,14,0)&amp;" ("&amp;VLOOKUP(D27,男子登録!$A$2:$O$2001,15,0)&amp;")")</f>
        <v/>
      </c>
      <c r="F29" s="380"/>
      <c r="G29" s="140" t="str">
        <f>IF(C27="","",(VLOOKUP(D27,男子登録!$A$2:$N$2001,9,0)))</f>
        <v/>
      </c>
      <c r="H29" s="140"/>
      <c r="I29" s="140" t="s">
        <v>7063</v>
      </c>
      <c r="J29" s="153"/>
      <c r="K29" s="140" t="s">
        <v>7064</v>
      </c>
      <c r="L29" s="153"/>
      <c r="M29" s="264"/>
      <c r="N29" s="265"/>
      <c r="O29" s="266"/>
      <c r="P29" s="175"/>
      <c r="Q29" s="406"/>
      <c r="R29" s="409"/>
      <c r="S29" s="136"/>
      <c r="T29" s="137"/>
      <c r="U29" s="137"/>
      <c r="V29" s="137"/>
      <c r="W29" s="137"/>
      <c r="X29" s="137"/>
      <c r="Y29" s="218">
        <f t="shared" ref="Y29" si="230">IF(OR(E27="",J29=""),0,J29&amp;E27)</f>
        <v>0</v>
      </c>
      <c r="Z29" s="218">
        <f>IF(Y29=0,0,COUNTIF($Y$7:Y29,Y29))</f>
        <v>0</v>
      </c>
      <c r="AD29" s="218">
        <f>IFERROR(VLOOKUP(J29,競技会設定!$P$2:$S$22,2,0),0)</f>
        <v>0</v>
      </c>
      <c r="AE29" s="218">
        <f t="shared" ref="AE29" si="231">IF(E27="",0,IF(AD29=0,0,IF(AD29&lt;3,E27&amp;$AE$6,0)))</f>
        <v>0</v>
      </c>
      <c r="AF29" s="218">
        <f>IF(AE29=0,0,E27&amp;COUNTIF($AE$7:AE29,AE29))</f>
        <v>0</v>
      </c>
      <c r="AG29" s="218">
        <f t="shared" ref="AG29" si="232">IF(E27="",0,IF(AD29=0,0,IF(AD29&gt;=3,E27&amp;$AG$6,0)))</f>
        <v>0</v>
      </c>
      <c r="AH29" s="218">
        <f>IF(AG29=0,0,E27&amp;COUNTIF($AG$7:AG29,AG29))</f>
        <v>0</v>
      </c>
      <c r="AI29" s="218">
        <f t="shared" ref="AI29" si="233">IF(COUNTIF(Y29,"*十種*")&gt;0,0,IF($AD29=AI$6,$E27,0))</f>
        <v>0</v>
      </c>
      <c r="AJ29" s="218" t="b">
        <f>IF(AI29=0,FALSE,IF(COUNTIF(AI$7:AI29,AI29)&gt;1,TRUE,FALSE))</f>
        <v>0</v>
      </c>
      <c r="AK29" s="218">
        <f t="shared" ref="AK29" si="234">IF($AD29=AK$6,$E27,0)</f>
        <v>0</v>
      </c>
      <c r="AL29" s="218" t="b">
        <f>IF(AK29=0,FALSE,IF(COUNTIF(AK$7:AK29,AK29)&gt;1,TRUE,FALSE))</f>
        <v>0</v>
      </c>
      <c r="AM29" s="218">
        <f t="shared" ref="AM29" si="235">IF($AD29=AM$6,$E27,0)</f>
        <v>0</v>
      </c>
      <c r="AN29" s="218" t="b">
        <f>IF(AM29=0,FALSE,IF(COUNTIF(AM$7:AM29,AM29)&gt;1,TRUE,FALSE))</f>
        <v>0</v>
      </c>
      <c r="AO29" s="218">
        <f t="shared" ref="AO29" si="236">IF($AD29=AO$6,$E27,0)</f>
        <v>0</v>
      </c>
      <c r="AP29" s="218" t="b">
        <f>IF(AO29=0,FALSE,IF(COUNTIF(AO$7:AO29,AO29)&gt;1,TRUE,FALSE))</f>
        <v>0</v>
      </c>
      <c r="AQ29" s="218">
        <f t="shared" ref="AQ29" si="237">IF(COUNTIF(Y29,"*十種競技*")&gt;0,E27,0)</f>
        <v>0</v>
      </c>
      <c r="AR29" s="218" t="b">
        <f>IF(AQ29=0,FALSE,IF(OR(COUNTIF($AI$7:$AI$406,AQ29)+COUNTIF($AQ29:$AQ$406,AQ29)&gt;1,COUNTIF($AK$7:$AK$406,AQ29)+COUNTIF($AQ$7:$AQ$406,AQ29)&gt;1),TRUE,FALSE))</f>
        <v>0</v>
      </c>
      <c r="AT29" s="218" t="b">
        <f t="shared" si="6"/>
        <v>0</v>
      </c>
      <c r="AU29" s="274"/>
      <c r="AX29" s="274"/>
      <c r="BD29" s="218" t="b">
        <f t="shared" si="3"/>
        <v>0</v>
      </c>
      <c r="BF29" s="231" t="b">
        <f t="shared" ref="BF29" si="238">IF(J29="",FALSE,IF(OR(AND(AU27,L29=""),AND(AU27,L29="",OR(M29&lt;&gt;"",N29&lt;&gt;"",O29&lt;&gt;"",P29&lt;&gt;""))),TRUE,FALSE))</f>
        <v>0</v>
      </c>
      <c r="BG29" s="218" t="b">
        <f t="shared" si="4"/>
        <v>0</v>
      </c>
      <c r="BH29" s="218" t="b">
        <f t="shared" si="24"/>
        <v>0</v>
      </c>
      <c r="BI29" s="231" t="b">
        <f t="shared" ref="BI29" si="239">IF(J29="",FALSE,IF(L29=0,FALSE,IF(AND(AU27,NOT(BF29),OR(M29="",N29="",O29="")),TRUE,FALSE)))</f>
        <v>0</v>
      </c>
      <c r="BJ29" s="240" t="b">
        <f t="shared" si="5"/>
        <v>0</v>
      </c>
      <c r="BK29" s="231" t="b">
        <f>IF(NOT(BJ29),FALSE,IF(AND(競技会設定!$C$5&lt;=BJ29,BJ29&lt;=競技会設定!$C$6),FALSE,TRUE))</f>
        <v>0</v>
      </c>
      <c r="BL29" s="218" t="b">
        <f>IF(J29="",FALSE,IF(L29=0,FALSE,IF(AND(AU27,NOT(BF29),NOT(BI29),P29=""),TRUE,FALSE)))</f>
        <v>0</v>
      </c>
      <c r="BO29" s="274"/>
    </row>
    <row r="30" spans="1:67" ht="18" customHeight="1" thickBot="1">
      <c r="A30" s="422"/>
      <c r="B30" s="387" t="s">
        <v>7051</v>
      </c>
      <c r="C30" s="387"/>
      <c r="D30" s="213"/>
      <c r="E30" s="388"/>
      <c r="F30" s="389"/>
      <c r="G30" s="390"/>
      <c r="H30" s="141"/>
      <c r="I30" s="213" t="s">
        <v>7065</v>
      </c>
      <c r="J30" s="154"/>
      <c r="K30" s="213" t="s">
        <v>7066</v>
      </c>
      <c r="L30" s="154"/>
      <c r="M30" s="267"/>
      <c r="N30" s="268"/>
      <c r="O30" s="269"/>
      <c r="P30" s="177"/>
      <c r="Q30" s="407"/>
      <c r="R30" s="410"/>
      <c r="S30" s="136"/>
      <c r="T30" s="137"/>
      <c r="U30" s="137"/>
      <c r="V30" s="137"/>
      <c r="W30" s="137"/>
      <c r="X30" s="137"/>
      <c r="Y30" s="218">
        <f t="shared" ref="Y30" si="240">IF(OR(E27="",J30=""),0,J30&amp;E27)</f>
        <v>0</v>
      </c>
      <c r="Z30" s="218">
        <f>IF(Y30=0,0,COUNTIF($Y$7:Y30,Y30))</f>
        <v>0</v>
      </c>
      <c r="AD30" s="218">
        <f>IFERROR(VLOOKUP(J30,競技会設定!$P$2:$S$22,2,0),0)</f>
        <v>0</v>
      </c>
      <c r="AE30" s="218">
        <f t="shared" ref="AE30" si="241">IF(E27="",0,IF(AD30=0,0,IF(AD30&lt;3,E27&amp;$AE$6,0)))</f>
        <v>0</v>
      </c>
      <c r="AF30" s="218">
        <f>IF(AE30=0,0,E27&amp;COUNTIF($AE$7:AE30,AE30))</f>
        <v>0</v>
      </c>
      <c r="AG30" s="218">
        <f t="shared" ref="AG30" si="242">IF(E27="",0,IF(AD30=0,0,IF(AD30&gt;=3,E27&amp;$AG$6,0)))</f>
        <v>0</v>
      </c>
      <c r="AH30" s="218">
        <f>IF(AG30=0,0,E27&amp;COUNTIF($AG$7:AG30,AG30))</f>
        <v>0</v>
      </c>
      <c r="AI30" s="218">
        <f t="shared" ref="AI30" si="243">IF(COUNTIF(Y30,"*十種*")&gt;0,0,IF($AD30=AI$6,$E27,0))</f>
        <v>0</v>
      </c>
      <c r="AJ30" s="218" t="b">
        <f>IF(AI30=0,FALSE,IF(COUNTIF(AI$7:AI30,AI30)&gt;1,TRUE,FALSE))</f>
        <v>0</v>
      </c>
      <c r="AK30" s="218">
        <f t="shared" ref="AK30" si="244">IF($AD30=AK$6,$E27,0)</f>
        <v>0</v>
      </c>
      <c r="AL30" s="218" t="b">
        <f>IF(AK30=0,FALSE,IF(COUNTIF(AK$7:AK30,AK30)&gt;1,TRUE,FALSE))</f>
        <v>0</v>
      </c>
      <c r="AM30" s="218">
        <f t="shared" ref="AM30" si="245">IF($AD30=AM$6,$E27,0)</f>
        <v>0</v>
      </c>
      <c r="AN30" s="218" t="b">
        <f>IF(AM30=0,FALSE,IF(COUNTIF(AM$7:AM30,AM30)&gt;1,TRUE,FALSE))</f>
        <v>0</v>
      </c>
      <c r="AO30" s="218">
        <f t="shared" ref="AO30" si="246">IF($AD30=AO$6,$E27,0)</f>
        <v>0</v>
      </c>
      <c r="AP30" s="218" t="b">
        <f>IF(AO30=0,FALSE,IF(COUNTIF(AO$7:AO30,AO30)&gt;1,TRUE,FALSE))</f>
        <v>0</v>
      </c>
      <c r="AQ30" s="218">
        <f t="shared" ref="AQ30" si="247">IF(COUNTIF(Y30,"*十種競技*")&gt;0,E27,0)</f>
        <v>0</v>
      </c>
      <c r="AR30" s="218" t="b">
        <f>IF(AQ30=0,FALSE,IF(OR(COUNTIF($AI$7:$AI$406,AQ30)+COUNTIF($AQ30:$AQ$406,AQ30)&gt;1,COUNTIF($AK$7:$AK$406,AQ30)+COUNTIF($AQ$7:$AQ$406,AQ30)&gt;1),TRUE,FALSE))</f>
        <v>0</v>
      </c>
      <c r="AT30" s="218" t="b">
        <f t="shared" si="6"/>
        <v>0</v>
      </c>
      <c r="AU30" s="274"/>
      <c r="AX30" s="274"/>
      <c r="BD30" s="218" t="b">
        <f t="shared" si="3"/>
        <v>0</v>
      </c>
      <c r="BF30" s="231" t="b">
        <f t="shared" ref="BF30" si="248">IF(J30="",FALSE,IF(OR(AND(AU27,L30=""),AND(AU27,L30="",OR(M30&lt;&gt;"",N30&lt;&gt;"",O30&lt;&gt;"",P30&lt;&gt;""))),TRUE,FALSE))</f>
        <v>0</v>
      </c>
      <c r="BG30" s="218" t="b">
        <f t="shared" si="4"/>
        <v>0</v>
      </c>
      <c r="BH30" s="218" t="b">
        <f t="shared" si="24"/>
        <v>0</v>
      </c>
      <c r="BI30" s="231" t="b">
        <f t="shared" ref="BI30" si="249">IF(J30="",FALSE,IF(L30=0,FALSE,IF(AND(AU27,NOT(BF30),OR(M30="",N30="",O30="")),TRUE,FALSE)))</f>
        <v>0</v>
      </c>
      <c r="BJ30" s="240" t="b">
        <f t="shared" si="5"/>
        <v>0</v>
      </c>
      <c r="BK30" s="231" t="b">
        <f>IF(NOT(BJ30),FALSE,IF(AND(競技会設定!$C$5&lt;=BJ30,BJ30&lt;=競技会設定!$C$6),FALSE,TRUE))</f>
        <v>0</v>
      </c>
      <c r="BL30" s="218" t="b">
        <f>IF(J30="",FALSE,IF(L30=0,FALSE,IF(AND(AU27,NOT(BF30),NOT(BI30),P30=""),TRUE,FALSE)))</f>
        <v>0</v>
      </c>
      <c r="BO30" s="274"/>
    </row>
    <row r="31" spans="1:67" ht="18" customHeight="1" thickTop="1">
      <c r="A31" s="417">
        <v>7</v>
      </c>
      <c r="B31" s="401" t="s">
        <v>7050</v>
      </c>
      <c r="C31" s="403"/>
      <c r="D31" s="220" t="str">
        <f t="shared" ref="D31" si="250">IF(C31="","",501&amp;TEXT(C31,"000000"))</f>
        <v/>
      </c>
      <c r="E31" s="396" t="str">
        <f>IF(D31="","",(VLOOKUP(D31,男子登録!$A$2:$N$2001,3,0)))</f>
        <v/>
      </c>
      <c r="F31" s="396" t="str">
        <f>IF(D31="","",(VLOOKUP(D31,男子登録!$A$2:$N$2001,4,0)))</f>
        <v/>
      </c>
      <c r="G31" s="220" t="str">
        <f>IF(C31="","",(VLOOKUP(D31,男子登録!$A$2:$N$2001,8,0)))</f>
        <v/>
      </c>
      <c r="H31" s="220">
        <f>IFERROR(VLOOKUP(D31,男子登録!$A$2:$N$2001,11,0),基本情報!$E$5)</f>
        <v>0</v>
      </c>
      <c r="I31" s="220" t="s">
        <v>7059</v>
      </c>
      <c r="J31" s="148"/>
      <c r="K31" s="220" t="s">
        <v>7060</v>
      </c>
      <c r="L31" s="148"/>
      <c r="M31" s="252"/>
      <c r="N31" s="253"/>
      <c r="O31" s="254"/>
      <c r="P31" s="170"/>
      <c r="Q31" s="411"/>
      <c r="R31" s="414"/>
      <c r="S31" s="136">
        <f t="shared" ref="S31" si="251">IF(OR(E31="",Q31=""),0,E31)</f>
        <v>0</v>
      </c>
      <c r="T31" s="137">
        <f>IF(S31=0,0,COUNTIF($S$7:S31,"*"))</f>
        <v>0</v>
      </c>
      <c r="U31" s="137">
        <f>IF(S31=0,0,COUNTIF($S$7:S31,S31))</f>
        <v>0</v>
      </c>
      <c r="V31" s="137">
        <f t="shared" si="203"/>
        <v>0</v>
      </c>
      <c r="W31" s="137">
        <f>IF(V31=0,0,COUNTIF($V$7:V31,"*"))</f>
        <v>0</v>
      </c>
      <c r="X31" s="137">
        <f>IF(V31=0,0,COUNTIF($V$7:V31,V31))</f>
        <v>0</v>
      </c>
      <c r="Y31" s="218">
        <f t="shared" ref="Y31" si="252">IF(OR(E31="",J31=""),0,J31&amp;E31)</f>
        <v>0</v>
      </c>
      <c r="Z31" s="218">
        <f>IF(Y31=0,0,COUNTIF($Y$7:Y31,Y31))</f>
        <v>0</v>
      </c>
      <c r="AA31" s="218" t="b">
        <f t="shared" ref="AA31" si="253">IF(COUNTIF(J31:J34,"十種競技")&gt;0,TRUE,FALSE)</f>
        <v>0</v>
      </c>
      <c r="AB31" s="218">
        <f>IF(E31="",0,IF(AA31,COUNTIF($AA$7:AA31,TRUE),0))</f>
        <v>0</v>
      </c>
      <c r="AC31" s="218">
        <f>IFERROR(VLOOKUP("十種競技",J31:L34,3,0),0)</f>
        <v>0</v>
      </c>
      <c r="AD31" s="218">
        <f>IFERROR(VLOOKUP(J31,競技会設定!$P$2:$S$22,2,0),0)</f>
        <v>0</v>
      </c>
      <c r="AE31" s="218">
        <f t="shared" ref="AE31" si="254">IF(E31="",0,IF(AD31=0,0,IF(AD31&lt;3,E31&amp;$AE$6,0)))</f>
        <v>0</v>
      </c>
      <c r="AF31" s="218">
        <f>IF(AE31=0,0,E31&amp;COUNTIF($AE$7:AE31,AE31))</f>
        <v>0</v>
      </c>
      <c r="AG31" s="218">
        <f t="shared" ref="AG31" si="255">IF(E31="",0,IF(AD31=0,0,IF(AD31&gt;=3,E31&amp;$AG$6,0)))</f>
        <v>0</v>
      </c>
      <c r="AH31" s="218">
        <f>IF(AG31=0,0,E31&amp;COUNTIF($AG$7:AG31,AG31))</f>
        <v>0</v>
      </c>
      <c r="AI31" s="218">
        <f t="shared" ref="AI31" si="256">IF(COUNTIF(Y31,"*十種*")&gt;0,0,IF($AD31=AI$6,$E31,0))</f>
        <v>0</v>
      </c>
      <c r="AJ31" s="218" t="b">
        <f>IF(AI31=0,FALSE,IF(COUNTIF(AI$7:AI31,AI31)&gt;1,TRUE,FALSE))</f>
        <v>0</v>
      </c>
      <c r="AK31" s="218">
        <f t="shared" ref="AK31" si="257">IF($AD31=AK$6,$E31,0)</f>
        <v>0</v>
      </c>
      <c r="AL31" s="218" t="b">
        <f>IF(AK31=0,FALSE,IF(COUNTIF(AK$7:AK31,AK31)&gt;1,TRUE,FALSE))</f>
        <v>0</v>
      </c>
      <c r="AM31" s="218">
        <f t="shared" ref="AM31" si="258">IF($AD31=AM$6,$E31,0)</f>
        <v>0</v>
      </c>
      <c r="AN31" s="218" t="b">
        <f>IF(AM31=0,FALSE,IF(COUNTIF(AM$7:AM31,AM31)&gt;1,TRUE,FALSE))</f>
        <v>0</v>
      </c>
      <c r="AO31" s="218">
        <f t="shared" ref="AO31" si="259">IF($AD31=AO$6,$E31,0)</f>
        <v>0</v>
      </c>
      <c r="AP31" s="218" t="b">
        <f>IF(AO31=0,FALSE,IF(COUNTIF(AO$7:AO31,AO31)&gt;1,TRUE,FALSE))</f>
        <v>0</v>
      </c>
      <c r="AQ31" s="218">
        <f t="shared" ref="AQ31" si="260">IF(COUNTIF(Y31,"*十種競技*")&gt;0,E31,0)</f>
        <v>0</v>
      </c>
      <c r="AR31" s="218" t="b">
        <f>IF(AQ31=0,FALSE,IF(OR(COUNTIF($AI$7:$AI$406,AQ31)+COUNTIF($AQ31:$AQ$406,AQ31)&gt;1,COUNTIF($AK$7:$AK$406,AQ31)+COUNTIF($AQ$7:$AQ$406,AQ31)&gt;1),TRUE,FALSE))</f>
        <v>0</v>
      </c>
      <c r="AS31" s="218" t="b">
        <f t="shared" ref="AS31" si="261">IF(AND(C31="",E31&lt;&gt;"",F31&lt;&gt;"",E33&lt;&gt;"",G31&lt;&gt;"",G32&lt;&gt;"",G33&lt;&gt;""),TRUE,FALSE)</f>
        <v>0</v>
      </c>
      <c r="AT31" s="218" t="b">
        <f t="shared" si="6"/>
        <v>0</v>
      </c>
      <c r="AU31" s="274" t="b">
        <f t="shared" ref="AU31" si="262">IFERROR(IF(D31&amp;E31&amp;F31&amp;E33&amp;G31&amp;G32&amp;G33&amp;J31&amp;J32&amp;J33&amp;J34&amp;L31&amp;L32&amp;L33&amp;L34&amp;M31&amp;M32&amp;M33&amp;M34&amp;N31&amp;N32&amp;N33&amp;N34&amp;O31&amp;O32&amp;O33&amp;O34&amp;P31&amp;P32&amp;P33&amp;P34&amp;Q31&amp;R31="",FALSE,TRUE),FALSE)</f>
        <v>0</v>
      </c>
      <c r="AV31" s="218" t="b">
        <f t="shared" ref="AV31" si="263">IF(AS31,FALSE,IF(C31="",AU31,FALSE))</f>
        <v>0</v>
      </c>
      <c r="AW31" s="218" t="b">
        <f>IF(C31="",FALSE,IF(C31&gt;2000,TRUE,FALSE))</f>
        <v>0</v>
      </c>
      <c r="AX31" s="274" t="b">
        <f>IF(H31=0,FALSE,IF(EXACT(基本情報!$E$5,H31)=TRUE,FALSE,TRUE))</f>
        <v>0</v>
      </c>
      <c r="AY31" s="218" t="b">
        <f>IF(C31="",FALSE,IF(ISNA(E31)=TRUE,TRUE,FALSE))</f>
        <v>0</v>
      </c>
      <c r="AZ31" s="274" t="b">
        <f>IFERROR(IF(E31="",FALSE,IF(COUNTIF($E$7:E31,E31)&gt;1,TRUE,FALSE)),FALSE)</f>
        <v>0</v>
      </c>
      <c r="BA31" s="218" t="b">
        <f t="shared" ref="BA31" si="264">IF(OR(J31&amp;J32&amp;J33&amp;J34&amp;Q31&amp;R31="",AT31,AT32,AT33,AT34),AU31,FALSE)</f>
        <v>0</v>
      </c>
      <c r="BB31" s="218" t="b">
        <f>IF(U31&gt;1,TRUE,FALSE)</f>
        <v>0</v>
      </c>
      <c r="BC31" s="218" t="b">
        <f>IF(X31&gt;1,TRUE,FALSE)</f>
        <v>0</v>
      </c>
      <c r="BD31" s="218" t="b">
        <f t="shared" si="3"/>
        <v>0</v>
      </c>
      <c r="BF31" s="231" t="b">
        <f t="shared" ref="BF31" si="265">IF(J31="",FALSE,IF(OR(AND(AU31,L31=""),AND(AU31,L31="",OR(M31&lt;&gt;"",N31&lt;&gt;"",O31&lt;&gt;"",P31&lt;&gt;""))),TRUE,FALSE))</f>
        <v>0</v>
      </c>
      <c r="BG31" s="218" t="b">
        <f t="shared" si="4"/>
        <v>0</v>
      </c>
      <c r="BH31" s="218" t="b">
        <f t="shared" si="24"/>
        <v>0</v>
      </c>
      <c r="BI31" s="231" t="b">
        <f t="shared" ref="BI31" si="266">IF(J31="",FALSE,IF(L31=0,FALSE,IF(AND(AU31,NOT(BF31),OR(M31="",N31="",O31="")),TRUE,FALSE)))</f>
        <v>0</v>
      </c>
      <c r="BJ31" s="240" t="b">
        <f t="shared" si="5"/>
        <v>0</v>
      </c>
      <c r="BK31" s="231" t="b">
        <f>IF(NOT(BJ31),FALSE,IF(AND(競技会設定!$C$5&lt;=BJ31,BJ31&lt;=競技会設定!$C$6),FALSE,TRUE))</f>
        <v>0</v>
      </c>
      <c r="BL31" s="218" t="b">
        <f>IF(J31="",FALSE,IF(L31=0,FALSE,IF(AND(AU31,NOT(BF31),NOT(BI31),P31=""),TRUE,FALSE)))</f>
        <v>0</v>
      </c>
      <c r="BO31" s="274">
        <f t="shared" ref="BO31" si="267">IF(AND(AU31,SUM(COUNTIF(AV31:BC31,TRUE),COUNTIF(BF31:BL34,TRUE),COUNTIF(BD31:BD34,TRUE))=0,NOT($BE$7)),1,0)</f>
        <v>0</v>
      </c>
    </row>
    <row r="32" spans="1:67" ht="17.399999999999999" customHeight="1">
      <c r="A32" s="418"/>
      <c r="B32" s="402"/>
      <c r="C32" s="404"/>
      <c r="D32" s="221"/>
      <c r="E32" s="397"/>
      <c r="F32" s="397"/>
      <c r="G32" s="221" t="str">
        <f>IF(C31="","",(VLOOKUP(D31,男子登録!$A$2:$N$2001,13,0)))</f>
        <v/>
      </c>
      <c r="H32" s="221"/>
      <c r="I32" s="221" t="s">
        <v>7061</v>
      </c>
      <c r="J32" s="149"/>
      <c r="K32" s="221" t="s">
        <v>7062</v>
      </c>
      <c r="L32" s="149"/>
      <c r="M32" s="255"/>
      <c r="N32" s="256"/>
      <c r="O32" s="257"/>
      <c r="P32" s="171"/>
      <c r="Q32" s="412"/>
      <c r="R32" s="415"/>
      <c r="S32" s="136"/>
      <c r="T32" s="137"/>
      <c r="U32" s="137"/>
      <c r="V32" s="137"/>
      <c r="W32" s="137"/>
      <c r="X32" s="137"/>
      <c r="Y32" s="218">
        <f t="shared" ref="Y32" si="268">IF(OR(E31="",J32=""),0,J32&amp;E31)</f>
        <v>0</v>
      </c>
      <c r="Z32" s="218">
        <f>IF(Y32=0,0,COUNTIF($Y$7:Y32,Y32))</f>
        <v>0</v>
      </c>
      <c r="AD32" s="218">
        <f>IFERROR(VLOOKUP(J32,競技会設定!$P$2:$S$22,2,0),0)</f>
        <v>0</v>
      </c>
      <c r="AE32" s="218">
        <f t="shared" ref="AE32" si="269">IF(E31="",0,IF(AD32=0,0,IF(AD32&lt;3,E31&amp;$AE$6,0)))</f>
        <v>0</v>
      </c>
      <c r="AF32" s="218">
        <f>IF(AE32=0,0,E31&amp;COUNTIF($AE$7:AE32,AE32))</f>
        <v>0</v>
      </c>
      <c r="AG32" s="218">
        <f t="shared" ref="AG32" si="270">IF(E31="",0,IF(AD32=0,0,IF(AD32&gt;=3,E31&amp;$AG$6,0)))</f>
        <v>0</v>
      </c>
      <c r="AH32" s="218">
        <f>IF(AG32=0,0,E31&amp;COUNTIF($AG$7:AG32,AG32))</f>
        <v>0</v>
      </c>
      <c r="AI32" s="218">
        <f t="shared" ref="AI32" si="271">IF(COUNTIF(Y32,"*十種*")&gt;0,0,IF($AD32=AI$6,$E31,0))</f>
        <v>0</v>
      </c>
      <c r="AJ32" s="218" t="b">
        <f>IF(AI32=0,FALSE,IF(COUNTIF(AI$7:AI32,AI32)&gt;1,TRUE,FALSE))</f>
        <v>0</v>
      </c>
      <c r="AK32" s="218">
        <f t="shared" ref="AK32" si="272">IF($AD32=AK$6,$E31,0)</f>
        <v>0</v>
      </c>
      <c r="AL32" s="218" t="b">
        <f>IF(AK32=0,FALSE,IF(COUNTIF(AK$7:AK32,AK32)&gt;1,TRUE,FALSE))</f>
        <v>0</v>
      </c>
      <c r="AM32" s="218">
        <f t="shared" ref="AM32" si="273">IF($AD32=AM$6,$E31,0)</f>
        <v>0</v>
      </c>
      <c r="AN32" s="218" t="b">
        <f>IF(AM32=0,FALSE,IF(COUNTIF(AM$7:AM32,AM32)&gt;1,TRUE,FALSE))</f>
        <v>0</v>
      </c>
      <c r="AO32" s="218">
        <f t="shared" ref="AO32" si="274">IF($AD32=AO$6,$E31,0)</f>
        <v>0</v>
      </c>
      <c r="AP32" s="218" t="b">
        <f>IF(AO32=0,FALSE,IF(COUNTIF(AO$7:AO32,AO32)&gt;1,TRUE,FALSE))</f>
        <v>0</v>
      </c>
      <c r="AQ32" s="218">
        <f t="shared" ref="AQ32" si="275">IF(COUNTIF(Y32,"*十種競技*")&gt;0,E31,0)</f>
        <v>0</v>
      </c>
      <c r="AR32" s="218" t="b">
        <f>IF(AQ32=0,FALSE,IF(OR(COUNTIF($AI$7:$AI$406,AQ32)+COUNTIF($AQ32:$AQ$406,AQ32)&gt;1,COUNTIF($AK$7:$AK$406,AQ32)+COUNTIF($AQ$7:$AQ$406,AQ32)&gt;1),TRUE,FALSE))</f>
        <v>0</v>
      </c>
      <c r="AT32" s="218" t="b">
        <f t="shared" si="6"/>
        <v>0</v>
      </c>
      <c r="AU32" s="274"/>
      <c r="AX32" s="274"/>
      <c r="BD32" s="218" t="b">
        <f t="shared" si="3"/>
        <v>0</v>
      </c>
      <c r="BF32" s="231" t="b">
        <f t="shared" ref="BF32" si="276">IF(J32="",FALSE,IF(OR(AND(AU31,L32=""),AND(AU31,L32="",OR(M32&lt;&gt;"",N32&lt;&gt;"",O32&lt;&gt;"",P32&lt;&gt;""))),TRUE,FALSE))</f>
        <v>0</v>
      </c>
      <c r="BG32" s="218" t="b">
        <f t="shared" si="4"/>
        <v>0</v>
      </c>
      <c r="BH32" s="218" t="b">
        <f t="shared" si="24"/>
        <v>0</v>
      </c>
      <c r="BI32" s="231" t="b">
        <f t="shared" ref="BI32" si="277">IF(J32="",FALSE,IF(L32=0,FALSE,IF(AND(AU31,NOT(BF32),OR(M32="",N32="",O32="")),TRUE,FALSE)))</f>
        <v>0</v>
      </c>
      <c r="BJ32" s="240" t="b">
        <f t="shared" si="5"/>
        <v>0</v>
      </c>
      <c r="BK32" s="231" t="b">
        <f>IF(NOT(BJ32),FALSE,IF(AND(競技会設定!$C$5&lt;=BJ32,BJ32&lt;=競技会設定!$C$6),FALSE,TRUE))</f>
        <v>0</v>
      </c>
      <c r="BL32" s="218" t="b">
        <f>IF(J32="",FALSE,IF(L32=0,FALSE,IF(AND(AU31,NOT(BF32),NOT(BI32),P32=""),TRUE,FALSE)))</f>
        <v>0</v>
      </c>
      <c r="BO32" s="274"/>
    </row>
    <row r="33" spans="1:67" ht="17.399999999999999" customHeight="1">
      <c r="A33" s="418"/>
      <c r="B33" s="402"/>
      <c r="C33" s="404"/>
      <c r="D33" s="221"/>
      <c r="E33" s="394" t="str">
        <f>IF(C31="","",VLOOKUP(D31,男子登録!$A$2:$O$2001,14,0)&amp;" ("&amp;VLOOKUP(D31,男子登録!$A$2:$O$2001,15,0)&amp;")")</f>
        <v/>
      </c>
      <c r="F33" s="394"/>
      <c r="G33" s="222" t="str">
        <f>IF(C31="","",(VLOOKUP(D31,男子登録!$A$2:$N$2001,9,0)))</f>
        <v/>
      </c>
      <c r="H33" s="222"/>
      <c r="I33" s="222" t="s">
        <v>7063</v>
      </c>
      <c r="J33" s="150"/>
      <c r="K33" s="222" t="s">
        <v>7064</v>
      </c>
      <c r="L33" s="150"/>
      <c r="M33" s="255"/>
      <c r="N33" s="256"/>
      <c r="O33" s="257"/>
      <c r="P33" s="171"/>
      <c r="Q33" s="412"/>
      <c r="R33" s="415"/>
      <c r="S33" s="136"/>
      <c r="T33" s="137"/>
      <c r="U33" s="137"/>
      <c r="V33" s="137"/>
      <c r="W33" s="137"/>
      <c r="X33" s="137"/>
      <c r="Y33" s="218">
        <f t="shared" ref="Y33" si="278">IF(OR(E31="",J33=""),0,J33&amp;E31)</f>
        <v>0</v>
      </c>
      <c r="Z33" s="218">
        <f>IF(Y33=0,0,COUNTIF($Y$7:Y33,Y33))</f>
        <v>0</v>
      </c>
      <c r="AD33" s="218">
        <f>IFERROR(VLOOKUP(J33,競技会設定!$P$2:$S$22,2,0),0)</f>
        <v>0</v>
      </c>
      <c r="AE33" s="218">
        <f t="shared" ref="AE33" si="279">IF(E31="",0,IF(AD33=0,0,IF(AD33&lt;3,E31&amp;$AE$6,0)))</f>
        <v>0</v>
      </c>
      <c r="AF33" s="218">
        <f>IF(AE33=0,0,E31&amp;COUNTIF($AE$7:AE33,AE33))</f>
        <v>0</v>
      </c>
      <c r="AG33" s="218">
        <f t="shared" ref="AG33" si="280">IF(E31="",0,IF(AD33=0,0,IF(AD33&gt;=3,E31&amp;$AG$6,0)))</f>
        <v>0</v>
      </c>
      <c r="AH33" s="218">
        <f>IF(AG33=0,0,E31&amp;COUNTIF($AG$7:AG33,AG33))</f>
        <v>0</v>
      </c>
      <c r="AI33" s="218">
        <f t="shared" ref="AI33" si="281">IF(COUNTIF(Y33,"*十種*")&gt;0,0,IF($AD33=AI$6,$E31,0))</f>
        <v>0</v>
      </c>
      <c r="AJ33" s="218" t="b">
        <f>IF(AI33=0,FALSE,IF(COUNTIF(AI$7:AI33,AI33)&gt;1,TRUE,FALSE))</f>
        <v>0</v>
      </c>
      <c r="AK33" s="218">
        <f t="shared" ref="AK33" si="282">IF($AD33=AK$6,$E31,0)</f>
        <v>0</v>
      </c>
      <c r="AL33" s="218" t="b">
        <f>IF(AK33=0,FALSE,IF(COUNTIF(AK$7:AK33,AK33)&gt;1,TRUE,FALSE))</f>
        <v>0</v>
      </c>
      <c r="AM33" s="218">
        <f t="shared" ref="AM33" si="283">IF($AD33=AM$6,$E31,0)</f>
        <v>0</v>
      </c>
      <c r="AN33" s="218" t="b">
        <f>IF(AM33=0,FALSE,IF(COUNTIF(AM$7:AM33,AM33)&gt;1,TRUE,FALSE))</f>
        <v>0</v>
      </c>
      <c r="AO33" s="218">
        <f t="shared" ref="AO33" si="284">IF($AD33=AO$6,$E31,0)</f>
        <v>0</v>
      </c>
      <c r="AP33" s="218" t="b">
        <f>IF(AO33=0,FALSE,IF(COUNTIF(AO$7:AO33,AO33)&gt;1,TRUE,FALSE))</f>
        <v>0</v>
      </c>
      <c r="AQ33" s="218">
        <f t="shared" ref="AQ33" si="285">IF(COUNTIF(Y33,"*十種競技*")&gt;0,E31,0)</f>
        <v>0</v>
      </c>
      <c r="AR33" s="218" t="b">
        <f>IF(AQ33=0,FALSE,IF(OR(COUNTIF($AI$7:$AI$406,AQ33)+COUNTIF($AQ33:$AQ$406,AQ33)&gt;1,COUNTIF($AK$7:$AK$406,AQ33)+COUNTIF($AQ$7:$AQ$406,AQ33)&gt;1),TRUE,FALSE))</f>
        <v>0</v>
      </c>
      <c r="AT33" s="218" t="b">
        <f t="shared" si="6"/>
        <v>0</v>
      </c>
      <c r="AU33" s="274"/>
      <c r="AX33" s="274"/>
      <c r="BD33" s="218" t="b">
        <f t="shared" si="3"/>
        <v>0</v>
      </c>
      <c r="BF33" s="231" t="b">
        <f t="shared" ref="BF33" si="286">IF(J33="",FALSE,IF(OR(AND(AU31,L33=""),AND(AU31,L33="",OR(M33&lt;&gt;"",N33&lt;&gt;"",O33&lt;&gt;"",P33&lt;&gt;""))),TRUE,FALSE))</f>
        <v>0</v>
      </c>
      <c r="BG33" s="218" t="b">
        <f t="shared" si="4"/>
        <v>0</v>
      </c>
      <c r="BH33" s="218" t="b">
        <f t="shared" si="24"/>
        <v>0</v>
      </c>
      <c r="BI33" s="231" t="b">
        <f t="shared" ref="BI33" si="287">IF(J33="",FALSE,IF(L33=0,FALSE,IF(AND(AU31,NOT(BF33),OR(M33="",N33="",O33="")),TRUE,FALSE)))</f>
        <v>0</v>
      </c>
      <c r="BJ33" s="240" t="b">
        <f t="shared" si="5"/>
        <v>0</v>
      </c>
      <c r="BK33" s="231" t="b">
        <f>IF(NOT(BJ33),FALSE,IF(AND(競技会設定!$C$5&lt;=BJ33,BJ33&lt;=競技会設定!$C$6),FALSE,TRUE))</f>
        <v>0</v>
      </c>
      <c r="BL33" s="218" t="b">
        <f>IF(J33="",FALSE,IF(L33=0,FALSE,IF(AND(AU31,NOT(BF33),NOT(BI33),P33=""),TRUE,FALSE)))</f>
        <v>0</v>
      </c>
      <c r="BO33" s="274"/>
    </row>
    <row r="34" spans="1:67" ht="18" customHeight="1" thickBot="1">
      <c r="A34" s="419"/>
      <c r="B34" s="395" t="s">
        <v>7051</v>
      </c>
      <c r="C34" s="395"/>
      <c r="D34" s="221"/>
      <c r="E34" s="372"/>
      <c r="F34" s="372"/>
      <c r="G34" s="372"/>
      <c r="H34" s="214"/>
      <c r="I34" s="214" t="s">
        <v>7065</v>
      </c>
      <c r="J34" s="219"/>
      <c r="K34" s="214" t="s">
        <v>7066</v>
      </c>
      <c r="L34" s="219"/>
      <c r="M34" s="258"/>
      <c r="N34" s="259"/>
      <c r="O34" s="260"/>
      <c r="P34" s="307"/>
      <c r="Q34" s="413"/>
      <c r="R34" s="416"/>
      <c r="S34" s="136"/>
      <c r="T34" s="137"/>
      <c r="U34" s="137"/>
      <c r="V34" s="137"/>
      <c r="W34" s="137"/>
      <c r="X34" s="137"/>
      <c r="Y34" s="218">
        <f t="shared" ref="Y34" si="288">IF(OR(E31="",J34=""),0,J34&amp;E31)</f>
        <v>0</v>
      </c>
      <c r="Z34" s="218">
        <f>IF(Y34=0,0,COUNTIF($Y$7:Y34,Y34))</f>
        <v>0</v>
      </c>
      <c r="AD34" s="218">
        <f>IFERROR(VLOOKUP(J34,競技会設定!$P$2:$S$22,2,0),0)</f>
        <v>0</v>
      </c>
      <c r="AE34" s="218">
        <f t="shared" ref="AE34" si="289">IF(E31="",0,IF(AD34=0,0,IF(AD34&lt;3,E31&amp;$AE$6,0)))</f>
        <v>0</v>
      </c>
      <c r="AF34" s="218">
        <f>IF(AE34=0,0,E31&amp;COUNTIF($AE$7:AE34,AE34))</f>
        <v>0</v>
      </c>
      <c r="AG34" s="218">
        <f t="shared" ref="AG34" si="290">IF(E31="",0,IF(AD34=0,0,IF(AD34&gt;=3,E31&amp;$AG$6,0)))</f>
        <v>0</v>
      </c>
      <c r="AH34" s="218">
        <f>IF(AG34=0,0,E31&amp;COUNTIF($AG$7:AG34,AG34))</f>
        <v>0</v>
      </c>
      <c r="AI34" s="218">
        <f t="shared" ref="AI34" si="291">IF(COUNTIF(Y34,"*十種*")&gt;0,0,IF($AD34=AI$6,$E31,0))</f>
        <v>0</v>
      </c>
      <c r="AJ34" s="218" t="b">
        <f>IF(AI34=0,FALSE,IF(COUNTIF(AI$7:AI34,AI34)&gt;1,TRUE,FALSE))</f>
        <v>0</v>
      </c>
      <c r="AK34" s="218">
        <f t="shared" ref="AK34" si="292">IF($AD34=AK$6,$E31,0)</f>
        <v>0</v>
      </c>
      <c r="AL34" s="218" t="b">
        <f>IF(AK34=0,FALSE,IF(COUNTIF(AK$7:AK34,AK34)&gt;1,TRUE,FALSE))</f>
        <v>0</v>
      </c>
      <c r="AM34" s="218">
        <f t="shared" ref="AM34" si="293">IF($AD34=AM$6,$E31,0)</f>
        <v>0</v>
      </c>
      <c r="AN34" s="218" t="b">
        <f>IF(AM34=0,FALSE,IF(COUNTIF(AM$7:AM34,AM34)&gt;1,TRUE,FALSE))</f>
        <v>0</v>
      </c>
      <c r="AO34" s="218">
        <f t="shared" ref="AO34" si="294">IF($AD34=AO$6,$E31,0)</f>
        <v>0</v>
      </c>
      <c r="AP34" s="218" t="b">
        <f>IF(AO34=0,FALSE,IF(COUNTIF(AO$7:AO34,AO34)&gt;1,TRUE,FALSE))</f>
        <v>0</v>
      </c>
      <c r="AQ34" s="218">
        <f t="shared" ref="AQ34" si="295">IF(COUNTIF(Y34,"*十種競技*")&gt;0,E31,0)</f>
        <v>0</v>
      </c>
      <c r="AR34" s="218" t="b">
        <f>IF(AQ34=0,FALSE,IF(OR(COUNTIF($AI$7:$AI$406,AQ34)+COUNTIF($AQ34:$AQ$406,AQ34)&gt;1,COUNTIF($AK$7:$AK$406,AQ34)+COUNTIF($AQ$7:$AQ$406,AQ34)&gt;1),TRUE,FALSE))</f>
        <v>0</v>
      </c>
      <c r="AT34" s="218" t="b">
        <f t="shared" si="6"/>
        <v>0</v>
      </c>
      <c r="AU34" s="274"/>
      <c r="AX34" s="274"/>
      <c r="BD34" s="218" t="b">
        <f t="shared" si="3"/>
        <v>0</v>
      </c>
      <c r="BF34" s="231" t="b">
        <f t="shared" ref="BF34" si="296">IF(J34="",FALSE,IF(OR(AND(AU31,L34=""),AND(AU31,L34="",OR(M34&lt;&gt;"",N34&lt;&gt;"",O34&lt;&gt;"",P34&lt;&gt;""))),TRUE,FALSE))</f>
        <v>0</v>
      </c>
      <c r="BG34" s="218" t="b">
        <f t="shared" si="4"/>
        <v>0</v>
      </c>
      <c r="BH34" s="218" t="b">
        <f t="shared" si="24"/>
        <v>0</v>
      </c>
      <c r="BI34" s="231" t="b">
        <f t="shared" ref="BI34" si="297">IF(J34="",FALSE,IF(L34=0,FALSE,IF(AND(AU31,NOT(BF34),OR(M34="",N34="",O34="")),TRUE,FALSE)))</f>
        <v>0</v>
      </c>
      <c r="BJ34" s="240" t="b">
        <f t="shared" si="5"/>
        <v>0</v>
      </c>
      <c r="BK34" s="231" t="b">
        <f>IF(NOT(BJ34),FALSE,IF(AND(競技会設定!$C$5&lt;=BJ34,BJ34&lt;=競技会設定!$C$6),FALSE,TRUE))</f>
        <v>0</v>
      </c>
      <c r="BL34" s="218" t="b">
        <f>IF(J34="",FALSE,IF(L34=0,FALSE,IF(AND(AU31,NOT(BF34),NOT(BI34),P34=""),TRUE,FALSE)))</f>
        <v>0</v>
      </c>
      <c r="BO34" s="274"/>
    </row>
    <row r="35" spans="1:67" ht="18" customHeight="1" thickTop="1">
      <c r="A35" s="420">
        <v>8</v>
      </c>
      <c r="B35" s="373" t="s">
        <v>7050</v>
      </c>
      <c r="C35" s="375"/>
      <c r="D35" s="138" t="str">
        <f t="shared" ref="D35" si="298">IF(C35="","",501&amp;TEXT(C35,"000000"))</f>
        <v/>
      </c>
      <c r="E35" s="377" t="str">
        <f>IF(D35="","",(VLOOKUP(D35,男子登録!$A$2:$N$2001,3,0)))</f>
        <v/>
      </c>
      <c r="F35" s="377" t="str">
        <f>IF(D35="","",(VLOOKUP(D35,男子登録!$A$2:$N$2001,4,0)))</f>
        <v/>
      </c>
      <c r="G35" s="138" t="str">
        <f>IF(C35="","",(VLOOKUP(D35,男子登録!$A$2:$N$2001,8,0)))</f>
        <v/>
      </c>
      <c r="H35" s="138">
        <f>IFERROR(VLOOKUP(D35,男子登録!$A$2:$N$2001,11,0),基本情報!$E$5)</f>
        <v>0</v>
      </c>
      <c r="I35" s="138" t="s">
        <v>7059</v>
      </c>
      <c r="J35" s="151"/>
      <c r="K35" s="138" t="s">
        <v>7060</v>
      </c>
      <c r="L35" s="151"/>
      <c r="M35" s="261"/>
      <c r="N35" s="262"/>
      <c r="O35" s="263"/>
      <c r="P35" s="174"/>
      <c r="Q35" s="405"/>
      <c r="R35" s="408"/>
      <c r="S35" s="136">
        <f t="shared" ref="S35" si="299">IF(OR(E35="",Q35=""),0,E35)</f>
        <v>0</v>
      </c>
      <c r="T35" s="137">
        <f>IF(S35=0,0,COUNTIF($S$7:S35,"*"))</f>
        <v>0</v>
      </c>
      <c r="U35" s="137">
        <f>IF(S35=0,0,COUNTIF($S$7:S35,S35))</f>
        <v>0</v>
      </c>
      <c r="V35" s="137">
        <f t="shared" si="203"/>
        <v>0</v>
      </c>
      <c r="W35" s="137">
        <f>IF(V35=0,0,COUNTIF($V$7:V35,"*"))</f>
        <v>0</v>
      </c>
      <c r="X35" s="137">
        <f>IF(V35=0,0,COUNTIF($V$7:V35,V35))</f>
        <v>0</v>
      </c>
      <c r="Y35" s="218">
        <f t="shared" ref="Y35" si="300">IF(OR(E35="",J35=""),0,J35&amp;E35)</f>
        <v>0</v>
      </c>
      <c r="Z35" s="218">
        <f>IF(Y35=0,0,COUNTIF($Y$7:Y35,Y35))</f>
        <v>0</v>
      </c>
      <c r="AA35" s="218" t="b">
        <f t="shared" ref="AA35" si="301">IF(COUNTIF(J35:J38,"十種競技")&gt;0,TRUE,FALSE)</f>
        <v>0</v>
      </c>
      <c r="AB35" s="218">
        <f>IF(E35="",0,IF(AA35,COUNTIF($AA$7:AA35,TRUE),0))</f>
        <v>0</v>
      </c>
      <c r="AC35" s="218">
        <f>IFERROR(VLOOKUP("十種競技",J35:L38,3,0),0)</f>
        <v>0</v>
      </c>
      <c r="AD35" s="218">
        <f>IFERROR(VLOOKUP(J35,競技会設定!$P$2:$S$22,2,0),0)</f>
        <v>0</v>
      </c>
      <c r="AE35" s="218">
        <f t="shared" ref="AE35" si="302">IF(E35="",0,IF(AD35=0,0,IF(AD35&lt;3,E35&amp;$AE$6,0)))</f>
        <v>0</v>
      </c>
      <c r="AF35" s="218">
        <f>IF(AE35=0,0,E35&amp;COUNTIF($AE$7:AE35,AE35))</f>
        <v>0</v>
      </c>
      <c r="AG35" s="218">
        <f t="shared" ref="AG35" si="303">IF(E35="",0,IF(AD35=0,0,IF(AD35&gt;=3,E35&amp;$AG$6,0)))</f>
        <v>0</v>
      </c>
      <c r="AH35" s="218">
        <f>IF(AG35=0,0,E35&amp;COUNTIF($AG$7:AG35,AG35))</f>
        <v>0</v>
      </c>
      <c r="AI35" s="218">
        <f t="shared" ref="AI35:AI83" si="304">IF(COUNTIF(Y35,"*十種*")&gt;0,0,IF($AD35=AI$6,$E35,0))</f>
        <v>0</v>
      </c>
      <c r="AJ35" s="218" t="b">
        <f>IF(AI35=0,FALSE,IF(COUNTIF(AI$7:AI35,AI35)&gt;1,TRUE,FALSE))</f>
        <v>0</v>
      </c>
      <c r="AK35" s="218">
        <f t="shared" ref="AK35" si="305">IF($AD35=AK$6,$E35,0)</f>
        <v>0</v>
      </c>
      <c r="AL35" s="218" t="b">
        <f>IF(AK35=0,FALSE,IF(COUNTIF(AK$7:AK35,AK35)&gt;1,TRUE,FALSE))</f>
        <v>0</v>
      </c>
      <c r="AM35" s="218">
        <f t="shared" ref="AM35" si="306">IF($AD35=AM$6,$E35,0)</f>
        <v>0</v>
      </c>
      <c r="AN35" s="218" t="b">
        <f>IF(AM35=0,FALSE,IF(COUNTIF(AM$7:AM35,AM35)&gt;1,TRUE,FALSE))</f>
        <v>0</v>
      </c>
      <c r="AO35" s="218">
        <f t="shared" ref="AO35" si="307">IF($AD35=AO$6,$E35,0)</f>
        <v>0</v>
      </c>
      <c r="AP35" s="218" t="b">
        <f>IF(AO35=0,FALSE,IF(COUNTIF(AO$7:AO35,AO35)&gt;1,TRUE,FALSE))</f>
        <v>0</v>
      </c>
      <c r="AQ35" s="218">
        <f t="shared" ref="AQ35" si="308">IF(COUNTIF(Y35,"*十種競技*")&gt;0,E35,0)</f>
        <v>0</v>
      </c>
      <c r="AR35" s="218" t="b">
        <f>IF(AQ35=0,FALSE,IF(OR(COUNTIF($AI$7:$AI$406,AQ35)+COUNTIF($AQ35:$AQ$406,AQ35)&gt;1,COUNTIF($AK$7:$AK$406,AQ35)+COUNTIF($AQ$7:$AQ$406,AQ35)&gt;1),TRUE,FALSE))</f>
        <v>0</v>
      </c>
      <c r="AS35" s="218" t="b">
        <f t="shared" ref="AS35" si="309">IF(AND(C35="",E35&lt;&gt;"",F35&lt;&gt;"",E37&lt;&gt;"",G35&lt;&gt;"",G36&lt;&gt;"",G37&lt;&gt;""),TRUE,FALSE)</f>
        <v>0</v>
      </c>
      <c r="AT35" s="218" t="b">
        <f t="shared" si="6"/>
        <v>0</v>
      </c>
      <c r="AU35" s="274" t="b">
        <f t="shared" ref="AU35" si="310">IFERROR(IF(D35&amp;E35&amp;F35&amp;E37&amp;G35&amp;G36&amp;G37&amp;J35&amp;J36&amp;J37&amp;J38&amp;L35&amp;L36&amp;L37&amp;L38&amp;M35&amp;M36&amp;M37&amp;M38&amp;N35&amp;N36&amp;N37&amp;N38&amp;O35&amp;O36&amp;O37&amp;O38&amp;P35&amp;P36&amp;P37&amp;P38&amp;Q35&amp;R35="",FALSE,TRUE),FALSE)</f>
        <v>0</v>
      </c>
      <c r="AV35" s="218" t="b">
        <f t="shared" ref="AV35" si="311">IF(AS35,FALSE,IF(C35="",AU35,FALSE))</f>
        <v>0</v>
      </c>
      <c r="AW35" s="218" t="b">
        <f>IF(C35="",FALSE,IF(C35&gt;2000,TRUE,FALSE))</f>
        <v>0</v>
      </c>
      <c r="AX35" s="274" t="b">
        <f>IF(H35=0,FALSE,IF(EXACT(基本情報!$E$5,H35)=TRUE,FALSE,TRUE))</f>
        <v>0</v>
      </c>
      <c r="AY35" s="218" t="b">
        <f>IF(C35="",FALSE,IF(ISNA(E35)=TRUE,TRUE,FALSE))</f>
        <v>0</v>
      </c>
      <c r="AZ35" s="274" t="b">
        <f>IFERROR(IF(E35="",FALSE,IF(COUNTIF($E$7:E35,E35)&gt;1,TRUE,FALSE)),FALSE)</f>
        <v>0</v>
      </c>
      <c r="BA35" s="218" t="b">
        <f t="shared" ref="BA35" si="312">IF(OR(J35&amp;J36&amp;J37&amp;J38&amp;Q35&amp;R35="",AT35,AT36,AT37,AT38),AU35,FALSE)</f>
        <v>0</v>
      </c>
      <c r="BB35" s="218" t="b">
        <f>IF(U35&gt;1,TRUE,FALSE)</f>
        <v>0</v>
      </c>
      <c r="BC35" s="218" t="b">
        <f>IF(X35&gt;1,TRUE,FALSE)</f>
        <v>0</v>
      </c>
      <c r="BD35" s="218" t="b">
        <f t="shared" si="3"/>
        <v>0</v>
      </c>
      <c r="BF35" s="231" t="b">
        <f t="shared" ref="BF35" si="313">IF(J35="",FALSE,IF(OR(AND(AU35,L35=""),AND(AU35,L35="",OR(M35&lt;&gt;"",N35&lt;&gt;"",O35&lt;&gt;"",P35&lt;&gt;""))),TRUE,FALSE))</f>
        <v>0</v>
      </c>
      <c r="BG35" s="218" t="b">
        <f t="shared" si="4"/>
        <v>0</v>
      </c>
      <c r="BH35" s="218" t="b">
        <f t="shared" si="24"/>
        <v>0</v>
      </c>
      <c r="BI35" s="231" t="b">
        <f t="shared" ref="BI35" si="314">IF(J35="",FALSE,IF(L35=0,FALSE,IF(AND(AU35,NOT(BF35),OR(M35="",N35="",O35="")),TRUE,FALSE)))</f>
        <v>0</v>
      </c>
      <c r="BJ35" s="240" t="b">
        <f t="shared" si="5"/>
        <v>0</v>
      </c>
      <c r="BK35" s="231" t="b">
        <f>IF(NOT(BJ35),FALSE,IF(AND(競技会設定!$C$5&lt;=BJ35,BJ35&lt;=競技会設定!$C$6),FALSE,TRUE))</f>
        <v>0</v>
      </c>
      <c r="BL35" s="218" t="b">
        <f>IF(J35="",FALSE,IF(L35=0,FALSE,IF(AND(AU35,NOT(BF35),NOT(BI35),P35=""),TRUE,FALSE)))</f>
        <v>0</v>
      </c>
      <c r="BO35" s="274">
        <f t="shared" ref="BO35" si="315">IF(AND(AU35,SUM(COUNTIF(AV35:BC35,TRUE),COUNTIF(BF35:BL38,TRUE),COUNTIF(BD35:BD38,TRUE))=0,NOT($BE$7)),1,0)</f>
        <v>0</v>
      </c>
    </row>
    <row r="36" spans="1:67" ht="17.399999999999999" customHeight="1">
      <c r="A36" s="421"/>
      <c r="B36" s="374"/>
      <c r="C36" s="376"/>
      <c r="D36" s="139"/>
      <c r="E36" s="378"/>
      <c r="F36" s="378"/>
      <c r="G36" s="139" t="str">
        <f>IF(C35="","",(VLOOKUP(D35,男子登録!$A$2:$N$2001,13,0)))</f>
        <v/>
      </c>
      <c r="H36" s="139"/>
      <c r="I36" s="139" t="s">
        <v>7061</v>
      </c>
      <c r="J36" s="152"/>
      <c r="K36" s="139" t="s">
        <v>7062</v>
      </c>
      <c r="L36" s="152"/>
      <c r="M36" s="264"/>
      <c r="N36" s="265"/>
      <c r="O36" s="266"/>
      <c r="P36" s="175"/>
      <c r="Q36" s="406"/>
      <c r="R36" s="409"/>
      <c r="S36" s="136"/>
      <c r="T36" s="137"/>
      <c r="U36" s="137"/>
      <c r="V36" s="137"/>
      <c r="W36" s="137"/>
      <c r="X36" s="137"/>
      <c r="Y36" s="218">
        <f t="shared" ref="Y36" si="316">IF(OR(E35="",J36=""),0,J36&amp;E35)</f>
        <v>0</v>
      </c>
      <c r="Z36" s="218">
        <f>IF(Y36=0,0,COUNTIF($Y$7:Y36,Y36))</f>
        <v>0</v>
      </c>
      <c r="AD36" s="218">
        <f>IFERROR(VLOOKUP(J36,競技会設定!$P$2:$S$22,2,0),0)</f>
        <v>0</v>
      </c>
      <c r="AE36" s="218">
        <f t="shared" ref="AE36" si="317">IF(E35="",0,IF(AD36=0,0,IF(AD36&lt;3,E35&amp;$AE$6,0)))</f>
        <v>0</v>
      </c>
      <c r="AF36" s="218">
        <f>IF(AE36=0,0,E35&amp;COUNTIF($AE$7:AE36,AE36))</f>
        <v>0</v>
      </c>
      <c r="AG36" s="218">
        <f t="shared" ref="AG36" si="318">IF(E35="",0,IF(AD36=0,0,IF(AD36&gt;=3,E35&amp;$AG$6,0)))</f>
        <v>0</v>
      </c>
      <c r="AH36" s="218">
        <f>IF(AG36=0,0,E35&amp;COUNTIF($AG$7:AG36,AG36))</f>
        <v>0</v>
      </c>
      <c r="AI36" s="218">
        <f t="shared" ref="AI36:AI84" si="319">IF(COUNTIF(Y36,"*十種*")&gt;0,0,IF($AD36=AI$6,$E35,0))</f>
        <v>0</v>
      </c>
      <c r="AJ36" s="218" t="b">
        <f>IF(AI36=0,FALSE,IF(COUNTIF(AI$7:AI36,AI36)&gt;1,TRUE,FALSE))</f>
        <v>0</v>
      </c>
      <c r="AK36" s="218">
        <f t="shared" ref="AK36" si="320">IF($AD36=AK$6,$E35,0)</f>
        <v>0</v>
      </c>
      <c r="AL36" s="218" t="b">
        <f>IF(AK36=0,FALSE,IF(COUNTIF(AK$7:AK36,AK36)&gt;1,TRUE,FALSE))</f>
        <v>0</v>
      </c>
      <c r="AM36" s="218">
        <f t="shared" ref="AM36" si="321">IF($AD36=AM$6,$E35,0)</f>
        <v>0</v>
      </c>
      <c r="AN36" s="218" t="b">
        <f>IF(AM36=0,FALSE,IF(COUNTIF(AM$7:AM36,AM36)&gt;1,TRUE,FALSE))</f>
        <v>0</v>
      </c>
      <c r="AO36" s="218">
        <f t="shared" ref="AO36" si="322">IF($AD36=AO$6,$E35,0)</f>
        <v>0</v>
      </c>
      <c r="AP36" s="218" t="b">
        <f>IF(AO36=0,FALSE,IF(COUNTIF(AO$7:AO36,AO36)&gt;1,TRUE,FALSE))</f>
        <v>0</v>
      </c>
      <c r="AQ36" s="218">
        <f t="shared" ref="AQ36" si="323">IF(COUNTIF(Y36,"*十種競技*")&gt;0,E35,0)</f>
        <v>0</v>
      </c>
      <c r="AR36" s="218" t="b">
        <f>IF(AQ36=0,FALSE,IF(OR(COUNTIF($AI$7:$AI$406,AQ36)+COUNTIF($AQ36:$AQ$406,AQ36)&gt;1,COUNTIF($AK$7:$AK$406,AQ36)+COUNTIF($AQ$7:$AQ$406,AQ36)&gt;1),TRUE,FALSE))</f>
        <v>0</v>
      </c>
      <c r="AT36" s="218" t="b">
        <f t="shared" si="6"/>
        <v>0</v>
      </c>
      <c r="AU36" s="274"/>
      <c r="AX36" s="274"/>
      <c r="BD36" s="218" t="b">
        <f t="shared" si="3"/>
        <v>0</v>
      </c>
      <c r="BF36" s="231" t="b">
        <f t="shared" ref="BF36" si="324">IF(J36="",FALSE,IF(OR(AND(AU35,L36=""),AND(AU35,L36="",OR(M36&lt;&gt;"",N36&lt;&gt;"",O36&lt;&gt;"",P36&lt;&gt;""))),TRUE,FALSE))</f>
        <v>0</v>
      </c>
      <c r="BG36" s="218" t="b">
        <f t="shared" si="4"/>
        <v>0</v>
      </c>
      <c r="BH36" s="218" t="b">
        <f t="shared" si="24"/>
        <v>0</v>
      </c>
      <c r="BI36" s="231" t="b">
        <f t="shared" ref="BI36" si="325">IF(J36="",FALSE,IF(L36=0,FALSE,IF(AND(AU35,NOT(BF36),OR(M36="",N36="",O36="")),TRUE,FALSE)))</f>
        <v>0</v>
      </c>
      <c r="BJ36" s="240" t="b">
        <f t="shared" si="5"/>
        <v>0</v>
      </c>
      <c r="BK36" s="231" t="b">
        <f>IF(NOT(BJ36),FALSE,IF(AND(競技会設定!$C$5&lt;=BJ36,BJ36&lt;=競技会設定!$C$6),FALSE,TRUE))</f>
        <v>0</v>
      </c>
      <c r="BL36" s="218" t="b">
        <f>IF(J36="",FALSE,IF(L36=0,FALSE,IF(AND(AU35,NOT(BF36),NOT(BI36),P36=""),TRUE,FALSE)))</f>
        <v>0</v>
      </c>
      <c r="BO36" s="274"/>
    </row>
    <row r="37" spans="1:67" ht="17.399999999999999" customHeight="1">
      <c r="A37" s="421"/>
      <c r="B37" s="374"/>
      <c r="C37" s="376"/>
      <c r="D37" s="140"/>
      <c r="E37" s="379" t="str">
        <f>IF(C35="","",VLOOKUP(D35,男子登録!$A$2:$O$2001,14,0)&amp;" ("&amp;VLOOKUP(D35,男子登録!$A$2:$O$2001,15,0)&amp;")")</f>
        <v/>
      </c>
      <c r="F37" s="380"/>
      <c r="G37" s="140" t="str">
        <f>IF(C35="","",(VLOOKUP(D35,男子登録!$A$2:$N$2001,9,0)))</f>
        <v/>
      </c>
      <c r="H37" s="140"/>
      <c r="I37" s="140" t="s">
        <v>7063</v>
      </c>
      <c r="J37" s="153"/>
      <c r="K37" s="140" t="s">
        <v>7064</v>
      </c>
      <c r="L37" s="153"/>
      <c r="M37" s="264"/>
      <c r="N37" s="265"/>
      <c r="O37" s="266"/>
      <c r="P37" s="175"/>
      <c r="Q37" s="406"/>
      <c r="R37" s="409"/>
      <c r="S37" s="136"/>
      <c r="T37" s="137"/>
      <c r="U37" s="137"/>
      <c r="V37" s="137"/>
      <c r="W37" s="137"/>
      <c r="X37" s="137"/>
      <c r="Y37" s="218">
        <f t="shared" ref="Y37" si="326">IF(OR(E35="",J37=""),0,J37&amp;E35)</f>
        <v>0</v>
      </c>
      <c r="Z37" s="218">
        <f>IF(Y37=0,0,COUNTIF($Y$7:Y37,Y37))</f>
        <v>0</v>
      </c>
      <c r="AD37" s="218">
        <f>IFERROR(VLOOKUP(J37,競技会設定!$P$2:$S$22,2,0),0)</f>
        <v>0</v>
      </c>
      <c r="AE37" s="218">
        <f t="shared" ref="AE37" si="327">IF(E35="",0,IF(AD37=0,0,IF(AD37&lt;3,E35&amp;$AE$6,0)))</f>
        <v>0</v>
      </c>
      <c r="AF37" s="218">
        <f>IF(AE37=0,0,E35&amp;COUNTIF($AE$7:AE37,AE37))</f>
        <v>0</v>
      </c>
      <c r="AG37" s="218">
        <f t="shared" ref="AG37" si="328">IF(E35="",0,IF(AD37=0,0,IF(AD37&gt;=3,E35&amp;$AG$6,0)))</f>
        <v>0</v>
      </c>
      <c r="AH37" s="218">
        <f>IF(AG37=0,0,E35&amp;COUNTIF($AG$7:AG37,AG37))</f>
        <v>0</v>
      </c>
      <c r="AI37" s="218">
        <f t="shared" ref="AI37:AI85" si="329">IF(COUNTIF(Y37,"*十種*")&gt;0,0,IF($AD37=AI$6,$E35,0))</f>
        <v>0</v>
      </c>
      <c r="AJ37" s="218" t="b">
        <f>IF(AI37=0,FALSE,IF(COUNTIF(AI$7:AI37,AI37)&gt;1,TRUE,FALSE))</f>
        <v>0</v>
      </c>
      <c r="AK37" s="218">
        <f t="shared" ref="AK37" si="330">IF($AD37=AK$6,$E35,0)</f>
        <v>0</v>
      </c>
      <c r="AL37" s="218" t="b">
        <f>IF(AK37=0,FALSE,IF(COUNTIF(AK$7:AK37,AK37)&gt;1,TRUE,FALSE))</f>
        <v>0</v>
      </c>
      <c r="AM37" s="218">
        <f t="shared" ref="AM37" si="331">IF($AD37=AM$6,$E35,0)</f>
        <v>0</v>
      </c>
      <c r="AN37" s="218" t="b">
        <f>IF(AM37=0,FALSE,IF(COUNTIF(AM$7:AM37,AM37)&gt;1,TRUE,FALSE))</f>
        <v>0</v>
      </c>
      <c r="AO37" s="218">
        <f t="shared" ref="AO37" si="332">IF($AD37=AO$6,$E35,0)</f>
        <v>0</v>
      </c>
      <c r="AP37" s="218" t="b">
        <f>IF(AO37=0,FALSE,IF(COUNTIF(AO$7:AO37,AO37)&gt;1,TRUE,FALSE))</f>
        <v>0</v>
      </c>
      <c r="AQ37" s="218">
        <f t="shared" ref="AQ37" si="333">IF(COUNTIF(Y37,"*十種競技*")&gt;0,E35,0)</f>
        <v>0</v>
      </c>
      <c r="AR37" s="218" t="b">
        <f>IF(AQ37=0,FALSE,IF(OR(COUNTIF($AI$7:$AI$406,AQ37)+COUNTIF($AQ37:$AQ$406,AQ37)&gt;1,COUNTIF($AK$7:$AK$406,AQ37)+COUNTIF($AQ$7:$AQ$406,AQ37)&gt;1),TRUE,FALSE))</f>
        <v>0</v>
      </c>
      <c r="AT37" s="218" t="b">
        <f t="shared" si="6"/>
        <v>0</v>
      </c>
      <c r="AU37" s="274"/>
      <c r="AX37" s="274"/>
      <c r="BD37" s="218" t="b">
        <f t="shared" si="3"/>
        <v>0</v>
      </c>
      <c r="BF37" s="231" t="b">
        <f t="shared" ref="BF37" si="334">IF(J37="",FALSE,IF(OR(AND(AU35,L37=""),AND(AU35,L37="",OR(M37&lt;&gt;"",N37&lt;&gt;"",O37&lt;&gt;"",P37&lt;&gt;""))),TRUE,FALSE))</f>
        <v>0</v>
      </c>
      <c r="BG37" s="218" t="b">
        <f t="shared" si="4"/>
        <v>0</v>
      </c>
      <c r="BH37" s="218" t="b">
        <f t="shared" si="24"/>
        <v>0</v>
      </c>
      <c r="BI37" s="231" t="b">
        <f t="shared" ref="BI37" si="335">IF(J37="",FALSE,IF(L37=0,FALSE,IF(AND(AU35,NOT(BF37),OR(M37="",N37="",O37="")),TRUE,FALSE)))</f>
        <v>0</v>
      </c>
      <c r="BJ37" s="240" t="b">
        <f t="shared" si="5"/>
        <v>0</v>
      </c>
      <c r="BK37" s="231" t="b">
        <f>IF(NOT(BJ37),FALSE,IF(AND(競技会設定!$C$5&lt;=BJ37,BJ37&lt;=競技会設定!$C$6),FALSE,TRUE))</f>
        <v>0</v>
      </c>
      <c r="BL37" s="218" t="b">
        <f>IF(J37="",FALSE,IF(L37=0,FALSE,IF(AND(AU35,NOT(BF37),NOT(BI37),P37=""),TRUE,FALSE)))</f>
        <v>0</v>
      </c>
      <c r="BO37" s="274"/>
    </row>
    <row r="38" spans="1:67" ht="18" customHeight="1" thickBot="1">
      <c r="A38" s="422"/>
      <c r="B38" s="387" t="s">
        <v>7051</v>
      </c>
      <c r="C38" s="387"/>
      <c r="D38" s="213"/>
      <c r="E38" s="388"/>
      <c r="F38" s="389"/>
      <c r="G38" s="390"/>
      <c r="H38" s="141"/>
      <c r="I38" s="213" t="s">
        <v>7065</v>
      </c>
      <c r="J38" s="154"/>
      <c r="K38" s="213" t="s">
        <v>7066</v>
      </c>
      <c r="L38" s="154"/>
      <c r="M38" s="267"/>
      <c r="N38" s="268"/>
      <c r="O38" s="269"/>
      <c r="P38" s="177"/>
      <c r="Q38" s="407"/>
      <c r="R38" s="410"/>
      <c r="S38" s="136"/>
      <c r="T38" s="137"/>
      <c r="U38" s="137"/>
      <c r="V38" s="137"/>
      <c r="W38" s="137"/>
      <c r="X38" s="137"/>
      <c r="Y38" s="218">
        <f t="shared" ref="Y38" si="336">IF(OR(E35="",J38=""),0,J38&amp;E35)</f>
        <v>0</v>
      </c>
      <c r="Z38" s="218">
        <f>IF(Y38=0,0,COUNTIF($Y$7:Y38,Y38))</f>
        <v>0</v>
      </c>
      <c r="AD38" s="218">
        <f>IFERROR(VLOOKUP(J38,競技会設定!$P$2:$S$22,2,0),0)</f>
        <v>0</v>
      </c>
      <c r="AE38" s="218">
        <f t="shared" ref="AE38" si="337">IF(E35="",0,IF(AD38=0,0,IF(AD38&lt;3,E35&amp;$AE$6,0)))</f>
        <v>0</v>
      </c>
      <c r="AF38" s="218">
        <f>IF(AE38=0,0,E35&amp;COUNTIF($AE$7:AE38,AE38))</f>
        <v>0</v>
      </c>
      <c r="AG38" s="218">
        <f t="shared" ref="AG38" si="338">IF(E35="",0,IF(AD38=0,0,IF(AD38&gt;=3,E35&amp;$AG$6,0)))</f>
        <v>0</v>
      </c>
      <c r="AH38" s="218">
        <f>IF(AG38=0,0,E35&amp;COUNTIF($AG$7:AG38,AG38))</f>
        <v>0</v>
      </c>
      <c r="AI38" s="218">
        <f t="shared" ref="AI38:AI86" si="339">IF(COUNTIF(Y38,"*十種*")&gt;0,0,IF($AD38=AI$6,$E35,0))</f>
        <v>0</v>
      </c>
      <c r="AJ38" s="218" t="b">
        <f>IF(AI38=0,FALSE,IF(COUNTIF(AI$7:AI38,AI38)&gt;1,TRUE,FALSE))</f>
        <v>0</v>
      </c>
      <c r="AK38" s="218">
        <f t="shared" ref="AK38" si="340">IF($AD38=AK$6,$E35,0)</f>
        <v>0</v>
      </c>
      <c r="AL38" s="218" t="b">
        <f>IF(AK38=0,FALSE,IF(COUNTIF(AK$7:AK38,AK38)&gt;1,TRUE,FALSE))</f>
        <v>0</v>
      </c>
      <c r="AM38" s="218">
        <f t="shared" ref="AM38" si="341">IF($AD38=AM$6,$E35,0)</f>
        <v>0</v>
      </c>
      <c r="AN38" s="218" t="b">
        <f>IF(AM38=0,FALSE,IF(COUNTIF(AM$7:AM38,AM38)&gt;1,TRUE,FALSE))</f>
        <v>0</v>
      </c>
      <c r="AO38" s="218">
        <f t="shared" ref="AO38" si="342">IF($AD38=AO$6,$E35,0)</f>
        <v>0</v>
      </c>
      <c r="AP38" s="218" t="b">
        <f>IF(AO38=0,FALSE,IF(COUNTIF(AO$7:AO38,AO38)&gt;1,TRUE,FALSE))</f>
        <v>0</v>
      </c>
      <c r="AQ38" s="218">
        <f t="shared" ref="AQ38" si="343">IF(COUNTIF(Y38,"*十種競技*")&gt;0,E35,0)</f>
        <v>0</v>
      </c>
      <c r="AR38" s="218" t="b">
        <f>IF(AQ38=0,FALSE,IF(OR(COUNTIF($AI$7:$AI$406,AQ38)+COUNTIF($AQ38:$AQ$406,AQ38)&gt;1,COUNTIF($AK$7:$AK$406,AQ38)+COUNTIF($AQ$7:$AQ$406,AQ38)&gt;1),TRUE,FALSE))</f>
        <v>0</v>
      </c>
      <c r="AT38" s="218" t="b">
        <f t="shared" si="6"/>
        <v>0</v>
      </c>
      <c r="AU38" s="274"/>
      <c r="AX38" s="274"/>
      <c r="BD38" s="218" t="b">
        <f t="shared" si="3"/>
        <v>0</v>
      </c>
      <c r="BF38" s="231" t="b">
        <f t="shared" ref="BF38" si="344">IF(J38="",FALSE,IF(OR(AND(AU35,L38=""),AND(AU35,L38="",OR(M38&lt;&gt;"",N38&lt;&gt;"",O38&lt;&gt;"",P38&lt;&gt;""))),TRUE,FALSE))</f>
        <v>0</v>
      </c>
      <c r="BG38" s="218" t="b">
        <f t="shared" si="4"/>
        <v>0</v>
      </c>
      <c r="BH38" s="218" t="b">
        <f t="shared" si="24"/>
        <v>0</v>
      </c>
      <c r="BI38" s="231" t="b">
        <f t="shared" ref="BI38" si="345">IF(J38="",FALSE,IF(L38=0,FALSE,IF(AND(AU35,NOT(BF38),OR(M38="",N38="",O38="")),TRUE,FALSE)))</f>
        <v>0</v>
      </c>
      <c r="BJ38" s="240" t="b">
        <f t="shared" si="5"/>
        <v>0</v>
      </c>
      <c r="BK38" s="231" t="b">
        <f>IF(NOT(BJ38),FALSE,IF(AND(競技会設定!$C$5&lt;=BJ38,BJ38&lt;=競技会設定!$C$6),FALSE,TRUE))</f>
        <v>0</v>
      </c>
      <c r="BL38" s="218" t="b">
        <f>IF(J38="",FALSE,IF(L38=0,FALSE,IF(AND(AU35,NOT(BF38),NOT(BI38),P38=""),TRUE,FALSE)))</f>
        <v>0</v>
      </c>
      <c r="BO38" s="274"/>
    </row>
    <row r="39" spans="1:67" ht="18" customHeight="1" thickTop="1">
      <c r="A39" s="417">
        <v>9</v>
      </c>
      <c r="B39" s="401" t="s">
        <v>7050</v>
      </c>
      <c r="C39" s="403"/>
      <c r="D39" s="220" t="str">
        <f t="shared" ref="D39" si="346">IF(C39="","",501&amp;TEXT(C39,"000000"))</f>
        <v/>
      </c>
      <c r="E39" s="396" t="str">
        <f>IF(D39="","",(VLOOKUP(D39,男子登録!$A$2:$N$2001,3,0)))</f>
        <v/>
      </c>
      <c r="F39" s="396" t="str">
        <f>IF(D39="","",(VLOOKUP(D39,男子登録!$A$2:$N$2001,4,0)))</f>
        <v/>
      </c>
      <c r="G39" s="220" t="str">
        <f>IF(C39="","",(VLOOKUP(D39,男子登録!$A$2:$N$2001,8,0)))</f>
        <v/>
      </c>
      <c r="H39" s="220">
        <f>IFERROR(VLOOKUP(D39,男子登録!$A$2:$N$2001,11,0),基本情報!$E$5)</f>
        <v>0</v>
      </c>
      <c r="I39" s="220" t="s">
        <v>7059</v>
      </c>
      <c r="J39" s="148"/>
      <c r="K39" s="220" t="s">
        <v>7060</v>
      </c>
      <c r="L39" s="148"/>
      <c r="M39" s="252"/>
      <c r="N39" s="253"/>
      <c r="O39" s="254"/>
      <c r="P39" s="148"/>
      <c r="Q39" s="398"/>
      <c r="R39" s="391"/>
      <c r="S39" s="136">
        <f t="shared" ref="S39" si="347">IF(OR(E39="",Q39=""),0,E39)</f>
        <v>0</v>
      </c>
      <c r="T39" s="137">
        <f>IF(S39=0,0,COUNTIF($S$7:S39,"*"))</f>
        <v>0</v>
      </c>
      <c r="U39" s="137">
        <f>IF(S39=0,0,COUNTIF($S$7:S39,S39))</f>
        <v>0</v>
      </c>
      <c r="V39" s="137">
        <f t="shared" si="203"/>
        <v>0</v>
      </c>
      <c r="W39" s="137">
        <f>IF(V39=0,0,COUNTIF($V$7:V39,"*"))</f>
        <v>0</v>
      </c>
      <c r="X39" s="137">
        <f>IF(V39=0,0,COUNTIF($V$7:V39,V39))</f>
        <v>0</v>
      </c>
      <c r="Y39" s="218">
        <f t="shared" ref="Y39" si="348">IF(OR(E39="",J39=""),0,J39&amp;E39)</f>
        <v>0</v>
      </c>
      <c r="Z39" s="218">
        <f>IF(Y39=0,0,COUNTIF($Y$7:Y39,Y39))</f>
        <v>0</v>
      </c>
      <c r="AA39" s="218" t="b">
        <f t="shared" ref="AA39" si="349">IF(COUNTIF(J39:J42,"十種競技")&gt;0,TRUE,FALSE)</f>
        <v>0</v>
      </c>
      <c r="AB39" s="218">
        <f>IF(E39="",0,IF(AA39,COUNTIF($AA$7:AA39,TRUE),0))</f>
        <v>0</v>
      </c>
      <c r="AC39" s="218">
        <f>IFERROR(VLOOKUP("十種競技",J39:L42,3,0),0)</f>
        <v>0</v>
      </c>
      <c r="AD39" s="218">
        <f>IFERROR(VLOOKUP(J39,競技会設定!$P$2:$S$22,2,0),0)</f>
        <v>0</v>
      </c>
      <c r="AE39" s="218">
        <f t="shared" ref="AE39" si="350">IF(E39="",0,IF(AD39=0,0,IF(AD39&lt;3,E39&amp;$AE$6,0)))</f>
        <v>0</v>
      </c>
      <c r="AF39" s="218">
        <f>IF(AE39=0,0,E39&amp;COUNTIF($AE$7:AE39,AE39))</f>
        <v>0</v>
      </c>
      <c r="AG39" s="218">
        <f t="shared" ref="AG39" si="351">IF(E39="",0,IF(AD39=0,0,IF(AD39&gt;=3,E39&amp;$AG$6,0)))</f>
        <v>0</v>
      </c>
      <c r="AH39" s="218">
        <f>IF(AG39=0,0,E39&amp;COUNTIF($AG$7:AG39,AG39))</f>
        <v>0</v>
      </c>
      <c r="AI39" s="218">
        <f t="shared" ref="AI39:AI87" si="352">IF(COUNTIF(Y39,"*十種*")&gt;0,0,IF($AD39=AI$6,$E39,0))</f>
        <v>0</v>
      </c>
      <c r="AJ39" s="218" t="b">
        <f>IF(AI39=0,FALSE,IF(COUNTIF(AI$7:AI39,AI39)&gt;1,TRUE,FALSE))</f>
        <v>0</v>
      </c>
      <c r="AK39" s="218">
        <f t="shared" ref="AK39" si="353">IF($AD39=AK$6,$E39,0)</f>
        <v>0</v>
      </c>
      <c r="AL39" s="218" t="b">
        <f>IF(AK39=0,FALSE,IF(COUNTIF(AK$7:AK39,AK39)&gt;1,TRUE,FALSE))</f>
        <v>0</v>
      </c>
      <c r="AM39" s="218">
        <f t="shared" ref="AM39" si="354">IF($AD39=AM$6,$E39,0)</f>
        <v>0</v>
      </c>
      <c r="AN39" s="218" t="b">
        <f>IF(AM39=0,FALSE,IF(COUNTIF(AM$7:AM39,AM39)&gt;1,TRUE,FALSE))</f>
        <v>0</v>
      </c>
      <c r="AO39" s="218">
        <f t="shared" ref="AO39" si="355">IF($AD39=AO$6,$E39,0)</f>
        <v>0</v>
      </c>
      <c r="AP39" s="218" t="b">
        <f>IF(AO39=0,FALSE,IF(COUNTIF(AO$7:AO39,AO39)&gt;1,TRUE,FALSE))</f>
        <v>0</v>
      </c>
      <c r="AQ39" s="218">
        <f t="shared" ref="AQ39" si="356">IF(COUNTIF(Y39,"*十種競技*")&gt;0,E39,0)</f>
        <v>0</v>
      </c>
      <c r="AR39" s="218" t="b">
        <f>IF(AQ39=0,FALSE,IF(OR(COUNTIF($AI$7:$AI$406,AQ39)+COUNTIF($AQ39:$AQ$406,AQ39)&gt;1,COUNTIF($AK$7:$AK$406,AQ39)+COUNTIF($AQ$7:$AQ$406,AQ39)&gt;1),TRUE,FALSE))</f>
        <v>0</v>
      </c>
      <c r="AS39" s="218" t="b">
        <f t="shared" ref="AS39" si="357">IF(AND(C39="",E39&lt;&gt;"",F39&lt;&gt;"",E41&lt;&gt;"",G39&lt;&gt;"",G40&lt;&gt;"",G41&lt;&gt;""),TRUE,FALSE)</f>
        <v>0</v>
      </c>
      <c r="AT39" s="218" t="b">
        <f t="shared" si="6"/>
        <v>0</v>
      </c>
      <c r="AU39" s="274" t="b">
        <f t="shared" ref="AU39" si="358">IFERROR(IF(D39&amp;E39&amp;F39&amp;E41&amp;G39&amp;G40&amp;G41&amp;J39&amp;J40&amp;J41&amp;J42&amp;L39&amp;L40&amp;L41&amp;L42&amp;M39&amp;M40&amp;M41&amp;M42&amp;N39&amp;N40&amp;N41&amp;N42&amp;O39&amp;O40&amp;O41&amp;O42&amp;P39&amp;P40&amp;P41&amp;P42&amp;Q39&amp;R39="",FALSE,TRUE),FALSE)</f>
        <v>0</v>
      </c>
      <c r="AV39" s="218" t="b">
        <f t="shared" ref="AV39" si="359">IF(AS39,FALSE,IF(C39="",AU39,FALSE))</f>
        <v>0</v>
      </c>
      <c r="AW39" s="218" t="b">
        <f>IF(C39="",FALSE,IF(C39&gt;2000,TRUE,FALSE))</f>
        <v>0</v>
      </c>
      <c r="AX39" s="274" t="b">
        <f>IF(H39=0,FALSE,IF(EXACT(基本情報!$E$5,H39)=TRUE,FALSE,TRUE))</f>
        <v>0</v>
      </c>
      <c r="AY39" s="218" t="b">
        <f>IF(C39="",FALSE,IF(ISNA(E39)=TRUE,TRUE,FALSE))</f>
        <v>0</v>
      </c>
      <c r="AZ39" s="274" t="b">
        <f>IFERROR(IF(E39="",FALSE,IF(COUNTIF($E$7:E39,E39)&gt;1,TRUE,FALSE)),FALSE)</f>
        <v>0</v>
      </c>
      <c r="BA39" s="218" t="b">
        <f t="shared" ref="BA39" si="360">IF(OR(J39&amp;J40&amp;J41&amp;J42&amp;Q39&amp;R39="",AT39,AT40,AT41,AT42),AU39,FALSE)</f>
        <v>0</v>
      </c>
      <c r="BB39" s="218" t="b">
        <f>IF(U39&gt;1,TRUE,FALSE)</f>
        <v>0</v>
      </c>
      <c r="BC39" s="218" t="b">
        <f>IF(X39&gt;1,TRUE,FALSE)</f>
        <v>0</v>
      </c>
      <c r="BD39" s="218" t="b">
        <f t="shared" si="3"/>
        <v>0</v>
      </c>
      <c r="BF39" s="231" t="b">
        <f t="shared" ref="BF39" si="361">IF(J39="",FALSE,IF(OR(AND(AU39,L39=""),AND(AU39,L39="",OR(M39&lt;&gt;"",N39&lt;&gt;"",O39&lt;&gt;"",P39&lt;&gt;""))),TRUE,FALSE))</f>
        <v>0</v>
      </c>
      <c r="BG39" s="218" t="b">
        <f t="shared" si="4"/>
        <v>0</v>
      </c>
      <c r="BH39" s="218" t="b">
        <f t="shared" si="24"/>
        <v>0</v>
      </c>
      <c r="BI39" s="231" t="b">
        <f t="shared" ref="BI39" si="362">IF(J39="",FALSE,IF(L39=0,FALSE,IF(AND(AU39,NOT(BF39),OR(M39="",N39="",O39="")),TRUE,FALSE)))</f>
        <v>0</v>
      </c>
      <c r="BJ39" s="240" t="b">
        <f t="shared" si="5"/>
        <v>0</v>
      </c>
      <c r="BK39" s="231" t="b">
        <f>IF(NOT(BJ39),FALSE,IF(AND(競技会設定!$C$5&lt;=BJ39,BJ39&lt;=競技会設定!$C$6),FALSE,TRUE))</f>
        <v>0</v>
      </c>
      <c r="BL39" s="218" t="b">
        <f>IF(J39="",FALSE,IF(L39=0,FALSE,IF(AND(AU39,NOT(BF39),NOT(BI39),P39=""),TRUE,FALSE)))</f>
        <v>0</v>
      </c>
      <c r="BO39" s="274">
        <f t="shared" ref="BO39" si="363">IF(AND(AU39,SUM(COUNTIF(AV39:BC39,TRUE),COUNTIF(BF39:BL42,TRUE),COUNTIF(BD39:BD42,TRUE))=0,NOT($BE$7)),1,0)</f>
        <v>0</v>
      </c>
    </row>
    <row r="40" spans="1:67" ht="17.399999999999999" customHeight="1">
      <c r="A40" s="418"/>
      <c r="B40" s="402"/>
      <c r="C40" s="404"/>
      <c r="D40" s="221"/>
      <c r="E40" s="397"/>
      <c r="F40" s="397"/>
      <c r="G40" s="221" t="str">
        <f>IF(C39="","",(VLOOKUP(D39,男子登録!$A$2:$N$2001,13,0)))</f>
        <v/>
      </c>
      <c r="H40" s="221"/>
      <c r="I40" s="221" t="s">
        <v>7061</v>
      </c>
      <c r="J40" s="149"/>
      <c r="K40" s="221" t="s">
        <v>7062</v>
      </c>
      <c r="L40" s="149"/>
      <c r="M40" s="255"/>
      <c r="N40" s="256"/>
      <c r="O40" s="257"/>
      <c r="P40" s="149"/>
      <c r="Q40" s="399"/>
      <c r="R40" s="392"/>
      <c r="S40" s="136"/>
      <c r="T40" s="137"/>
      <c r="U40" s="137"/>
      <c r="V40" s="137"/>
      <c r="W40" s="137"/>
      <c r="X40" s="137"/>
      <c r="Y40" s="218">
        <f t="shared" ref="Y40" si="364">IF(OR(E39="",J40=""),0,J40&amp;E39)</f>
        <v>0</v>
      </c>
      <c r="Z40" s="218">
        <f>IF(Y40=0,0,COUNTIF($Y$7:Y40,Y40))</f>
        <v>0</v>
      </c>
      <c r="AD40" s="218">
        <f>IFERROR(VLOOKUP(J40,競技会設定!$P$2:$S$22,2,0),0)</f>
        <v>0</v>
      </c>
      <c r="AE40" s="218">
        <f t="shared" ref="AE40" si="365">IF(E39="",0,IF(AD40=0,0,IF(AD40&lt;3,E39&amp;$AE$6,0)))</f>
        <v>0</v>
      </c>
      <c r="AF40" s="218">
        <f>IF(AE40=0,0,E39&amp;COUNTIF($AE$7:AE40,AE40))</f>
        <v>0</v>
      </c>
      <c r="AG40" s="218">
        <f t="shared" ref="AG40" si="366">IF(E39="",0,IF(AD40=0,0,IF(AD40&gt;=3,E39&amp;$AG$6,0)))</f>
        <v>0</v>
      </c>
      <c r="AH40" s="218">
        <f>IF(AG40=0,0,E39&amp;COUNTIF($AG$7:AG40,AG40))</f>
        <v>0</v>
      </c>
      <c r="AI40" s="218">
        <f t="shared" ref="AI40:AI88" si="367">IF(COUNTIF(Y40,"*十種*")&gt;0,0,IF($AD40=AI$6,$E39,0))</f>
        <v>0</v>
      </c>
      <c r="AJ40" s="218" t="b">
        <f>IF(AI40=0,FALSE,IF(COUNTIF(AI$7:AI40,AI40)&gt;1,TRUE,FALSE))</f>
        <v>0</v>
      </c>
      <c r="AK40" s="218">
        <f t="shared" ref="AK40" si="368">IF($AD40=AK$6,$E39,0)</f>
        <v>0</v>
      </c>
      <c r="AL40" s="218" t="b">
        <f>IF(AK40=0,FALSE,IF(COUNTIF(AK$7:AK40,AK40)&gt;1,TRUE,FALSE))</f>
        <v>0</v>
      </c>
      <c r="AM40" s="218">
        <f t="shared" ref="AM40" si="369">IF($AD40=AM$6,$E39,0)</f>
        <v>0</v>
      </c>
      <c r="AN40" s="218" t="b">
        <f>IF(AM40=0,FALSE,IF(COUNTIF(AM$7:AM40,AM40)&gt;1,TRUE,FALSE))</f>
        <v>0</v>
      </c>
      <c r="AO40" s="218">
        <f t="shared" ref="AO40" si="370">IF($AD40=AO$6,$E39,0)</f>
        <v>0</v>
      </c>
      <c r="AP40" s="218" t="b">
        <f>IF(AO40=0,FALSE,IF(COUNTIF(AO$7:AO40,AO40)&gt;1,TRUE,FALSE))</f>
        <v>0</v>
      </c>
      <c r="AQ40" s="218">
        <f t="shared" ref="AQ40" si="371">IF(COUNTIF(Y40,"*十種競技*")&gt;0,E39,0)</f>
        <v>0</v>
      </c>
      <c r="AR40" s="218" t="b">
        <f>IF(AQ40=0,FALSE,IF(OR(COUNTIF($AI$7:$AI$406,AQ40)+COUNTIF($AQ40:$AQ$406,AQ40)&gt;1,COUNTIF($AK$7:$AK$406,AQ40)+COUNTIF($AQ$7:$AQ$406,AQ40)&gt;1),TRUE,FALSE))</f>
        <v>0</v>
      </c>
      <c r="AT40" s="218" t="b">
        <f t="shared" si="6"/>
        <v>0</v>
      </c>
      <c r="AU40" s="274"/>
      <c r="AX40" s="274"/>
      <c r="BD40" s="218" t="b">
        <f t="shared" si="3"/>
        <v>0</v>
      </c>
      <c r="BF40" s="231" t="b">
        <f t="shared" ref="BF40" si="372">IF(J40="",FALSE,IF(OR(AND(AU39,L40=""),AND(AU39,L40="",OR(M40&lt;&gt;"",N40&lt;&gt;"",O40&lt;&gt;"",P40&lt;&gt;""))),TRUE,FALSE))</f>
        <v>0</v>
      </c>
      <c r="BG40" s="218" t="b">
        <f t="shared" si="4"/>
        <v>0</v>
      </c>
      <c r="BH40" s="218" t="b">
        <f t="shared" si="24"/>
        <v>0</v>
      </c>
      <c r="BI40" s="231" t="b">
        <f t="shared" ref="BI40" si="373">IF(J40="",FALSE,IF(L40=0,FALSE,IF(AND(AU39,NOT(BF40),OR(M40="",N40="",O40="")),TRUE,FALSE)))</f>
        <v>0</v>
      </c>
      <c r="BJ40" s="240" t="b">
        <f t="shared" si="5"/>
        <v>0</v>
      </c>
      <c r="BK40" s="231" t="b">
        <f>IF(NOT(BJ40),FALSE,IF(AND(競技会設定!$C$5&lt;=BJ40,BJ40&lt;=競技会設定!$C$6),FALSE,TRUE))</f>
        <v>0</v>
      </c>
      <c r="BL40" s="218" t="b">
        <f>IF(J40="",FALSE,IF(L40=0,FALSE,IF(AND(AU39,NOT(BF40),NOT(BI40),P40=""),TRUE,FALSE)))</f>
        <v>0</v>
      </c>
      <c r="BO40" s="274"/>
    </row>
    <row r="41" spans="1:67" ht="17.399999999999999" customHeight="1">
      <c r="A41" s="418"/>
      <c r="B41" s="402"/>
      <c r="C41" s="404"/>
      <c r="D41" s="221"/>
      <c r="E41" s="394" t="str">
        <f>IF(C39="","",VLOOKUP(D39,男子登録!$A$2:$O$2001,14,0)&amp;" ("&amp;VLOOKUP(D39,男子登録!$A$2:$O$2001,15,0)&amp;")")</f>
        <v/>
      </c>
      <c r="F41" s="394"/>
      <c r="G41" s="222" t="str">
        <f>IF(C39="","",(VLOOKUP(D39,男子登録!$A$2:$N$2001,9,0)))</f>
        <v/>
      </c>
      <c r="H41" s="222"/>
      <c r="I41" s="222" t="s">
        <v>7063</v>
      </c>
      <c r="J41" s="150"/>
      <c r="K41" s="222" t="s">
        <v>7064</v>
      </c>
      <c r="L41" s="150"/>
      <c r="M41" s="255"/>
      <c r="N41" s="256"/>
      <c r="O41" s="257"/>
      <c r="P41" s="149"/>
      <c r="Q41" s="399"/>
      <c r="R41" s="392"/>
      <c r="S41" s="136"/>
      <c r="T41" s="137"/>
      <c r="U41" s="137"/>
      <c r="V41" s="137"/>
      <c r="W41" s="137"/>
      <c r="X41" s="137"/>
      <c r="Y41" s="218">
        <f t="shared" ref="Y41" si="374">IF(OR(E39="",J41=""),0,J41&amp;E39)</f>
        <v>0</v>
      </c>
      <c r="Z41" s="218">
        <f>IF(Y41=0,0,COUNTIF($Y$7:Y41,Y41))</f>
        <v>0</v>
      </c>
      <c r="AD41" s="218">
        <f>IFERROR(VLOOKUP(J41,競技会設定!$P$2:$S$22,2,0),0)</f>
        <v>0</v>
      </c>
      <c r="AE41" s="218">
        <f t="shared" ref="AE41" si="375">IF(E39="",0,IF(AD41=0,0,IF(AD41&lt;3,E39&amp;$AE$6,0)))</f>
        <v>0</v>
      </c>
      <c r="AF41" s="218">
        <f>IF(AE41=0,0,E39&amp;COUNTIF($AE$7:AE41,AE41))</f>
        <v>0</v>
      </c>
      <c r="AG41" s="218">
        <f t="shared" ref="AG41" si="376">IF(E39="",0,IF(AD41=0,0,IF(AD41&gt;=3,E39&amp;$AG$6,0)))</f>
        <v>0</v>
      </c>
      <c r="AH41" s="218">
        <f>IF(AG41=0,0,E39&amp;COUNTIF($AG$7:AG41,AG41))</f>
        <v>0</v>
      </c>
      <c r="AI41" s="218">
        <f t="shared" ref="AI41:AI89" si="377">IF(COUNTIF(Y41,"*十種*")&gt;0,0,IF($AD41=AI$6,$E39,0))</f>
        <v>0</v>
      </c>
      <c r="AJ41" s="218" t="b">
        <f>IF(AI41=0,FALSE,IF(COUNTIF(AI$7:AI41,AI41)&gt;1,TRUE,FALSE))</f>
        <v>0</v>
      </c>
      <c r="AK41" s="218">
        <f t="shared" ref="AK41" si="378">IF($AD41=AK$6,$E39,0)</f>
        <v>0</v>
      </c>
      <c r="AL41" s="218" t="b">
        <f>IF(AK41=0,FALSE,IF(COUNTIF(AK$7:AK41,AK41)&gt;1,TRUE,FALSE))</f>
        <v>0</v>
      </c>
      <c r="AM41" s="218">
        <f t="shared" ref="AM41" si="379">IF($AD41=AM$6,$E39,0)</f>
        <v>0</v>
      </c>
      <c r="AN41" s="218" t="b">
        <f>IF(AM41=0,FALSE,IF(COUNTIF(AM$7:AM41,AM41)&gt;1,TRUE,FALSE))</f>
        <v>0</v>
      </c>
      <c r="AO41" s="218">
        <f t="shared" ref="AO41" si="380">IF($AD41=AO$6,$E39,0)</f>
        <v>0</v>
      </c>
      <c r="AP41" s="218" t="b">
        <f>IF(AO41=0,FALSE,IF(COUNTIF(AO$7:AO41,AO41)&gt;1,TRUE,FALSE))</f>
        <v>0</v>
      </c>
      <c r="AQ41" s="218">
        <f t="shared" ref="AQ41" si="381">IF(COUNTIF(Y41,"*十種競技*")&gt;0,E39,0)</f>
        <v>0</v>
      </c>
      <c r="AR41" s="218" t="b">
        <f>IF(AQ41=0,FALSE,IF(OR(COUNTIF($AI$7:$AI$406,AQ41)+COUNTIF($AQ41:$AQ$406,AQ41)&gt;1,COUNTIF($AK$7:$AK$406,AQ41)+COUNTIF($AQ$7:$AQ$406,AQ41)&gt;1),TRUE,FALSE))</f>
        <v>0</v>
      </c>
      <c r="AT41" s="218" t="b">
        <f t="shared" si="6"/>
        <v>0</v>
      </c>
      <c r="AU41" s="274"/>
      <c r="AX41" s="274"/>
      <c r="BD41" s="218" t="b">
        <f t="shared" si="3"/>
        <v>0</v>
      </c>
      <c r="BF41" s="231" t="b">
        <f t="shared" ref="BF41" si="382">IF(J41="",FALSE,IF(OR(AND(AU39,L41=""),AND(AU39,L41="",OR(M41&lt;&gt;"",N41&lt;&gt;"",O41&lt;&gt;"",P41&lt;&gt;""))),TRUE,FALSE))</f>
        <v>0</v>
      </c>
      <c r="BG41" s="218" t="b">
        <f t="shared" si="4"/>
        <v>0</v>
      </c>
      <c r="BH41" s="218" t="b">
        <f t="shared" si="24"/>
        <v>0</v>
      </c>
      <c r="BI41" s="231" t="b">
        <f t="shared" ref="BI41" si="383">IF(J41="",FALSE,IF(L41=0,FALSE,IF(AND(AU39,NOT(BF41),OR(M41="",N41="",O41="")),TRUE,FALSE)))</f>
        <v>0</v>
      </c>
      <c r="BJ41" s="240" t="b">
        <f t="shared" si="5"/>
        <v>0</v>
      </c>
      <c r="BK41" s="231" t="b">
        <f>IF(NOT(BJ41),FALSE,IF(AND(競技会設定!$C$5&lt;=BJ41,BJ41&lt;=競技会設定!$C$6),FALSE,TRUE))</f>
        <v>0</v>
      </c>
      <c r="BL41" s="218" t="b">
        <f>IF(J41="",FALSE,IF(L41=0,FALSE,IF(AND(AU39,NOT(BF41),NOT(BI41),P41=""),TRUE,FALSE)))</f>
        <v>0</v>
      </c>
      <c r="BO41" s="274"/>
    </row>
    <row r="42" spans="1:67" ht="18" customHeight="1" thickBot="1">
      <c r="A42" s="419"/>
      <c r="B42" s="395" t="s">
        <v>7051</v>
      </c>
      <c r="C42" s="395"/>
      <c r="D42" s="221"/>
      <c r="E42" s="372"/>
      <c r="F42" s="372"/>
      <c r="G42" s="372"/>
      <c r="H42" s="214"/>
      <c r="I42" s="214" t="s">
        <v>7065</v>
      </c>
      <c r="J42" s="219"/>
      <c r="K42" s="214" t="s">
        <v>7066</v>
      </c>
      <c r="L42" s="219"/>
      <c r="M42" s="258"/>
      <c r="N42" s="259"/>
      <c r="O42" s="260"/>
      <c r="P42" s="219"/>
      <c r="Q42" s="400"/>
      <c r="R42" s="393"/>
      <c r="S42" s="136"/>
      <c r="T42" s="137"/>
      <c r="U42" s="137"/>
      <c r="V42" s="137"/>
      <c r="W42" s="137"/>
      <c r="X42" s="137"/>
      <c r="Y42" s="218">
        <f t="shared" ref="Y42" si="384">IF(OR(E39="",J42=""),0,J42&amp;E39)</f>
        <v>0</v>
      </c>
      <c r="Z42" s="218">
        <f>IF(Y42=0,0,COUNTIF($Y$7:Y42,Y42))</f>
        <v>0</v>
      </c>
      <c r="AD42" s="218">
        <f>IFERROR(VLOOKUP(J42,競技会設定!$P$2:$S$22,2,0),0)</f>
        <v>0</v>
      </c>
      <c r="AE42" s="218">
        <f t="shared" ref="AE42" si="385">IF(E39="",0,IF(AD42=0,0,IF(AD42&lt;3,E39&amp;$AE$6,0)))</f>
        <v>0</v>
      </c>
      <c r="AF42" s="218">
        <f>IF(AE42=0,0,E39&amp;COUNTIF($AE$7:AE42,AE42))</f>
        <v>0</v>
      </c>
      <c r="AG42" s="218">
        <f t="shared" ref="AG42" si="386">IF(E39="",0,IF(AD42=0,0,IF(AD42&gt;=3,E39&amp;$AG$6,0)))</f>
        <v>0</v>
      </c>
      <c r="AH42" s="218">
        <f>IF(AG42=0,0,E39&amp;COUNTIF($AG$7:AG42,AG42))</f>
        <v>0</v>
      </c>
      <c r="AI42" s="218">
        <f t="shared" ref="AI42:AI90" si="387">IF(COUNTIF(Y42,"*十種*")&gt;0,0,IF($AD42=AI$6,$E39,0))</f>
        <v>0</v>
      </c>
      <c r="AJ42" s="218" t="b">
        <f>IF(AI42=0,FALSE,IF(COUNTIF(AI$7:AI42,AI42)&gt;1,TRUE,FALSE))</f>
        <v>0</v>
      </c>
      <c r="AK42" s="218">
        <f t="shared" ref="AK42" si="388">IF($AD42=AK$6,$E39,0)</f>
        <v>0</v>
      </c>
      <c r="AL42" s="218" t="b">
        <f>IF(AK42=0,FALSE,IF(COUNTIF(AK$7:AK42,AK42)&gt;1,TRUE,FALSE))</f>
        <v>0</v>
      </c>
      <c r="AM42" s="218">
        <f t="shared" ref="AM42" si="389">IF($AD42=AM$6,$E39,0)</f>
        <v>0</v>
      </c>
      <c r="AN42" s="218" t="b">
        <f>IF(AM42=0,FALSE,IF(COUNTIF(AM$7:AM42,AM42)&gt;1,TRUE,FALSE))</f>
        <v>0</v>
      </c>
      <c r="AO42" s="218">
        <f t="shared" ref="AO42" si="390">IF($AD42=AO$6,$E39,0)</f>
        <v>0</v>
      </c>
      <c r="AP42" s="218" t="b">
        <f>IF(AO42=0,FALSE,IF(COUNTIF(AO$7:AO42,AO42)&gt;1,TRUE,FALSE))</f>
        <v>0</v>
      </c>
      <c r="AQ42" s="218">
        <f t="shared" ref="AQ42" si="391">IF(COUNTIF(Y42,"*十種競技*")&gt;0,E39,0)</f>
        <v>0</v>
      </c>
      <c r="AR42" s="218" t="b">
        <f>IF(AQ42=0,FALSE,IF(OR(COUNTIF($AI$7:$AI$406,AQ42)+COUNTIF($AQ42:$AQ$406,AQ42)&gt;1,COUNTIF($AK$7:$AK$406,AQ42)+COUNTIF($AQ$7:$AQ$406,AQ42)&gt;1),TRUE,FALSE))</f>
        <v>0</v>
      </c>
      <c r="AT42" s="218" t="b">
        <f t="shared" si="6"/>
        <v>0</v>
      </c>
      <c r="AU42" s="274"/>
      <c r="AX42" s="274"/>
      <c r="BD42" s="218" t="b">
        <f t="shared" si="3"/>
        <v>0</v>
      </c>
      <c r="BF42" s="231" t="b">
        <f t="shared" ref="BF42" si="392">IF(J42="",FALSE,IF(OR(AND(AU39,L42=""),AND(AU39,L42="",OR(M42&lt;&gt;"",N42&lt;&gt;"",O42&lt;&gt;"",P42&lt;&gt;""))),TRUE,FALSE))</f>
        <v>0</v>
      </c>
      <c r="BG42" s="218" t="b">
        <f t="shared" si="4"/>
        <v>0</v>
      </c>
      <c r="BH42" s="218" t="b">
        <f t="shared" si="24"/>
        <v>0</v>
      </c>
      <c r="BI42" s="231" t="b">
        <f t="shared" ref="BI42" si="393">IF(J42="",FALSE,IF(L42=0,FALSE,IF(AND(AU39,NOT(BF42),OR(M42="",N42="",O42="")),TRUE,FALSE)))</f>
        <v>0</v>
      </c>
      <c r="BJ42" s="240" t="b">
        <f t="shared" si="5"/>
        <v>0</v>
      </c>
      <c r="BK42" s="231" t="b">
        <f>IF(NOT(BJ42),FALSE,IF(AND(競技会設定!$C$5&lt;=BJ42,BJ42&lt;=競技会設定!$C$6),FALSE,TRUE))</f>
        <v>0</v>
      </c>
      <c r="BL42" s="218" t="b">
        <f>IF(J42="",FALSE,IF(L42=0,FALSE,IF(AND(AU39,NOT(BF42),NOT(BI42),P42=""),TRUE,FALSE)))</f>
        <v>0</v>
      </c>
      <c r="BO42" s="274"/>
    </row>
    <row r="43" spans="1:67" ht="18" customHeight="1" thickTop="1">
      <c r="A43" s="420">
        <v>10</v>
      </c>
      <c r="B43" s="373" t="s">
        <v>7050</v>
      </c>
      <c r="C43" s="375"/>
      <c r="D43" s="138" t="str">
        <f t="shared" ref="D43" si="394">IF(C43="","",501&amp;TEXT(C43,"000000"))</f>
        <v/>
      </c>
      <c r="E43" s="377" t="str">
        <f>IF(D43="","",(VLOOKUP(D43,男子登録!$A$2:$N$2001,3,0)))</f>
        <v/>
      </c>
      <c r="F43" s="377" t="str">
        <f>IF(D43="","",(VLOOKUP(D43,男子登録!$A$2:$N$2001,4,0)))</f>
        <v/>
      </c>
      <c r="G43" s="138" t="str">
        <f>IF(C43="","",(VLOOKUP(D43,男子登録!$A$2:$N$2001,8,0)))</f>
        <v/>
      </c>
      <c r="H43" s="138">
        <f>IFERROR(VLOOKUP(D43,男子登録!$A$2:$N$2001,11,0),基本情報!$E$5)</f>
        <v>0</v>
      </c>
      <c r="I43" s="138" t="s">
        <v>7059</v>
      </c>
      <c r="J43" s="151"/>
      <c r="K43" s="138" t="s">
        <v>7060</v>
      </c>
      <c r="L43" s="151"/>
      <c r="M43" s="261"/>
      <c r="N43" s="262"/>
      <c r="O43" s="263"/>
      <c r="P43" s="151"/>
      <c r="Q43" s="381"/>
      <c r="R43" s="384"/>
      <c r="S43" s="136">
        <f t="shared" ref="S43" si="395">IF(OR(E43="",Q43=""),0,E43)</f>
        <v>0</v>
      </c>
      <c r="T43" s="137">
        <f>IF(S43=0,0,COUNTIF($S$7:S43,"*"))</f>
        <v>0</v>
      </c>
      <c r="U43" s="137">
        <f>IF(S43=0,0,COUNTIF($S$7:S43,S43))</f>
        <v>0</v>
      </c>
      <c r="V43" s="137">
        <f t="shared" si="203"/>
        <v>0</v>
      </c>
      <c r="W43" s="137">
        <f>IF(V43=0,0,COUNTIF($V$7:V43,"*"))</f>
        <v>0</v>
      </c>
      <c r="X43" s="137">
        <f>IF(V43=0,0,COUNTIF($V$7:V43,V43))</f>
        <v>0</v>
      </c>
      <c r="Y43" s="218">
        <f t="shared" ref="Y43" si="396">IF(OR(E43="",J43=""),0,J43&amp;E43)</f>
        <v>0</v>
      </c>
      <c r="Z43" s="218">
        <f>IF(Y43=0,0,COUNTIF($Y$7:Y43,Y43))</f>
        <v>0</v>
      </c>
      <c r="AA43" s="218" t="b">
        <f t="shared" ref="AA43" si="397">IF(COUNTIF(J43:J46,"十種競技")&gt;0,TRUE,FALSE)</f>
        <v>0</v>
      </c>
      <c r="AB43" s="218">
        <f>IF(E43="",0,IF(AA43,COUNTIF($AA$7:AA43,TRUE),0))</f>
        <v>0</v>
      </c>
      <c r="AC43" s="218">
        <f>IFERROR(VLOOKUP("十種競技",J43:L46,3,0),0)</f>
        <v>0</v>
      </c>
      <c r="AD43" s="218">
        <f>IFERROR(VLOOKUP(J43,競技会設定!$P$2:$S$22,2,0),0)</f>
        <v>0</v>
      </c>
      <c r="AE43" s="218">
        <f t="shared" ref="AE43" si="398">IF(E43="",0,IF(AD43=0,0,IF(AD43&lt;3,E43&amp;$AE$6,0)))</f>
        <v>0</v>
      </c>
      <c r="AF43" s="218">
        <f>IF(AE43=0,0,E43&amp;COUNTIF($AE$7:AE43,AE43))</f>
        <v>0</v>
      </c>
      <c r="AG43" s="218">
        <f t="shared" ref="AG43" si="399">IF(E43="",0,IF(AD43=0,0,IF(AD43&gt;=3,E43&amp;$AG$6,0)))</f>
        <v>0</v>
      </c>
      <c r="AH43" s="218">
        <f>IF(AG43=0,0,E43&amp;COUNTIF($AG$7:AG43,AG43))</f>
        <v>0</v>
      </c>
      <c r="AI43" s="218">
        <f t="shared" ref="AI43:AI91" si="400">IF(COUNTIF(Y43,"*十種*")&gt;0,0,IF($AD43=AI$6,$E43,0))</f>
        <v>0</v>
      </c>
      <c r="AJ43" s="218" t="b">
        <f>IF(AI43=0,FALSE,IF(COUNTIF(AI$7:AI43,AI43)&gt;1,TRUE,FALSE))</f>
        <v>0</v>
      </c>
      <c r="AK43" s="218">
        <f t="shared" ref="AK43" si="401">IF($AD43=AK$6,$E43,0)</f>
        <v>0</v>
      </c>
      <c r="AL43" s="218" t="b">
        <f>IF(AK43=0,FALSE,IF(COUNTIF(AK$7:AK43,AK43)&gt;1,TRUE,FALSE))</f>
        <v>0</v>
      </c>
      <c r="AM43" s="218">
        <f t="shared" ref="AM43" si="402">IF($AD43=AM$6,$E43,0)</f>
        <v>0</v>
      </c>
      <c r="AN43" s="218" t="b">
        <f>IF(AM43=0,FALSE,IF(COUNTIF(AM$7:AM43,AM43)&gt;1,TRUE,FALSE))</f>
        <v>0</v>
      </c>
      <c r="AO43" s="218">
        <f t="shared" ref="AO43" si="403">IF($AD43=AO$6,$E43,0)</f>
        <v>0</v>
      </c>
      <c r="AP43" s="218" t="b">
        <f>IF(AO43=0,FALSE,IF(COUNTIF(AO$7:AO43,AO43)&gt;1,TRUE,FALSE))</f>
        <v>0</v>
      </c>
      <c r="AQ43" s="218">
        <f t="shared" ref="AQ43" si="404">IF(COUNTIF(Y43,"*十種競技*")&gt;0,E43,0)</f>
        <v>0</v>
      </c>
      <c r="AR43" s="218" t="b">
        <f>IF(AQ43=0,FALSE,IF(OR(COUNTIF($AI$7:$AI$406,AQ43)+COUNTIF($AQ43:$AQ$406,AQ43)&gt;1,COUNTIF($AK$7:$AK$406,AQ43)+COUNTIF($AQ$7:$AQ$406,AQ43)&gt;1),TRUE,FALSE))</f>
        <v>0</v>
      </c>
      <c r="AS43" s="218" t="b">
        <f t="shared" ref="AS43" si="405">IF(AND(C43="",E43&lt;&gt;"",F43&lt;&gt;"",E45&lt;&gt;"",G43&lt;&gt;"",G44&lt;&gt;"",G45&lt;&gt;""),TRUE,FALSE)</f>
        <v>0</v>
      </c>
      <c r="AT43" s="218" t="b">
        <f t="shared" si="6"/>
        <v>0</v>
      </c>
      <c r="AU43" s="274" t="b">
        <f t="shared" ref="AU43" si="406">IFERROR(IF(D43&amp;E43&amp;F43&amp;E45&amp;G43&amp;G44&amp;G45&amp;J43&amp;J44&amp;J45&amp;J46&amp;L43&amp;L44&amp;L45&amp;L46&amp;M43&amp;M44&amp;M45&amp;M46&amp;N43&amp;N44&amp;N45&amp;N46&amp;O43&amp;O44&amp;O45&amp;O46&amp;P43&amp;P44&amp;P45&amp;P46&amp;Q43&amp;R43="",FALSE,TRUE),FALSE)</f>
        <v>0</v>
      </c>
      <c r="AV43" s="218" t="b">
        <f t="shared" ref="AV43" si="407">IF(AS43,FALSE,IF(C43="",AU43,FALSE))</f>
        <v>0</v>
      </c>
      <c r="AW43" s="218" t="b">
        <f>IF(C43="",FALSE,IF(C43&gt;2000,TRUE,FALSE))</f>
        <v>0</v>
      </c>
      <c r="AX43" s="274" t="b">
        <f>IF(H43=0,FALSE,IF(EXACT(基本情報!$E$5,H43)=TRUE,FALSE,TRUE))</f>
        <v>0</v>
      </c>
      <c r="AY43" s="218" t="b">
        <f>IF(C43="",FALSE,IF(ISNA(E43)=TRUE,TRUE,FALSE))</f>
        <v>0</v>
      </c>
      <c r="AZ43" s="274" t="b">
        <f>IFERROR(IF(E43="",FALSE,IF(COUNTIF($E$7:E43,E43)&gt;1,TRUE,FALSE)),FALSE)</f>
        <v>0</v>
      </c>
      <c r="BA43" s="218" t="b">
        <f t="shared" ref="BA43" si="408">IF(OR(J43&amp;J44&amp;J45&amp;J46&amp;Q43&amp;R43="",AT43,AT44,AT45,AT46),AU43,FALSE)</f>
        <v>0</v>
      </c>
      <c r="BB43" s="218" t="b">
        <f>IF(U43&gt;1,TRUE,FALSE)</f>
        <v>0</v>
      </c>
      <c r="BC43" s="218" t="b">
        <f>IF(X43&gt;1,TRUE,FALSE)</f>
        <v>0</v>
      </c>
      <c r="BD43" s="218" t="b">
        <f t="shared" si="3"/>
        <v>0</v>
      </c>
      <c r="BF43" s="231" t="b">
        <f t="shared" ref="BF43" si="409">IF(J43="",FALSE,IF(OR(AND(AU43,L43=""),AND(AU43,L43="",OR(M43&lt;&gt;"",N43&lt;&gt;"",O43&lt;&gt;"",P43&lt;&gt;""))),TRUE,FALSE))</f>
        <v>0</v>
      </c>
      <c r="BG43" s="218" t="b">
        <f t="shared" si="4"/>
        <v>0</v>
      </c>
      <c r="BH43" s="218" t="b">
        <f t="shared" si="24"/>
        <v>0</v>
      </c>
      <c r="BI43" s="231" t="b">
        <f t="shared" ref="BI43" si="410">IF(J43="",FALSE,IF(L43=0,FALSE,IF(AND(AU43,NOT(BF43),OR(M43="",N43="",O43="")),TRUE,FALSE)))</f>
        <v>0</v>
      </c>
      <c r="BJ43" s="240" t="b">
        <f t="shared" si="5"/>
        <v>0</v>
      </c>
      <c r="BK43" s="231" t="b">
        <f>IF(NOT(BJ43),FALSE,IF(AND(競技会設定!$C$5&lt;=BJ43,BJ43&lt;=競技会設定!$C$6),FALSE,TRUE))</f>
        <v>0</v>
      </c>
      <c r="BL43" s="218" t="b">
        <f>IF(J43="",FALSE,IF(L43=0,FALSE,IF(AND(AU43,NOT(BF43),NOT(BI43),P43=""),TRUE,FALSE)))</f>
        <v>0</v>
      </c>
      <c r="BO43" s="274">
        <f t="shared" ref="BO43" si="411">IF(AND(AU43,SUM(COUNTIF(AV43:BC43,TRUE),COUNTIF(BF43:BL46,TRUE),COUNTIF(BD43:BD46,TRUE))=0,NOT($BE$7)),1,0)</f>
        <v>0</v>
      </c>
    </row>
    <row r="44" spans="1:67" ht="17.399999999999999" customHeight="1">
      <c r="A44" s="421"/>
      <c r="B44" s="374"/>
      <c r="C44" s="376"/>
      <c r="D44" s="139"/>
      <c r="E44" s="378"/>
      <c r="F44" s="378"/>
      <c r="G44" s="139" t="str">
        <f>IF(C43="","",(VLOOKUP(D43,男子登録!$A$2:$N$2001,13,0)))</f>
        <v/>
      </c>
      <c r="H44" s="139"/>
      <c r="I44" s="139" t="s">
        <v>7061</v>
      </c>
      <c r="J44" s="152"/>
      <c r="K44" s="139" t="s">
        <v>7062</v>
      </c>
      <c r="L44" s="152"/>
      <c r="M44" s="264"/>
      <c r="N44" s="265"/>
      <c r="O44" s="266"/>
      <c r="P44" s="152"/>
      <c r="Q44" s="382"/>
      <c r="R44" s="385"/>
      <c r="S44" s="136"/>
      <c r="T44" s="137"/>
      <c r="U44" s="137"/>
      <c r="V44" s="137"/>
      <c r="W44" s="137"/>
      <c r="X44" s="137"/>
      <c r="Y44" s="218">
        <f t="shared" ref="Y44" si="412">IF(OR(E43="",J44=""),0,J44&amp;E43)</f>
        <v>0</v>
      </c>
      <c r="Z44" s="218">
        <f>IF(Y44=0,0,COUNTIF($Y$7:Y44,Y44))</f>
        <v>0</v>
      </c>
      <c r="AD44" s="218">
        <f>IFERROR(VLOOKUP(J44,競技会設定!$P$2:$S$22,2,0),0)</f>
        <v>0</v>
      </c>
      <c r="AE44" s="218">
        <f t="shared" ref="AE44" si="413">IF(E43="",0,IF(AD44=0,0,IF(AD44&lt;3,E43&amp;$AE$6,0)))</f>
        <v>0</v>
      </c>
      <c r="AF44" s="218">
        <f>IF(AE44=0,0,E43&amp;COUNTIF($AE$7:AE44,AE44))</f>
        <v>0</v>
      </c>
      <c r="AG44" s="218">
        <f t="shared" ref="AG44" si="414">IF(E43="",0,IF(AD44=0,0,IF(AD44&gt;=3,E43&amp;$AG$6,0)))</f>
        <v>0</v>
      </c>
      <c r="AH44" s="218">
        <f>IF(AG44=0,0,E43&amp;COUNTIF($AG$7:AG44,AG44))</f>
        <v>0</v>
      </c>
      <c r="AI44" s="218">
        <f t="shared" ref="AI44:AI92" si="415">IF(COUNTIF(Y44,"*十種*")&gt;0,0,IF($AD44=AI$6,$E43,0))</f>
        <v>0</v>
      </c>
      <c r="AJ44" s="218" t="b">
        <f>IF(AI44=0,FALSE,IF(COUNTIF(AI$7:AI44,AI44)&gt;1,TRUE,FALSE))</f>
        <v>0</v>
      </c>
      <c r="AK44" s="218">
        <f t="shared" ref="AK44" si="416">IF($AD44=AK$6,$E43,0)</f>
        <v>0</v>
      </c>
      <c r="AL44" s="218" t="b">
        <f>IF(AK44=0,FALSE,IF(COUNTIF(AK$7:AK44,AK44)&gt;1,TRUE,FALSE))</f>
        <v>0</v>
      </c>
      <c r="AM44" s="218">
        <f t="shared" ref="AM44" si="417">IF($AD44=AM$6,$E43,0)</f>
        <v>0</v>
      </c>
      <c r="AN44" s="218" t="b">
        <f>IF(AM44=0,FALSE,IF(COUNTIF(AM$7:AM44,AM44)&gt;1,TRUE,FALSE))</f>
        <v>0</v>
      </c>
      <c r="AO44" s="218">
        <f t="shared" ref="AO44" si="418">IF($AD44=AO$6,$E43,0)</f>
        <v>0</v>
      </c>
      <c r="AP44" s="218" t="b">
        <f>IF(AO44=0,FALSE,IF(COUNTIF(AO$7:AO44,AO44)&gt;1,TRUE,FALSE))</f>
        <v>0</v>
      </c>
      <c r="AQ44" s="218">
        <f t="shared" ref="AQ44" si="419">IF(COUNTIF(Y44,"*十種競技*")&gt;0,E43,0)</f>
        <v>0</v>
      </c>
      <c r="AR44" s="218" t="b">
        <f>IF(AQ44=0,FALSE,IF(OR(COUNTIF($AI$7:$AI$406,AQ44)+COUNTIF($AQ44:$AQ$406,AQ44)&gt;1,COUNTIF($AK$7:$AK$406,AQ44)+COUNTIF($AQ$7:$AQ$406,AQ44)&gt;1),TRUE,FALSE))</f>
        <v>0</v>
      </c>
      <c r="AT44" s="218" t="b">
        <f t="shared" si="6"/>
        <v>0</v>
      </c>
      <c r="AU44" s="274"/>
      <c r="AX44" s="274"/>
      <c r="BD44" s="218" t="b">
        <f t="shared" si="3"/>
        <v>0</v>
      </c>
      <c r="BF44" s="231" t="b">
        <f t="shared" ref="BF44" si="420">IF(J44="",FALSE,IF(OR(AND(AU43,L44=""),AND(AU43,L44="",OR(M44&lt;&gt;"",N44&lt;&gt;"",O44&lt;&gt;"",P44&lt;&gt;""))),TRUE,FALSE))</f>
        <v>0</v>
      </c>
      <c r="BG44" s="218" t="b">
        <f t="shared" si="4"/>
        <v>0</v>
      </c>
      <c r="BH44" s="218" t="b">
        <f t="shared" si="24"/>
        <v>0</v>
      </c>
      <c r="BI44" s="231" t="b">
        <f t="shared" ref="BI44" si="421">IF(J44="",FALSE,IF(L44=0,FALSE,IF(AND(AU43,NOT(BF44),OR(M44="",N44="",O44="")),TRUE,FALSE)))</f>
        <v>0</v>
      </c>
      <c r="BJ44" s="240" t="b">
        <f t="shared" si="5"/>
        <v>0</v>
      </c>
      <c r="BK44" s="231" t="b">
        <f>IF(NOT(BJ44),FALSE,IF(AND(競技会設定!$C$5&lt;=BJ44,BJ44&lt;=競技会設定!$C$6),FALSE,TRUE))</f>
        <v>0</v>
      </c>
      <c r="BL44" s="218" t="b">
        <f>IF(J44="",FALSE,IF(L44=0,FALSE,IF(AND(AU43,NOT(BF44),NOT(BI44),P44=""),TRUE,FALSE)))</f>
        <v>0</v>
      </c>
      <c r="BO44" s="274"/>
    </row>
    <row r="45" spans="1:67" ht="17.399999999999999" customHeight="1">
      <c r="A45" s="421"/>
      <c r="B45" s="374"/>
      <c r="C45" s="376"/>
      <c r="D45" s="140"/>
      <c r="E45" s="379" t="str">
        <f>IF(C43="","",VLOOKUP(D43,男子登録!$A$2:$O$2001,14,0)&amp;" ("&amp;VLOOKUP(D43,男子登録!$A$2:$O$2001,15,0)&amp;")")</f>
        <v/>
      </c>
      <c r="F45" s="380"/>
      <c r="G45" s="140" t="str">
        <f>IF(C43="","",(VLOOKUP(D43,男子登録!$A$2:$N$2001,9,0)))</f>
        <v/>
      </c>
      <c r="H45" s="140"/>
      <c r="I45" s="140" t="s">
        <v>7063</v>
      </c>
      <c r="J45" s="153"/>
      <c r="K45" s="140" t="s">
        <v>7064</v>
      </c>
      <c r="L45" s="153"/>
      <c r="M45" s="264"/>
      <c r="N45" s="265"/>
      <c r="O45" s="266"/>
      <c r="P45" s="152"/>
      <c r="Q45" s="382"/>
      <c r="R45" s="385"/>
      <c r="S45" s="136"/>
      <c r="T45" s="137"/>
      <c r="U45" s="137"/>
      <c r="V45" s="137"/>
      <c r="W45" s="137"/>
      <c r="X45" s="137"/>
      <c r="Y45" s="218">
        <f t="shared" ref="Y45" si="422">IF(OR(E43="",J45=""),0,J45&amp;E43)</f>
        <v>0</v>
      </c>
      <c r="Z45" s="218">
        <f>IF(Y45=0,0,COUNTIF($Y$7:Y45,Y45))</f>
        <v>0</v>
      </c>
      <c r="AD45" s="218">
        <f>IFERROR(VLOOKUP(J45,競技会設定!$P$2:$S$22,2,0),0)</f>
        <v>0</v>
      </c>
      <c r="AE45" s="218">
        <f t="shared" ref="AE45" si="423">IF(E43="",0,IF(AD45=0,0,IF(AD45&lt;3,E43&amp;$AE$6,0)))</f>
        <v>0</v>
      </c>
      <c r="AF45" s="218">
        <f>IF(AE45=0,0,E43&amp;COUNTIF($AE$7:AE45,AE45))</f>
        <v>0</v>
      </c>
      <c r="AG45" s="218">
        <f t="shared" ref="AG45" si="424">IF(E43="",0,IF(AD45=0,0,IF(AD45&gt;=3,E43&amp;$AG$6,0)))</f>
        <v>0</v>
      </c>
      <c r="AH45" s="218">
        <f>IF(AG45=0,0,E43&amp;COUNTIF($AG$7:AG45,AG45))</f>
        <v>0</v>
      </c>
      <c r="AI45" s="218">
        <f t="shared" ref="AI45:AI93" si="425">IF(COUNTIF(Y45,"*十種*")&gt;0,0,IF($AD45=AI$6,$E43,0))</f>
        <v>0</v>
      </c>
      <c r="AJ45" s="218" t="b">
        <f>IF(AI45=0,FALSE,IF(COUNTIF(AI$7:AI45,AI45)&gt;1,TRUE,FALSE))</f>
        <v>0</v>
      </c>
      <c r="AK45" s="218">
        <f t="shared" ref="AK45" si="426">IF($AD45=AK$6,$E43,0)</f>
        <v>0</v>
      </c>
      <c r="AL45" s="218" t="b">
        <f>IF(AK45=0,FALSE,IF(COUNTIF(AK$7:AK45,AK45)&gt;1,TRUE,FALSE))</f>
        <v>0</v>
      </c>
      <c r="AM45" s="218">
        <f t="shared" ref="AM45" si="427">IF($AD45=AM$6,$E43,0)</f>
        <v>0</v>
      </c>
      <c r="AN45" s="218" t="b">
        <f>IF(AM45=0,FALSE,IF(COUNTIF(AM$7:AM45,AM45)&gt;1,TRUE,FALSE))</f>
        <v>0</v>
      </c>
      <c r="AO45" s="218">
        <f t="shared" ref="AO45" si="428">IF($AD45=AO$6,$E43,0)</f>
        <v>0</v>
      </c>
      <c r="AP45" s="218" t="b">
        <f>IF(AO45=0,FALSE,IF(COUNTIF(AO$7:AO45,AO45)&gt;1,TRUE,FALSE))</f>
        <v>0</v>
      </c>
      <c r="AQ45" s="218">
        <f t="shared" ref="AQ45" si="429">IF(COUNTIF(Y45,"*十種競技*")&gt;0,E43,0)</f>
        <v>0</v>
      </c>
      <c r="AR45" s="218" t="b">
        <f>IF(AQ45=0,FALSE,IF(OR(COUNTIF($AI$7:$AI$406,AQ45)+COUNTIF($AQ45:$AQ$406,AQ45)&gt;1,COUNTIF($AK$7:$AK$406,AQ45)+COUNTIF($AQ$7:$AQ$406,AQ45)&gt;1),TRUE,FALSE))</f>
        <v>0</v>
      </c>
      <c r="AT45" s="218" t="b">
        <f t="shared" si="6"/>
        <v>0</v>
      </c>
      <c r="AU45" s="274"/>
      <c r="AX45" s="274"/>
      <c r="BD45" s="218" t="b">
        <f t="shared" si="3"/>
        <v>0</v>
      </c>
      <c r="BF45" s="231" t="b">
        <f t="shared" ref="BF45" si="430">IF(J45="",FALSE,IF(OR(AND(AU43,L45=""),AND(AU43,L45="",OR(M45&lt;&gt;"",N45&lt;&gt;"",O45&lt;&gt;"",P45&lt;&gt;""))),TRUE,FALSE))</f>
        <v>0</v>
      </c>
      <c r="BG45" s="218" t="b">
        <f t="shared" si="4"/>
        <v>0</v>
      </c>
      <c r="BH45" s="218" t="b">
        <f t="shared" si="24"/>
        <v>0</v>
      </c>
      <c r="BI45" s="231" t="b">
        <f t="shared" ref="BI45" si="431">IF(J45="",FALSE,IF(L45=0,FALSE,IF(AND(AU43,NOT(BF45),OR(M45="",N45="",O45="")),TRUE,FALSE)))</f>
        <v>0</v>
      </c>
      <c r="BJ45" s="240" t="b">
        <f t="shared" si="5"/>
        <v>0</v>
      </c>
      <c r="BK45" s="231" t="b">
        <f>IF(NOT(BJ45),FALSE,IF(AND(競技会設定!$C$5&lt;=BJ45,BJ45&lt;=競技会設定!$C$6),FALSE,TRUE))</f>
        <v>0</v>
      </c>
      <c r="BL45" s="218" t="b">
        <f>IF(J45="",FALSE,IF(L45=0,FALSE,IF(AND(AU43,NOT(BF45),NOT(BI45),P45=""),TRUE,FALSE)))</f>
        <v>0</v>
      </c>
      <c r="BO45" s="274"/>
    </row>
    <row r="46" spans="1:67" ht="18" customHeight="1" thickBot="1">
      <c r="A46" s="422"/>
      <c r="B46" s="387" t="s">
        <v>7051</v>
      </c>
      <c r="C46" s="387"/>
      <c r="D46" s="213"/>
      <c r="E46" s="388"/>
      <c r="F46" s="389"/>
      <c r="G46" s="390"/>
      <c r="H46" s="141"/>
      <c r="I46" s="213" t="s">
        <v>7065</v>
      </c>
      <c r="J46" s="154"/>
      <c r="K46" s="213" t="s">
        <v>7066</v>
      </c>
      <c r="L46" s="154"/>
      <c r="M46" s="267"/>
      <c r="N46" s="268"/>
      <c r="O46" s="269"/>
      <c r="P46" s="154"/>
      <c r="Q46" s="383"/>
      <c r="R46" s="386"/>
      <c r="S46" s="136"/>
      <c r="T46" s="137"/>
      <c r="U46" s="137"/>
      <c r="V46" s="137"/>
      <c r="W46" s="137"/>
      <c r="X46" s="137"/>
      <c r="Y46" s="218">
        <f t="shared" ref="Y46" si="432">IF(OR(E43="",J46=""),0,J46&amp;E43)</f>
        <v>0</v>
      </c>
      <c r="Z46" s="218">
        <f>IF(Y46=0,0,COUNTIF($Y$7:Y46,Y46))</f>
        <v>0</v>
      </c>
      <c r="AD46" s="218">
        <f>IFERROR(VLOOKUP(J46,競技会設定!$P$2:$S$22,2,0),0)</f>
        <v>0</v>
      </c>
      <c r="AE46" s="218">
        <f t="shared" ref="AE46" si="433">IF(E43="",0,IF(AD46=0,0,IF(AD46&lt;3,E43&amp;$AE$6,0)))</f>
        <v>0</v>
      </c>
      <c r="AF46" s="218">
        <f>IF(AE46=0,0,E43&amp;COUNTIF($AE$7:AE46,AE46))</f>
        <v>0</v>
      </c>
      <c r="AG46" s="218">
        <f t="shared" ref="AG46" si="434">IF(E43="",0,IF(AD46=0,0,IF(AD46&gt;=3,E43&amp;$AG$6,0)))</f>
        <v>0</v>
      </c>
      <c r="AH46" s="218">
        <f>IF(AG46=0,0,E43&amp;COUNTIF($AG$7:AG46,AG46))</f>
        <v>0</v>
      </c>
      <c r="AI46" s="218">
        <f t="shared" ref="AI46:AI94" si="435">IF(COUNTIF(Y46,"*十種*")&gt;0,0,IF($AD46=AI$6,$E43,0))</f>
        <v>0</v>
      </c>
      <c r="AJ46" s="218" t="b">
        <f>IF(AI46=0,FALSE,IF(COUNTIF(AI$7:AI46,AI46)&gt;1,TRUE,FALSE))</f>
        <v>0</v>
      </c>
      <c r="AK46" s="218">
        <f t="shared" ref="AK46" si="436">IF($AD46=AK$6,$E43,0)</f>
        <v>0</v>
      </c>
      <c r="AL46" s="218" t="b">
        <f>IF(AK46=0,FALSE,IF(COUNTIF(AK$7:AK46,AK46)&gt;1,TRUE,FALSE))</f>
        <v>0</v>
      </c>
      <c r="AM46" s="218">
        <f t="shared" ref="AM46" si="437">IF($AD46=AM$6,$E43,0)</f>
        <v>0</v>
      </c>
      <c r="AN46" s="218" t="b">
        <f>IF(AM46=0,FALSE,IF(COUNTIF(AM$7:AM46,AM46)&gt;1,TRUE,FALSE))</f>
        <v>0</v>
      </c>
      <c r="AO46" s="218">
        <f t="shared" ref="AO46" si="438">IF($AD46=AO$6,$E43,0)</f>
        <v>0</v>
      </c>
      <c r="AP46" s="218" t="b">
        <f>IF(AO46=0,FALSE,IF(COUNTIF(AO$7:AO46,AO46)&gt;1,TRUE,FALSE))</f>
        <v>0</v>
      </c>
      <c r="AQ46" s="218">
        <f t="shared" ref="AQ46" si="439">IF(COUNTIF(Y46,"*十種競技*")&gt;0,E43,0)</f>
        <v>0</v>
      </c>
      <c r="AR46" s="218" t="b">
        <f>IF(AQ46=0,FALSE,IF(OR(COUNTIF($AI$7:$AI$406,AQ46)+COUNTIF($AQ46:$AQ$406,AQ46)&gt;1,COUNTIF($AK$7:$AK$406,AQ46)+COUNTIF($AQ$7:$AQ$406,AQ46)&gt;1),TRUE,FALSE))</f>
        <v>0</v>
      </c>
      <c r="AT46" s="218" t="b">
        <f t="shared" si="6"/>
        <v>0</v>
      </c>
      <c r="AU46" s="274"/>
      <c r="AX46" s="274"/>
      <c r="BD46" s="218" t="b">
        <f t="shared" si="3"/>
        <v>0</v>
      </c>
      <c r="BF46" s="231" t="b">
        <f t="shared" ref="BF46" si="440">IF(J46="",FALSE,IF(OR(AND(AU43,L46=""),AND(AU43,L46="",OR(M46&lt;&gt;"",N46&lt;&gt;"",O46&lt;&gt;"",P46&lt;&gt;""))),TRUE,FALSE))</f>
        <v>0</v>
      </c>
      <c r="BG46" s="218" t="b">
        <f t="shared" si="4"/>
        <v>0</v>
      </c>
      <c r="BH46" s="218" t="b">
        <f t="shared" si="24"/>
        <v>0</v>
      </c>
      <c r="BI46" s="231" t="b">
        <f t="shared" ref="BI46" si="441">IF(J46="",FALSE,IF(L46=0,FALSE,IF(AND(AU43,NOT(BF46),OR(M46="",N46="",O46="")),TRUE,FALSE)))</f>
        <v>0</v>
      </c>
      <c r="BJ46" s="240" t="b">
        <f t="shared" si="5"/>
        <v>0</v>
      </c>
      <c r="BK46" s="231" t="b">
        <f>IF(NOT(BJ46),FALSE,IF(AND(競技会設定!$C$5&lt;=BJ46,BJ46&lt;=競技会設定!$C$6),FALSE,TRUE))</f>
        <v>0</v>
      </c>
      <c r="BL46" s="218" t="b">
        <f>IF(J46="",FALSE,IF(L46=0,FALSE,IF(AND(AU43,NOT(BF46),NOT(BI46),P46=""),TRUE,FALSE)))</f>
        <v>0</v>
      </c>
      <c r="BO46" s="274"/>
    </row>
    <row r="47" spans="1:67" ht="18" customHeight="1" thickTop="1">
      <c r="A47" s="417">
        <v>11</v>
      </c>
      <c r="B47" s="401" t="s">
        <v>7050</v>
      </c>
      <c r="C47" s="403"/>
      <c r="D47" s="220" t="str">
        <f t="shared" ref="D47" si="442">IF(C47="","",501&amp;TEXT(C47,"000000"))</f>
        <v/>
      </c>
      <c r="E47" s="396" t="str">
        <f>IF(D47="","",(VLOOKUP(D47,男子登録!$A$2:$N$2001,3,0)))</f>
        <v/>
      </c>
      <c r="F47" s="396" t="str">
        <f>IF(D47="","",(VLOOKUP(D47,男子登録!$A$2:$N$2001,4,0)))</f>
        <v/>
      </c>
      <c r="G47" s="220" t="str">
        <f>IF(C47="","",(VLOOKUP(D47,男子登録!$A$2:$N$2001,8,0)))</f>
        <v/>
      </c>
      <c r="H47" s="220">
        <f>IFERROR(VLOOKUP(D47,男子登録!$A$2:$N$2001,11,0),基本情報!$E$5)</f>
        <v>0</v>
      </c>
      <c r="I47" s="220" t="s">
        <v>7059</v>
      </c>
      <c r="J47" s="148"/>
      <c r="K47" s="220" t="s">
        <v>7060</v>
      </c>
      <c r="L47" s="148"/>
      <c r="M47" s="252"/>
      <c r="N47" s="253"/>
      <c r="O47" s="254"/>
      <c r="P47" s="148"/>
      <c r="Q47" s="398"/>
      <c r="R47" s="391"/>
      <c r="S47" s="136">
        <f t="shared" ref="S47" si="443">IF(OR(E47="",Q47=""),0,E47)</f>
        <v>0</v>
      </c>
      <c r="T47" s="137">
        <f>IF(S47=0,0,COUNTIF($S$7:S47,"*"))</f>
        <v>0</v>
      </c>
      <c r="U47" s="137">
        <f>IF(S47=0,0,COUNTIF($S$7:S47,S47))</f>
        <v>0</v>
      </c>
      <c r="V47" s="137">
        <f t="shared" si="203"/>
        <v>0</v>
      </c>
      <c r="W47" s="137">
        <f>IF(V47=0,0,COUNTIF($V$7:V47,"*"))</f>
        <v>0</v>
      </c>
      <c r="X47" s="137">
        <f>IF(V47=0,0,COUNTIF($V$7:V47,V47))</f>
        <v>0</v>
      </c>
      <c r="Y47" s="218">
        <f t="shared" ref="Y47" si="444">IF(OR(E47="",J47=""),0,J47&amp;E47)</f>
        <v>0</v>
      </c>
      <c r="Z47" s="218">
        <f>IF(Y47=0,0,COUNTIF($Y$7:Y47,Y47))</f>
        <v>0</v>
      </c>
      <c r="AA47" s="218" t="b">
        <f t="shared" ref="AA47" si="445">IF(COUNTIF(J47:J50,"十種競技")&gt;0,TRUE,FALSE)</f>
        <v>0</v>
      </c>
      <c r="AB47" s="218">
        <f>IF(E47="",0,IF(AA47,COUNTIF($AA$7:AA47,TRUE),0))</f>
        <v>0</v>
      </c>
      <c r="AC47" s="218">
        <f>IFERROR(VLOOKUP("十種競技",J47:L50,3,0),0)</f>
        <v>0</v>
      </c>
      <c r="AD47" s="218">
        <f>IFERROR(VLOOKUP(J47,競技会設定!$P$2:$S$22,2,0),0)</f>
        <v>0</v>
      </c>
      <c r="AE47" s="218">
        <f t="shared" ref="AE47" si="446">IF(E47="",0,IF(AD47=0,0,IF(AD47&lt;3,E47&amp;$AE$6,0)))</f>
        <v>0</v>
      </c>
      <c r="AF47" s="218">
        <f>IF(AE47=0,0,E47&amp;COUNTIF($AE$7:AE47,AE47))</f>
        <v>0</v>
      </c>
      <c r="AG47" s="218">
        <f t="shared" ref="AG47" si="447">IF(E47="",0,IF(AD47=0,0,IF(AD47&gt;=3,E47&amp;$AG$6,0)))</f>
        <v>0</v>
      </c>
      <c r="AH47" s="218">
        <f>IF(AG47=0,0,E47&amp;COUNTIF($AG$7:AG47,AG47))</f>
        <v>0</v>
      </c>
      <c r="AI47" s="218">
        <f t="shared" ref="AI47:AI95" si="448">IF(COUNTIF(Y47,"*十種*")&gt;0,0,IF($AD47=AI$6,$E47,0))</f>
        <v>0</v>
      </c>
      <c r="AJ47" s="218" t="b">
        <f>IF(AI47=0,FALSE,IF(COUNTIF(AI$7:AI47,AI47)&gt;1,TRUE,FALSE))</f>
        <v>0</v>
      </c>
      <c r="AK47" s="218">
        <f t="shared" ref="AK47" si="449">IF($AD47=AK$6,$E47,0)</f>
        <v>0</v>
      </c>
      <c r="AL47" s="218" t="b">
        <f>IF(AK47=0,FALSE,IF(COUNTIF(AK$7:AK47,AK47)&gt;1,TRUE,FALSE))</f>
        <v>0</v>
      </c>
      <c r="AM47" s="218">
        <f t="shared" ref="AM47" si="450">IF($AD47=AM$6,$E47,0)</f>
        <v>0</v>
      </c>
      <c r="AN47" s="218" t="b">
        <f>IF(AM47=0,FALSE,IF(COUNTIF(AM$7:AM47,AM47)&gt;1,TRUE,FALSE))</f>
        <v>0</v>
      </c>
      <c r="AO47" s="218">
        <f t="shared" ref="AO47" si="451">IF($AD47=AO$6,$E47,0)</f>
        <v>0</v>
      </c>
      <c r="AP47" s="218" t="b">
        <f>IF(AO47=0,FALSE,IF(COUNTIF(AO$7:AO47,AO47)&gt;1,TRUE,FALSE))</f>
        <v>0</v>
      </c>
      <c r="AQ47" s="218">
        <f t="shared" ref="AQ47" si="452">IF(COUNTIF(Y47,"*十種競技*")&gt;0,E47,0)</f>
        <v>0</v>
      </c>
      <c r="AR47" s="218" t="b">
        <f>IF(AQ47=0,FALSE,IF(OR(COUNTIF($AI$7:$AI$406,AQ47)+COUNTIF($AQ47:$AQ$406,AQ47)&gt;1,COUNTIF($AK$7:$AK$406,AQ47)+COUNTIF($AQ$7:$AQ$406,AQ47)&gt;1),TRUE,FALSE))</f>
        <v>0</v>
      </c>
      <c r="AS47" s="218" t="b">
        <f t="shared" ref="AS47" si="453">IF(AND(C47="",E47&lt;&gt;"",F47&lt;&gt;"",E49&lt;&gt;"",G47&lt;&gt;"",G48&lt;&gt;"",G49&lt;&gt;""),TRUE,FALSE)</f>
        <v>0</v>
      </c>
      <c r="AT47" s="218" t="b">
        <f t="shared" si="6"/>
        <v>0</v>
      </c>
      <c r="AU47" s="274" t="b">
        <f t="shared" ref="AU47" si="454">IFERROR(IF(D47&amp;E47&amp;F47&amp;E49&amp;G47&amp;G48&amp;G49&amp;J47&amp;J48&amp;J49&amp;J50&amp;L47&amp;L48&amp;L49&amp;L50&amp;M47&amp;M48&amp;M49&amp;M50&amp;N47&amp;N48&amp;N49&amp;N50&amp;O47&amp;O48&amp;O49&amp;O50&amp;P47&amp;P48&amp;P49&amp;P50&amp;Q47&amp;R47="",FALSE,TRUE),FALSE)</f>
        <v>0</v>
      </c>
      <c r="AV47" s="218" t="b">
        <f t="shared" ref="AV47" si="455">IF(AS47,FALSE,IF(C47="",AU47,FALSE))</f>
        <v>0</v>
      </c>
      <c r="AW47" s="218" t="b">
        <f>IF(C47="",FALSE,IF(C47&gt;2000,TRUE,FALSE))</f>
        <v>0</v>
      </c>
      <c r="AX47" s="274" t="b">
        <f>IF(H47=0,FALSE,IF(EXACT(基本情報!$E$5,H47)=TRUE,FALSE,TRUE))</f>
        <v>0</v>
      </c>
      <c r="AY47" s="218" t="b">
        <f>IF(C47="",FALSE,IF(ISNA(E47)=TRUE,TRUE,FALSE))</f>
        <v>0</v>
      </c>
      <c r="AZ47" s="274" t="b">
        <f>IFERROR(IF(E47="",FALSE,IF(COUNTIF($E$7:E47,E47)&gt;1,TRUE,FALSE)),FALSE)</f>
        <v>0</v>
      </c>
      <c r="BA47" s="218" t="b">
        <f t="shared" ref="BA47" si="456">IF(OR(J47&amp;J48&amp;J49&amp;J50&amp;Q47&amp;R47="",AT47,AT48,AT49,AT50),AU47,FALSE)</f>
        <v>0</v>
      </c>
      <c r="BB47" s="218" t="b">
        <f>IF(U47&gt;1,TRUE,FALSE)</f>
        <v>0</v>
      </c>
      <c r="BC47" s="218" t="b">
        <f>IF(X47&gt;1,TRUE,FALSE)</f>
        <v>0</v>
      </c>
      <c r="BD47" s="218" t="b">
        <f t="shared" si="3"/>
        <v>0</v>
      </c>
      <c r="BF47" s="231" t="b">
        <f t="shared" ref="BF47" si="457">IF(J47="",FALSE,IF(OR(AND(AU47,L47=""),AND(AU47,L47="",OR(M47&lt;&gt;"",N47&lt;&gt;"",O47&lt;&gt;"",P47&lt;&gt;""))),TRUE,FALSE))</f>
        <v>0</v>
      </c>
      <c r="BG47" s="218" t="b">
        <f t="shared" si="4"/>
        <v>0</v>
      </c>
      <c r="BH47" s="218" t="b">
        <f t="shared" si="24"/>
        <v>0</v>
      </c>
      <c r="BI47" s="231" t="b">
        <f t="shared" ref="BI47" si="458">IF(J47="",FALSE,IF(L47=0,FALSE,IF(AND(AU47,NOT(BF47),OR(M47="",N47="",O47="")),TRUE,FALSE)))</f>
        <v>0</v>
      </c>
      <c r="BJ47" s="240" t="b">
        <f t="shared" si="5"/>
        <v>0</v>
      </c>
      <c r="BK47" s="231" t="b">
        <f>IF(NOT(BJ47),FALSE,IF(AND(競技会設定!$C$5&lt;=BJ47,BJ47&lt;=競技会設定!$C$6),FALSE,TRUE))</f>
        <v>0</v>
      </c>
      <c r="BL47" s="218" t="b">
        <f>IF(J47="",FALSE,IF(L47=0,FALSE,IF(AND(AU47,NOT(BF47),NOT(BI47),P47=""),TRUE,FALSE)))</f>
        <v>0</v>
      </c>
      <c r="BO47" s="274">
        <f t="shared" ref="BO47" si="459">IF(AND(AU47,SUM(COUNTIF(AV47:BC47,TRUE),COUNTIF(BF47:BL50,TRUE),COUNTIF(BD47:BD50,TRUE))=0,NOT($BE$7)),1,0)</f>
        <v>0</v>
      </c>
    </row>
    <row r="48" spans="1:67" ht="17.399999999999999" customHeight="1">
      <c r="A48" s="418"/>
      <c r="B48" s="402"/>
      <c r="C48" s="404"/>
      <c r="D48" s="221"/>
      <c r="E48" s="397"/>
      <c r="F48" s="397"/>
      <c r="G48" s="221" t="str">
        <f>IF(C47="","",(VLOOKUP(D47,男子登録!$A$2:$N$2001,13,0)))</f>
        <v/>
      </c>
      <c r="H48" s="221"/>
      <c r="I48" s="221" t="s">
        <v>7061</v>
      </c>
      <c r="J48" s="149"/>
      <c r="K48" s="221" t="s">
        <v>7062</v>
      </c>
      <c r="L48" s="149"/>
      <c r="M48" s="255"/>
      <c r="N48" s="256"/>
      <c r="O48" s="257"/>
      <c r="P48" s="149"/>
      <c r="Q48" s="399"/>
      <c r="R48" s="392"/>
      <c r="S48" s="136"/>
      <c r="T48" s="137"/>
      <c r="U48" s="137"/>
      <c r="V48" s="137"/>
      <c r="W48" s="137"/>
      <c r="X48" s="137"/>
      <c r="Y48" s="218">
        <f t="shared" ref="Y48" si="460">IF(OR(E47="",J48=""),0,J48&amp;E47)</f>
        <v>0</v>
      </c>
      <c r="Z48" s="218">
        <f>IF(Y48=0,0,COUNTIF($Y$7:Y48,Y48))</f>
        <v>0</v>
      </c>
      <c r="AD48" s="218">
        <f>IFERROR(VLOOKUP(J48,競技会設定!$P$2:$S$22,2,0),0)</f>
        <v>0</v>
      </c>
      <c r="AE48" s="218">
        <f t="shared" ref="AE48" si="461">IF(E47="",0,IF(AD48=0,0,IF(AD48&lt;3,E47&amp;$AE$6,0)))</f>
        <v>0</v>
      </c>
      <c r="AF48" s="218">
        <f>IF(AE48=0,0,E47&amp;COUNTIF($AE$7:AE48,AE48))</f>
        <v>0</v>
      </c>
      <c r="AG48" s="218">
        <f t="shared" ref="AG48" si="462">IF(E47="",0,IF(AD48=0,0,IF(AD48&gt;=3,E47&amp;$AG$6,0)))</f>
        <v>0</v>
      </c>
      <c r="AH48" s="218">
        <f>IF(AG48=0,0,E47&amp;COUNTIF($AG$7:AG48,AG48))</f>
        <v>0</v>
      </c>
      <c r="AI48" s="218">
        <f t="shared" ref="AI48:AI96" si="463">IF(COUNTIF(Y48,"*十種*")&gt;0,0,IF($AD48=AI$6,$E47,0))</f>
        <v>0</v>
      </c>
      <c r="AJ48" s="218" t="b">
        <f>IF(AI48=0,FALSE,IF(COUNTIF(AI$7:AI48,AI48)&gt;1,TRUE,FALSE))</f>
        <v>0</v>
      </c>
      <c r="AK48" s="218">
        <f t="shared" ref="AK48" si="464">IF($AD48=AK$6,$E47,0)</f>
        <v>0</v>
      </c>
      <c r="AL48" s="218" t="b">
        <f>IF(AK48=0,FALSE,IF(COUNTIF(AK$7:AK48,AK48)&gt;1,TRUE,FALSE))</f>
        <v>0</v>
      </c>
      <c r="AM48" s="218">
        <f t="shared" ref="AM48" si="465">IF($AD48=AM$6,$E47,0)</f>
        <v>0</v>
      </c>
      <c r="AN48" s="218" t="b">
        <f>IF(AM48=0,FALSE,IF(COUNTIF(AM$7:AM48,AM48)&gt;1,TRUE,FALSE))</f>
        <v>0</v>
      </c>
      <c r="AO48" s="218">
        <f t="shared" ref="AO48" si="466">IF($AD48=AO$6,$E47,0)</f>
        <v>0</v>
      </c>
      <c r="AP48" s="218" t="b">
        <f>IF(AO48=0,FALSE,IF(COUNTIF(AO$7:AO48,AO48)&gt;1,TRUE,FALSE))</f>
        <v>0</v>
      </c>
      <c r="AQ48" s="218">
        <f t="shared" ref="AQ48" si="467">IF(COUNTIF(Y48,"*十種競技*")&gt;0,E47,0)</f>
        <v>0</v>
      </c>
      <c r="AR48" s="218" t="b">
        <f>IF(AQ48=0,FALSE,IF(OR(COUNTIF($AI$7:$AI$406,AQ48)+COUNTIF($AQ48:$AQ$406,AQ48)&gt;1,COUNTIF($AK$7:$AK$406,AQ48)+COUNTIF($AQ$7:$AQ$406,AQ48)&gt;1),TRUE,FALSE))</f>
        <v>0</v>
      </c>
      <c r="AT48" s="218" t="b">
        <f t="shared" si="6"/>
        <v>0</v>
      </c>
      <c r="AU48" s="274"/>
      <c r="AX48" s="274"/>
      <c r="BD48" s="218" t="b">
        <f t="shared" si="3"/>
        <v>0</v>
      </c>
      <c r="BF48" s="231" t="b">
        <f t="shared" ref="BF48" si="468">IF(J48="",FALSE,IF(OR(AND(AU47,L48=""),AND(AU47,L48="",OR(M48&lt;&gt;"",N48&lt;&gt;"",O48&lt;&gt;"",P48&lt;&gt;""))),TRUE,FALSE))</f>
        <v>0</v>
      </c>
      <c r="BG48" s="218" t="b">
        <f t="shared" si="4"/>
        <v>0</v>
      </c>
      <c r="BH48" s="218" t="b">
        <f t="shared" si="24"/>
        <v>0</v>
      </c>
      <c r="BI48" s="231" t="b">
        <f t="shared" ref="BI48" si="469">IF(J48="",FALSE,IF(L48=0,FALSE,IF(AND(AU47,NOT(BF48),OR(M48="",N48="",O48="")),TRUE,FALSE)))</f>
        <v>0</v>
      </c>
      <c r="BJ48" s="240" t="b">
        <f t="shared" si="5"/>
        <v>0</v>
      </c>
      <c r="BK48" s="231" t="b">
        <f>IF(NOT(BJ48),FALSE,IF(AND(競技会設定!$C$5&lt;=BJ48,BJ48&lt;=競技会設定!$C$6),FALSE,TRUE))</f>
        <v>0</v>
      </c>
      <c r="BL48" s="218" t="b">
        <f>IF(J48="",FALSE,IF(L48=0,FALSE,IF(AND(AU47,NOT(BF48),NOT(BI48),P48=""),TRUE,FALSE)))</f>
        <v>0</v>
      </c>
      <c r="BO48" s="274"/>
    </row>
    <row r="49" spans="1:67" ht="17.399999999999999" customHeight="1">
      <c r="A49" s="418"/>
      <c r="B49" s="402"/>
      <c r="C49" s="404"/>
      <c r="D49" s="221"/>
      <c r="E49" s="394" t="str">
        <f>IF(C47="","",VLOOKUP(D47,男子登録!$A$2:$O$2001,14,0)&amp;" ("&amp;VLOOKUP(D47,男子登録!$A$2:$O$2001,15,0)&amp;")")</f>
        <v/>
      </c>
      <c r="F49" s="394"/>
      <c r="G49" s="222" t="str">
        <f>IF(C47="","",(VLOOKUP(D47,男子登録!$A$2:$N$2001,9,0)))</f>
        <v/>
      </c>
      <c r="H49" s="222"/>
      <c r="I49" s="222" t="s">
        <v>7063</v>
      </c>
      <c r="J49" s="150"/>
      <c r="K49" s="222" t="s">
        <v>7064</v>
      </c>
      <c r="L49" s="150"/>
      <c r="M49" s="255"/>
      <c r="N49" s="256"/>
      <c r="O49" s="257"/>
      <c r="P49" s="149"/>
      <c r="Q49" s="399"/>
      <c r="R49" s="392"/>
      <c r="S49" s="136"/>
      <c r="T49" s="137"/>
      <c r="U49" s="137"/>
      <c r="V49" s="137"/>
      <c r="W49" s="137"/>
      <c r="X49" s="137"/>
      <c r="Y49" s="218">
        <f t="shared" ref="Y49" si="470">IF(OR(E47="",J49=""),0,J49&amp;E47)</f>
        <v>0</v>
      </c>
      <c r="Z49" s="218">
        <f>IF(Y49=0,0,COUNTIF($Y$7:Y49,Y49))</f>
        <v>0</v>
      </c>
      <c r="AD49" s="218">
        <f>IFERROR(VLOOKUP(J49,競技会設定!$P$2:$S$22,2,0),0)</f>
        <v>0</v>
      </c>
      <c r="AE49" s="218">
        <f t="shared" ref="AE49" si="471">IF(E47="",0,IF(AD49=0,0,IF(AD49&lt;3,E47&amp;$AE$6,0)))</f>
        <v>0</v>
      </c>
      <c r="AF49" s="218">
        <f>IF(AE49=0,0,E47&amp;COUNTIF($AE$7:AE49,AE49))</f>
        <v>0</v>
      </c>
      <c r="AG49" s="218">
        <f t="shared" ref="AG49" si="472">IF(E47="",0,IF(AD49=0,0,IF(AD49&gt;=3,E47&amp;$AG$6,0)))</f>
        <v>0</v>
      </c>
      <c r="AH49" s="218">
        <f>IF(AG49=0,0,E47&amp;COUNTIF($AG$7:AG49,AG49))</f>
        <v>0</v>
      </c>
      <c r="AI49" s="218">
        <f t="shared" ref="AI49:AI97" si="473">IF(COUNTIF(Y49,"*十種*")&gt;0,0,IF($AD49=AI$6,$E47,0))</f>
        <v>0</v>
      </c>
      <c r="AJ49" s="218" t="b">
        <f>IF(AI49=0,FALSE,IF(COUNTIF(AI$7:AI49,AI49)&gt;1,TRUE,FALSE))</f>
        <v>0</v>
      </c>
      <c r="AK49" s="218">
        <f t="shared" ref="AK49" si="474">IF($AD49=AK$6,$E47,0)</f>
        <v>0</v>
      </c>
      <c r="AL49" s="218" t="b">
        <f>IF(AK49=0,FALSE,IF(COUNTIF(AK$7:AK49,AK49)&gt;1,TRUE,FALSE))</f>
        <v>0</v>
      </c>
      <c r="AM49" s="218">
        <f t="shared" ref="AM49" si="475">IF($AD49=AM$6,$E47,0)</f>
        <v>0</v>
      </c>
      <c r="AN49" s="218" t="b">
        <f>IF(AM49=0,FALSE,IF(COUNTIF(AM$7:AM49,AM49)&gt;1,TRUE,FALSE))</f>
        <v>0</v>
      </c>
      <c r="AO49" s="218">
        <f t="shared" ref="AO49" si="476">IF($AD49=AO$6,$E47,0)</f>
        <v>0</v>
      </c>
      <c r="AP49" s="218" t="b">
        <f>IF(AO49=0,FALSE,IF(COUNTIF(AO$7:AO49,AO49)&gt;1,TRUE,FALSE))</f>
        <v>0</v>
      </c>
      <c r="AQ49" s="218">
        <f t="shared" ref="AQ49" si="477">IF(COUNTIF(Y49,"*十種競技*")&gt;0,E47,0)</f>
        <v>0</v>
      </c>
      <c r="AR49" s="218" t="b">
        <f>IF(AQ49=0,FALSE,IF(OR(COUNTIF($AI$7:$AI$406,AQ49)+COUNTIF($AQ49:$AQ$406,AQ49)&gt;1,COUNTIF($AK$7:$AK$406,AQ49)+COUNTIF($AQ$7:$AQ$406,AQ49)&gt;1),TRUE,FALSE))</f>
        <v>0</v>
      </c>
      <c r="AT49" s="218" t="b">
        <f t="shared" si="6"/>
        <v>0</v>
      </c>
      <c r="AU49" s="274"/>
      <c r="AX49" s="274"/>
      <c r="BD49" s="218" t="b">
        <f t="shared" si="3"/>
        <v>0</v>
      </c>
      <c r="BF49" s="231" t="b">
        <f t="shared" ref="BF49" si="478">IF(J49="",FALSE,IF(OR(AND(AU47,L49=""),AND(AU47,L49="",OR(M49&lt;&gt;"",N49&lt;&gt;"",O49&lt;&gt;"",P49&lt;&gt;""))),TRUE,FALSE))</f>
        <v>0</v>
      </c>
      <c r="BG49" s="218" t="b">
        <f t="shared" si="4"/>
        <v>0</v>
      </c>
      <c r="BH49" s="218" t="b">
        <f t="shared" si="24"/>
        <v>0</v>
      </c>
      <c r="BI49" s="231" t="b">
        <f t="shared" ref="BI49" si="479">IF(J49="",FALSE,IF(L49=0,FALSE,IF(AND(AU47,NOT(BF49),OR(M49="",N49="",O49="")),TRUE,FALSE)))</f>
        <v>0</v>
      </c>
      <c r="BJ49" s="240" t="b">
        <f t="shared" si="5"/>
        <v>0</v>
      </c>
      <c r="BK49" s="231" t="b">
        <f>IF(NOT(BJ49),FALSE,IF(AND(競技会設定!$C$5&lt;=BJ49,BJ49&lt;=競技会設定!$C$6),FALSE,TRUE))</f>
        <v>0</v>
      </c>
      <c r="BL49" s="218" t="b">
        <f>IF(J49="",FALSE,IF(L49=0,FALSE,IF(AND(AU47,NOT(BF49),NOT(BI49),P49=""),TRUE,FALSE)))</f>
        <v>0</v>
      </c>
      <c r="BO49" s="274"/>
    </row>
    <row r="50" spans="1:67" ht="18" customHeight="1" thickBot="1">
      <c r="A50" s="419"/>
      <c r="B50" s="395" t="s">
        <v>7051</v>
      </c>
      <c r="C50" s="395"/>
      <c r="D50" s="221"/>
      <c r="E50" s="372"/>
      <c r="F50" s="372"/>
      <c r="G50" s="372"/>
      <c r="H50" s="214"/>
      <c r="I50" s="214" t="s">
        <v>7065</v>
      </c>
      <c r="J50" s="219"/>
      <c r="K50" s="214" t="s">
        <v>7066</v>
      </c>
      <c r="L50" s="219"/>
      <c r="M50" s="258"/>
      <c r="N50" s="259"/>
      <c r="O50" s="260"/>
      <c r="P50" s="219"/>
      <c r="Q50" s="400"/>
      <c r="R50" s="393"/>
      <c r="S50" s="136"/>
      <c r="T50" s="137"/>
      <c r="U50" s="137"/>
      <c r="V50" s="137"/>
      <c r="W50" s="137"/>
      <c r="X50" s="137"/>
      <c r="Y50" s="218">
        <f t="shared" ref="Y50" si="480">IF(OR(E47="",J50=""),0,J50&amp;E47)</f>
        <v>0</v>
      </c>
      <c r="Z50" s="218">
        <f>IF(Y50=0,0,COUNTIF($Y$7:Y50,Y50))</f>
        <v>0</v>
      </c>
      <c r="AD50" s="218">
        <f>IFERROR(VLOOKUP(J50,競技会設定!$P$2:$S$22,2,0),0)</f>
        <v>0</v>
      </c>
      <c r="AE50" s="218">
        <f t="shared" ref="AE50" si="481">IF(E47="",0,IF(AD50=0,0,IF(AD50&lt;3,E47&amp;$AE$6,0)))</f>
        <v>0</v>
      </c>
      <c r="AF50" s="218">
        <f>IF(AE50=0,0,E47&amp;COUNTIF($AE$7:AE50,AE50))</f>
        <v>0</v>
      </c>
      <c r="AG50" s="218">
        <f t="shared" ref="AG50" si="482">IF(E47="",0,IF(AD50=0,0,IF(AD50&gt;=3,E47&amp;$AG$6,0)))</f>
        <v>0</v>
      </c>
      <c r="AH50" s="218">
        <f>IF(AG50=0,0,E47&amp;COUNTIF($AG$7:AG50,AG50))</f>
        <v>0</v>
      </c>
      <c r="AI50" s="218">
        <f t="shared" ref="AI50:AI98" si="483">IF(COUNTIF(Y50,"*十種*")&gt;0,0,IF($AD50=AI$6,$E47,0))</f>
        <v>0</v>
      </c>
      <c r="AJ50" s="218" t="b">
        <f>IF(AI50=0,FALSE,IF(COUNTIF(AI$7:AI50,AI50)&gt;1,TRUE,FALSE))</f>
        <v>0</v>
      </c>
      <c r="AK50" s="218">
        <f t="shared" ref="AK50" si="484">IF($AD50=AK$6,$E47,0)</f>
        <v>0</v>
      </c>
      <c r="AL50" s="218" t="b">
        <f>IF(AK50=0,FALSE,IF(COUNTIF(AK$7:AK50,AK50)&gt;1,TRUE,FALSE))</f>
        <v>0</v>
      </c>
      <c r="AM50" s="218">
        <f t="shared" ref="AM50" si="485">IF($AD50=AM$6,$E47,0)</f>
        <v>0</v>
      </c>
      <c r="AN50" s="218" t="b">
        <f>IF(AM50=0,FALSE,IF(COUNTIF(AM$7:AM50,AM50)&gt;1,TRUE,FALSE))</f>
        <v>0</v>
      </c>
      <c r="AO50" s="218">
        <f t="shared" ref="AO50" si="486">IF($AD50=AO$6,$E47,0)</f>
        <v>0</v>
      </c>
      <c r="AP50" s="218" t="b">
        <f>IF(AO50=0,FALSE,IF(COUNTIF(AO$7:AO50,AO50)&gt;1,TRUE,FALSE))</f>
        <v>0</v>
      </c>
      <c r="AQ50" s="218">
        <f t="shared" ref="AQ50" si="487">IF(COUNTIF(Y50,"*十種競技*")&gt;0,E47,0)</f>
        <v>0</v>
      </c>
      <c r="AR50" s="218" t="b">
        <f>IF(AQ50=0,FALSE,IF(OR(COUNTIF($AI$7:$AI$406,AQ50)+COUNTIF($AQ50:$AQ$406,AQ50)&gt;1,COUNTIF($AK$7:$AK$406,AQ50)+COUNTIF($AQ$7:$AQ$406,AQ50)&gt;1),TRUE,FALSE))</f>
        <v>0</v>
      </c>
      <c r="AT50" s="218" t="b">
        <f t="shared" si="6"/>
        <v>0</v>
      </c>
      <c r="AU50" s="274"/>
      <c r="AX50" s="274"/>
      <c r="BD50" s="218" t="b">
        <f t="shared" si="3"/>
        <v>0</v>
      </c>
      <c r="BF50" s="231" t="b">
        <f t="shared" ref="BF50" si="488">IF(J50="",FALSE,IF(OR(AND(AU47,L50=""),AND(AU47,L50="",OR(M50&lt;&gt;"",N50&lt;&gt;"",O50&lt;&gt;"",P50&lt;&gt;""))),TRUE,FALSE))</f>
        <v>0</v>
      </c>
      <c r="BG50" s="218" t="b">
        <f t="shared" si="4"/>
        <v>0</v>
      </c>
      <c r="BH50" s="218" t="b">
        <f t="shared" si="24"/>
        <v>0</v>
      </c>
      <c r="BI50" s="231" t="b">
        <f t="shared" ref="BI50" si="489">IF(J50="",FALSE,IF(L50=0,FALSE,IF(AND(AU47,NOT(BF50),OR(M50="",N50="",O50="")),TRUE,FALSE)))</f>
        <v>0</v>
      </c>
      <c r="BJ50" s="240" t="b">
        <f t="shared" si="5"/>
        <v>0</v>
      </c>
      <c r="BK50" s="231" t="b">
        <f>IF(NOT(BJ50),FALSE,IF(AND(競技会設定!$C$5&lt;=BJ50,BJ50&lt;=競技会設定!$C$6),FALSE,TRUE))</f>
        <v>0</v>
      </c>
      <c r="BL50" s="218" t="b">
        <f>IF(J50="",FALSE,IF(L50=0,FALSE,IF(AND(AU47,NOT(BF50),NOT(BI50),P50=""),TRUE,FALSE)))</f>
        <v>0</v>
      </c>
      <c r="BO50" s="274"/>
    </row>
    <row r="51" spans="1:67" ht="18" customHeight="1" thickTop="1">
      <c r="A51" s="420">
        <v>12</v>
      </c>
      <c r="B51" s="373" t="s">
        <v>7050</v>
      </c>
      <c r="C51" s="375"/>
      <c r="D51" s="138" t="str">
        <f t="shared" ref="D51" si="490">IF(C51="","",501&amp;TEXT(C51,"000000"))</f>
        <v/>
      </c>
      <c r="E51" s="377" t="str">
        <f>IF(D51="","",(VLOOKUP(D51,男子登録!$A$2:$N$2001,3,0)))</f>
        <v/>
      </c>
      <c r="F51" s="377" t="str">
        <f>IF(D51="","",(VLOOKUP(D51,男子登録!$A$2:$N$2001,4,0)))</f>
        <v/>
      </c>
      <c r="G51" s="138" t="str">
        <f>IF(C51="","",(VLOOKUP(D51,男子登録!$A$2:$N$2001,8,0)))</f>
        <v/>
      </c>
      <c r="H51" s="138">
        <f>IFERROR(VLOOKUP(D51,男子登録!$A$2:$N$2001,11,0),基本情報!$E$5)</f>
        <v>0</v>
      </c>
      <c r="I51" s="138" t="s">
        <v>7059</v>
      </c>
      <c r="J51" s="151"/>
      <c r="K51" s="138" t="s">
        <v>7060</v>
      </c>
      <c r="L51" s="151"/>
      <c r="M51" s="261"/>
      <c r="N51" s="262"/>
      <c r="O51" s="263"/>
      <c r="P51" s="151"/>
      <c r="Q51" s="381"/>
      <c r="R51" s="384"/>
      <c r="S51" s="136">
        <f t="shared" ref="S51" si="491">IF(OR(E51="",Q51=""),0,E51)</f>
        <v>0</v>
      </c>
      <c r="T51" s="137">
        <f>IF(S51=0,0,COUNTIF($S$7:S51,"*"))</f>
        <v>0</v>
      </c>
      <c r="U51" s="137">
        <f>IF(S51=0,0,COUNTIF($S$7:S51,S51))</f>
        <v>0</v>
      </c>
      <c r="V51" s="137">
        <f t="shared" si="203"/>
        <v>0</v>
      </c>
      <c r="W51" s="137">
        <f>IF(V51=0,0,COUNTIF($V$7:V51,"*"))</f>
        <v>0</v>
      </c>
      <c r="X51" s="137">
        <f>IF(V51=0,0,COUNTIF($V$7:V51,V51))</f>
        <v>0</v>
      </c>
      <c r="Y51" s="218">
        <f t="shared" ref="Y51" si="492">IF(OR(E51="",J51=""),0,J51&amp;E51)</f>
        <v>0</v>
      </c>
      <c r="Z51" s="218">
        <f>IF(Y51=0,0,COUNTIF($Y$7:Y51,Y51))</f>
        <v>0</v>
      </c>
      <c r="AA51" s="218" t="b">
        <f t="shared" ref="AA51" si="493">IF(COUNTIF(J51:J54,"十種競技")&gt;0,TRUE,FALSE)</f>
        <v>0</v>
      </c>
      <c r="AB51" s="218">
        <f>IF(E51="",0,IF(AA51,COUNTIF($AA$7:AA51,TRUE),0))</f>
        <v>0</v>
      </c>
      <c r="AC51" s="218">
        <f>IFERROR(VLOOKUP("十種競技",J51:L54,3,0),0)</f>
        <v>0</v>
      </c>
      <c r="AD51" s="218">
        <f>IFERROR(VLOOKUP(J51,競技会設定!$P$2:$S$22,2,0),0)</f>
        <v>0</v>
      </c>
      <c r="AE51" s="218">
        <f t="shared" ref="AE51" si="494">IF(E51="",0,IF(AD51=0,0,IF(AD51&lt;3,E51&amp;$AE$6,0)))</f>
        <v>0</v>
      </c>
      <c r="AF51" s="218">
        <f>IF(AE51=0,0,E51&amp;COUNTIF($AE$7:AE51,AE51))</f>
        <v>0</v>
      </c>
      <c r="AG51" s="218">
        <f t="shared" ref="AG51" si="495">IF(E51="",0,IF(AD51=0,0,IF(AD51&gt;=3,E51&amp;$AG$6,0)))</f>
        <v>0</v>
      </c>
      <c r="AH51" s="218">
        <f>IF(AG51=0,0,E51&amp;COUNTIF($AG$7:AG51,AG51))</f>
        <v>0</v>
      </c>
      <c r="AI51" s="218">
        <f t="shared" ref="AI51:AI99" si="496">IF(COUNTIF(Y51,"*十種*")&gt;0,0,IF($AD51=AI$6,$E51,0))</f>
        <v>0</v>
      </c>
      <c r="AJ51" s="218" t="b">
        <f>IF(AI51=0,FALSE,IF(COUNTIF(AI$7:AI51,AI51)&gt;1,TRUE,FALSE))</f>
        <v>0</v>
      </c>
      <c r="AK51" s="218">
        <f t="shared" ref="AK51" si="497">IF($AD51=AK$6,$E51,0)</f>
        <v>0</v>
      </c>
      <c r="AL51" s="218" t="b">
        <f>IF(AK51=0,FALSE,IF(COUNTIF(AK$7:AK51,AK51)&gt;1,TRUE,FALSE))</f>
        <v>0</v>
      </c>
      <c r="AM51" s="218">
        <f t="shared" ref="AM51" si="498">IF($AD51=AM$6,$E51,0)</f>
        <v>0</v>
      </c>
      <c r="AN51" s="218" t="b">
        <f>IF(AM51=0,FALSE,IF(COUNTIF(AM$7:AM51,AM51)&gt;1,TRUE,FALSE))</f>
        <v>0</v>
      </c>
      <c r="AO51" s="218">
        <f t="shared" ref="AO51" si="499">IF($AD51=AO$6,$E51,0)</f>
        <v>0</v>
      </c>
      <c r="AP51" s="218" t="b">
        <f>IF(AO51=0,FALSE,IF(COUNTIF(AO$7:AO51,AO51)&gt;1,TRUE,FALSE))</f>
        <v>0</v>
      </c>
      <c r="AQ51" s="218">
        <f t="shared" ref="AQ51" si="500">IF(COUNTIF(Y51,"*十種競技*")&gt;0,E51,0)</f>
        <v>0</v>
      </c>
      <c r="AR51" s="218" t="b">
        <f>IF(AQ51=0,FALSE,IF(OR(COUNTIF($AI$7:$AI$406,AQ51)+COUNTIF($AQ51:$AQ$406,AQ51)&gt;1,COUNTIF($AK$7:$AK$406,AQ51)+COUNTIF($AQ$7:$AQ$406,AQ51)&gt;1),TRUE,FALSE))</f>
        <v>0</v>
      </c>
      <c r="AS51" s="218" t="b">
        <f t="shared" ref="AS51" si="501">IF(AND(C51="",E51&lt;&gt;"",F51&lt;&gt;"",E53&lt;&gt;"",G51&lt;&gt;"",G52&lt;&gt;"",G53&lt;&gt;""),TRUE,FALSE)</f>
        <v>0</v>
      </c>
      <c r="AT51" s="218" t="b">
        <f t="shared" si="6"/>
        <v>0</v>
      </c>
      <c r="AU51" s="274" t="b">
        <f t="shared" ref="AU51" si="502">IFERROR(IF(D51&amp;E51&amp;F51&amp;E53&amp;G51&amp;G52&amp;G53&amp;J51&amp;J52&amp;J53&amp;J54&amp;L51&amp;L52&amp;L53&amp;L54&amp;M51&amp;M52&amp;M53&amp;M54&amp;N51&amp;N52&amp;N53&amp;N54&amp;O51&amp;O52&amp;O53&amp;O54&amp;P51&amp;P52&amp;P53&amp;P54&amp;Q51&amp;R51="",FALSE,TRUE),FALSE)</f>
        <v>0</v>
      </c>
      <c r="AV51" s="218" t="b">
        <f t="shared" ref="AV51" si="503">IF(AS51,FALSE,IF(C51="",AU51,FALSE))</f>
        <v>0</v>
      </c>
      <c r="AW51" s="218" t="b">
        <f>IF(C51="",FALSE,IF(C51&gt;2000,TRUE,FALSE))</f>
        <v>0</v>
      </c>
      <c r="AX51" s="274" t="b">
        <f>IF(H51=0,FALSE,IF(EXACT(基本情報!$E$5,H51)=TRUE,FALSE,TRUE))</f>
        <v>0</v>
      </c>
      <c r="AY51" s="218" t="b">
        <f>IF(C51="",FALSE,IF(ISNA(E51)=TRUE,TRUE,FALSE))</f>
        <v>0</v>
      </c>
      <c r="AZ51" s="274" t="b">
        <f>IFERROR(IF(E51="",FALSE,IF(COUNTIF($E$7:E51,E51)&gt;1,TRUE,FALSE)),FALSE)</f>
        <v>0</v>
      </c>
      <c r="BA51" s="218" t="b">
        <f t="shared" ref="BA51" si="504">IF(OR(J51&amp;J52&amp;J53&amp;J54&amp;Q51&amp;R51="",AT51,AT52,AT53,AT54),AU51,FALSE)</f>
        <v>0</v>
      </c>
      <c r="BB51" s="218" t="b">
        <f>IF(U51&gt;1,TRUE,FALSE)</f>
        <v>0</v>
      </c>
      <c r="BC51" s="218" t="b">
        <f>IF(X51&gt;1,TRUE,FALSE)</f>
        <v>0</v>
      </c>
      <c r="BD51" s="218" t="b">
        <f t="shared" si="3"/>
        <v>0</v>
      </c>
      <c r="BF51" s="231" t="b">
        <f t="shared" ref="BF51" si="505">IF(J51="",FALSE,IF(OR(AND(AU51,L51=""),AND(AU51,L51="",OR(M51&lt;&gt;"",N51&lt;&gt;"",O51&lt;&gt;"",P51&lt;&gt;""))),TRUE,FALSE))</f>
        <v>0</v>
      </c>
      <c r="BG51" s="218" t="b">
        <f t="shared" si="4"/>
        <v>0</v>
      </c>
      <c r="BH51" s="218" t="b">
        <f t="shared" si="24"/>
        <v>0</v>
      </c>
      <c r="BI51" s="231" t="b">
        <f t="shared" ref="BI51" si="506">IF(J51="",FALSE,IF(L51=0,FALSE,IF(AND(AU51,NOT(BF51),OR(M51="",N51="",O51="")),TRUE,FALSE)))</f>
        <v>0</v>
      </c>
      <c r="BJ51" s="240" t="b">
        <f t="shared" si="5"/>
        <v>0</v>
      </c>
      <c r="BK51" s="231" t="b">
        <f>IF(NOT(BJ51),FALSE,IF(AND(競技会設定!$C$5&lt;=BJ51,BJ51&lt;=競技会設定!$C$6),FALSE,TRUE))</f>
        <v>0</v>
      </c>
      <c r="BL51" s="218" t="b">
        <f>IF(J51="",FALSE,IF(L51=0,FALSE,IF(AND(AU51,NOT(BF51),NOT(BI51),P51=""),TRUE,FALSE)))</f>
        <v>0</v>
      </c>
      <c r="BO51" s="274">
        <f t="shared" ref="BO51" si="507">IF(AND(AU51,SUM(COUNTIF(AV51:BC51,TRUE),COUNTIF(BF51:BL54,TRUE),COUNTIF(BD51:BD54,TRUE))=0,NOT($BE$7)),1,0)</f>
        <v>0</v>
      </c>
    </row>
    <row r="52" spans="1:67" ht="17.399999999999999" customHeight="1">
      <c r="A52" s="421"/>
      <c r="B52" s="374"/>
      <c r="C52" s="376"/>
      <c r="D52" s="139"/>
      <c r="E52" s="378"/>
      <c r="F52" s="378"/>
      <c r="G52" s="139" t="str">
        <f>IF(C51="","",(VLOOKUP(D51,男子登録!$A$2:$N$2001,13,0)))</f>
        <v/>
      </c>
      <c r="H52" s="139"/>
      <c r="I52" s="139" t="s">
        <v>7061</v>
      </c>
      <c r="J52" s="152"/>
      <c r="K52" s="139" t="s">
        <v>7062</v>
      </c>
      <c r="L52" s="152"/>
      <c r="M52" s="264"/>
      <c r="N52" s="265"/>
      <c r="O52" s="266"/>
      <c r="P52" s="152"/>
      <c r="Q52" s="382"/>
      <c r="R52" s="385"/>
      <c r="S52" s="136"/>
      <c r="T52" s="137"/>
      <c r="U52" s="137"/>
      <c r="V52" s="137"/>
      <c r="W52" s="137"/>
      <c r="X52" s="137"/>
      <c r="Y52" s="218">
        <f t="shared" ref="Y52" si="508">IF(OR(E51="",J52=""),0,J52&amp;E51)</f>
        <v>0</v>
      </c>
      <c r="Z52" s="218">
        <f>IF(Y52=0,0,COUNTIF($Y$7:Y52,Y52))</f>
        <v>0</v>
      </c>
      <c r="AD52" s="218">
        <f>IFERROR(VLOOKUP(J52,競技会設定!$P$2:$S$22,2,0),0)</f>
        <v>0</v>
      </c>
      <c r="AE52" s="218">
        <f t="shared" ref="AE52" si="509">IF(E51="",0,IF(AD52=0,0,IF(AD52&lt;3,E51&amp;$AE$6,0)))</f>
        <v>0</v>
      </c>
      <c r="AF52" s="218">
        <f>IF(AE52=0,0,E51&amp;COUNTIF($AE$7:AE52,AE52))</f>
        <v>0</v>
      </c>
      <c r="AG52" s="218">
        <f t="shared" ref="AG52" si="510">IF(E51="",0,IF(AD52=0,0,IF(AD52&gt;=3,E51&amp;$AG$6,0)))</f>
        <v>0</v>
      </c>
      <c r="AH52" s="218">
        <f>IF(AG52=0,0,E51&amp;COUNTIF($AG$7:AG52,AG52))</f>
        <v>0</v>
      </c>
      <c r="AI52" s="218">
        <f t="shared" ref="AI52:AI100" si="511">IF(COUNTIF(Y52,"*十種*")&gt;0,0,IF($AD52=AI$6,$E51,0))</f>
        <v>0</v>
      </c>
      <c r="AJ52" s="218" t="b">
        <f>IF(AI52=0,FALSE,IF(COUNTIF(AI$7:AI52,AI52)&gt;1,TRUE,FALSE))</f>
        <v>0</v>
      </c>
      <c r="AK52" s="218">
        <f t="shared" ref="AK52" si="512">IF($AD52=AK$6,$E51,0)</f>
        <v>0</v>
      </c>
      <c r="AL52" s="218" t="b">
        <f>IF(AK52=0,FALSE,IF(COUNTIF(AK$7:AK52,AK52)&gt;1,TRUE,FALSE))</f>
        <v>0</v>
      </c>
      <c r="AM52" s="218">
        <f t="shared" ref="AM52" si="513">IF($AD52=AM$6,$E51,0)</f>
        <v>0</v>
      </c>
      <c r="AN52" s="218" t="b">
        <f>IF(AM52=0,FALSE,IF(COUNTIF(AM$7:AM52,AM52)&gt;1,TRUE,FALSE))</f>
        <v>0</v>
      </c>
      <c r="AO52" s="218">
        <f t="shared" ref="AO52" si="514">IF($AD52=AO$6,$E51,0)</f>
        <v>0</v>
      </c>
      <c r="AP52" s="218" t="b">
        <f>IF(AO52=0,FALSE,IF(COUNTIF(AO$7:AO52,AO52)&gt;1,TRUE,FALSE))</f>
        <v>0</v>
      </c>
      <c r="AQ52" s="218">
        <f t="shared" ref="AQ52" si="515">IF(COUNTIF(Y52,"*十種競技*")&gt;0,E51,0)</f>
        <v>0</v>
      </c>
      <c r="AR52" s="218" t="b">
        <f>IF(AQ52=0,FALSE,IF(OR(COUNTIF($AI$7:$AI$406,AQ52)+COUNTIF($AQ52:$AQ$406,AQ52)&gt;1,COUNTIF($AK$7:$AK$406,AQ52)+COUNTIF($AQ$7:$AQ$406,AQ52)&gt;1),TRUE,FALSE))</f>
        <v>0</v>
      </c>
      <c r="AT52" s="218" t="b">
        <f t="shared" si="6"/>
        <v>0</v>
      </c>
      <c r="AU52" s="274"/>
      <c r="AX52" s="274"/>
      <c r="BD52" s="218" t="b">
        <f t="shared" si="3"/>
        <v>0</v>
      </c>
      <c r="BF52" s="231" t="b">
        <f t="shared" ref="BF52" si="516">IF(J52="",FALSE,IF(OR(AND(AU51,L52=""),AND(AU51,L52="",OR(M52&lt;&gt;"",N52&lt;&gt;"",O52&lt;&gt;"",P52&lt;&gt;""))),TRUE,FALSE))</f>
        <v>0</v>
      </c>
      <c r="BG52" s="218" t="b">
        <f t="shared" si="4"/>
        <v>0</v>
      </c>
      <c r="BH52" s="218" t="b">
        <f t="shared" si="24"/>
        <v>0</v>
      </c>
      <c r="BI52" s="231" t="b">
        <f t="shared" ref="BI52" si="517">IF(J52="",FALSE,IF(L52=0,FALSE,IF(AND(AU51,NOT(BF52),OR(M52="",N52="",O52="")),TRUE,FALSE)))</f>
        <v>0</v>
      </c>
      <c r="BJ52" s="240" t="b">
        <f t="shared" si="5"/>
        <v>0</v>
      </c>
      <c r="BK52" s="231" t="b">
        <f>IF(NOT(BJ52),FALSE,IF(AND(競技会設定!$C$5&lt;=BJ52,BJ52&lt;=競技会設定!$C$6),FALSE,TRUE))</f>
        <v>0</v>
      </c>
      <c r="BL52" s="218" t="b">
        <f>IF(J52="",FALSE,IF(L52=0,FALSE,IF(AND(AU51,NOT(BF52),NOT(BI52),P52=""),TRUE,FALSE)))</f>
        <v>0</v>
      </c>
      <c r="BO52" s="274"/>
    </row>
    <row r="53" spans="1:67" ht="17.399999999999999" customHeight="1">
      <c r="A53" s="421"/>
      <c r="B53" s="374"/>
      <c r="C53" s="376"/>
      <c r="D53" s="140"/>
      <c r="E53" s="379" t="str">
        <f>IF(C51="","",VLOOKUP(D51,男子登録!$A$2:$O$2001,14,0)&amp;" ("&amp;VLOOKUP(D51,男子登録!$A$2:$O$2001,15,0)&amp;")")</f>
        <v/>
      </c>
      <c r="F53" s="380"/>
      <c r="G53" s="140" t="str">
        <f>IF(C51="","",(VLOOKUP(D51,男子登録!$A$2:$N$2001,9,0)))</f>
        <v/>
      </c>
      <c r="H53" s="140"/>
      <c r="I53" s="140" t="s">
        <v>7063</v>
      </c>
      <c r="J53" s="153"/>
      <c r="K53" s="140" t="s">
        <v>7064</v>
      </c>
      <c r="L53" s="153"/>
      <c r="M53" s="264"/>
      <c r="N53" s="265"/>
      <c r="O53" s="266"/>
      <c r="P53" s="152"/>
      <c r="Q53" s="382"/>
      <c r="R53" s="385"/>
      <c r="S53" s="136"/>
      <c r="T53" s="137"/>
      <c r="U53" s="137"/>
      <c r="V53" s="137"/>
      <c r="W53" s="137"/>
      <c r="X53" s="137"/>
      <c r="Y53" s="218">
        <f t="shared" ref="Y53" si="518">IF(OR(E51="",J53=""),0,J53&amp;E51)</f>
        <v>0</v>
      </c>
      <c r="Z53" s="218">
        <f>IF(Y53=0,0,COUNTIF($Y$7:Y53,Y53))</f>
        <v>0</v>
      </c>
      <c r="AD53" s="218">
        <f>IFERROR(VLOOKUP(J53,競技会設定!$P$2:$S$22,2,0),0)</f>
        <v>0</v>
      </c>
      <c r="AE53" s="218">
        <f t="shared" ref="AE53" si="519">IF(E51="",0,IF(AD53=0,0,IF(AD53&lt;3,E51&amp;$AE$6,0)))</f>
        <v>0</v>
      </c>
      <c r="AF53" s="218">
        <f>IF(AE53=0,0,E51&amp;COUNTIF($AE$7:AE53,AE53))</f>
        <v>0</v>
      </c>
      <c r="AG53" s="218">
        <f t="shared" ref="AG53" si="520">IF(E51="",0,IF(AD53=0,0,IF(AD53&gt;=3,E51&amp;$AG$6,0)))</f>
        <v>0</v>
      </c>
      <c r="AH53" s="218">
        <f>IF(AG53=0,0,E51&amp;COUNTIF($AG$7:AG53,AG53))</f>
        <v>0</v>
      </c>
      <c r="AI53" s="218">
        <f t="shared" ref="AI53:AI101" si="521">IF(COUNTIF(Y53,"*十種*")&gt;0,0,IF($AD53=AI$6,$E51,0))</f>
        <v>0</v>
      </c>
      <c r="AJ53" s="218" t="b">
        <f>IF(AI53=0,FALSE,IF(COUNTIF(AI$7:AI53,AI53)&gt;1,TRUE,FALSE))</f>
        <v>0</v>
      </c>
      <c r="AK53" s="218">
        <f t="shared" ref="AK53" si="522">IF($AD53=AK$6,$E51,0)</f>
        <v>0</v>
      </c>
      <c r="AL53" s="218" t="b">
        <f>IF(AK53=0,FALSE,IF(COUNTIF(AK$7:AK53,AK53)&gt;1,TRUE,FALSE))</f>
        <v>0</v>
      </c>
      <c r="AM53" s="218">
        <f t="shared" ref="AM53" si="523">IF($AD53=AM$6,$E51,0)</f>
        <v>0</v>
      </c>
      <c r="AN53" s="218" t="b">
        <f>IF(AM53=0,FALSE,IF(COUNTIF(AM$7:AM53,AM53)&gt;1,TRUE,FALSE))</f>
        <v>0</v>
      </c>
      <c r="AO53" s="218">
        <f t="shared" ref="AO53" si="524">IF($AD53=AO$6,$E51,0)</f>
        <v>0</v>
      </c>
      <c r="AP53" s="218" t="b">
        <f>IF(AO53=0,FALSE,IF(COUNTIF(AO$7:AO53,AO53)&gt;1,TRUE,FALSE))</f>
        <v>0</v>
      </c>
      <c r="AQ53" s="218">
        <f t="shared" ref="AQ53" si="525">IF(COUNTIF(Y53,"*十種競技*")&gt;0,E51,0)</f>
        <v>0</v>
      </c>
      <c r="AR53" s="218" t="b">
        <f>IF(AQ53=0,FALSE,IF(OR(COUNTIF($AI$7:$AI$406,AQ53)+COUNTIF($AQ53:$AQ$406,AQ53)&gt;1,COUNTIF($AK$7:$AK$406,AQ53)+COUNTIF($AQ$7:$AQ$406,AQ53)&gt;1),TRUE,FALSE))</f>
        <v>0</v>
      </c>
      <c r="AT53" s="218" t="b">
        <f t="shared" si="6"/>
        <v>0</v>
      </c>
      <c r="AU53" s="274"/>
      <c r="AX53" s="274"/>
      <c r="BD53" s="218" t="b">
        <f t="shared" si="3"/>
        <v>0</v>
      </c>
      <c r="BF53" s="231" t="b">
        <f t="shared" ref="BF53" si="526">IF(J53="",FALSE,IF(OR(AND(AU51,L53=""),AND(AU51,L53="",OR(M53&lt;&gt;"",N53&lt;&gt;"",O53&lt;&gt;"",P53&lt;&gt;""))),TRUE,FALSE))</f>
        <v>0</v>
      </c>
      <c r="BG53" s="218" t="b">
        <f t="shared" si="4"/>
        <v>0</v>
      </c>
      <c r="BH53" s="218" t="b">
        <f t="shared" si="24"/>
        <v>0</v>
      </c>
      <c r="BI53" s="231" t="b">
        <f t="shared" ref="BI53" si="527">IF(J53="",FALSE,IF(L53=0,FALSE,IF(AND(AU51,NOT(BF53),OR(M53="",N53="",O53="")),TRUE,FALSE)))</f>
        <v>0</v>
      </c>
      <c r="BJ53" s="240" t="b">
        <f t="shared" si="5"/>
        <v>0</v>
      </c>
      <c r="BK53" s="231" t="b">
        <f>IF(NOT(BJ53),FALSE,IF(AND(競技会設定!$C$5&lt;=BJ53,BJ53&lt;=競技会設定!$C$6),FALSE,TRUE))</f>
        <v>0</v>
      </c>
      <c r="BL53" s="218" t="b">
        <f>IF(J53="",FALSE,IF(L53=0,FALSE,IF(AND(AU51,NOT(BF53),NOT(BI53),P53=""),TRUE,FALSE)))</f>
        <v>0</v>
      </c>
      <c r="BO53" s="274"/>
    </row>
    <row r="54" spans="1:67" ht="18" customHeight="1" thickBot="1">
      <c r="A54" s="422"/>
      <c r="B54" s="387" t="s">
        <v>7051</v>
      </c>
      <c r="C54" s="387"/>
      <c r="D54" s="213"/>
      <c r="E54" s="388"/>
      <c r="F54" s="389"/>
      <c r="G54" s="390"/>
      <c r="H54" s="141"/>
      <c r="I54" s="213" t="s">
        <v>7065</v>
      </c>
      <c r="J54" s="154"/>
      <c r="K54" s="213" t="s">
        <v>7066</v>
      </c>
      <c r="L54" s="154"/>
      <c r="M54" s="267"/>
      <c r="N54" s="268"/>
      <c r="O54" s="269"/>
      <c r="P54" s="154"/>
      <c r="Q54" s="383"/>
      <c r="R54" s="386"/>
      <c r="S54" s="136"/>
      <c r="T54" s="137"/>
      <c r="U54" s="137"/>
      <c r="V54" s="137"/>
      <c r="W54" s="137"/>
      <c r="X54" s="137"/>
      <c r="Y54" s="218">
        <f t="shared" ref="Y54" si="528">IF(OR(E51="",J54=""),0,J54&amp;E51)</f>
        <v>0</v>
      </c>
      <c r="Z54" s="218">
        <f>IF(Y54=0,0,COUNTIF($Y$7:Y54,Y54))</f>
        <v>0</v>
      </c>
      <c r="AD54" s="218">
        <f>IFERROR(VLOOKUP(J54,競技会設定!$P$2:$S$22,2,0),0)</f>
        <v>0</v>
      </c>
      <c r="AE54" s="218">
        <f t="shared" ref="AE54" si="529">IF(E51="",0,IF(AD54=0,0,IF(AD54&lt;3,E51&amp;$AE$6,0)))</f>
        <v>0</v>
      </c>
      <c r="AF54" s="218">
        <f>IF(AE54=0,0,E51&amp;COUNTIF($AE$7:AE54,AE54))</f>
        <v>0</v>
      </c>
      <c r="AG54" s="218">
        <f t="shared" ref="AG54" si="530">IF(E51="",0,IF(AD54=0,0,IF(AD54&gt;=3,E51&amp;$AG$6,0)))</f>
        <v>0</v>
      </c>
      <c r="AH54" s="218">
        <f>IF(AG54=0,0,E51&amp;COUNTIF($AG$7:AG54,AG54))</f>
        <v>0</v>
      </c>
      <c r="AI54" s="218">
        <f t="shared" ref="AI54:AI102" si="531">IF(COUNTIF(Y54,"*十種*")&gt;0,0,IF($AD54=AI$6,$E51,0))</f>
        <v>0</v>
      </c>
      <c r="AJ54" s="218" t="b">
        <f>IF(AI54=0,FALSE,IF(COUNTIF(AI$7:AI54,AI54)&gt;1,TRUE,FALSE))</f>
        <v>0</v>
      </c>
      <c r="AK54" s="218">
        <f t="shared" ref="AK54" si="532">IF($AD54=AK$6,$E51,0)</f>
        <v>0</v>
      </c>
      <c r="AL54" s="218" t="b">
        <f>IF(AK54=0,FALSE,IF(COUNTIF(AK$7:AK54,AK54)&gt;1,TRUE,FALSE))</f>
        <v>0</v>
      </c>
      <c r="AM54" s="218">
        <f t="shared" ref="AM54" si="533">IF($AD54=AM$6,$E51,0)</f>
        <v>0</v>
      </c>
      <c r="AN54" s="218" t="b">
        <f>IF(AM54=0,FALSE,IF(COUNTIF(AM$7:AM54,AM54)&gt;1,TRUE,FALSE))</f>
        <v>0</v>
      </c>
      <c r="AO54" s="218">
        <f t="shared" ref="AO54" si="534">IF($AD54=AO$6,$E51,0)</f>
        <v>0</v>
      </c>
      <c r="AP54" s="218" t="b">
        <f>IF(AO54=0,FALSE,IF(COUNTIF(AO$7:AO54,AO54)&gt;1,TRUE,FALSE))</f>
        <v>0</v>
      </c>
      <c r="AQ54" s="218">
        <f t="shared" ref="AQ54" si="535">IF(COUNTIF(Y54,"*十種競技*")&gt;0,E51,0)</f>
        <v>0</v>
      </c>
      <c r="AR54" s="218" t="b">
        <f>IF(AQ54=0,FALSE,IF(OR(COUNTIF($AI$7:$AI$406,AQ54)+COUNTIF($AQ54:$AQ$406,AQ54)&gt;1,COUNTIF($AK$7:$AK$406,AQ54)+COUNTIF($AQ$7:$AQ$406,AQ54)&gt;1),TRUE,FALSE))</f>
        <v>0</v>
      </c>
      <c r="AT54" s="218" t="b">
        <f t="shared" si="6"/>
        <v>0</v>
      </c>
      <c r="AU54" s="274"/>
      <c r="AX54" s="274"/>
      <c r="BD54" s="218" t="b">
        <f t="shared" si="3"/>
        <v>0</v>
      </c>
      <c r="BF54" s="231" t="b">
        <f t="shared" ref="BF54" si="536">IF(J54="",FALSE,IF(OR(AND(AU51,L54=""),AND(AU51,L54="",OR(M54&lt;&gt;"",N54&lt;&gt;"",O54&lt;&gt;"",P54&lt;&gt;""))),TRUE,FALSE))</f>
        <v>0</v>
      </c>
      <c r="BG54" s="218" t="b">
        <f t="shared" si="4"/>
        <v>0</v>
      </c>
      <c r="BH54" s="218" t="b">
        <f t="shared" si="24"/>
        <v>0</v>
      </c>
      <c r="BI54" s="231" t="b">
        <f t="shared" ref="BI54" si="537">IF(J54="",FALSE,IF(L54=0,FALSE,IF(AND(AU51,NOT(BF54),OR(M54="",N54="",O54="")),TRUE,FALSE)))</f>
        <v>0</v>
      </c>
      <c r="BJ54" s="240" t="b">
        <f t="shared" si="5"/>
        <v>0</v>
      </c>
      <c r="BK54" s="231" t="b">
        <f>IF(NOT(BJ54),FALSE,IF(AND(競技会設定!$C$5&lt;=BJ54,BJ54&lt;=競技会設定!$C$6),FALSE,TRUE))</f>
        <v>0</v>
      </c>
      <c r="BL54" s="218" t="b">
        <f>IF(J54="",FALSE,IF(L54=0,FALSE,IF(AND(AU51,NOT(BF54),NOT(BI54),P54=""),TRUE,FALSE)))</f>
        <v>0</v>
      </c>
      <c r="BO54" s="274"/>
    </row>
    <row r="55" spans="1:67" ht="18" customHeight="1" thickTop="1">
      <c r="A55" s="417">
        <v>13</v>
      </c>
      <c r="B55" s="401" t="s">
        <v>7050</v>
      </c>
      <c r="C55" s="403"/>
      <c r="D55" s="220" t="str">
        <f t="shared" ref="D55" si="538">IF(C55="","",501&amp;TEXT(C55,"000000"))</f>
        <v/>
      </c>
      <c r="E55" s="396" t="str">
        <f>IF(D55="","",(VLOOKUP(D55,男子登録!$A$2:$N$2001,3,0)))</f>
        <v/>
      </c>
      <c r="F55" s="396" t="str">
        <f>IF(D55="","",(VLOOKUP(D55,男子登録!$A$2:$N$2001,4,0)))</f>
        <v/>
      </c>
      <c r="G55" s="220" t="str">
        <f>IF(C55="","",(VLOOKUP(D55,男子登録!$A$2:$N$2001,8,0)))</f>
        <v/>
      </c>
      <c r="H55" s="220">
        <f>IFERROR(VLOOKUP(D55,男子登録!$A$2:$N$2001,11,0),基本情報!$E$5)</f>
        <v>0</v>
      </c>
      <c r="I55" s="220" t="s">
        <v>7059</v>
      </c>
      <c r="J55" s="148"/>
      <c r="K55" s="220" t="s">
        <v>7060</v>
      </c>
      <c r="L55" s="148"/>
      <c r="M55" s="252"/>
      <c r="N55" s="253"/>
      <c r="O55" s="254"/>
      <c r="P55" s="148"/>
      <c r="Q55" s="398"/>
      <c r="R55" s="391"/>
      <c r="S55" s="136">
        <f t="shared" ref="S55" si="539">IF(OR(E55="",Q55=""),0,E55)</f>
        <v>0</v>
      </c>
      <c r="T55" s="137">
        <f>IF(S55=0,0,COUNTIF($S$7:S55,"*"))</f>
        <v>0</v>
      </c>
      <c r="U55" s="137">
        <f>IF(S55=0,0,COUNTIF($S$7:S55,S55))</f>
        <v>0</v>
      </c>
      <c r="V55" s="137">
        <f t="shared" si="203"/>
        <v>0</v>
      </c>
      <c r="W55" s="137">
        <f>IF(V55=0,0,COUNTIF($V$7:V55,"*"))</f>
        <v>0</v>
      </c>
      <c r="X55" s="137">
        <f>IF(V55=0,0,COUNTIF($V$7:V55,V55))</f>
        <v>0</v>
      </c>
      <c r="Y55" s="218">
        <f t="shared" ref="Y55" si="540">IF(OR(E55="",J55=""),0,J55&amp;E55)</f>
        <v>0</v>
      </c>
      <c r="Z55" s="218">
        <f>IF(Y55=0,0,COUNTIF($Y$7:Y55,Y55))</f>
        <v>0</v>
      </c>
      <c r="AA55" s="218" t="b">
        <f t="shared" ref="AA55" si="541">IF(COUNTIF(J55:J58,"十種競技")&gt;0,TRUE,FALSE)</f>
        <v>0</v>
      </c>
      <c r="AB55" s="218">
        <f>IF(E55="",0,IF(AA55,COUNTIF($AA$7:AA55,TRUE),0))</f>
        <v>0</v>
      </c>
      <c r="AC55" s="218">
        <f>IFERROR(VLOOKUP("十種競技",J55:L58,3,0),0)</f>
        <v>0</v>
      </c>
      <c r="AD55" s="218">
        <f>IFERROR(VLOOKUP(J55,競技会設定!$P$2:$S$22,2,0),0)</f>
        <v>0</v>
      </c>
      <c r="AE55" s="218">
        <f t="shared" ref="AE55" si="542">IF(E55="",0,IF(AD55=0,0,IF(AD55&lt;3,E55&amp;$AE$6,0)))</f>
        <v>0</v>
      </c>
      <c r="AF55" s="218">
        <f>IF(AE55=0,0,E55&amp;COUNTIF($AE$7:AE55,AE55))</f>
        <v>0</v>
      </c>
      <c r="AG55" s="218">
        <f t="shared" ref="AG55" si="543">IF(E55="",0,IF(AD55=0,0,IF(AD55&gt;=3,E55&amp;$AG$6,0)))</f>
        <v>0</v>
      </c>
      <c r="AH55" s="218">
        <f>IF(AG55=0,0,E55&amp;COUNTIF($AG$7:AG55,AG55))</f>
        <v>0</v>
      </c>
      <c r="AI55" s="218">
        <f t="shared" ref="AI55" si="544">IF(COUNTIF(Y55,"*十種*")&gt;0,0,IF($AD55=AI$6,$E55,0))</f>
        <v>0</v>
      </c>
      <c r="AJ55" s="218" t="b">
        <f>IF(AI55=0,FALSE,IF(COUNTIF(AI$7:AI55,AI55)&gt;1,TRUE,FALSE))</f>
        <v>0</v>
      </c>
      <c r="AK55" s="218">
        <f t="shared" ref="AK55" si="545">IF($AD55=AK$6,$E55,0)</f>
        <v>0</v>
      </c>
      <c r="AL55" s="218" t="b">
        <f>IF(AK55=0,FALSE,IF(COUNTIF(AK$7:AK55,AK55)&gt;1,TRUE,FALSE))</f>
        <v>0</v>
      </c>
      <c r="AM55" s="218">
        <f t="shared" ref="AM55" si="546">IF($AD55=AM$6,$E55,0)</f>
        <v>0</v>
      </c>
      <c r="AN55" s="218" t="b">
        <f>IF(AM55=0,FALSE,IF(COUNTIF(AM$7:AM55,AM55)&gt;1,TRUE,FALSE))</f>
        <v>0</v>
      </c>
      <c r="AO55" s="218">
        <f t="shared" ref="AO55" si="547">IF($AD55=AO$6,$E55,0)</f>
        <v>0</v>
      </c>
      <c r="AP55" s="218" t="b">
        <f>IF(AO55=0,FALSE,IF(COUNTIF(AO$7:AO55,AO55)&gt;1,TRUE,FALSE))</f>
        <v>0</v>
      </c>
      <c r="AQ55" s="218">
        <f t="shared" ref="AQ55" si="548">IF(COUNTIF(Y55,"*十種競技*")&gt;0,E55,0)</f>
        <v>0</v>
      </c>
      <c r="AR55" s="218" t="b">
        <f>IF(AQ55=0,FALSE,IF(OR(COUNTIF($AI$7:$AI$406,AQ55)+COUNTIF($AQ55:$AQ$406,AQ55)&gt;1,COUNTIF($AK$7:$AK$406,AQ55)+COUNTIF($AQ$7:$AQ$406,AQ55)&gt;1),TRUE,FALSE))</f>
        <v>0</v>
      </c>
      <c r="AS55" s="218" t="b">
        <f t="shared" ref="AS55" si="549">IF(AND(C55="",E55&lt;&gt;"",F55&lt;&gt;"",E57&lt;&gt;"",G55&lt;&gt;"",G56&lt;&gt;"",G57&lt;&gt;""),TRUE,FALSE)</f>
        <v>0</v>
      </c>
      <c r="AT55" s="218" t="b">
        <f t="shared" si="6"/>
        <v>0</v>
      </c>
      <c r="AU55" s="274" t="b">
        <f t="shared" ref="AU55" si="550">IFERROR(IF(D55&amp;E55&amp;F55&amp;E57&amp;G55&amp;G56&amp;G57&amp;J55&amp;J56&amp;J57&amp;J58&amp;L55&amp;L56&amp;L57&amp;L58&amp;M55&amp;M56&amp;M57&amp;M58&amp;N55&amp;N56&amp;N57&amp;N58&amp;O55&amp;O56&amp;O57&amp;O58&amp;P55&amp;P56&amp;P57&amp;P58&amp;Q55&amp;R55="",FALSE,TRUE),FALSE)</f>
        <v>0</v>
      </c>
      <c r="AV55" s="218" t="b">
        <f t="shared" ref="AV55" si="551">IF(AS55,FALSE,IF(C55="",AU55,FALSE))</f>
        <v>0</v>
      </c>
      <c r="AW55" s="218" t="b">
        <f>IF(C55="",FALSE,IF(C55&gt;2000,TRUE,FALSE))</f>
        <v>0</v>
      </c>
      <c r="AX55" s="274" t="b">
        <f>IF(H55=0,FALSE,IF(EXACT(基本情報!$E$5,H55)=TRUE,FALSE,TRUE))</f>
        <v>0</v>
      </c>
      <c r="AY55" s="218" t="b">
        <f>IF(C55="",FALSE,IF(ISNA(E55)=TRUE,TRUE,FALSE))</f>
        <v>0</v>
      </c>
      <c r="AZ55" s="274" t="b">
        <f>IFERROR(IF(E55="",FALSE,IF(COUNTIF($E$7:E55,E55)&gt;1,TRUE,FALSE)),FALSE)</f>
        <v>0</v>
      </c>
      <c r="BA55" s="218" t="b">
        <f t="shared" ref="BA55" si="552">IF(OR(J55&amp;J56&amp;J57&amp;J58&amp;Q55&amp;R55="",AT55,AT56,AT57,AT58),AU55,FALSE)</f>
        <v>0</v>
      </c>
      <c r="BB55" s="218" t="b">
        <f>IF(U55&gt;1,TRUE,FALSE)</f>
        <v>0</v>
      </c>
      <c r="BC55" s="218" t="b">
        <f>IF(X55&gt;1,TRUE,FALSE)</f>
        <v>0</v>
      </c>
      <c r="BD55" s="218" t="b">
        <f t="shared" si="3"/>
        <v>0</v>
      </c>
      <c r="BF55" s="231" t="b">
        <f t="shared" ref="BF55" si="553">IF(J55="",FALSE,IF(OR(AND(AU55,L55=""),AND(AU55,L55="",OR(M55&lt;&gt;"",N55&lt;&gt;"",O55&lt;&gt;"",P55&lt;&gt;""))),TRUE,FALSE))</f>
        <v>0</v>
      </c>
      <c r="BG55" s="218" t="b">
        <f t="shared" si="4"/>
        <v>0</v>
      </c>
      <c r="BH55" s="218" t="b">
        <f t="shared" si="24"/>
        <v>0</v>
      </c>
      <c r="BI55" s="231" t="b">
        <f t="shared" ref="BI55" si="554">IF(J55="",FALSE,IF(L55=0,FALSE,IF(AND(AU55,NOT(BF55),OR(M55="",N55="",O55="")),TRUE,FALSE)))</f>
        <v>0</v>
      </c>
      <c r="BJ55" s="240" t="b">
        <f t="shared" si="5"/>
        <v>0</v>
      </c>
      <c r="BK55" s="231" t="b">
        <f>IF(NOT(BJ55),FALSE,IF(AND(競技会設定!$C$5&lt;=BJ55,BJ55&lt;=競技会設定!$C$6),FALSE,TRUE))</f>
        <v>0</v>
      </c>
      <c r="BL55" s="218" t="b">
        <f>IF(J55="",FALSE,IF(L55=0,FALSE,IF(AND(AU55,NOT(BF55),NOT(BI55),P55=""),TRUE,FALSE)))</f>
        <v>0</v>
      </c>
      <c r="BO55" s="274">
        <f t="shared" ref="BO55" si="555">IF(AND(AU55,SUM(COUNTIF(AV55:BC55,TRUE),COUNTIF(BF55:BL58,TRUE),COUNTIF(BD55:BD58,TRUE))=0,NOT($BE$7)),1,0)</f>
        <v>0</v>
      </c>
    </row>
    <row r="56" spans="1:67" ht="17.399999999999999" customHeight="1">
      <c r="A56" s="418"/>
      <c r="B56" s="402"/>
      <c r="C56" s="404"/>
      <c r="D56" s="221"/>
      <c r="E56" s="397"/>
      <c r="F56" s="397"/>
      <c r="G56" s="221" t="str">
        <f>IF(C55="","",(VLOOKUP(D55,男子登録!$A$2:$N$2001,13,0)))</f>
        <v/>
      </c>
      <c r="H56" s="221"/>
      <c r="I56" s="221" t="s">
        <v>7061</v>
      </c>
      <c r="J56" s="149"/>
      <c r="K56" s="221" t="s">
        <v>7062</v>
      </c>
      <c r="L56" s="149"/>
      <c r="M56" s="255"/>
      <c r="N56" s="256"/>
      <c r="O56" s="257"/>
      <c r="P56" s="149"/>
      <c r="Q56" s="399"/>
      <c r="R56" s="392"/>
      <c r="S56" s="136"/>
      <c r="T56" s="137"/>
      <c r="U56" s="137"/>
      <c r="V56" s="137"/>
      <c r="W56" s="137"/>
      <c r="X56" s="137"/>
      <c r="Y56" s="218">
        <f t="shared" ref="Y56" si="556">IF(OR(E55="",J56=""),0,J56&amp;E55)</f>
        <v>0</v>
      </c>
      <c r="Z56" s="218">
        <f>IF(Y56=0,0,COUNTIF($Y$7:Y56,Y56))</f>
        <v>0</v>
      </c>
      <c r="AD56" s="218">
        <f>IFERROR(VLOOKUP(J56,競技会設定!$P$2:$S$22,2,0),0)</f>
        <v>0</v>
      </c>
      <c r="AE56" s="218">
        <f t="shared" ref="AE56" si="557">IF(E55="",0,IF(AD56=0,0,IF(AD56&lt;3,E55&amp;$AE$6,0)))</f>
        <v>0</v>
      </c>
      <c r="AF56" s="218">
        <f>IF(AE56=0,0,E55&amp;COUNTIF($AE$7:AE56,AE56))</f>
        <v>0</v>
      </c>
      <c r="AG56" s="218">
        <f t="shared" ref="AG56" si="558">IF(E55="",0,IF(AD56=0,0,IF(AD56&gt;=3,E55&amp;$AG$6,0)))</f>
        <v>0</v>
      </c>
      <c r="AH56" s="218">
        <f>IF(AG56=0,0,E55&amp;COUNTIF($AG$7:AG56,AG56))</f>
        <v>0</v>
      </c>
      <c r="AI56" s="218">
        <f t="shared" ref="AI56" si="559">IF(COUNTIF(Y56,"*十種*")&gt;0,0,IF($AD56=AI$6,$E55,0))</f>
        <v>0</v>
      </c>
      <c r="AJ56" s="218" t="b">
        <f>IF(AI56=0,FALSE,IF(COUNTIF(AI$7:AI56,AI56)&gt;1,TRUE,FALSE))</f>
        <v>0</v>
      </c>
      <c r="AK56" s="218">
        <f t="shared" ref="AK56" si="560">IF($AD56=AK$6,$E55,0)</f>
        <v>0</v>
      </c>
      <c r="AL56" s="218" t="b">
        <f>IF(AK56=0,FALSE,IF(COUNTIF(AK$7:AK56,AK56)&gt;1,TRUE,FALSE))</f>
        <v>0</v>
      </c>
      <c r="AM56" s="218">
        <f t="shared" ref="AM56" si="561">IF($AD56=AM$6,$E55,0)</f>
        <v>0</v>
      </c>
      <c r="AN56" s="218" t="b">
        <f>IF(AM56=0,FALSE,IF(COUNTIF(AM$7:AM56,AM56)&gt;1,TRUE,FALSE))</f>
        <v>0</v>
      </c>
      <c r="AO56" s="218">
        <f t="shared" ref="AO56" si="562">IF($AD56=AO$6,$E55,0)</f>
        <v>0</v>
      </c>
      <c r="AP56" s="218" t="b">
        <f>IF(AO56=0,FALSE,IF(COUNTIF(AO$7:AO56,AO56)&gt;1,TRUE,FALSE))</f>
        <v>0</v>
      </c>
      <c r="AQ56" s="218">
        <f t="shared" ref="AQ56" si="563">IF(COUNTIF(Y56,"*十種競技*")&gt;0,E55,0)</f>
        <v>0</v>
      </c>
      <c r="AR56" s="218" t="b">
        <f>IF(AQ56=0,FALSE,IF(OR(COUNTIF($AI$7:$AI$406,AQ56)+COUNTIF($AQ56:$AQ$406,AQ56)&gt;1,COUNTIF($AK$7:$AK$406,AQ56)+COUNTIF($AQ$7:$AQ$406,AQ56)&gt;1),TRUE,FALSE))</f>
        <v>0</v>
      </c>
      <c r="AT56" s="218" t="b">
        <f t="shared" si="6"/>
        <v>0</v>
      </c>
      <c r="AU56" s="274"/>
      <c r="AX56" s="274"/>
      <c r="BD56" s="218" t="b">
        <f t="shared" si="3"/>
        <v>0</v>
      </c>
      <c r="BF56" s="231" t="b">
        <f t="shared" ref="BF56" si="564">IF(J56="",FALSE,IF(OR(AND(AU55,L56=""),AND(AU55,L56="",OR(M56&lt;&gt;"",N56&lt;&gt;"",O56&lt;&gt;"",P56&lt;&gt;""))),TRUE,FALSE))</f>
        <v>0</v>
      </c>
      <c r="BG56" s="218" t="b">
        <f t="shared" si="4"/>
        <v>0</v>
      </c>
      <c r="BH56" s="218" t="b">
        <f t="shared" si="24"/>
        <v>0</v>
      </c>
      <c r="BI56" s="231" t="b">
        <f t="shared" ref="BI56" si="565">IF(J56="",FALSE,IF(L56=0,FALSE,IF(AND(AU55,NOT(BF56),OR(M56="",N56="",O56="")),TRUE,FALSE)))</f>
        <v>0</v>
      </c>
      <c r="BJ56" s="240" t="b">
        <f t="shared" si="5"/>
        <v>0</v>
      </c>
      <c r="BK56" s="231" t="b">
        <f>IF(NOT(BJ56),FALSE,IF(AND(競技会設定!$C$5&lt;=BJ56,BJ56&lt;=競技会設定!$C$6),FALSE,TRUE))</f>
        <v>0</v>
      </c>
      <c r="BL56" s="218" t="b">
        <f>IF(J56="",FALSE,IF(L56=0,FALSE,IF(AND(AU55,NOT(BF56),NOT(BI56),P56=""),TRUE,FALSE)))</f>
        <v>0</v>
      </c>
      <c r="BO56" s="274"/>
    </row>
    <row r="57" spans="1:67" ht="17.399999999999999" customHeight="1">
      <c r="A57" s="418"/>
      <c r="B57" s="402"/>
      <c r="C57" s="404"/>
      <c r="D57" s="221"/>
      <c r="E57" s="394" t="str">
        <f>IF(C55="","",VLOOKUP(D55,男子登録!$A$2:$O$2001,14,0)&amp;" ("&amp;VLOOKUP(D55,男子登録!$A$2:$O$2001,15,0)&amp;")")</f>
        <v/>
      </c>
      <c r="F57" s="394"/>
      <c r="G57" s="222" t="str">
        <f>IF(C55="","",(VLOOKUP(D55,男子登録!$A$2:$N$2001,9,0)))</f>
        <v/>
      </c>
      <c r="H57" s="222"/>
      <c r="I57" s="222" t="s">
        <v>7063</v>
      </c>
      <c r="J57" s="150"/>
      <c r="K57" s="222" t="s">
        <v>7064</v>
      </c>
      <c r="L57" s="150"/>
      <c r="M57" s="255"/>
      <c r="N57" s="256"/>
      <c r="O57" s="257"/>
      <c r="P57" s="149"/>
      <c r="Q57" s="399"/>
      <c r="R57" s="392"/>
      <c r="S57" s="136"/>
      <c r="T57" s="137"/>
      <c r="U57" s="137"/>
      <c r="V57" s="137"/>
      <c r="W57" s="137"/>
      <c r="X57" s="137"/>
      <c r="Y57" s="218">
        <f t="shared" ref="Y57" si="566">IF(OR(E55="",J57=""),0,J57&amp;E55)</f>
        <v>0</v>
      </c>
      <c r="Z57" s="218">
        <f>IF(Y57=0,0,COUNTIF($Y$7:Y57,Y57))</f>
        <v>0</v>
      </c>
      <c r="AD57" s="218">
        <f>IFERROR(VLOOKUP(J57,競技会設定!$P$2:$S$22,2,0),0)</f>
        <v>0</v>
      </c>
      <c r="AE57" s="218">
        <f t="shared" ref="AE57" si="567">IF(E55="",0,IF(AD57=0,0,IF(AD57&lt;3,E55&amp;$AE$6,0)))</f>
        <v>0</v>
      </c>
      <c r="AF57" s="218">
        <f>IF(AE57=0,0,E55&amp;COUNTIF($AE$7:AE57,AE57))</f>
        <v>0</v>
      </c>
      <c r="AG57" s="218">
        <f t="shared" ref="AG57" si="568">IF(E55="",0,IF(AD57=0,0,IF(AD57&gt;=3,E55&amp;$AG$6,0)))</f>
        <v>0</v>
      </c>
      <c r="AH57" s="218">
        <f>IF(AG57=0,0,E55&amp;COUNTIF($AG$7:AG57,AG57))</f>
        <v>0</v>
      </c>
      <c r="AI57" s="218">
        <f t="shared" ref="AI57" si="569">IF(COUNTIF(Y57,"*十種*")&gt;0,0,IF($AD57=AI$6,$E55,0))</f>
        <v>0</v>
      </c>
      <c r="AJ57" s="218" t="b">
        <f>IF(AI57=0,FALSE,IF(COUNTIF(AI$7:AI57,AI57)&gt;1,TRUE,FALSE))</f>
        <v>0</v>
      </c>
      <c r="AK57" s="218">
        <f t="shared" ref="AK57" si="570">IF($AD57=AK$6,$E55,0)</f>
        <v>0</v>
      </c>
      <c r="AL57" s="218" t="b">
        <f>IF(AK57=0,FALSE,IF(COUNTIF(AK$7:AK57,AK57)&gt;1,TRUE,FALSE))</f>
        <v>0</v>
      </c>
      <c r="AM57" s="218">
        <f t="shared" ref="AM57" si="571">IF($AD57=AM$6,$E55,0)</f>
        <v>0</v>
      </c>
      <c r="AN57" s="218" t="b">
        <f>IF(AM57=0,FALSE,IF(COUNTIF(AM$7:AM57,AM57)&gt;1,TRUE,FALSE))</f>
        <v>0</v>
      </c>
      <c r="AO57" s="218">
        <f t="shared" ref="AO57" si="572">IF($AD57=AO$6,$E55,0)</f>
        <v>0</v>
      </c>
      <c r="AP57" s="218" t="b">
        <f>IF(AO57=0,FALSE,IF(COUNTIF(AO$7:AO57,AO57)&gt;1,TRUE,FALSE))</f>
        <v>0</v>
      </c>
      <c r="AQ57" s="218">
        <f t="shared" ref="AQ57" si="573">IF(COUNTIF(Y57,"*十種競技*")&gt;0,E55,0)</f>
        <v>0</v>
      </c>
      <c r="AR57" s="218" t="b">
        <f>IF(AQ57=0,FALSE,IF(OR(COUNTIF($AI$7:$AI$406,AQ57)+COUNTIF($AQ57:$AQ$406,AQ57)&gt;1,COUNTIF($AK$7:$AK$406,AQ57)+COUNTIF($AQ$7:$AQ$406,AQ57)&gt;1),TRUE,FALSE))</f>
        <v>0</v>
      </c>
      <c r="AT57" s="218" t="b">
        <f t="shared" si="6"/>
        <v>0</v>
      </c>
      <c r="AU57" s="274"/>
      <c r="AX57" s="274"/>
      <c r="BD57" s="218" t="b">
        <f t="shared" si="3"/>
        <v>0</v>
      </c>
      <c r="BF57" s="231" t="b">
        <f t="shared" ref="BF57" si="574">IF(J57="",FALSE,IF(OR(AND(AU55,L57=""),AND(AU55,L57="",OR(M57&lt;&gt;"",N57&lt;&gt;"",O57&lt;&gt;"",P57&lt;&gt;""))),TRUE,FALSE))</f>
        <v>0</v>
      </c>
      <c r="BG57" s="218" t="b">
        <f t="shared" si="4"/>
        <v>0</v>
      </c>
      <c r="BH57" s="218" t="b">
        <f t="shared" si="24"/>
        <v>0</v>
      </c>
      <c r="BI57" s="231" t="b">
        <f t="shared" ref="BI57" si="575">IF(J57="",FALSE,IF(L57=0,FALSE,IF(AND(AU55,NOT(BF57),OR(M57="",N57="",O57="")),TRUE,FALSE)))</f>
        <v>0</v>
      </c>
      <c r="BJ57" s="240" t="b">
        <f t="shared" si="5"/>
        <v>0</v>
      </c>
      <c r="BK57" s="231" t="b">
        <f>IF(NOT(BJ57),FALSE,IF(AND(競技会設定!$C$5&lt;=BJ57,BJ57&lt;=競技会設定!$C$6),FALSE,TRUE))</f>
        <v>0</v>
      </c>
      <c r="BL57" s="218" t="b">
        <f>IF(J57="",FALSE,IF(L57=0,FALSE,IF(AND(AU55,NOT(BF57),NOT(BI57),P57=""),TRUE,FALSE)))</f>
        <v>0</v>
      </c>
      <c r="BO57" s="274"/>
    </row>
    <row r="58" spans="1:67" ht="18" customHeight="1" thickBot="1">
      <c r="A58" s="419"/>
      <c r="B58" s="395" t="s">
        <v>7051</v>
      </c>
      <c r="C58" s="395"/>
      <c r="D58" s="221"/>
      <c r="E58" s="372"/>
      <c r="F58" s="372"/>
      <c r="G58" s="372"/>
      <c r="H58" s="214"/>
      <c r="I58" s="214" t="s">
        <v>7065</v>
      </c>
      <c r="J58" s="219"/>
      <c r="K58" s="214" t="s">
        <v>7066</v>
      </c>
      <c r="L58" s="219"/>
      <c r="M58" s="258"/>
      <c r="N58" s="259"/>
      <c r="O58" s="260"/>
      <c r="P58" s="219"/>
      <c r="Q58" s="400"/>
      <c r="R58" s="393"/>
      <c r="S58" s="136"/>
      <c r="T58" s="137"/>
      <c r="U58" s="137"/>
      <c r="V58" s="137"/>
      <c r="W58" s="137"/>
      <c r="X58" s="137"/>
      <c r="Y58" s="218">
        <f t="shared" ref="Y58" si="576">IF(OR(E55="",J58=""),0,J58&amp;E55)</f>
        <v>0</v>
      </c>
      <c r="Z58" s="218">
        <f>IF(Y58=0,0,COUNTIF($Y$7:Y58,Y58))</f>
        <v>0</v>
      </c>
      <c r="AD58" s="218">
        <f>IFERROR(VLOOKUP(J58,競技会設定!$P$2:$S$22,2,0),0)</f>
        <v>0</v>
      </c>
      <c r="AE58" s="218">
        <f t="shared" ref="AE58" si="577">IF(E55="",0,IF(AD58=0,0,IF(AD58&lt;3,E55&amp;$AE$6,0)))</f>
        <v>0</v>
      </c>
      <c r="AF58" s="218">
        <f>IF(AE58=0,0,E55&amp;COUNTIF($AE$7:AE58,AE58))</f>
        <v>0</v>
      </c>
      <c r="AG58" s="218">
        <f t="shared" ref="AG58" si="578">IF(E55="",0,IF(AD58=0,0,IF(AD58&gt;=3,E55&amp;$AG$6,0)))</f>
        <v>0</v>
      </c>
      <c r="AH58" s="218">
        <f>IF(AG58=0,0,E55&amp;COUNTIF($AG$7:AG58,AG58))</f>
        <v>0</v>
      </c>
      <c r="AI58" s="218">
        <f t="shared" ref="AI58" si="579">IF(COUNTIF(Y58,"*十種*")&gt;0,0,IF($AD58=AI$6,$E55,0))</f>
        <v>0</v>
      </c>
      <c r="AJ58" s="218" t="b">
        <f>IF(AI58=0,FALSE,IF(COUNTIF(AI$7:AI58,AI58)&gt;1,TRUE,FALSE))</f>
        <v>0</v>
      </c>
      <c r="AK58" s="218">
        <f t="shared" ref="AK58" si="580">IF($AD58=AK$6,$E55,0)</f>
        <v>0</v>
      </c>
      <c r="AL58" s="218" t="b">
        <f>IF(AK58=0,FALSE,IF(COUNTIF(AK$7:AK58,AK58)&gt;1,TRUE,FALSE))</f>
        <v>0</v>
      </c>
      <c r="AM58" s="218">
        <f t="shared" ref="AM58" si="581">IF($AD58=AM$6,$E55,0)</f>
        <v>0</v>
      </c>
      <c r="AN58" s="218" t="b">
        <f>IF(AM58=0,FALSE,IF(COUNTIF(AM$7:AM58,AM58)&gt;1,TRUE,FALSE))</f>
        <v>0</v>
      </c>
      <c r="AO58" s="218">
        <f t="shared" ref="AO58" si="582">IF($AD58=AO$6,$E55,0)</f>
        <v>0</v>
      </c>
      <c r="AP58" s="218" t="b">
        <f>IF(AO58=0,FALSE,IF(COUNTIF(AO$7:AO58,AO58)&gt;1,TRUE,FALSE))</f>
        <v>0</v>
      </c>
      <c r="AQ58" s="218">
        <f t="shared" ref="AQ58" si="583">IF(COUNTIF(Y58,"*十種競技*")&gt;0,E55,0)</f>
        <v>0</v>
      </c>
      <c r="AR58" s="218" t="b">
        <f>IF(AQ58=0,FALSE,IF(OR(COUNTIF($AI$7:$AI$406,AQ58)+COUNTIF($AQ58:$AQ$406,AQ58)&gt;1,COUNTIF($AK$7:$AK$406,AQ58)+COUNTIF($AQ$7:$AQ$406,AQ58)&gt;1),TRUE,FALSE))</f>
        <v>0</v>
      </c>
      <c r="AT58" s="218" t="b">
        <f t="shared" si="6"/>
        <v>0</v>
      </c>
      <c r="AU58" s="274"/>
      <c r="AX58" s="274"/>
      <c r="BD58" s="218" t="b">
        <f t="shared" si="3"/>
        <v>0</v>
      </c>
      <c r="BF58" s="231" t="b">
        <f t="shared" ref="BF58" si="584">IF(J58="",FALSE,IF(OR(AND(AU55,L58=""),AND(AU55,L58="",OR(M58&lt;&gt;"",N58&lt;&gt;"",O58&lt;&gt;"",P58&lt;&gt;""))),TRUE,FALSE))</f>
        <v>0</v>
      </c>
      <c r="BG58" s="218" t="b">
        <f t="shared" si="4"/>
        <v>0</v>
      </c>
      <c r="BH58" s="218" t="b">
        <f t="shared" si="24"/>
        <v>0</v>
      </c>
      <c r="BI58" s="231" t="b">
        <f t="shared" ref="BI58" si="585">IF(J58="",FALSE,IF(L58=0,FALSE,IF(AND(AU55,NOT(BF58),OR(M58="",N58="",O58="")),TRUE,FALSE)))</f>
        <v>0</v>
      </c>
      <c r="BJ58" s="240" t="b">
        <f t="shared" si="5"/>
        <v>0</v>
      </c>
      <c r="BK58" s="231" t="b">
        <f>IF(NOT(BJ58),FALSE,IF(AND(競技会設定!$C$5&lt;=BJ58,BJ58&lt;=競技会設定!$C$6),FALSE,TRUE))</f>
        <v>0</v>
      </c>
      <c r="BL58" s="218" t="b">
        <f>IF(J58="",FALSE,IF(L58=0,FALSE,IF(AND(AU55,NOT(BF58),NOT(BI58),P58=""),TRUE,FALSE)))</f>
        <v>0</v>
      </c>
      <c r="BO58" s="274"/>
    </row>
    <row r="59" spans="1:67" ht="18" customHeight="1" thickTop="1">
      <c r="A59" s="420">
        <v>14</v>
      </c>
      <c r="B59" s="373" t="s">
        <v>7050</v>
      </c>
      <c r="C59" s="375"/>
      <c r="D59" s="138" t="str">
        <f t="shared" ref="D59" si="586">IF(C59="","",501&amp;TEXT(C59,"000000"))</f>
        <v/>
      </c>
      <c r="E59" s="377" t="str">
        <f>IF(D59="","",(VLOOKUP(D59,男子登録!$A$2:$N$2001,3,0)))</f>
        <v/>
      </c>
      <c r="F59" s="377" t="str">
        <f>IF(D59="","",(VLOOKUP(D59,男子登録!$A$2:$N$2001,4,0)))</f>
        <v/>
      </c>
      <c r="G59" s="138" t="str">
        <f>IF(C59="","",(VLOOKUP(D59,男子登録!$A$2:$N$2001,8,0)))</f>
        <v/>
      </c>
      <c r="H59" s="138">
        <f>IFERROR(VLOOKUP(D59,男子登録!$A$2:$N$2001,11,0),基本情報!$E$5)</f>
        <v>0</v>
      </c>
      <c r="I59" s="138" t="s">
        <v>7059</v>
      </c>
      <c r="J59" s="151"/>
      <c r="K59" s="138" t="s">
        <v>7060</v>
      </c>
      <c r="L59" s="151"/>
      <c r="M59" s="261"/>
      <c r="N59" s="262"/>
      <c r="O59" s="263"/>
      <c r="P59" s="151"/>
      <c r="Q59" s="381"/>
      <c r="R59" s="384"/>
      <c r="S59" s="136">
        <f t="shared" ref="S59" si="587">IF(OR(E59="",Q59=""),0,E59)</f>
        <v>0</v>
      </c>
      <c r="T59" s="137">
        <f>IF(S59=0,0,COUNTIF($S$7:S59,"*"))</f>
        <v>0</v>
      </c>
      <c r="U59" s="137">
        <f>IF(S59=0,0,COUNTIF($S$7:S59,S59))</f>
        <v>0</v>
      </c>
      <c r="V59" s="137">
        <f t="shared" si="203"/>
        <v>0</v>
      </c>
      <c r="W59" s="137">
        <f>IF(V59=0,0,COUNTIF($V$7:V59,"*"))</f>
        <v>0</v>
      </c>
      <c r="X59" s="137">
        <f>IF(V59=0,0,COUNTIF($V$7:V59,V59))</f>
        <v>0</v>
      </c>
      <c r="Y59" s="218">
        <f t="shared" ref="Y59" si="588">IF(OR(E59="",J59=""),0,J59&amp;E59)</f>
        <v>0</v>
      </c>
      <c r="Z59" s="218">
        <f>IF(Y59=0,0,COUNTIF($Y$7:Y59,Y59))</f>
        <v>0</v>
      </c>
      <c r="AA59" s="218" t="b">
        <f t="shared" ref="AA59" si="589">IF(COUNTIF(J59:J62,"十種競技")&gt;0,TRUE,FALSE)</f>
        <v>0</v>
      </c>
      <c r="AB59" s="218">
        <f>IF(E59="",0,IF(AA59,COUNTIF($AA$7:AA59,TRUE),0))</f>
        <v>0</v>
      </c>
      <c r="AC59" s="218">
        <f>IFERROR(VLOOKUP("十種競技",J59:L62,3,0),0)</f>
        <v>0</v>
      </c>
      <c r="AD59" s="218">
        <f>IFERROR(VLOOKUP(J59,競技会設定!$P$2:$S$22,2,0),0)</f>
        <v>0</v>
      </c>
      <c r="AE59" s="218">
        <f t="shared" ref="AE59" si="590">IF(E59="",0,IF(AD59=0,0,IF(AD59&lt;3,E59&amp;$AE$6,0)))</f>
        <v>0</v>
      </c>
      <c r="AF59" s="218">
        <f>IF(AE59=0,0,E59&amp;COUNTIF($AE$7:AE59,AE59))</f>
        <v>0</v>
      </c>
      <c r="AG59" s="218">
        <f t="shared" ref="AG59" si="591">IF(E59="",0,IF(AD59=0,0,IF(AD59&gt;=3,E59&amp;$AG$6,0)))</f>
        <v>0</v>
      </c>
      <c r="AH59" s="218">
        <f>IF(AG59=0,0,E59&amp;COUNTIF($AG$7:AG59,AG59))</f>
        <v>0</v>
      </c>
      <c r="AI59" s="218">
        <f t="shared" si="304"/>
        <v>0</v>
      </c>
      <c r="AJ59" s="218" t="b">
        <f>IF(AI59=0,FALSE,IF(COUNTIF(AI$7:AI59,AI59)&gt;1,TRUE,FALSE))</f>
        <v>0</v>
      </c>
      <c r="AK59" s="218">
        <f t="shared" ref="AK59" si="592">IF($AD59=AK$6,$E59,0)</f>
        <v>0</v>
      </c>
      <c r="AL59" s="218" t="b">
        <f>IF(AK59=0,FALSE,IF(COUNTIF(AK$7:AK59,AK59)&gt;1,TRUE,FALSE))</f>
        <v>0</v>
      </c>
      <c r="AM59" s="218">
        <f t="shared" ref="AM59" si="593">IF($AD59=AM$6,$E59,0)</f>
        <v>0</v>
      </c>
      <c r="AN59" s="218" t="b">
        <f>IF(AM59=0,FALSE,IF(COUNTIF(AM$7:AM59,AM59)&gt;1,TRUE,FALSE))</f>
        <v>0</v>
      </c>
      <c r="AO59" s="218">
        <f t="shared" ref="AO59" si="594">IF($AD59=AO$6,$E59,0)</f>
        <v>0</v>
      </c>
      <c r="AP59" s="218" t="b">
        <f>IF(AO59=0,FALSE,IF(COUNTIF(AO$7:AO59,AO59)&gt;1,TRUE,FALSE))</f>
        <v>0</v>
      </c>
      <c r="AQ59" s="218">
        <f t="shared" ref="AQ59" si="595">IF(COUNTIF(Y59,"*十種競技*")&gt;0,E59,0)</f>
        <v>0</v>
      </c>
      <c r="AR59" s="218" t="b">
        <f>IF(AQ59=0,FALSE,IF(OR(COUNTIF($AI$7:$AI$406,AQ59)+COUNTIF($AQ59:$AQ$406,AQ59)&gt;1,COUNTIF($AK$7:$AK$406,AQ59)+COUNTIF($AQ$7:$AQ$406,AQ59)&gt;1),TRUE,FALSE))</f>
        <v>0</v>
      </c>
      <c r="AS59" s="218" t="b">
        <f t="shared" ref="AS59" si="596">IF(AND(C59="",E59&lt;&gt;"",F59&lt;&gt;"",E61&lt;&gt;"",G59&lt;&gt;"",G60&lt;&gt;"",G61&lt;&gt;""),TRUE,FALSE)</f>
        <v>0</v>
      </c>
      <c r="AT59" s="218" t="b">
        <f t="shared" si="6"/>
        <v>0</v>
      </c>
      <c r="AU59" s="274" t="b">
        <f t="shared" ref="AU59" si="597">IFERROR(IF(D59&amp;E59&amp;F59&amp;E61&amp;G59&amp;G60&amp;G61&amp;J59&amp;J60&amp;J61&amp;J62&amp;L59&amp;L60&amp;L61&amp;L62&amp;M59&amp;M60&amp;M61&amp;M62&amp;N59&amp;N60&amp;N61&amp;N62&amp;O59&amp;O60&amp;O61&amp;O62&amp;P59&amp;P60&amp;P61&amp;P62&amp;Q59&amp;R59="",FALSE,TRUE),FALSE)</f>
        <v>0</v>
      </c>
      <c r="AV59" s="218" t="b">
        <f t="shared" ref="AV59" si="598">IF(AS59,FALSE,IF(C59="",AU59,FALSE))</f>
        <v>0</v>
      </c>
      <c r="AW59" s="218" t="b">
        <f>IF(C59="",FALSE,IF(C59&gt;2000,TRUE,FALSE))</f>
        <v>0</v>
      </c>
      <c r="AX59" s="274" t="b">
        <f>IF(H59=0,FALSE,IF(EXACT(基本情報!$E$5,H59)=TRUE,FALSE,TRUE))</f>
        <v>0</v>
      </c>
      <c r="AY59" s="218" t="b">
        <f>IF(C59="",FALSE,IF(ISNA(E59)=TRUE,TRUE,FALSE))</f>
        <v>0</v>
      </c>
      <c r="AZ59" s="274" t="b">
        <f>IFERROR(IF(E59="",FALSE,IF(COUNTIF($E$7:E59,E59)&gt;1,TRUE,FALSE)),FALSE)</f>
        <v>0</v>
      </c>
      <c r="BA59" s="218" t="b">
        <f t="shared" ref="BA59" si="599">IF(OR(J59&amp;J60&amp;J61&amp;J62&amp;Q59&amp;R59="",AT59,AT60,AT61,AT62),AU59,FALSE)</f>
        <v>0</v>
      </c>
      <c r="BB59" s="218" t="b">
        <f>IF(U59&gt;1,TRUE,FALSE)</f>
        <v>0</v>
      </c>
      <c r="BC59" s="218" t="b">
        <f>IF(X59&gt;1,TRUE,FALSE)</f>
        <v>0</v>
      </c>
      <c r="BD59" s="218" t="b">
        <f t="shared" si="3"/>
        <v>0</v>
      </c>
      <c r="BF59" s="231" t="b">
        <f t="shared" ref="BF59" si="600">IF(J59="",FALSE,IF(OR(AND(AU59,L59=""),AND(AU59,L59="",OR(M59&lt;&gt;"",N59&lt;&gt;"",O59&lt;&gt;"",P59&lt;&gt;""))),TRUE,FALSE))</f>
        <v>0</v>
      </c>
      <c r="BG59" s="218" t="b">
        <f t="shared" si="4"/>
        <v>0</v>
      </c>
      <c r="BH59" s="218" t="b">
        <f t="shared" si="24"/>
        <v>0</v>
      </c>
      <c r="BI59" s="231" t="b">
        <f t="shared" ref="BI59" si="601">IF(J59="",FALSE,IF(L59=0,FALSE,IF(AND(AU59,NOT(BF59),OR(M59="",N59="",O59="")),TRUE,FALSE)))</f>
        <v>0</v>
      </c>
      <c r="BJ59" s="240" t="b">
        <f t="shared" si="5"/>
        <v>0</v>
      </c>
      <c r="BK59" s="231" t="b">
        <f>IF(NOT(BJ59),FALSE,IF(AND(競技会設定!$C$5&lt;=BJ59,BJ59&lt;=競技会設定!$C$6),FALSE,TRUE))</f>
        <v>0</v>
      </c>
      <c r="BL59" s="218" t="b">
        <f>IF(J59="",FALSE,IF(L59=0,FALSE,IF(AND(AU59,NOT(BF59),NOT(BI59),P59=""),TRUE,FALSE)))</f>
        <v>0</v>
      </c>
      <c r="BO59" s="274">
        <f t="shared" ref="BO59" si="602">IF(AND(AU59,SUM(COUNTIF(AV59:BC59,TRUE),COUNTIF(BF59:BL62,TRUE),COUNTIF(BD59:BD62,TRUE))=0,NOT($BE$7)),1,0)</f>
        <v>0</v>
      </c>
    </row>
    <row r="60" spans="1:67" ht="17.399999999999999" customHeight="1">
      <c r="A60" s="421"/>
      <c r="B60" s="374"/>
      <c r="C60" s="376"/>
      <c r="D60" s="139"/>
      <c r="E60" s="378"/>
      <c r="F60" s="378"/>
      <c r="G60" s="139" t="str">
        <f>IF(C59="","",(VLOOKUP(D59,男子登録!$A$2:$N$2001,13,0)))</f>
        <v/>
      </c>
      <c r="H60" s="139"/>
      <c r="I60" s="139" t="s">
        <v>7061</v>
      </c>
      <c r="J60" s="152"/>
      <c r="K60" s="139" t="s">
        <v>7062</v>
      </c>
      <c r="L60" s="152"/>
      <c r="M60" s="264"/>
      <c r="N60" s="265"/>
      <c r="O60" s="266"/>
      <c r="P60" s="152"/>
      <c r="Q60" s="382"/>
      <c r="R60" s="385"/>
      <c r="S60" s="136"/>
      <c r="T60" s="137"/>
      <c r="U60" s="137"/>
      <c r="V60" s="137"/>
      <c r="W60" s="137"/>
      <c r="X60" s="137"/>
      <c r="Y60" s="218">
        <f t="shared" ref="Y60" si="603">IF(OR(E59="",J60=""),0,J60&amp;E59)</f>
        <v>0</v>
      </c>
      <c r="Z60" s="218">
        <f>IF(Y60=0,0,COUNTIF($Y$7:Y60,Y60))</f>
        <v>0</v>
      </c>
      <c r="AD60" s="218">
        <f>IFERROR(VLOOKUP(J60,競技会設定!$P$2:$S$22,2,0),0)</f>
        <v>0</v>
      </c>
      <c r="AE60" s="218">
        <f t="shared" ref="AE60" si="604">IF(E59="",0,IF(AD60=0,0,IF(AD60&lt;3,E59&amp;$AE$6,0)))</f>
        <v>0</v>
      </c>
      <c r="AF60" s="218">
        <f>IF(AE60=0,0,E59&amp;COUNTIF($AE$7:AE60,AE60))</f>
        <v>0</v>
      </c>
      <c r="AG60" s="218">
        <f t="shared" ref="AG60" si="605">IF(E59="",0,IF(AD60=0,0,IF(AD60&gt;=3,E59&amp;$AG$6,0)))</f>
        <v>0</v>
      </c>
      <c r="AH60" s="218">
        <f>IF(AG60=0,0,E59&amp;COUNTIF($AG$7:AG60,AG60))</f>
        <v>0</v>
      </c>
      <c r="AI60" s="218">
        <f t="shared" si="319"/>
        <v>0</v>
      </c>
      <c r="AJ60" s="218" t="b">
        <f>IF(AI60=0,FALSE,IF(COUNTIF(AI$7:AI60,AI60)&gt;1,TRUE,FALSE))</f>
        <v>0</v>
      </c>
      <c r="AK60" s="218">
        <f t="shared" ref="AK60" si="606">IF($AD60=AK$6,$E59,0)</f>
        <v>0</v>
      </c>
      <c r="AL60" s="218" t="b">
        <f>IF(AK60=0,FALSE,IF(COUNTIF(AK$7:AK60,AK60)&gt;1,TRUE,FALSE))</f>
        <v>0</v>
      </c>
      <c r="AM60" s="218">
        <f t="shared" ref="AM60" si="607">IF($AD60=AM$6,$E59,0)</f>
        <v>0</v>
      </c>
      <c r="AN60" s="218" t="b">
        <f>IF(AM60=0,FALSE,IF(COUNTIF(AM$7:AM60,AM60)&gt;1,TRUE,FALSE))</f>
        <v>0</v>
      </c>
      <c r="AO60" s="218">
        <f t="shared" ref="AO60" si="608">IF($AD60=AO$6,$E59,0)</f>
        <v>0</v>
      </c>
      <c r="AP60" s="218" t="b">
        <f>IF(AO60=0,FALSE,IF(COUNTIF(AO$7:AO60,AO60)&gt;1,TRUE,FALSE))</f>
        <v>0</v>
      </c>
      <c r="AQ60" s="218">
        <f t="shared" ref="AQ60" si="609">IF(COUNTIF(Y60,"*十種競技*")&gt;0,E59,0)</f>
        <v>0</v>
      </c>
      <c r="AR60" s="218" t="b">
        <f>IF(AQ60=0,FALSE,IF(OR(COUNTIF($AI$7:$AI$406,AQ60)+COUNTIF($AQ60:$AQ$406,AQ60)&gt;1,COUNTIF($AK$7:$AK$406,AQ60)+COUNTIF($AQ$7:$AQ$406,AQ60)&gt;1),TRUE,FALSE))</f>
        <v>0</v>
      </c>
      <c r="AT60" s="218" t="b">
        <f t="shared" si="6"/>
        <v>0</v>
      </c>
      <c r="AU60" s="274"/>
      <c r="AX60" s="274"/>
      <c r="BD60" s="218" t="b">
        <f t="shared" si="3"/>
        <v>0</v>
      </c>
      <c r="BF60" s="231" t="b">
        <f t="shared" ref="BF60" si="610">IF(J60="",FALSE,IF(OR(AND(AU59,L60=""),AND(AU59,L60="",OR(M60&lt;&gt;"",N60&lt;&gt;"",O60&lt;&gt;"",P60&lt;&gt;""))),TRUE,FALSE))</f>
        <v>0</v>
      </c>
      <c r="BG60" s="218" t="b">
        <f t="shared" si="4"/>
        <v>0</v>
      </c>
      <c r="BH60" s="218" t="b">
        <f t="shared" si="24"/>
        <v>0</v>
      </c>
      <c r="BI60" s="231" t="b">
        <f t="shared" ref="BI60" si="611">IF(J60="",FALSE,IF(L60=0,FALSE,IF(AND(AU59,NOT(BF60),OR(M60="",N60="",O60="")),TRUE,FALSE)))</f>
        <v>0</v>
      </c>
      <c r="BJ60" s="240" t="b">
        <f t="shared" si="5"/>
        <v>0</v>
      </c>
      <c r="BK60" s="231" t="b">
        <f>IF(NOT(BJ60),FALSE,IF(AND(競技会設定!$C$5&lt;=BJ60,BJ60&lt;=競技会設定!$C$6),FALSE,TRUE))</f>
        <v>0</v>
      </c>
      <c r="BL60" s="218" t="b">
        <f>IF(J60="",FALSE,IF(L60=0,FALSE,IF(AND(AU59,NOT(BF60),NOT(BI60),P60=""),TRUE,FALSE)))</f>
        <v>0</v>
      </c>
      <c r="BO60" s="274"/>
    </row>
    <row r="61" spans="1:67" ht="17.399999999999999" customHeight="1">
      <c r="A61" s="421"/>
      <c r="B61" s="374"/>
      <c r="C61" s="376"/>
      <c r="D61" s="140"/>
      <c r="E61" s="379" t="str">
        <f>IF(C59="","",VLOOKUP(D59,男子登録!$A$2:$O$2001,14,0)&amp;" ("&amp;VLOOKUP(D59,男子登録!$A$2:$O$2001,15,0)&amp;")")</f>
        <v/>
      </c>
      <c r="F61" s="380"/>
      <c r="G61" s="140" t="str">
        <f>IF(C59="","",(VLOOKUP(D59,男子登録!$A$2:$N$2001,9,0)))</f>
        <v/>
      </c>
      <c r="H61" s="140"/>
      <c r="I61" s="140" t="s">
        <v>7063</v>
      </c>
      <c r="J61" s="153"/>
      <c r="K61" s="140" t="s">
        <v>7064</v>
      </c>
      <c r="L61" s="153"/>
      <c r="M61" s="264"/>
      <c r="N61" s="265"/>
      <c r="O61" s="266"/>
      <c r="P61" s="152"/>
      <c r="Q61" s="382"/>
      <c r="R61" s="385"/>
      <c r="S61" s="136"/>
      <c r="T61" s="137"/>
      <c r="U61" s="137"/>
      <c r="V61" s="137"/>
      <c r="W61" s="137"/>
      <c r="X61" s="137"/>
      <c r="Y61" s="218">
        <f t="shared" ref="Y61" si="612">IF(OR(E59="",J61=""),0,J61&amp;E59)</f>
        <v>0</v>
      </c>
      <c r="Z61" s="218">
        <f>IF(Y61=0,0,COUNTIF($Y$7:Y61,Y61))</f>
        <v>0</v>
      </c>
      <c r="AD61" s="218">
        <f>IFERROR(VLOOKUP(J61,競技会設定!$P$2:$S$22,2,0),0)</f>
        <v>0</v>
      </c>
      <c r="AE61" s="218">
        <f t="shared" ref="AE61" si="613">IF(E59="",0,IF(AD61=0,0,IF(AD61&lt;3,E59&amp;$AE$6,0)))</f>
        <v>0</v>
      </c>
      <c r="AF61" s="218">
        <f>IF(AE61=0,0,E59&amp;COUNTIF($AE$7:AE61,AE61))</f>
        <v>0</v>
      </c>
      <c r="AG61" s="218">
        <f t="shared" ref="AG61" si="614">IF(E59="",0,IF(AD61=0,0,IF(AD61&gt;=3,E59&amp;$AG$6,0)))</f>
        <v>0</v>
      </c>
      <c r="AH61" s="218">
        <f>IF(AG61=0,0,E59&amp;COUNTIF($AG$7:AG61,AG61))</f>
        <v>0</v>
      </c>
      <c r="AI61" s="218">
        <f t="shared" si="329"/>
        <v>0</v>
      </c>
      <c r="AJ61" s="218" t="b">
        <f>IF(AI61=0,FALSE,IF(COUNTIF(AI$7:AI61,AI61)&gt;1,TRUE,FALSE))</f>
        <v>0</v>
      </c>
      <c r="AK61" s="218">
        <f t="shared" ref="AK61" si="615">IF($AD61=AK$6,$E59,0)</f>
        <v>0</v>
      </c>
      <c r="AL61" s="218" t="b">
        <f>IF(AK61=0,FALSE,IF(COUNTIF(AK$7:AK61,AK61)&gt;1,TRUE,FALSE))</f>
        <v>0</v>
      </c>
      <c r="AM61" s="218">
        <f t="shared" ref="AM61" si="616">IF($AD61=AM$6,$E59,0)</f>
        <v>0</v>
      </c>
      <c r="AN61" s="218" t="b">
        <f>IF(AM61=0,FALSE,IF(COUNTIF(AM$7:AM61,AM61)&gt;1,TRUE,FALSE))</f>
        <v>0</v>
      </c>
      <c r="AO61" s="218">
        <f t="shared" ref="AO61" si="617">IF($AD61=AO$6,$E59,0)</f>
        <v>0</v>
      </c>
      <c r="AP61" s="218" t="b">
        <f>IF(AO61=0,FALSE,IF(COUNTIF(AO$7:AO61,AO61)&gt;1,TRUE,FALSE))</f>
        <v>0</v>
      </c>
      <c r="AQ61" s="218">
        <f t="shared" ref="AQ61" si="618">IF(COUNTIF(Y61,"*十種競技*")&gt;0,E59,0)</f>
        <v>0</v>
      </c>
      <c r="AR61" s="218" t="b">
        <f>IF(AQ61=0,FALSE,IF(OR(COUNTIF($AI$7:$AI$406,AQ61)+COUNTIF($AQ61:$AQ$406,AQ61)&gt;1,COUNTIF($AK$7:$AK$406,AQ61)+COUNTIF($AQ$7:$AQ$406,AQ61)&gt;1),TRUE,FALSE))</f>
        <v>0</v>
      </c>
      <c r="AT61" s="218" t="b">
        <f t="shared" si="6"/>
        <v>0</v>
      </c>
      <c r="AU61" s="274"/>
      <c r="AX61" s="274"/>
      <c r="BD61" s="218" t="b">
        <f t="shared" si="3"/>
        <v>0</v>
      </c>
      <c r="BF61" s="231" t="b">
        <f t="shared" ref="BF61" si="619">IF(J61="",FALSE,IF(OR(AND(AU59,L61=""),AND(AU59,L61="",OR(M61&lt;&gt;"",N61&lt;&gt;"",O61&lt;&gt;"",P61&lt;&gt;""))),TRUE,FALSE))</f>
        <v>0</v>
      </c>
      <c r="BG61" s="218" t="b">
        <f t="shared" si="4"/>
        <v>0</v>
      </c>
      <c r="BH61" s="218" t="b">
        <f t="shared" si="24"/>
        <v>0</v>
      </c>
      <c r="BI61" s="231" t="b">
        <f t="shared" ref="BI61" si="620">IF(J61="",FALSE,IF(L61=0,FALSE,IF(AND(AU59,NOT(BF61),OR(M61="",N61="",O61="")),TRUE,FALSE)))</f>
        <v>0</v>
      </c>
      <c r="BJ61" s="240" t="b">
        <f t="shared" si="5"/>
        <v>0</v>
      </c>
      <c r="BK61" s="231" t="b">
        <f>IF(NOT(BJ61),FALSE,IF(AND(競技会設定!$C$5&lt;=BJ61,BJ61&lt;=競技会設定!$C$6),FALSE,TRUE))</f>
        <v>0</v>
      </c>
      <c r="BL61" s="218" t="b">
        <f>IF(J61="",FALSE,IF(L61=0,FALSE,IF(AND(AU59,NOT(BF61),NOT(BI61),P61=""),TRUE,FALSE)))</f>
        <v>0</v>
      </c>
      <c r="BO61" s="274"/>
    </row>
    <row r="62" spans="1:67" ht="18" customHeight="1" thickBot="1">
      <c r="A62" s="422"/>
      <c r="B62" s="387" t="s">
        <v>7051</v>
      </c>
      <c r="C62" s="387"/>
      <c r="D62" s="213"/>
      <c r="E62" s="388"/>
      <c r="F62" s="389"/>
      <c r="G62" s="390"/>
      <c r="H62" s="141"/>
      <c r="I62" s="213" t="s">
        <v>7065</v>
      </c>
      <c r="J62" s="154"/>
      <c r="K62" s="213" t="s">
        <v>7066</v>
      </c>
      <c r="L62" s="154"/>
      <c r="M62" s="267"/>
      <c r="N62" s="268"/>
      <c r="O62" s="269"/>
      <c r="P62" s="154"/>
      <c r="Q62" s="383"/>
      <c r="R62" s="386"/>
      <c r="S62" s="136"/>
      <c r="T62" s="137"/>
      <c r="U62" s="137"/>
      <c r="V62" s="137"/>
      <c r="W62" s="137"/>
      <c r="X62" s="137"/>
      <c r="Y62" s="218">
        <f t="shared" ref="Y62" si="621">IF(OR(E59="",J62=""),0,J62&amp;E59)</f>
        <v>0</v>
      </c>
      <c r="Z62" s="218">
        <f>IF(Y62=0,0,COUNTIF($Y$7:Y62,Y62))</f>
        <v>0</v>
      </c>
      <c r="AD62" s="218">
        <f>IFERROR(VLOOKUP(J62,競技会設定!$P$2:$S$22,2,0),0)</f>
        <v>0</v>
      </c>
      <c r="AE62" s="218">
        <f t="shared" ref="AE62" si="622">IF(E59="",0,IF(AD62=0,0,IF(AD62&lt;3,E59&amp;$AE$6,0)))</f>
        <v>0</v>
      </c>
      <c r="AF62" s="218">
        <f>IF(AE62=0,0,E59&amp;COUNTIF($AE$7:AE62,AE62))</f>
        <v>0</v>
      </c>
      <c r="AG62" s="218">
        <f t="shared" ref="AG62" si="623">IF(E59="",0,IF(AD62=0,0,IF(AD62&gt;=3,E59&amp;$AG$6,0)))</f>
        <v>0</v>
      </c>
      <c r="AH62" s="218">
        <f>IF(AG62=0,0,E59&amp;COUNTIF($AG$7:AG62,AG62))</f>
        <v>0</v>
      </c>
      <c r="AI62" s="218">
        <f t="shared" si="339"/>
        <v>0</v>
      </c>
      <c r="AJ62" s="218" t="b">
        <f>IF(AI62=0,FALSE,IF(COUNTIF(AI$7:AI62,AI62)&gt;1,TRUE,FALSE))</f>
        <v>0</v>
      </c>
      <c r="AK62" s="218">
        <f t="shared" ref="AK62" si="624">IF($AD62=AK$6,$E59,0)</f>
        <v>0</v>
      </c>
      <c r="AL62" s="218" t="b">
        <f>IF(AK62=0,FALSE,IF(COUNTIF(AK$7:AK62,AK62)&gt;1,TRUE,FALSE))</f>
        <v>0</v>
      </c>
      <c r="AM62" s="218">
        <f t="shared" ref="AM62" si="625">IF($AD62=AM$6,$E59,0)</f>
        <v>0</v>
      </c>
      <c r="AN62" s="218" t="b">
        <f>IF(AM62=0,FALSE,IF(COUNTIF(AM$7:AM62,AM62)&gt;1,TRUE,FALSE))</f>
        <v>0</v>
      </c>
      <c r="AO62" s="218">
        <f t="shared" ref="AO62" si="626">IF($AD62=AO$6,$E59,0)</f>
        <v>0</v>
      </c>
      <c r="AP62" s="218" t="b">
        <f>IF(AO62=0,FALSE,IF(COUNTIF(AO$7:AO62,AO62)&gt;1,TRUE,FALSE))</f>
        <v>0</v>
      </c>
      <c r="AQ62" s="218">
        <f t="shared" ref="AQ62" si="627">IF(COUNTIF(Y62,"*十種競技*")&gt;0,E59,0)</f>
        <v>0</v>
      </c>
      <c r="AR62" s="218" t="b">
        <f>IF(AQ62=0,FALSE,IF(OR(COUNTIF($AI$7:$AI$406,AQ62)+COUNTIF($AQ62:$AQ$406,AQ62)&gt;1,COUNTIF($AK$7:$AK$406,AQ62)+COUNTIF($AQ$7:$AQ$406,AQ62)&gt;1),TRUE,FALSE))</f>
        <v>0</v>
      </c>
      <c r="AT62" s="218" t="b">
        <f t="shared" si="6"/>
        <v>0</v>
      </c>
      <c r="AU62" s="274"/>
      <c r="AX62" s="274"/>
      <c r="BD62" s="218" t="b">
        <f t="shared" si="3"/>
        <v>0</v>
      </c>
      <c r="BF62" s="231" t="b">
        <f t="shared" ref="BF62" si="628">IF(J62="",FALSE,IF(OR(AND(AU59,L62=""),AND(AU59,L62="",OR(M62&lt;&gt;"",N62&lt;&gt;"",O62&lt;&gt;"",P62&lt;&gt;""))),TRUE,FALSE))</f>
        <v>0</v>
      </c>
      <c r="BG62" s="218" t="b">
        <f t="shared" si="4"/>
        <v>0</v>
      </c>
      <c r="BH62" s="218" t="b">
        <f t="shared" si="24"/>
        <v>0</v>
      </c>
      <c r="BI62" s="231" t="b">
        <f t="shared" ref="BI62" si="629">IF(J62="",FALSE,IF(L62=0,FALSE,IF(AND(AU59,NOT(BF62),OR(M62="",N62="",O62="")),TRUE,FALSE)))</f>
        <v>0</v>
      </c>
      <c r="BJ62" s="240" t="b">
        <f t="shared" si="5"/>
        <v>0</v>
      </c>
      <c r="BK62" s="231" t="b">
        <f>IF(NOT(BJ62),FALSE,IF(AND(競技会設定!$C$5&lt;=BJ62,BJ62&lt;=競技会設定!$C$6),FALSE,TRUE))</f>
        <v>0</v>
      </c>
      <c r="BL62" s="218" t="b">
        <f>IF(J62="",FALSE,IF(L62=0,FALSE,IF(AND(AU59,NOT(BF62),NOT(BI62),P62=""),TRUE,FALSE)))</f>
        <v>0</v>
      </c>
      <c r="BO62" s="274"/>
    </row>
    <row r="63" spans="1:67" ht="18" customHeight="1" thickTop="1">
      <c r="A63" s="417">
        <v>15</v>
      </c>
      <c r="B63" s="401" t="s">
        <v>7050</v>
      </c>
      <c r="C63" s="403"/>
      <c r="D63" s="220" t="str">
        <f t="shared" ref="D63" si="630">IF(C63="","",501&amp;TEXT(C63,"000000"))</f>
        <v/>
      </c>
      <c r="E63" s="396" t="str">
        <f>IF(D63="","",(VLOOKUP(D63,男子登録!$A$2:$N$2001,3,0)))</f>
        <v/>
      </c>
      <c r="F63" s="396" t="str">
        <f>IF(D63="","",(VLOOKUP(D63,男子登録!$A$2:$N$2001,4,0)))</f>
        <v/>
      </c>
      <c r="G63" s="220" t="str">
        <f>IF(C63="","",(VLOOKUP(D63,男子登録!$A$2:$N$2001,8,0)))</f>
        <v/>
      </c>
      <c r="H63" s="220">
        <f>IFERROR(VLOOKUP(D63,男子登録!$A$2:$N$2001,11,0),基本情報!$E$5)</f>
        <v>0</v>
      </c>
      <c r="I63" s="220" t="s">
        <v>7059</v>
      </c>
      <c r="J63" s="148"/>
      <c r="K63" s="220" t="s">
        <v>7060</v>
      </c>
      <c r="L63" s="148"/>
      <c r="M63" s="252"/>
      <c r="N63" s="253"/>
      <c r="O63" s="254"/>
      <c r="P63" s="148"/>
      <c r="Q63" s="398"/>
      <c r="R63" s="391"/>
      <c r="S63" s="136">
        <f t="shared" ref="S63" si="631">IF(OR(E63="",Q63=""),0,E63)</f>
        <v>0</v>
      </c>
      <c r="T63" s="137">
        <f>IF(S63=0,0,COUNTIF($S$7:S63,"*"))</f>
        <v>0</v>
      </c>
      <c r="U63" s="137">
        <f>IF(S63=0,0,COUNTIF($S$7:S63,S63))</f>
        <v>0</v>
      </c>
      <c r="V63" s="137">
        <f t="shared" si="203"/>
        <v>0</v>
      </c>
      <c r="W63" s="137">
        <f>IF(V63=0,0,COUNTIF($V$7:V63,"*"))</f>
        <v>0</v>
      </c>
      <c r="X63" s="137">
        <f>IF(V63=0,0,COUNTIF($V$7:V63,V63))</f>
        <v>0</v>
      </c>
      <c r="Y63" s="218">
        <f t="shared" ref="Y63" si="632">IF(OR(E63="",J63=""),0,J63&amp;E63)</f>
        <v>0</v>
      </c>
      <c r="Z63" s="218">
        <f>IF(Y63=0,0,COUNTIF($Y$7:Y63,Y63))</f>
        <v>0</v>
      </c>
      <c r="AA63" s="218" t="b">
        <f t="shared" ref="AA63" si="633">IF(COUNTIF(J63:J66,"十種競技")&gt;0,TRUE,FALSE)</f>
        <v>0</v>
      </c>
      <c r="AB63" s="218">
        <f>IF(E63="",0,IF(AA63,COUNTIF($AA$7:AA63,TRUE),0))</f>
        <v>0</v>
      </c>
      <c r="AC63" s="218">
        <f>IFERROR(VLOOKUP("十種競技",J63:L66,3,0),0)</f>
        <v>0</v>
      </c>
      <c r="AD63" s="218">
        <f>IFERROR(VLOOKUP(J63,競技会設定!$P$2:$S$22,2,0),0)</f>
        <v>0</v>
      </c>
      <c r="AE63" s="218">
        <f t="shared" ref="AE63" si="634">IF(E63="",0,IF(AD63=0,0,IF(AD63&lt;3,E63&amp;$AE$6,0)))</f>
        <v>0</v>
      </c>
      <c r="AF63" s="218">
        <f>IF(AE63=0,0,E63&amp;COUNTIF($AE$7:AE63,AE63))</f>
        <v>0</v>
      </c>
      <c r="AG63" s="218">
        <f t="shared" ref="AG63" si="635">IF(E63="",0,IF(AD63=0,0,IF(AD63&gt;=3,E63&amp;$AG$6,0)))</f>
        <v>0</v>
      </c>
      <c r="AH63" s="218">
        <f>IF(AG63=0,0,E63&amp;COUNTIF($AG$7:AG63,AG63))</f>
        <v>0</v>
      </c>
      <c r="AI63" s="218">
        <f t="shared" si="352"/>
        <v>0</v>
      </c>
      <c r="AJ63" s="218" t="b">
        <f>IF(AI63=0,FALSE,IF(COUNTIF(AI$7:AI63,AI63)&gt;1,TRUE,FALSE))</f>
        <v>0</v>
      </c>
      <c r="AK63" s="218">
        <f t="shared" ref="AK63" si="636">IF($AD63=AK$6,$E63,0)</f>
        <v>0</v>
      </c>
      <c r="AL63" s="218" t="b">
        <f>IF(AK63=0,FALSE,IF(COUNTIF(AK$7:AK63,AK63)&gt;1,TRUE,FALSE))</f>
        <v>0</v>
      </c>
      <c r="AM63" s="218">
        <f t="shared" ref="AM63" si="637">IF($AD63=AM$6,$E63,0)</f>
        <v>0</v>
      </c>
      <c r="AN63" s="218" t="b">
        <f>IF(AM63=0,FALSE,IF(COUNTIF(AM$7:AM63,AM63)&gt;1,TRUE,FALSE))</f>
        <v>0</v>
      </c>
      <c r="AO63" s="218">
        <f t="shared" ref="AO63" si="638">IF($AD63=AO$6,$E63,0)</f>
        <v>0</v>
      </c>
      <c r="AP63" s="218" t="b">
        <f>IF(AO63=0,FALSE,IF(COUNTIF(AO$7:AO63,AO63)&gt;1,TRUE,FALSE))</f>
        <v>0</v>
      </c>
      <c r="AQ63" s="218">
        <f t="shared" ref="AQ63" si="639">IF(COUNTIF(Y63,"*十種競技*")&gt;0,E63,0)</f>
        <v>0</v>
      </c>
      <c r="AR63" s="218" t="b">
        <f>IF(AQ63=0,FALSE,IF(OR(COUNTIF($AI$7:$AI$406,AQ63)+COUNTIF($AQ63:$AQ$406,AQ63)&gt;1,COUNTIF($AK$7:$AK$406,AQ63)+COUNTIF($AQ$7:$AQ$406,AQ63)&gt;1),TRUE,FALSE))</f>
        <v>0</v>
      </c>
      <c r="AS63" s="218" t="b">
        <f t="shared" ref="AS63" si="640">IF(AND(C63="",E63&lt;&gt;"",F63&lt;&gt;"",E65&lt;&gt;"",G63&lt;&gt;"",G64&lt;&gt;"",G65&lt;&gt;""),TRUE,FALSE)</f>
        <v>0</v>
      </c>
      <c r="AT63" s="218" t="b">
        <f t="shared" si="6"/>
        <v>0</v>
      </c>
      <c r="AU63" s="274" t="b">
        <f t="shared" ref="AU63" si="641">IFERROR(IF(D63&amp;E63&amp;F63&amp;E65&amp;G63&amp;G64&amp;G65&amp;J63&amp;J64&amp;J65&amp;J66&amp;L63&amp;L64&amp;L65&amp;L66&amp;M63&amp;M64&amp;M65&amp;M66&amp;N63&amp;N64&amp;N65&amp;N66&amp;O63&amp;O64&amp;O65&amp;O66&amp;P63&amp;P64&amp;P65&amp;P66&amp;Q63&amp;R63="",FALSE,TRUE),FALSE)</f>
        <v>0</v>
      </c>
      <c r="AV63" s="218" t="b">
        <f t="shared" ref="AV63" si="642">IF(AS63,FALSE,IF(C63="",AU63,FALSE))</f>
        <v>0</v>
      </c>
      <c r="AW63" s="218" t="b">
        <f>IF(C63="",FALSE,IF(C63&gt;2000,TRUE,FALSE))</f>
        <v>0</v>
      </c>
      <c r="AX63" s="274" t="b">
        <f>IF(H63=0,FALSE,IF(EXACT(基本情報!$E$5,H63)=TRUE,FALSE,TRUE))</f>
        <v>0</v>
      </c>
      <c r="AY63" s="218" t="b">
        <f>IF(C63="",FALSE,IF(ISNA(E63)=TRUE,TRUE,FALSE))</f>
        <v>0</v>
      </c>
      <c r="AZ63" s="274" t="b">
        <f>IFERROR(IF(E63="",FALSE,IF(COUNTIF($E$7:E63,E63)&gt;1,TRUE,FALSE)),FALSE)</f>
        <v>0</v>
      </c>
      <c r="BA63" s="218" t="b">
        <f t="shared" ref="BA63" si="643">IF(OR(J63&amp;J64&amp;J65&amp;J66&amp;Q63&amp;R63="",AT63,AT64,AT65,AT66),AU63,FALSE)</f>
        <v>0</v>
      </c>
      <c r="BB63" s="218" t="b">
        <f>IF(U63&gt;1,TRUE,FALSE)</f>
        <v>0</v>
      </c>
      <c r="BC63" s="218" t="b">
        <f>IF(X63&gt;1,TRUE,FALSE)</f>
        <v>0</v>
      </c>
      <c r="BD63" s="218" t="b">
        <f t="shared" si="3"/>
        <v>0</v>
      </c>
      <c r="BF63" s="231" t="b">
        <f t="shared" ref="BF63" si="644">IF(J63="",FALSE,IF(OR(AND(AU63,L63=""),AND(AU63,L63="",OR(M63&lt;&gt;"",N63&lt;&gt;"",O63&lt;&gt;"",P63&lt;&gt;""))),TRUE,FALSE))</f>
        <v>0</v>
      </c>
      <c r="BG63" s="218" t="b">
        <f t="shared" si="4"/>
        <v>0</v>
      </c>
      <c r="BH63" s="218" t="b">
        <f t="shared" si="24"/>
        <v>0</v>
      </c>
      <c r="BI63" s="231" t="b">
        <f t="shared" ref="BI63" si="645">IF(J63="",FALSE,IF(L63=0,FALSE,IF(AND(AU63,NOT(BF63),OR(M63="",N63="",O63="")),TRUE,FALSE)))</f>
        <v>0</v>
      </c>
      <c r="BJ63" s="240" t="b">
        <f t="shared" si="5"/>
        <v>0</v>
      </c>
      <c r="BK63" s="231" t="b">
        <f>IF(NOT(BJ63),FALSE,IF(AND(競技会設定!$C$5&lt;=BJ63,BJ63&lt;=競技会設定!$C$6),FALSE,TRUE))</f>
        <v>0</v>
      </c>
      <c r="BL63" s="218" t="b">
        <f>IF(J63="",FALSE,IF(L63=0,FALSE,IF(AND(AU63,NOT(BF63),NOT(BI63),P63=""),TRUE,FALSE)))</f>
        <v>0</v>
      </c>
      <c r="BO63" s="274">
        <f t="shared" ref="BO63" si="646">IF(AND(AU63,SUM(COUNTIF(AV63:BC63,TRUE),COUNTIF(BF63:BL66,TRUE),COUNTIF(BD63:BD66,TRUE))=0,NOT($BE$7)),1,0)</f>
        <v>0</v>
      </c>
    </row>
    <row r="64" spans="1:67" ht="17.399999999999999" customHeight="1">
      <c r="A64" s="418"/>
      <c r="B64" s="402"/>
      <c r="C64" s="404"/>
      <c r="D64" s="221"/>
      <c r="E64" s="397"/>
      <c r="F64" s="397"/>
      <c r="G64" s="221" t="str">
        <f>IF(C63="","",(VLOOKUP(D63,男子登録!$A$2:$N$2001,13,0)))</f>
        <v/>
      </c>
      <c r="H64" s="221"/>
      <c r="I64" s="221" t="s">
        <v>7061</v>
      </c>
      <c r="J64" s="149"/>
      <c r="K64" s="221" t="s">
        <v>7062</v>
      </c>
      <c r="L64" s="149"/>
      <c r="M64" s="255"/>
      <c r="N64" s="256"/>
      <c r="O64" s="257"/>
      <c r="P64" s="149"/>
      <c r="Q64" s="399"/>
      <c r="R64" s="392"/>
      <c r="S64" s="136"/>
      <c r="T64" s="137"/>
      <c r="U64" s="137"/>
      <c r="V64" s="137"/>
      <c r="W64" s="137"/>
      <c r="X64" s="137"/>
      <c r="Y64" s="218">
        <f t="shared" ref="Y64" si="647">IF(OR(E63="",J64=""),0,J64&amp;E63)</f>
        <v>0</v>
      </c>
      <c r="Z64" s="218">
        <f>IF(Y64=0,0,COUNTIF($Y$7:Y64,Y64))</f>
        <v>0</v>
      </c>
      <c r="AD64" s="218">
        <f>IFERROR(VLOOKUP(J64,競技会設定!$P$2:$S$22,2,0),0)</f>
        <v>0</v>
      </c>
      <c r="AE64" s="218">
        <f t="shared" ref="AE64" si="648">IF(E63="",0,IF(AD64=0,0,IF(AD64&lt;3,E63&amp;$AE$6,0)))</f>
        <v>0</v>
      </c>
      <c r="AF64" s="218">
        <f>IF(AE64=0,0,E63&amp;COUNTIF($AE$7:AE64,AE64))</f>
        <v>0</v>
      </c>
      <c r="AG64" s="218">
        <f t="shared" ref="AG64" si="649">IF(E63="",0,IF(AD64=0,0,IF(AD64&gt;=3,E63&amp;$AG$6,0)))</f>
        <v>0</v>
      </c>
      <c r="AH64" s="218">
        <f>IF(AG64=0,0,E63&amp;COUNTIF($AG$7:AG64,AG64))</f>
        <v>0</v>
      </c>
      <c r="AI64" s="218">
        <f t="shared" si="367"/>
        <v>0</v>
      </c>
      <c r="AJ64" s="218" t="b">
        <f>IF(AI64=0,FALSE,IF(COUNTIF(AI$7:AI64,AI64)&gt;1,TRUE,FALSE))</f>
        <v>0</v>
      </c>
      <c r="AK64" s="218">
        <f t="shared" ref="AK64" si="650">IF($AD64=AK$6,$E63,0)</f>
        <v>0</v>
      </c>
      <c r="AL64" s="218" t="b">
        <f>IF(AK64=0,FALSE,IF(COUNTIF(AK$7:AK64,AK64)&gt;1,TRUE,FALSE))</f>
        <v>0</v>
      </c>
      <c r="AM64" s="218">
        <f t="shared" ref="AM64" si="651">IF($AD64=AM$6,$E63,0)</f>
        <v>0</v>
      </c>
      <c r="AN64" s="218" t="b">
        <f>IF(AM64=0,FALSE,IF(COUNTIF(AM$7:AM64,AM64)&gt;1,TRUE,FALSE))</f>
        <v>0</v>
      </c>
      <c r="AO64" s="218">
        <f t="shared" ref="AO64" si="652">IF($AD64=AO$6,$E63,0)</f>
        <v>0</v>
      </c>
      <c r="AP64" s="218" t="b">
        <f>IF(AO64=0,FALSE,IF(COUNTIF(AO$7:AO64,AO64)&gt;1,TRUE,FALSE))</f>
        <v>0</v>
      </c>
      <c r="AQ64" s="218">
        <f t="shared" ref="AQ64" si="653">IF(COUNTIF(Y64,"*十種競技*")&gt;0,E63,0)</f>
        <v>0</v>
      </c>
      <c r="AR64" s="218" t="b">
        <f>IF(AQ64=0,FALSE,IF(OR(COUNTIF($AI$7:$AI$406,AQ64)+COUNTIF($AQ64:$AQ$406,AQ64)&gt;1,COUNTIF($AK$7:$AK$406,AQ64)+COUNTIF($AQ$7:$AQ$406,AQ64)&gt;1),TRUE,FALSE))</f>
        <v>0</v>
      </c>
      <c r="AT64" s="218" t="b">
        <f t="shared" si="6"/>
        <v>0</v>
      </c>
      <c r="AU64" s="274"/>
      <c r="AX64" s="274"/>
      <c r="BD64" s="218" t="b">
        <f t="shared" si="3"/>
        <v>0</v>
      </c>
      <c r="BF64" s="231" t="b">
        <f t="shared" ref="BF64" si="654">IF(J64="",FALSE,IF(OR(AND(AU63,L64=""),AND(AU63,L64="",OR(M64&lt;&gt;"",N64&lt;&gt;"",O64&lt;&gt;"",P64&lt;&gt;""))),TRUE,FALSE))</f>
        <v>0</v>
      </c>
      <c r="BG64" s="218" t="b">
        <f t="shared" si="4"/>
        <v>0</v>
      </c>
      <c r="BH64" s="218" t="b">
        <f t="shared" si="24"/>
        <v>0</v>
      </c>
      <c r="BI64" s="231" t="b">
        <f t="shared" ref="BI64" si="655">IF(J64="",FALSE,IF(L64=0,FALSE,IF(AND(AU63,NOT(BF64),OR(M64="",N64="",O64="")),TRUE,FALSE)))</f>
        <v>0</v>
      </c>
      <c r="BJ64" s="240" t="b">
        <f t="shared" si="5"/>
        <v>0</v>
      </c>
      <c r="BK64" s="231" t="b">
        <f>IF(NOT(BJ64),FALSE,IF(AND(競技会設定!$C$5&lt;=BJ64,BJ64&lt;=競技会設定!$C$6),FALSE,TRUE))</f>
        <v>0</v>
      </c>
      <c r="BL64" s="218" t="b">
        <f>IF(J64="",FALSE,IF(L64=0,FALSE,IF(AND(AU63,NOT(BF64),NOT(BI64),P64=""),TRUE,FALSE)))</f>
        <v>0</v>
      </c>
      <c r="BO64" s="274"/>
    </row>
    <row r="65" spans="1:67" ht="17.399999999999999" customHeight="1">
      <c r="A65" s="418"/>
      <c r="B65" s="402"/>
      <c r="C65" s="404"/>
      <c r="D65" s="221"/>
      <c r="E65" s="394" t="str">
        <f>IF(C63="","",VLOOKUP(D63,男子登録!$A$2:$O$2001,14,0)&amp;" ("&amp;VLOOKUP(D63,男子登録!$A$2:$O$2001,15,0)&amp;")")</f>
        <v/>
      </c>
      <c r="F65" s="394"/>
      <c r="G65" s="222" t="str">
        <f>IF(C63="","",(VLOOKUP(D63,男子登録!$A$2:$N$2001,9,0)))</f>
        <v/>
      </c>
      <c r="H65" s="222"/>
      <c r="I65" s="222" t="s">
        <v>7063</v>
      </c>
      <c r="J65" s="150"/>
      <c r="K65" s="222" t="s">
        <v>7064</v>
      </c>
      <c r="L65" s="150"/>
      <c r="M65" s="255"/>
      <c r="N65" s="256"/>
      <c r="O65" s="257"/>
      <c r="P65" s="149"/>
      <c r="Q65" s="399"/>
      <c r="R65" s="392"/>
      <c r="S65" s="136"/>
      <c r="T65" s="137"/>
      <c r="U65" s="137"/>
      <c r="V65" s="137"/>
      <c r="W65" s="137"/>
      <c r="X65" s="137"/>
      <c r="Y65" s="218">
        <f t="shared" ref="Y65" si="656">IF(OR(E63="",J65=""),0,J65&amp;E63)</f>
        <v>0</v>
      </c>
      <c r="Z65" s="218">
        <f>IF(Y65=0,0,COUNTIF($Y$7:Y65,Y65))</f>
        <v>0</v>
      </c>
      <c r="AD65" s="218">
        <f>IFERROR(VLOOKUP(J65,競技会設定!$P$2:$S$22,2,0),0)</f>
        <v>0</v>
      </c>
      <c r="AE65" s="218">
        <f t="shared" ref="AE65" si="657">IF(E63="",0,IF(AD65=0,0,IF(AD65&lt;3,E63&amp;$AE$6,0)))</f>
        <v>0</v>
      </c>
      <c r="AF65" s="218">
        <f>IF(AE65=0,0,E63&amp;COUNTIF($AE$7:AE65,AE65))</f>
        <v>0</v>
      </c>
      <c r="AG65" s="218">
        <f t="shared" ref="AG65" si="658">IF(E63="",0,IF(AD65=0,0,IF(AD65&gt;=3,E63&amp;$AG$6,0)))</f>
        <v>0</v>
      </c>
      <c r="AH65" s="218">
        <f>IF(AG65=0,0,E63&amp;COUNTIF($AG$7:AG65,AG65))</f>
        <v>0</v>
      </c>
      <c r="AI65" s="218">
        <f t="shared" si="377"/>
        <v>0</v>
      </c>
      <c r="AJ65" s="218" t="b">
        <f>IF(AI65=0,FALSE,IF(COUNTIF(AI$7:AI65,AI65)&gt;1,TRUE,FALSE))</f>
        <v>0</v>
      </c>
      <c r="AK65" s="218">
        <f t="shared" ref="AK65" si="659">IF($AD65=AK$6,$E63,0)</f>
        <v>0</v>
      </c>
      <c r="AL65" s="218" t="b">
        <f>IF(AK65=0,FALSE,IF(COUNTIF(AK$7:AK65,AK65)&gt;1,TRUE,FALSE))</f>
        <v>0</v>
      </c>
      <c r="AM65" s="218">
        <f t="shared" ref="AM65" si="660">IF($AD65=AM$6,$E63,0)</f>
        <v>0</v>
      </c>
      <c r="AN65" s="218" t="b">
        <f>IF(AM65=0,FALSE,IF(COUNTIF(AM$7:AM65,AM65)&gt;1,TRUE,FALSE))</f>
        <v>0</v>
      </c>
      <c r="AO65" s="218">
        <f t="shared" ref="AO65" si="661">IF($AD65=AO$6,$E63,0)</f>
        <v>0</v>
      </c>
      <c r="AP65" s="218" t="b">
        <f>IF(AO65=0,FALSE,IF(COUNTIF(AO$7:AO65,AO65)&gt;1,TRUE,FALSE))</f>
        <v>0</v>
      </c>
      <c r="AQ65" s="218">
        <f t="shared" ref="AQ65" si="662">IF(COUNTIF(Y65,"*十種競技*")&gt;0,E63,0)</f>
        <v>0</v>
      </c>
      <c r="AR65" s="218" t="b">
        <f>IF(AQ65=0,FALSE,IF(OR(COUNTIF($AI$7:$AI$406,AQ65)+COUNTIF($AQ65:$AQ$406,AQ65)&gt;1,COUNTIF($AK$7:$AK$406,AQ65)+COUNTIF($AQ$7:$AQ$406,AQ65)&gt;1),TRUE,FALSE))</f>
        <v>0</v>
      </c>
      <c r="AT65" s="218" t="b">
        <f t="shared" si="6"/>
        <v>0</v>
      </c>
      <c r="AU65" s="274"/>
      <c r="AX65" s="274"/>
      <c r="BD65" s="218" t="b">
        <f t="shared" si="3"/>
        <v>0</v>
      </c>
      <c r="BF65" s="231" t="b">
        <f t="shared" ref="BF65" si="663">IF(J65="",FALSE,IF(OR(AND(AU63,L65=""),AND(AU63,L65="",OR(M65&lt;&gt;"",N65&lt;&gt;"",O65&lt;&gt;"",P65&lt;&gt;""))),TRUE,FALSE))</f>
        <v>0</v>
      </c>
      <c r="BG65" s="218" t="b">
        <f t="shared" si="4"/>
        <v>0</v>
      </c>
      <c r="BH65" s="218" t="b">
        <f t="shared" si="24"/>
        <v>0</v>
      </c>
      <c r="BI65" s="231" t="b">
        <f t="shared" ref="BI65" si="664">IF(J65="",FALSE,IF(L65=0,FALSE,IF(AND(AU63,NOT(BF65),OR(M65="",N65="",O65="")),TRUE,FALSE)))</f>
        <v>0</v>
      </c>
      <c r="BJ65" s="240" t="b">
        <f t="shared" si="5"/>
        <v>0</v>
      </c>
      <c r="BK65" s="231" t="b">
        <f>IF(NOT(BJ65),FALSE,IF(AND(競技会設定!$C$5&lt;=BJ65,BJ65&lt;=競技会設定!$C$6),FALSE,TRUE))</f>
        <v>0</v>
      </c>
      <c r="BL65" s="218" t="b">
        <f>IF(J65="",FALSE,IF(L65=0,FALSE,IF(AND(AU63,NOT(BF65),NOT(BI65),P65=""),TRUE,FALSE)))</f>
        <v>0</v>
      </c>
      <c r="BO65" s="274"/>
    </row>
    <row r="66" spans="1:67" ht="18" customHeight="1" thickBot="1">
      <c r="A66" s="419"/>
      <c r="B66" s="395" t="s">
        <v>7051</v>
      </c>
      <c r="C66" s="395"/>
      <c r="D66" s="221"/>
      <c r="E66" s="372"/>
      <c r="F66" s="372"/>
      <c r="G66" s="372"/>
      <c r="H66" s="214"/>
      <c r="I66" s="214" t="s">
        <v>7065</v>
      </c>
      <c r="J66" s="219"/>
      <c r="K66" s="214" t="s">
        <v>7066</v>
      </c>
      <c r="L66" s="219"/>
      <c r="M66" s="258"/>
      <c r="N66" s="259"/>
      <c r="O66" s="260"/>
      <c r="P66" s="219"/>
      <c r="Q66" s="400"/>
      <c r="R66" s="393"/>
      <c r="S66" s="136"/>
      <c r="T66" s="137"/>
      <c r="U66" s="137"/>
      <c r="V66" s="137"/>
      <c r="W66" s="137"/>
      <c r="X66" s="137"/>
      <c r="Y66" s="218">
        <f t="shared" ref="Y66" si="665">IF(OR(E63="",J66=""),0,J66&amp;E63)</f>
        <v>0</v>
      </c>
      <c r="Z66" s="218">
        <f>IF(Y66=0,0,COUNTIF($Y$7:Y66,Y66))</f>
        <v>0</v>
      </c>
      <c r="AD66" s="218">
        <f>IFERROR(VLOOKUP(J66,競技会設定!$P$2:$S$22,2,0),0)</f>
        <v>0</v>
      </c>
      <c r="AE66" s="218">
        <f t="shared" ref="AE66" si="666">IF(E63="",0,IF(AD66=0,0,IF(AD66&lt;3,E63&amp;$AE$6,0)))</f>
        <v>0</v>
      </c>
      <c r="AF66" s="218">
        <f>IF(AE66=0,0,E63&amp;COUNTIF($AE$7:AE66,AE66))</f>
        <v>0</v>
      </c>
      <c r="AG66" s="218">
        <f t="shared" ref="AG66" si="667">IF(E63="",0,IF(AD66=0,0,IF(AD66&gt;=3,E63&amp;$AG$6,0)))</f>
        <v>0</v>
      </c>
      <c r="AH66" s="218">
        <f>IF(AG66=0,0,E63&amp;COUNTIF($AG$7:AG66,AG66))</f>
        <v>0</v>
      </c>
      <c r="AI66" s="218">
        <f t="shared" si="387"/>
        <v>0</v>
      </c>
      <c r="AJ66" s="218" t="b">
        <f>IF(AI66=0,FALSE,IF(COUNTIF(AI$7:AI66,AI66)&gt;1,TRUE,FALSE))</f>
        <v>0</v>
      </c>
      <c r="AK66" s="218">
        <f t="shared" ref="AK66" si="668">IF($AD66=AK$6,$E63,0)</f>
        <v>0</v>
      </c>
      <c r="AL66" s="218" t="b">
        <f>IF(AK66=0,FALSE,IF(COUNTIF(AK$7:AK66,AK66)&gt;1,TRUE,FALSE))</f>
        <v>0</v>
      </c>
      <c r="AM66" s="218">
        <f t="shared" ref="AM66" si="669">IF($AD66=AM$6,$E63,0)</f>
        <v>0</v>
      </c>
      <c r="AN66" s="218" t="b">
        <f>IF(AM66=0,FALSE,IF(COUNTIF(AM$7:AM66,AM66)&gt;1,TRUE,FALSE))</f>
        <v>0</v>
      </c>
      <c r="AO66" s="218">
        <f t="shared" ref="AO66" si="670">IF($AD66=AO$6,$E63,0)</f>
        <v>0</v>
      </c>
      <c r="AP66" s="218" t="b">
        <f>IF(AO66=0,FALSE,IF(COUNTIF(AO$7:AO66,AO66)&gt;1,TRUE,FALSE))</f>
        <v>0</v>
      </c>
      <c r="AQ66" s="218">
        <f t="shared" ref="AQ66" si="671">IF(COUNTIF(Y66,"*十種競技*")&gt;0,E63,0)</f>
        <v>0</v>
      </c>
      <c r="AR66" s="218" t="b">
        <f>IF(AQ66=0,FALSE,IF(OR(COUNTIF($AI$7:$AI$406,AQ66)+COUNTIF($AQ66:$AQ$406,AQ66)&gt;1,COUNTIF($AK$7:$AK$406,AQ66)+COUNTIF($AQ$7:$AQ$406,AQ66)&gt;1),TRUE,FALSE))</f>
        <v>0</v>
      </c>
      <c r="AT66" s="218" t="b">
        <f t="shared" si="6"/>
        <v>0</v>
      </c>
      <c r="AU66" s="274"/>
      <c r="AX66" s="274"/>
      <c r="BD66" s="218" t="b">
        <f t="shared" si="3"/>
        <v>0</v>
      </c>
      <c r="BF66" s="231" t="b">
        <f t="shared" ref="BF66" si="672">IF(J66="",FALSE,IF(OR(AND(AU63,L66=""),AND(AU63,L66="",OR(M66&lt;&gt;"",N66&lt;&gt;"",O66&lt;&gt;"",P66&lt;&gt;""))),TRUE,FALSE))</f>
        <v>0</v>
      </c>
      <c r="BG66" s="218" t="b">
        <f t="shared" si="4"/>
        <v>0</v>
      </c>
      <c r="BH66" s="218" t="b">
        <f t="shared" si="24"/>
        <v>0</v>
      </c>
      <c r="BI66" s="231" t="b">
        <f t="shared" ref="BI66" si="673">IF(J66="",FALSE,IF(L66=0,FALSE,IF(AND(AU63,NOT(BF66),OR(M66="",N66="",O66="")),TRUE,FALSE)))</f>
        <v>0</v>
      </c>
      <c r="BJ66" s="240" t="b">
        <f t="shared" si="5"/>
        <v>0</v>
      </c>
      <c r="BK66" s="231" t="b">
        <f>IF(NOT(BJ66),FALSE,IF(AND(競技会設定!$C$5&lt;=BJ66,BJ66&lt;=競技会設定!$C$6),FALSE,TRUE))</f>
        <v>0</v>
      </c>
      <c r="BL66" s="218" t="b">
        <f>IF(J66="",FALSE,IF(L66=0,FALSE,IF(AND(AU63,NOT(BF66),NOT(BI66),P66=""),TRUE,FALSE)))</f>
        <v>0</v>
      </c>
      <c r="BO66" s="274"/>
    </row>
    <row r="67" spans="1:67" ht="18" customHeight="1" thickTop="1">
      <c r="A67" s="420">
        <v>16</v>
      </c>
      <c r="B67" s="373" t="s">
        <v>7050</v>
      </c>
      <c r="C67" s="375"/>
      <c r="D67" s="138" t="str">
        <f t="shared" ref="D67" si="674">IF(C67="","",501&amp;TEXT(C67,"000000"))</f>
        <v/>
      </c>
      <c r="E67" s="377" t="str">
        <f>IF(D67="","",(VLOOKUP(D67,男子登録!$A$2:$N$2001,3,0)))</f>
        <v/>
      </c>
      <c r="F67" s="377" t="str">
        <f>IF(D67="","",(VLOOKUP(D67,男子登録!$A$2:$N$2001,4,0)))</f>
        <v/>
      </c>
      <c r="G67" s="138" t="str">
        <f>IF(C67="","",(VLOOKUP(D67,男子登録!$A$2:$N$2001,8,0)))</f>
        <v/>
      </c>
      <c r="H67" s="138">
        <f>IFERROR(VLOOKUP(D67,男子登録!$A$2:$N$2001,11,0),基本情報!$E$5)</f>
        <v>0</v>
      </c>
      <c r="I67" s="138" t="s">
        <v>7059</v>
      </c>
      <c r="J67" s="151"/>
      <c r="K67" s="138" t="s">
        <v>7060</v>
      </c>
      <c r="L67" s="151"/>
      <c r="M67" s="261"/>
      <c r="N67" s="262"/>
      <c r="O67" s="263"/>
      <c r="P67" s="151"/>
      <c r="Q67" s="381"/>
      <c r="R67" s="384"/>
      <c r="S67" s="136">
        <f t="shared" ref="S67" si="675">IF(OR(E67="",Q67=""),0,E67)</f>
        <v>0</v>
      </c>
      <c r="T67" s="137">
        <f>IF(S67=0,0,COUNTIF($S$7:S67,"*"))</f>
        <v>0</v>
      </c>
      <c r="U67" s="137">
        <f>IF(S67=0,0,COUNTIF($S$7:S67,S67))</f>
        <v>0</v>
      </c>
      <c r="V67" s="137">
        <f t="shared" si="203"/>
        <v>0</v>
      </c>
      <c r="W67" s="137">
        <f>IF(V67=0,0,COUNTIF($V$7:V67,"*"))</f>
        <v>0</v>
      </c>
      <c r="X67" s="137">
        <f>IF(V67=0,0,COUNTIF($V$7:V67,V67))</f>
        <v>0</v>
      </c>
      <c r="Y67" s="218">
        <f t="shared" ref="Y67" si="676">IF(OR(E67="",J67=""),0,J67&amp;E67)</f>
        <v>0</v>
      </c>
      <c r="Z67" s="218">
        <f>IF(Y67=0,0,COUNTIF($Y$7:Y67,Y67))</f>
        <v>0</v>
      </c>
      <c r="AA67" s="218" t="b">
        <f t="shared" ref="AA67" si="677">IF(COUNTIF(J67:J70,"十種競技")&gt;0,TRUE,FALSE)</f>
        <v>0</v>
      </c>
      <c r="AB67" s="218">
        <f>IF(E67="",0,IF(AA67,COUNTIF($AA$7:AA67,TRUE),0))</f>
        <v>0</v>
      </c>
      <c r="AC67" s="218">
        <f>IFERROR(VLOOKUP("十種競技",J67:L70,3,0),0)</f>
        <v>0</v>
      </c>
      <c r="AD67" s="218">
        <f>IFERROR(VLOOKUP(J67,競技会設定!$P$2:$S$22,2,0),0)</f>
        <v>0</v>
      </c>
      <c r="AE67" s="218">
        <f t="shared" ref="AE67" si="678">IF(E67="",0,IF(AD67=0,0,IF(AD67&lt;3,E67&amp;$AE$6,0)))</f>
        <v>0</v>
      </c>
      <c r="AF67" s="218">
        <f>IF(AE67=0,0,E67&amp;COUNTIF($AE$7:AE67,AE67))</f>
        <v>0</v>
      </c>
      <c r="AG67" s="218">
        <f t="shared" ref="AG67" si="679">IF(E67="",0,IF(AD67=0,0,IF(AD67&gt;=3,E67&amp;$AG$6,0)))</f>
        <v>0</v>
      </c>
      <c r="AH67" s="218">
        <f>IF(AG67=0,0,E67&amp;COUNTIF($AG$7:AG67,AG67))</f>
        <v>0</v>
      </c>
      <c r="AI67" s="218">
        <f t="shared" si="400"/>
        <v>0</v>
      </c>
      <c r="AJ67" s="218" t="b">
        <f>IF(AI67=0,FALSE,IF(COUNTIF(AI$7:AI67,AI67)&gt;1,TRUE,FALSE))</f>
        <v>0</v>
      </c>
      <c r="AK67" s="218">
        <f t="shared" ref="AK67" si="680">IF($AD67=AK$6,$E67,0)</f>
        <v>0</v>
      </c>
      <c r="AL67" s="218" t="b">
        <f>IF(AK67=0,FALSE,IF(COUNTIF(AK$7:AK67,AK67)&gt;1,TRUE,FALSE))</f>
        <v>0</v>
      </c>
      <c r="AM67" s="218">
        <f t="shared" ref="AM67" si="681">IF($AD67=AM$6,$E67,0)</f>
        <v>0</v>
      </c>
      <c r="AN67" s="218" t="b">
        <f>IF(AM67=0,FALSE,IF(COUNTIF(AM$7:AM67,AM67)&gt;1,TRUE,FALSE))</f>
        <v>0</v>
      </c>
      <c r="AO67" s="218">
        <f t="shared" ref="AO67" si="682">IF($AD67=AO$6,$E67,0)</f>
        <v>0</v>
      </c>
      <c r="AP67" s="218" t="b">
        <f>IF(AO67=0,FALSE,IF(COUNTIF(AO$7:AO67,AO67)&gt;1,TRUE,FALSE))</f>
        <v>0</v>
      </c>
      <c r="AQ67" s="218">
        <f t="shared" ref="AQ67" si="683">IF(COUNTIF(Y67,"*十種競技*")&gt;0,E67,0)</f>
        <v>0</v>
      </c>
      <c r="AR67" s="218" t="b">
        <f>IF(AQ67=0,FALSE,IF(OR(COUNTIF($AI$7:$AI$406,AQ67)+COUNTIF($AQ67:$AQ$406,AQ67)&gt;1,COUNTIF($AK$7:$AK$406,AQ67)+COUNTIF($AQ$7:$AQ$406,AQ67)&gt;1),TRUE,FALSE))</f>
        <v>0</v>
      </c>
      <c r="AS67" s="218" t="b">
        <f t="shared" ref="AS67" si="684">IF(AND(C67="",E67&lt;&gt;"",F67&lt;&gt;"",E69&lt;&gt;"",G67&lt;&gt;"",G68&lt;&gt;"",G69&lt;&gt;""),TRUE,FALSE)</f>
        <v>0</v>
      </c>
      <c r="AT67" s="218" t="b">
        <f t="shared" si="6"/>
        <v>0</v>
      </c>
      <c r="AU67" s="274" t="b">
        <f t="shared" ref="AU67" si="685">IFERROR(IF(D67&amp;E67&amp;F67&amp;E69&amp;G67&amp;G68&amp;G69&amp;J67&amp;J68&amp;J69&amp;J70&amp;L67&amp;L68&amp;L69&amp;L70&amp;M67&amp;M68&amp;M69&amp;M70&amp;N67&amp;N68&amp;N69&amp;N70&amp;O67&amp;O68&amp;O69&amp;O70&amp;P67&amp;P68&amp;P69&amp;P70&amp;Q67&amp;R67="",FALSE,TRUE),FALSE)</f>
        <v>0</v>
      </c>
      <c r="AV67" s="218" t="b">
        <f t="shared" ref="AV67" si="686">IF(AS67,FALSE,IF(C67="",AU67,FALSE))</f>
        <v>0</v>
      </c>
      <c r="AW67" s="218" t="b">
        <f>IF(C67="",FALSE,IF(C67&gt;2000,TRUE,FALSE))</f>
        <v>0</v>
      </c>
      <c r="AX67" s="274" t="b">
        <f>IF(H67=0,FALSE,IF(EXACT(基本情報!$E$5,H67)=TRUE,FALSE,TRUE))</f>
        <v>0</v>
      </c>
      <c r="AY67" s="218" t="b">
        <f>IF(C67="",FALSE,IF(ISNA(E67)=TRUE,TRUE,FALSE))</f>
        <v>0</v>
      </c>
      <c r="AZ67" s="274" t="b">
        <f>IFERROR(IF(E67="",FALSE,IF(COUNTIF($E$7:E67,E67)&gt;1,TRUE,FALSE)),FALSE)</f>
        <v>0</v>
      </c>
      <c r="BA67" s="218" t="b">
        <f t="shared" ref="BA67" si="687">IF(OR(J67&amp;J68&amp;J69&amp;J70&amp;Q67&amp;R67="",AT67,AT68,AT69,AT70),AU67,FALSE)</f>
        <v>0</v>
      </c>
      <c r="BB67" s="218" t="b">
        <f>IF(U67&gt;1,TRUE,FALSE)</f>
        <v>0</v>
      </c>
      <c r="BC67" s="218" t="b">
        <f>IF(X67&gt;1,TRUE,FALSE)</f>
        <v>0</v>
      </c>
      <c r="BD67" s="218" t="b">
        <f t="shared" si="3"/>
        <v>0</v>
      </c>
      <c r="BF67" s="231" t="b">
        <f t="shared" ref="BF67" si="688">IF(J67="",FALSE,IF(OR(AND(AU67,L67=""),AND(AU67,L67="",OR(M67&lt;&gt;"",N67&lt;&gt;"",O67&lt;&gt;"",P67&lt;&gt;""))),TRUE,FALSE))</f>
        <v>0</v>
      </c>
      <c r="BG67" s="218" t="b">
        <f t="shared" si="4"/>
        <v>0</v>
      </c>
      <c r="BH67" s="218" t="b">
        <f t="shared" si="24"/>
        <v>0</v>
      </c>
      <c r="BI67" s="231" t="b">
        <f t="shared" ref="BI67" si="689">IF(J67="",FALSE,IF(L67=0,FALSE,IF(AND(AU67,NOT(BF67),OR(M67="",N67="",O67="")),TRUE,FALSE)))</f>
        <v>0</v>
      </c>
      <c r="BJ67" s="240" t="b">
        <f t="shared" si="5"/>
        <v>0</v>
      </c>
      <c r="BK67" s="231" t="b">
        <f>IF(NOT(BJ67),FALSE,IF(AND(競技会設定!$C$5&lt;=BJ67,BJ67&lt;=競技会設定!$C$6),FALSE,TRUE))</f>
        <v>0</v>
      </c>
      <c r="BL67" s="218" t="b">
        <f>IF(J67="",FALSE,IF(L67=0,FALSE,IF(AND(AU67,NOT(BF67),NOT(BI67),P67=""),TRUE,FALSE)))</f>
        <v>0</v>
      </c>
      <c r="BO67" s="274">
        <f t="shared" ref="BO67" si="690">IF(AND(AU67,SUM(COUNTIF(AV67:BC67,TRUE),COUNTIF(BF67:BL70,TRUE),COUNTIF(BD67:BD70,TRUE))=0,NOT($BE$7)),1,0)</f>
        <v>0</v>
      </c>
    </row>
    <row r="68" spans="1:67" ht="17.399999999999999" customHeight="1">
      <c r="A68" s="421"/>
      <c r="B68" s="374"/>
      <c r="C68" s="376"/>
      <c r="D68" s="139"/>
      <c r="E68" s="378"/>
      <c r="F68" s="378"/>
      <c r="G68" s="139" t="str">
        <f>IF(C67="","",(VLOOKUP(D67,男子登録!$A$2:$N$2001,13,0)))</f>
        <v/>
      </c>
      <c r="H68" s="139"/>
      <c r="I68" s="139" t="s">
        <v>7061</v>
      </c>
      <c r="J68" s="152"/>
      <c r="K68" s="139" t="s">
        <v>7062</v>
      </c>
      <c r="L68" s="152"/>
      <c r="M68" s="264"/>
      <c r="N68" s="265"/>
      <c r="O68" s="266"/>
      <c r="P68" s="152"/>
      <c r="Q68" s="382"/>
      <c r="R68" s="385"/>
      <c r="S68" s="136"/>
      <c r="T68" s="137"/>
      <c r="U68" s="137"/>
      <c r="V68" s="137"/>
      <c r="W68" s="137"/>
      <c r="X68" s="137"/>
      <c r="Y68" s="218">
        <f t="shared" ref="Y68" si="691">IF(OR(E67="",J68=""),0,J68&amp;E67)</f>
        <v>0</v>
      </c>
      <c r="Z68" s="218">
        <f>IF(Y68=0,0,COUNTIF($Y$7:Y68,Y68))</f>
        <v>0</v>
      </c>
      <c r="AD68" s="218">
        <f>IFERROR(VLOOKUP(J68,競技会設定!$P$2:$S$22,2,0),0)</f>
        <v>0</v>
      </c>
      <c r="AE68" s="218">
        <f t="shared" ref="AE68" si="692">IF(E67="",0,IF(AD68=0,0,IF(AD68&lt;3,E67&amp;$AE$6,0)))</f>
        <v>0</v>
      </c>
      <c r="AF68" s="218">
        <f>IF(AE68=0,0,E67&amp;COUNTIF($AE$7:AE68,AE68))</f>
        <v>0</v>
      </c>
      <c r="AG68" s="218">
        <f t="shared" ref="AG68" si="693">IF(E67="",0,IF(AD68=0,0,IF(AD68&gt;=3,E67&amp;$AG$6,0)))</f>
        <v>0</v>
      </c>
      <c r="AH68" s="218">
        <f>IF(AG68=0,0,E67&amp;COUNTIF($AG$7:AG68,AG68))</f>
        <v>0</v>
      </c>
      <c r="AI68" s="218">
        <f t="shared" si="415"/>
        <v>0</v>
      </c>
      <c r="AJ68" s="218" t="b">
        <f>IF(AI68=0,FALSE,IF(COUNTIF(AI$7:AI68,AI68)&gt;1,TRUE,FALSE))</f>
        <v>0</v>
      </c>
      <c r="AK68" s="218">
        <f t="shared" ref="AK68" si="694">IF($AD68=AK$6,$E67,0)</f>
        <v>0</v>
      </c>
      <c r="AL68" s="218" t="b">
        <f>IF(AK68=0,FALSE,IF(COUNTIF(AK$7:AK68,AK68)&gt;1,TRUE,FALSE))</f>
        <v>0</v>
      </c>
      <c r="AM68" s="218">
        <f t="shared" ref="AM68" si="695">IF($AD68=AM$6,$E67,0)</f>
        <v>0</v>
      </c>
      <c r="AN68" s="218" t="b">
        <f>IF(AM68=0,FALSE,IF(COUNTIF(AM$7:AM68,AM68)&gt;1,TRUE,FALSE))</f>
        <v>0</v>
      </c>
      <c r="AO68" s="218">
        <f t="shared" ref="AO68" si="696">IF($AD68=AO$6,$E67,0)</f>
        <v>0</v>
      </c>
      <c r="AP68" s="218" t="b">
        <f>IF(AO68=0,FALSE,IF(COUNTIF(AO$7:AO68,AO68)&gt;1,TRUE,FALSE))</f>
        <v>0</v>
      </c>
      <c r="AQ68" s="218">
        <f t="shared" ref="AQ68" si="697">IF(COUNTIF(Y68,"*十種競技*")&gt;0,E67,0)</f>
        <v>0</v>
      </c>
      <c r="AR68" s="218" t="b">
        <f>IF(AQ68=0,FALSE,IF(OR(COUNTIF($AI$7:$AI$406,AQ68)+COUNTIF($AQ68:$AQ$406,AQ68)&gt;1,COUNTIF($AK$7:$AK$406,AQ68)+COUNTIF($AQ$7:$AQ$406,AQ68)&gt;1),TRUE,FALSE))</f>
        <v>0</v>
      </c>
      <c r="AT68" s="218" t="b">
        <f t="shared" si="6"/>
        <v>0</v>
      </c>
      <c r="AU68" s="274"/>
      <c r="AX68" s="274"/>
      <c r="BD68" s="218" t="b">
        <f t="shared" si="3"/>
        <v>0</v>
      </c>
      <c r="BF68" s="231" t="b">
        <f t="shared" ref="BF68" si="698">IF(J68="",FALSE,IF(OR(AND(AU67,L68=""),AND(AU67,L68="",OR(M68&lt;&gt;"",N68&lt;&gt;"",O68&lt;&gt;"",P68&lt;&gt;""))),TRUE,FALSE))</f>
        <v>0</v>
      </c>
      <c r="BG68" s="218" t="b">
        <f t="shared" si="4"/>
        <v>0</v>
      </c>
      <c r="BH68" s="218" t="b">
        <f t="shared" si="24"/>
        <v>0</v>
      </c>
      <c r="BI68" s="231" t="b">
        <f t="shared" ref="BI68" si="699">IF(J68="",FALSE,IF(L68=0,FALSE,IF(AND(AU67,NOT(BF68),OR(M68="",N68="",O68="")),TRUE,FALSE)))</f>
        <v>0</v>
      </c>
      <c r="BJ68" s="240" t="b">
        <f t="shared" si="5"/>
        <v>0</v>
      </c>
      <c r="BK68" s="231" t="b">
        <f>IF(NOT(BJ68),FALSE,IF(AND(競技会設定!$C$5&lt;=BJ68,BJ68&lt;=競技会設定!$C$6),FALSE,TRUE))</f>
        <v>0</v>
      </c>
      <c r="BL68" s="218" t="b">
        <f>IF(J68="",FALSE,IF(L68=0,FALSE,IF(AND(AU67,NOT(BF68),NOT(BI68),P68=""),TRUE,FALSE)))</f>
        <v>0</v>
      </c>
      <c r="BO68" s="274"/>
    </row>
    <row r="69" spans="1:67" ht="17.399999999999999" customHeight="1">
      <c r="A69" s="421"/>
      <c r="B69" s="374"/>
      <c r="C69" s="376"/>
      <c r="D69" s="140"/>
      <c r="E69" s="379" t="str">
        <f>IF(C67="","",VLOOKUP(D67,男子登録!$A$2:$O$2001,14,0)&amp;" ("&amp;VLOOKUP(D67,男子登録!$A$2:$O$2001,15,0)&amp;")")</f>
        <v/>
      </c>
      <c r="F69" s="380"/>
      <c r="G69" s="140" t="str">
        <f>IF(C67="","",(VLOOKUP(D67,男子登録!$A$2:$N$2001,9,0)))</f>
        <v/>
      </c>
      <c r="H69" s="140"/>
      <c r="I69" s="140" t="s">
        <v>7063</v>
      </c>
      <c r="J69" s="153"/>
      <c r="K69" s="140" t="s">
        <v>7064</v>
      </c>
      <c r="L69" s="153"/>
      <c r="M69" s="264"/>
      <c r="N69" s="265"/>
      <c r="O69" s="266"/>
      <c r="P69" s="152"/>
      <c r="Q69" s="382"/>
      <c r="R69" s="385"/>
      <c r="S69" s="136"/>
      <c r="T69" s="137"/>
      <c r="U69" s="137"/>
      <c r="V69" s="137"/>
      <c r="W69" s="137"/>
      <c r="X69" s="137"/>
      <c r="Y69" s="218">
        <f t="shared" ref="Y69" si="700">IF(OR(E67="",J69=""),0,J69&amp;E67)</f>
        <v>0</v>
      </c>
      <c r="Z69" s="218">
        <f>IF(Y69=0,0,COUNTIF($Y$7:Y69,Y69))</f>
        <v>0</v>
      </c>
      <c r="AD69" s="218">
        <f>IFERROR(VLOOKUP(J69,競技会設定!$P$2:$S$22,2,0),0)</f>
        <v>0</v>
      </c>
      <c r="AE69" s="218">
        <f t="shared" ref="AE69" si="701">IF(E67="",0,IF(AD69=0,0,IF(AD69&lt;3,E67&amp;$AE$6,0)))</f>
        <v>0</v>
      </c>
      <c r="AF69" s="218">
        <f>IF(AE69=0,0,E67&amp;COUNTIF($AE$7:AE69,AE69))</f>
        <v>0</v>
      </c>
      <c r="AG69" s="218">
        <f t="shared" ref="AG69" si="702">IF(E67="",0,IF(AD69=0,0,IF(AD69&gt;=3,E67&amp;$AG$6,0)))</f>
        <v>0</v>
      </c>
      <c r="AH69" s="218">
        <f>IF(AG69=0,0,E67&amp;COUNTIF($AG$7:AG69,AG69))</f>
        <v>0</v>
      </c>
      <c r="AI69" s="218">
        <f t="shared" si="425"/>
        <v>0</v>
      </c>
      <c r="AJ69" s="218" t="b">
        <f>IF(AI69=0,FALSE,IF(COUNTIF(AI$7:AI69,AI69)&gt;1,TRUE,FALSE))</f>
        <v>0</v>
      </c>
      <c r="AK69" s="218">
        <f t="shared" ref="AK69" si="703">IF($AD69=AK$6,$E67,0)</f>
        <v>0</v>
      </c>
      <c r="AL69" s="218" t="b">
        <f>IF(AK69=0,FALSE,IF(COUNTIF(AK$7:AK69,AK69)&gt;1,TRUE,FALSE))</f>
        <v>0</v>
      </c>
      <c r="AM69" s="218">
        <f t="shared" ref="AM69" si="704">IF($AD69=AM$6,$E67,0)</f>
        <v>0</v>
      </c>
      <c r="AN69" s="218" t="b">
        <f>IF(AM69=0,FALSE,IF(COUNTIF(AM$7:AM69,AM69)&gt;1,TRUE,FALSE))</f>
        <v>0</v>
      </c>
      <c r="AO69" s="218">
        <f t="shared" ref="AO69" si="705">IF($AD69=AO$6,$E67,0)</f>
        <v>0</v>
      </c>
      <c r="AP69" s="218" t="b">
        <f>IF(AO69=0,FALSE,IF(COUNTIF(AO$7:AO69,AO69)&gt;1,TRUE,FALSE))</f>
        <v>0</v>
      </c>
      <c r="AQ69" s="218">
        <f t="shared" ref="AQ69" si="706">IF(COUNTIF(Y69,"*十種競技*")&gt;0,E67,0)</f>
        <v>0</v>
      </c>
      <c r="AR69" s="218" t="b">
        <f>IF(AQ69=0,FALSE,IF(OR(COUNTIF($AI$7:$AI$406,AQ69)+COUNTIF($AQ69:$AQ$406,AQ69)&gt;1,COUNTIF($AK$7:$AK$406,AQ69)+COUNTIF($AQ$7:$AQ$406,AQ69)&gt;1),TRUE,FALSE))</f>
        <v>0</v>
      </c>
      <c r="AT69" s="218" t="b">
        <f t="shared" si="6"/>
        <v>0</v>
      </c>
      <c r="AU69" s="274"/>
      <c r="AX69" s="274"/>
      <c r="BD69" s="218" t="b">
        <f t="shared" si="3"/>
        <v>0</v>
      </c>
      <c r="BF69" s="231" t="b">
        <f t="shared" ref="BF69" si="707">IF(J69="",FALSE,IF(OR(AND(AU67,L69=""),AND(AU67,L69="",OR(M69&lt;&gt;"",N69&lt;&gt;"",O69&lt;&gt;"",P69&lt;&gt;""))),TRUE,FALSE))</f>
        <v>0</v>
      </c>
      <c r="BG69" s="218" t="b">
        <f t="shared" si="4"/>
        <v>0</v>
      </c>
      <c r="BH69" s="218" t="b">
        <f t="shared" si="24"/>
        <v>0</v>
      </c>
      <c r="BI69" s="231" t="b">
        <f t="shared" ref="BI69" si="708">IF(J69="",FALSE,IF(L69=0,FALSE,IF(AND(AU67,NOT(BF69),OR(M69="",N69="",O69="")),TRUE,FALSE)))</f>
        <v>0</v>
      </c>
      <c r="BJ69" s="240" t="b">
        <f t="shared" si="5"/>
        <v>0</v>
      </c>
      <c r="BK69" s="231" t="b">
        <f>IF(NOT(BJ69),FALSE,IF(AND(競技会設定!$C$5&lt;=BJ69,BJ69&lt;=競技会設定!$C$6),FALSE,TRUE))</f>
        <v>0</v>
      </c>
      <c r="BL69" s="218" t="b">
        <f>IF(J69="",FALSE,IF(L69=0,FALSE,IF(AND(AU67,NOT(BF69),NOT(BI69),P69=""),TRUE,FALSE)))</f>
        <v>0</v>
      </c>
      <c r="BO69" s="274"/>
    </row>
    <row r="70" spans="1:67" ht="18" customHeight="1" thickBot="1">
      <c r="A70" s="422"/>
      <c r="B70" s="387" t="s">
        <v>7051</v>
      </c>
      <c r="C70" s="387"/>
      <c r="D70" s="213"/>
      <c r="E70" s="388"/>
      <c r="F70" s="389"/>
      <c r="G70" s="390"/>
      <c r="H70" s="141"/>
      <c r="I70" s="213" t="s">
        <v>7065</v>
      </c>
      <c r="J70" s="154"/>
      <c r="K70" s="213" t="s">
        <v>7066</v>
      </c>
      <c r="L70" s="154"/>
      <c r="M70" s="267"/>
      <c r="N70" s="268"/>
      <c r="O70" s="269"/>
      <c r="P70" s="154"/>
      <c r="Q70" s="383"/>
      <c r="R70" s="386"/>
      <c r="S70" s="136"/>
      <c r="T70" s="137"/>
      <c r="U70" s="137"/>
      <c r="V70" s="137"/>
      <c r="W70" s="137"/>
      <c r="X70" s="137"/>
      <c r="Y70" s="218">
        <f t="shared" ref="Y70" si="709">IF(OR(E67="",J70=""),0,J70&amp;E67)</f>
        <v>0</v>
      </c>
      <c r="Z70" s="218">
        <f>IF(Y70=0,0,COUNTIF($Y$7:Y70,Y70))</f>
        <v>0</v>
      </c>
      <c r="AD70" s="218">
        <f>IFERROR(VLOOKUP(J70,競技会設定!$P$2:$S$22,2,0),0)</f>
        <v>0</v>
      </c>
      <c r="AE70" s="218">
        <f t="shared" ref="AE70" si="710">IF(E67="",0,IF(AD70=0,0,IF(AD70&lt;3,E67&amp;$AE$6,0)))</f>
        <v>0</v>
      </c>
      <c r="AF70" s="218">
        <f>IF(AE70=0,0,E67&amp;COUNTIF($AE$7:AE70,AE70))</f>
        <v>0</v>
      </c>
      <c r="AG70" s="218">
        <f t="shared" ref="AG70" si="711">IF(E67="",0,IF(AD70=0,0,IF(AD70&gt;=3,E67&amp;$AG$6,0)))</f>
        <v>0</v>
      </c>
      <c r="AH70" s="218">
        <f>IF(AG70=0,0,E67&amp;COUNTIF($AG$7:AG70,AG70))</f>
        <v>0</v>
      </c>
      <c r="AI70" s="218">
        <f t="shared" si="435"/>
        <v>0</v>
      </c>
      <c r="AJ70" s="218" t="b">
        <f>IF(AI70=0,FALSE,IF(COUNTIF(AI$7:AI70,AI70)&gt;1,TRUE,FALSE))</f>
        <v>0</v>
      </c>
      <c r="AK70" s="218">
        <f t="shared" ref="AK70" si="712">IF($AD70=AK$6,$E67,0)</f>
        <v>0</v>
      </c>
      <c r="AL70" s="218" t="b">
        <f>IF(AK70=0,FALSE,IF(COUNTIF(AK$7:AK70,AK70)&gt;1,TRUE,FALSE))</f>
        <v>0</v>
      </c>
      <c r="AM70" s="218">
        <f t="shared" ref="AM70" si="713">IF($AD70=AM$6,$E67,0)</f>
        <v>0</v>
      </c>
      <c r="AN70" s="218" t="b">
        <f>IF(AM70=0,FALSE,IF(COUNTIF(AM$7:AM70,AM70)&gt;1,TRUE,FALSE))</f>
        <v>0</v>
      </c>
      <c r="AO70" s="218">
        <f t="shared" ref="AO70" si="714">IF($AD70=AO$6,$E67,0)</f>
        <v>0</v>
      </c>
      <c r="AP70" s="218" t="b">
        <f>IF(AO70=0,FALSE,IF(COUNTIF(AO$7:AO70,AO70)&gt;1,TRUE,FALSE))</f>
        <v>0</v>
      </c>
      <c r="AQ70" s="218">
        <f t="shared" ref="AQ70" si="715">IF(COUNTIF(Y70,"*十種競技*")&gt;0,E67,0)</f>
        <v>0</v>
      </c>
      <c r="AR70" s="218" t="b">
        <f>IF(AQ70=0,FALSE,IF(OR(COUNTIF($AI$7:$AI$406,AQ70)+COUNTIF($AQ70:$AQ$406,AQ70)&gt;1,COUNTIF($AK$7:$AK$406,AQ70)+COUNTIF($AQ$7:$AQ$406,AQ70)&gt;1),TRUE,FALSE))</f>
        <v>0</v>
      </c>
      <c r="AT70" s="218" t="b">
        <f t="shared" si="6"/>
        <v>0</v>
      </c>
      <c r="AU70" s="274"/>
      <c r="AX70" s="274"/>
      <c r="BD70" s="218" t="b">
        <f t="shared" si="3"/>
        <v>0</v>
      </c>
      <c r="BF70" s="231" t="b">
        <f t="shared" ref="BF70" si="716">IF(J70="",FALSE,IF(OR(AND(AU67,L70=""),AND(AU67,L70="",OR(M70&lt;&gt;"",N70&lt;&gt;"",O70&lt;&gt;"",P70&lt;&gt;""))),TRUE,FALSE))</f>
        <v>0</v>
      </c>
      <c r="BG70" s="218" t="b">
        <f t="shared" si="4"/>
        <v>0</v>
      </c>
      <c r="BH70" s="218" t="b">
        <f t="shared" si="24"/>
        <v>0</v>
      </c>
      <c r="BI70" s="231" t="b">
        <f t="shared" ref="BI70" si="717">IF(J70="",FALSE,IF(L70=0,FALSE,IF(AND(AU67,NOT(BF70),OR(M70="",N70="",O70="")),TRUE,FALSE)))</f>
        <v>0</v>
      </c>
      <c r="BJ70" s="240" t="b">
        <f t="shared" si="5"/>
        <v>0</v>
      </c>
      <c r="BK70" s="231" t="b">
        <f>IF(NOT(BJ70),FALSE,IF(AND(競技会設定!$C$5&lt;=BJ70,BJ70&lt;=競技会設定!$C$6),FALSE,TRUE))</f>
        <v>0</v>
      </c>
      <c r="BL70" s="218" t="b">
        <f>IF(J70="",FALSE,IF(L70=0,FALSE,IF(AND(AU67,NOT(BF70),NOT(BI70),P70=""),TRUE,FALSE)))</f>
        <v>0</v>
      </c>
      <c r="BO70" s="274"/>
    </row>
    <row r="71" spans="1:67" ht="18" customHeight="1" thickTop="1">
      <c r="A71" s="417">
        <v>17</v>
      </c>
      <c r="B71" s="401" t="s">
        <v>7050</v>
      </c>
      <c r="C71" s="403"/>
      <c r="D71" s="220" t="str">
        <f t="shared" ref="D71" si="718">IF(C71="","",501&amp;TEXT(C71,"000000"))</f>
        <v/>
      </c>
      <c r="E71" s="396" t="str">
        <f>IF(D71="","",(VLOOKUP(D71,男子登録!$A$2:$N$2001,3,0)))</f>
        <v/>
      </c>
      <c r="F71" s="396" t="str">
        <f>IF(D71="","",(VLOOKUP(D71,男子登録!$A$2:$N$2001,4,0)))</f>
        <v/>
      </c>
      <c r="G71" s="220" t="str">
        <f>IF(C71="","",(VLOOKUP(D71,男子登録!$A$2:$N$2001,8,0)))</f>
        <v/>
      </c>
      <c r="H71" s="220">
        <f>IFERROR(VLOOKUP(D71,男子登録!$A$2:$N$2001,11,0),基本情報!$E$5)</f>
        <v>0</v>
      </c>
      <c r="I71" s="220" t="s">
        <v>7059</v>
      </c>
      <c r="J71" s="148"/>
      <c r="K71" s="220" t="s">
        <v>7060</v>
      </c>
      <c r="L71" s="148"/>
      <c r="M71" s="252"/>
      <c r="N71" s="253"/>
      <c r="O71" s="254"/>
      <c r="P71" s="148"/>
      <c r="Q71" s="398"/>
      <c r="R71" s="391"/>
      <c r="S71" s="136">
        <f t="shared" ref="S71" si="719">IF(OR(E71="",Q71=""),0,E71)</f>
        <v>0</v>
      </c>
      <c r="T71" s="137">
        <f>IF(S71=0,0,COUNTIF($S$7:S71,"*"))</f>
        <v>0</v>
      </c>
      <c r="U71" s="137">
        <f>IF(S71=0,0,COUNTIF($S$7:S71,S71))</f>
        <v>0</v>
      </c>
      <c r="V71" s="137">
        <f t="shared" si="203"/>
        <v>0</v>
      </c>
      <c r="W71" s="137">
        <f>IF(V71=0,0,COUNTIF($V$7:V71,"*"))</f>
        <v>0</v>
      </c>
      <c r="X71" s="137">
        <f>IF(V71=0,0,COUNTIF($V$7:V71,V71))</f>
        <v>0</v>
      </c>
      <c r="Y71" s="218">
        <f t="shared" ref="Y71" si="720">IF(OR(E71="",J71=""),0,J71&amp;E71)</f>
        <v>0</v>
      </c>
      <c r="Z71" s="218">
        <f>IF(Y71=0,0,COUNTIF($Y$7:Y71,Y71))</f>
        <v>0</v>
      </c>
      <c r="AA71" s="218" t="b">
        <f t="shared" ref="AA71" si="721">IF(COUNTIF(J71:J74,"十種競技")&gt;0,TRUE,FALSE)</f>
        <v>0</v>
      </c>
      <c r="AB71" s="218">
        <f>IF(E71="",0,IF(AA71,COUNTIF($AA$7:AA71,TRUE),0))</f>
        <v>0</v>
      </c>
      <c r="AC71" s="218">
        <f>IFERROR(VLOOKUP("十種競技",J71:L74,3,0),0)</f>
        <v>0</v>
      </c>
      <c r="AD71" s="218">
        <f>IFERROR(VLOOKUP(J71,競技会設定!$P$2:$S$22,2,0),0)</f>
        <v>0</v>
      </c>
      <c r="AE71" s="218">
        <f t="shared" ref="AE71" si="722">IF(E71="",0,IF(AD71=0,0,IF(AD71&lt;3,E71&amp;$AE$6,0)))</f>
        <v>0</v>
      </c>
      <c r="AF71" s="218">
        <f>IF(AE71=0,0,E71&amp;COUNTIF($AE$7:AE71,AE71))</f>
        <v>0</v>
      </c>
      <c r="AG71" s="218">
        <f t="shared" ref="AG71" si="723">IF(E71="",0,IF(AD71=0,0,IF(AD71&gt;=3,E71&amp;$AG$6,0)))</f>
        <v>0</v>
      </c>
      <c r="AH71" s="218">
        <f>IF(AG71=0,0,E71&amp;COUNTIF($AG$7:AG71,AG71))</f>
        <v>0</v>
      </c>
      <c r="AI71" s="218">
        <f t="shared" si="448"/>
        <v>0</v>
      </c>
      <c r="AJ71" s="218" t="b">
        <f>IF(AI71=0,FALSE,IF(COUNTIF(AI$7:AI71,AI71)&gt;1,TRUE,FALSE))</f>
        <v>0</v>
      </c>
      <c r="AK71" s="218">
        <f t="shared" ref="AK71" si="724">IF($AD71=AK$6,$E71,0)</f>
        <v>0</v>
      </c>
      <c r="AL71" s="218" t="b">
        <f>IF(AK71=0,FALSE,IF(COUNTIF(AK$7:AK71,AK71)&gt;1,TRUE,FALSE))</f>
        <v>0</v>
      </c>
      <c r="AM71" s="218">
        <f t="shared" ref="AM71" si="725">IF($AD71=AM$6,$E71,0)</f>
        <v>0</v>
      </c>
      <c r="AN71" s="218" t="b">
        <f>IF(AM71=0,FALSE,IF(COUNTIF(AM$7:AM71,AM71)&gt;1,TRUE,FALSE))</f>
        <v>0</v>
      </c>
      <c r="AO71" s="218">
        <f t="shared" ref="AO71" si="726">IF($AD71=AO$6,$E71,0)</f>
        <v>0</v>
      </c>
      <c r="AP71" s="218" t="b">
        <f>IF(AO71=0,FALSE,IF(COUNTIF(AO$7:AO71,AO71)&gt;1,TRUE,FALSE))</f>
        <v>0</v>
      </c>
      <c r="AQ71" s="218">
        <f t="shared" ref="AQ71" si="727">IF(COUNTIF(Y71,"*十種競技*")&gt;0,E71,0)</f>
        <v>0</v>
      </c>
      <c r="AR71" s="218" t="b">
        <f>IF(AQ71=0,FALSE,IF(OR(COUNTIF($AI$7:$AI$406,AQ71)+COUNTIF($AQ71:$AQ$406,AQ71)&gt;1,COUNTIF($AK$7:$AK$406,AQ71)+COUNTIF($AQ$7:$AQ$406,AQ71)&gt;1),TRUE,FALSE))</f>
        <v>0</v>
      </c>
      <c r="AS71" s="218" t="b">
        <f t="shared" ref="AS71" si="728">IF(AND(C71="",E71&lt;&gt;"",F71&lt;&gt;"",E73&lt;&gt;"",G71&lt;&gt;"",G72&lt;&gt;"",G73&lt;&gt;""),TRUE,FALSE)</f>
        <v>0</v>
      </c>
      <c r="AT71" s="218" t="b">
        <f t="shared" si="6"/>
        <v>0</v>
      </c>
      <c r="AU71" s="274" t="b">
        <f t="shared" ref="AU71" si="729">IFERROR(IF(D71&amp;E71&amp;F71&amp;E73&amp;G71&amp;G72&amp;G73&amp;J71&amp;J72&amp;J73&amp;J74&amp;L71&amp;L72&amp;L73&amp;L74&amp;M71&amp;M72&amp;M73&amp;M74&amp;N71&amp;N72&amp;N73&amp;N74&amp;O71&amp;O72&amp;O73&amp;O74&amp;P71&amp;P72&amp;P73&amp;P74&amp;Q71&amp;R71="",FALSE,TRUE),FALSE)</f>
        <v>0</v>
      </c>
      <c r="AV71" s="218" t="b">
        <f t="shared" ref="AV71" si="730">IF(AS71,FALSE,IF(C71="",AU71,FALSE))</f>
        <v>0</v>
      </c>
      <c r="AW71" s="218" t="b">
        <f>IF(C71="",FALSE,IF(C71&gt;2000,TRUE,FALSE))</f>
        <v>0</v>
      </c>
      <c r="AX71" s="274" t="b">
        <f>IF(H71=0,FALSE,IF(EXACT(基本情報!$E$5,H71)=TRUE,FALSE,TRUE))</f>
        <v>0</v>
      </c>
      <c r="AY71" s="218" t="b">
        <f>IF(C71="",FALSE,IF(ISNA(E71)=TRUE,TRUE,FALSE))</f>
        <v>0</v>
      </c>
      <c r="AZ71" s="274" t="b">
        <f>IFERROR(IF(E71="",FALSE,IF(COUNTIF($E$7:E71,E71)&gt;1,TRUE,FALSE)),FALSE)</f>
        <v>0</v>
      </c>
      <c r="BA71" s="218" t="b">
        <f t="shared" ref="BA71" si="731">IF(OR(J71&amp;J72&amp;J73&amp;J74&amp;Q71&amp;R71="",AT71,AT72,AT73,AT74),AU71,FALSE)</f>
        <v>0</v>
      </c>
      <c r="BB71" s="218" t="b">
        <f>IF(U71&gt;1,TRUE,FALSE)</f>
        <v>0</v>
      </c>
      <c r="BC71" s="218" t="b">
        <f>IF(X71&gt;1,TRUE,FALSE)</f>
        <v>0</v>
      </c>
      <c r="BD71" s="218" t="b">
        <f t="shared" ref="BD71:BD134" si="732">IF(Z71&gt;1,TRUE,FALSE)</f>
        <v>0</v>
      </c>
      <c r="BF71" s="231" t="b">
        <f t="shared" ref="BF71" si="733">IF(J71="",FALSE,IF(OR(AND(AU71,L71=""),AND(AU71,L71="",OR(M71&lt;&gt;"",N71&lt;&gt;"",O71&lt;&gt;"",P71&lt;&gt;""))),TRUE,FALSE))</f>
        <v>0</v>
      </c>
      <c r="BG71" s="218" t="b">
        <f t="shared" ref="BG71:BG134" si="734">IF(J71="",FALSE,IF(ISNUMBER(L71)&lt;&gt;TRUE,TRUE,IFERROR(IF(MOD(L71,1)=0,FALSE,TRUE),FALSE)))</f>
        <v>0</v>
      </c>
      <c r="BH71" s="218" t="b">
        <f t="shared" si="24"/>
        <v>0</v>
      </c>
      <c r="BI71" s="231" t="b">
        <f t="shared" ref="BI71" si="735">IF(J71="",FALSE,IF(L71=0,FALSE,IF(AND(AU71,NOT(BF71),OR(M71="",N71="",O71="")),TRUE,FALSE)))</f>
        <v>0</v>
      </c>
      <c r="BJ71" s="240" t="b">
        <f t="shared" si="5"/>
        <v>0</v>
      </c>
      <c r="BK71" s="231" t="b">
        <f>IF(NOT(BJ71),FALSE,IF(AND(競技会設定!$C$5&lt;=BJ71,BJ71&lt;=競技会設定!$C$6),FALSE,TRUE))</f>
        <v>0</v>
      </c>
      <c r="BL71" s="218" t="b">
        <f>IF(J71="",FALSE,IF(L71=0,FALSE,IF(AND(AU71,NOT(BF71),NOT(BI71),P71=""),TRUE,FALSE)))</f>
        <v>0</v>
      </c>
      <c r="BO71" s="274">
        <f t="shared" ref="BO71" si="736">IF(AND(AU71,SUM(COUNTIF(AV71:BC71,TRUE),COUNTIF(BF71:BL74,TRUE),COUNTIF(BD71:BD74,TRUE))=0,NOT($BE$7)),1,0)</f>
        <v>0</v>
      </c>
    </row>
    <row r="72" spans="1:67" ht="17.399999999999999" customHeight="1">
      <c r="A72" s="418"/>
      <c r="B72" s="402"/>
      <c r="C72" s="404"/>
      <c r="D72" s="221"/>
      <c r="E72" s="397"/>
      <c r="F72" s="397"/>
      <c r="G72" s="221" t="str">
        <f>IF(C71="","",(VLOOKUP(D71,男子登録!$A$2:$N$2001,13,0)))</f>
        <v/>
      </c>
      <c r="H72" s="221"/>
      <c r="I72" s="221" t="s">
        <v>7061</v>
      </c>
      <c r="J72" s="149"/>
      <c r="K72" s="221" t="s">
        <v>7062</v>
      </c>
      <c r="L72" s="149"/>
      <c r="M72" s="255"/>
      <c r="N72" s="256"/>
      <c r="O72" s="257"/>
      <c r="P72" s="149"/>
      <c r="Q72" s="399"/>
      <c r="R72" s="392"/>
      <c r="S72" s="136"/>
      <c r="T72" s="137"/>
      <c r="U72" s="137"/>
      <c r="V72" s="137"/>
      <c r="W72" s="137"/>
      <c r="X72" s="137"/>
      <c r="Y72" s="218">
        <f t="shared" ref="Y72" si="737">IF(OR(E71="",J72=""),0,J72&amp;E71)</f>
        <v>0</v>
      </c>
      <c r="Z72" s="218">
        <f>IF(Y72=0,0,COUNTIF($Y$7:Y72,Y72))</f>
        <v>0</v>
      </c>
      <c r="AD72" s="218">
        <f>IFERROR(VLOOKUP(J72,競技会設定!$P$2:$S$22,2,0),0)</f>
        <v>0</v>
      </c>
      <c r="AE72" s="218">
        <f t="shared" ref="AE72" si="738">IF(E71="",0,IF(AD72=0,0,IF(AD72&lt;3,E71&amp;$AE$6,0)))</f>
        <v>0</v>
      </c>
      <c r="AF72" s="218">
        <f>IF(AE72=0,0,E71&amp;COUNTIF($AE$7:AE72,AE72))</f>
        <v>0</v>
      </c>
      <c r="AG72" s="218">
        <f t="shared" ref="AG72" si="739">IF(E71="",0,IF(AD72=0,0,IF(AD72&gt;=3,E71&amp;$AG$6,0)))</f>
        <v>0</v>
      </c>
      <c r="AH72" s="218">
        <f>IF(AG72=0,0,E71&amp;COUNTIF($AG$7:AG72,AG72))</f>
        <v>0</v>
      </c>
      <c r="AI72" s="218">
        <f t="shared" si="463"/>
        <v>0</v>
      </c>
      <c r="AJ72" s="218" t="b">
        <f>IF(AI72=0,FALSE,IF(COUNTIF(AI$7:AI72,AI72)&gt;1,TRUE,FALSE))</f>
        <v>0</v>
      </c>
      <c r="AK72" s="218">
        <f t="shared" ref="AK72" si="740">IF($AD72=AK$6,$E71,0)</f>
        <v>0</v>
      </c>
      <c r="AL72" s="218" t="b">
        <f>IF(AK72=0,FALSE,IF(COUNTIF(AK$7:AK72,AK72)&gt;1,TRUE,FALSE))</f>
        <v>0</v>
      </c>
      <c r="AM72" s="218">
        <f t="shared" ref="AM72" si="741">IF($AD72=AM$6,$E71,0)</f>
        <v>0</v>
      </c>
      <c r="AN72" s="218" t="b">
        <f>IF(AM72=0,FALSE,IF(COUNTIF(AM$7:AM72,AM72)&gt;1,TRUE,FALSE))</f>
        <v>0</v>
      </c>
      <c r="AO72" s="218">
        <f t="shared" ref="AO72" si="742">IF($AD72=AO$6,$E71,0)</f>
        <v>0</v>
      </c>
      <c r="AP72" s="218" t="b">
        <f>IF(AO72=0,FALSE,IF(COUNTIF(AO$7:AO72,AO72)&gt;1,TRUE,FALSE))</f>
        <v>0</v>
      </c>
      <c r="AQ72" s="218">
        <f t="shared" ref="AQ72" si="743">IF(COUNTIF(Y72,"*十種競技*")&gt;0,E71,0)</f>
        <v>0</v>
      </c>
      <c r="AR72" s="218" t="b">
        <f>IF(AQ72=0,FALSE,IF(OR(COUNTIF($AI$7:$AI$406,AQ72)+COUNTIF($AQ72:$AQ$406,AQ72)&gt;1,COUNTIF($AK$7:$AK$406,AQ72)+COUNTIF($AQ$7:$AQ$406,AQ72)&gt;1),TRUE,FALSE))</f>
        <v>0</v>
      </c>
      <c r="AT72" s="218" t="b">
        <f t="shared" ref="AT72:AT135" si="744">IF(AND(J72="",OR(L72&lt;&gt;"",M72&lt;&gt;"",P72&lt;&gt;"")),TRUE,FALSE)</f>
        <v>0</v>
      </c>
      <c r="AU72" s="274"/>
      <c r="AX72" s="274"/>
      <c r="BD72" s="218" t="b">
        <f t="shared" si="732"/>
        <v>0</v>
      </c>
      <c r="BF72" s="231" t="b">
        <f t="shared" ref="BF72" si="745">IF(J72="",FALSE,IF(OR(AND(AU71,L72=""),AND(AU71,L72="",OR(M72&lt;&gt;"",N72&lt;&gt;"",O72&lt;&gt;"",P72&lt;&gt;""))),TRUE,FALSE))</f>
        <v>0</v>
      </c>
      <c r="BG72" s="218" t="b">
        <f t="shared" si="734"/>
        <v>0</v>
      </c>
      <c r="BH72" s="218" t="b">
        <f t="shared" ref="BH72:BH135" si="746">IF(COUNTIF(J72,"*m*")=0,FALSE,IF(VALUE(RIGHT(INT(L72/100),2))&gt;59,TRUE,IF(VALUE(RIGHT(INT(L72/10000),2))&gt;59,TRUE,FALSE)))</f>
        <v>0</v>
      </c>
      <c r="BI72" s="231" t="b">
        <f t="shared" ref="BI72" si="747">IF(J72="",FALSE,IF(L72=0,FALSE,IF(AND(AU71,NOT(BF72),OR(M72="",N72="",O72="")),TRUE,FALSE)))</f>
        <v>0</v>
      </c>
      <c r="BJ72" s="240" t="b">
        <f t="shared" ref="BJ72:BJ135" si="748">IF(OR(M72="",N72="",O72=""),FALSE,DATE(M72,N72,O72))</f>
        <v>0</v>
      </c>
      <c r="BK72" s="231" t="b">
        <f>IF(NOT(BJ72),FALSE,IF(AND(競技会設定!$C$5&lt;=BJ72,BJ72&lt;=競技会設定!$C$6),FALSE,TRUE))</f>
        <v>0</v>
      </c>
      <c r="BL72" s="218" t="b">
        <f>IF(J72="",FALSE,IF(L72=0,FALSE,IF(AND(AU71,NOT(BF72),NOT(BI72),P72=""),TRUE,FALSE)))</f>
        <v>0</v>
      </c>
      <c r="BO72" s="274"/>
    </row>
    <row r="73" spans="1:67" ht="17.399999999999999" customHeight="1">
      <c r="A73" s="418"/>
      <c r="B73" s="402"/>
      <c r="C73" s="404"/>
      <c r="D73" s="221"/>
      <c r="E73" s="394" t="str">
        <f>IF(C71="","",VLOOKUP(D71,男子登録!$A$2:$O$2001,14,0)&amp;" ("&amp;VLOOKUP(D71,男子登録!$A$2:$O$2001,15,0)&amp;")")</f>
        <v/>
      </c>
      <c r="F73" s="394"/>
      <c r="G73" s="222" t="str">
        <f>IF(C71="","",(VLOOKUP(D71,男子登録!$A$2:$N$2001,9,0)))</f>
        <v/>
      </c>
      <c r="H73" s="222"/>
      <c r="I73" s="222" t="s">
        <v>7063</v>
      </c>
      <c r="J73" s="150"/>
      <c r="K73" s="222" t="s">
        <v>7064</v>
      </c>
      <c r="L73" s="150"/>
      <c r="M73" s="255"/>
      <c r="N73" s="256"/>
      <c r="O73" s="257"/>
      <c r="P73" s="149"/>
      <c r="Q73" s="399"/>
      <c r="R73" s="392"/>
      <c r="S73" s="136"/>
      <c r="T73" s="137"/>
      <c r="U73" s="137"/>
      <c r="V73" s="137"/>
      <c r="W73" s="137"/>
      <c r="X73" s="137"/>
      <c r="Y73" s="218">
        <f t="shared" ref="Y73" si="749">IF(OR(E71="",J73=""),0,J73&amp;E71)</f>
        <v>0</v>
      </c>
      <c r="Z73" s="218">
        <f>IF(Y73=0,0,COUNTIF($Y$7:Y73,Y73))</f>
        <v>0</v>
      </c>
      <c r="AD73" s="218">
        <f>IFERROR(VLOOKUP(J73,競技会設定!$P$2:$S$22,2,0),0)</f>
        <v>0</v>
      </c>
      <c r="AE73" s="218">
        <f t="shared" ref="AE73" si="750">IF(E71="",0,IF(AD73=0,0,IF(AD73&lt;3,E71&amp;$AE$6,0)))</f>
        <v>0</v>
      </c>
      <c r="AF73" s="218">
        <f>IF(AE73=0,0,E71&amp;COUNTIF($AE$7:AE73,AE73))</f>
        <v>0</v>
      </c>
      <c r="AG73" s="218">
        <f t="shared" ref="AG73" si="751">IF(E71="",0,IF(AD73=0,0,IF(AD73&gt;=3,E71&amp;$AG$6,0)))</f>
        <v>0</v>
      </c>
      <c r="AH73" s="218">
        <f>IF(AG73=0,0,E71&amp;COUNTIF($AG$7:AG73,AG73))</f>
        <v>0</v>
      </c>
      <c r="AI73" s="218">
        <f t="shared" si="473"/>
        <v>0</v>
      </c>
      <c r="AJ73" s="218" t="b">
        <f>IF(AI73=0,FALSE,IF(COUNTIF(AI$7:AI73,AI73)&gt;1,TRUE,FALSE))</f>
        <v>0</v>
      </c>
      <c r="AK73" s="218">
        <f t="shared" ref="AK73" si="752">IF($AD73=AK$6,$E71,0)</f>
        <v>0</v>
      </c>
      <c r="AL73" s="218" t="b">
        <f>IF(AK73=0,FALSE,IF(COUNTIF(AK$7:AK73,AK73)&gt;1,TRUE,FALSE))</f>
        <v>0</v>
      </c>
      <c r="AM73" s="218">
        <f t="shared" ref="AM73" si="753">IF($AD73=AM$6,$E71,0)</f>
        <v>0</v>
      </c>
      <c r="AN73" s="218" t="b">
        <f>IF(AM73=0,FALSE,IF(COUNTIF(AM$7:AM73,AM73)&gt;1,TRUE,FALSE))</f>
        <v>0</v>
      </c>
      <c r="AO73" s="218">
        <f t="shared" ref="AO73" si="754">IF($AD73=AO$6,$E71,0)</f>
        <v>0</v>
      </c>
      <c r="AP73" s="218" t="b">
        <f>IF(AO73=0,FALSE,IF(COUNTIF(AO$7:AO73,AO73)&gt;1,TRUE,FALSE))</f>
        <v>0</v>
      </c>
      <c r="AQ73" s="218">
        <f t="shared" ref="AQ73" si="755">IF(COUNTIF(Y73,"*十種競技*")&gt;0,E71,0)</f>
        <v>0</v>
      </c>
      <c r="AR73" s="218" t="b">
        <f>IF(AQ73=0,FALSE,IF(OR(COUNTIF($AI$7:$AI$406,AQ73)+COUNTIF($AQ73:$AQ$406,AQ73)&gt;1,COUNTIF($AK$7:$AK$406,AQ73)+COUNTIF($AQ$7:$AQ$406,AQ73)&gt;1),TRUE,FALSE))</f>
        <v>0</v>
      </c>
      <c r="AT73" s="218" t="b">
        <f t="shared" si="744"/>
        <v>0</v>
      </c>
      <c r="AU73" s="274"/>
      <c r="AX73" s="274"/>
      <c r="BD73" s="218" t="b">
        <f t="shared" si="732"/>
        <v>0</v>
      </c>
      <c r="BF73" s="231" t="b">
        <f t="shared" ref="BF73" si="756">IF(J73="",FALSE,IF(OR(AND(AU71,L73=""),AND(AU71,L73="",OR(M73&lt;&gt;"",N73&lt;&gt;"",O73&lt;&gt;"",P73&lt;&gt;""))),TRUE,FALSE))</f>
        <v>0</v>
      </c>
      <c r="BG73" s="218" t="b">
        <f t="shared" si="734"/>
        <v>0</v>
      </c>
      <c r="BH73" s="218" t="b">
        <f t="shared" si="746"/>
        <v>0</v>
      </c>
      <c r="BI73" s="231" t="b">
        <f t="shared" ref="BI73" si="757">IF(J73="",FALSE,IF(L73=0,FALSE,IF(AND(AU71,NOT(BF73),OR(M73="",N73="",O73="")),TRUE,FALSE)))</f>
        <v>0</v>
      </c>
      <c r="BJ73" s="240" t="b">
        <f t="shared" si="748"/>
        <v>0</v>
      </c>
      <c r="BK73" s="231" t="b">
        <f>IF(NOT(BJ73),FALSE,IF(AND(競技会設定!$C$5&lt;=BJ73,BJ73&lt;=競技会設定!$C$6),FALSE,TRUE))</f>
        <v>0</v>
      </c>
      <c r="BL73" s="218" t="b">
        <f>IF(J73="",FALSE,IF(L73=0,FALSE,IF(AND(AU71,NOT(BF73),NOT(BI73),P73=""),TRUE,FALSE)))</f>
        <v>0</v>
      </c>
      <c r="BO73" s="274"/>
    </row>
    <row r="74" spans="1:67" ht="18" customHeight="1" thickBot="1">
      <c r="A74" s="419"/>
      <c r="B74" s="395" t="s">
        <v>7051</v>
      </c>
      <c r="C74" s="395"/>
      <c r="D74" s="221"/>
      <c r="E74" s="372"/>
      <c r="F74" s="372"/>
      <c r="G74" s="372"/>
      <c r="H74" s="214"/>
      <c r="I74" s="214" t="s">
        <v>7065</v>
      </c>
      <c r="J74" s="219"/>
      <c r="K74" s="214" t="s">
        <v>7066</v>
      </c>
      <c r="L74" s="219"/>
      <c r="M74" s="258"/>
      <c r="N74" s="259"/>
      <c r="O74" s="260"/>
      <c r="P74" s="219"/>
      <c r="Q74" s="400"/>
      <c r="R74" s="393"/>
      <c r="S74" s="136"/>
      <c r="T74" s="137"/>
      <c r="U74" s="137"/>
      <c r="V74" s="137"/>
      <c r="W74" s="137"/>
      <c r="X74" s="137"/>
      <c r="Y74" s="218">
        <f t="shared" ref="Y74" si="758">IF(OR(E71="",J74=""),0,J74&amp;E71)</f>
        <v>0</v>
      </c>
      <c r="Z74" s="218">
        <f>IF(Y74=0,0,COUNTIF($Y$7:Y74,Y74))</f>
        <v>0</v>
      </c>
      <c r="AD74" s="218">
        <f>IFERROR(VLOOKUP(J74,競技会設定!$P$2:$S$22,2,0),0)</f>
        <v>0</v>
      </c>
      <c r="AE74" s="218">
        <f t="shared" ref="AE74" si="759">IF(E71="",0,IF(AD74=0,0,IF(AD74&lt;3,E71&amp;$AE$6,0)))</f>
        <v>0</v>
      </c>
      <c r="AF74" s="218">
        <f>IF(AE74=0,0,E71&amp;COUNTIF($AE$7:AE74,AE74))</f>
        <v>0</v>
      </c>
      <c r="AG74" s="218">
        <f t="shared" ref="AG74" si="760">IF(E71="",0,IF(AD74=0,0,IF(AD74&gt;=3,E71&amp;$AG$6,0)))</f>
        <v>0</v>
      </c>
      <c r="AH74" s="218">
        <f>IF(AG74=0,0,E71&amp;COUNTIF($AG$7:AG74,AG74))</f>
        <v>0</v>
      </c>
      <c r="AI74" s="218">
        <f t="shared" si="483"/>
        <v>0</v>
      </c>
      <c r="AJ74" s="218" t="b">
        <f>IF(AI74=0,FALSE,IF(COUNTIF(AI$7:AI74,AI74)&gt;1,TRUE,FALSE))</f>
        <v>0</v>
      </c>
      <c r="AK74" s="218">
        <f t="shared" ref="AK74" si="761">IF($AD74=AK$6,$E71,0)</f>
        <v>0</v>
      </c>
      <c r="AL74" s="218" t="b">
        <f>IF(AK74=0,FALSE,IF(COUNTIF(AK$7:AK74,AK74)&gt;1,TRUE,FALSE))</f>
        <v>0</v>
      </c>
      <c r="AM74" s="218">
        <f t="shared" ref="AM74" si="762">IF($AD74=AM$6,$E71,0)</f>
        <v>0</v>
      </c>
      <c r="AN74" s="218" t="b">
        <f>IF(AM74=0,FALSE,IF(COUNTIF(AM$7:AM74,AM74)&gt;1,TRUE,FALSE))</f>
        <v>0</v>
      </c>
      <c r="AO74" s="218">
        <f t="shared" ref="AO74" si="763">IF($AD74=AO$6,$E71,0)</f>
        <v>0</v>
      </c>
      <c r="AP74" s="218" t="b">
        <f>IF(AO74=0,FALSE,IF(COUNTIF(AO$7:AO74,AO74)&gt;1,TRUE,FALSE))</f>
        <v>0</v>
      </c>
      <c r="AQ74" s="218">
        <f t="shared" ref="AQ74" si="764">IF(COUNTIF(Y74,"*十種競技*")&gt;0,E71,0)</f>
        <v>0</v>
      </c>
      <c r="AR74" s="218" t="b">
        <f>IF(AQ74=0,FALSE,IF(OR(COUNTIF($AI$7:$AI$406,AQ74)+COUNTIF($AQ74:$AQ$406,AQ74)&gt;1,COUNTIF($AK$7:$AK$406,AQ74)+COUNTIF($AQ$7:$AQ$406,AQ74)&gt;1),TRUE,FALSE))</f>
        <v>0</v>
      </c>
      <c r="AT74" s="218" t="b">
        <f t="shared" si="744"/>
        <v>0</v>
      </c>
      <c r="AU74" s="274"/>
      <c r="AX74" s="274"/>
      <c r="BD74" s="218" t="b">
        <f t="shared" si="732"/>
        <v>0</v>
      </c>
      <c r="BF74" s="231" t="b">
        <f t="shared" ref="BF74" si="765">IF(J74="",FALSE,IF(OR(AND(AU71,L74=""),AND(AU71,L74="",OR(M74&lt;&gt;"",N74&lt;&gt;"",O74&lt;&gt;"",P74&lt;&gt;""))),TRUE,FALSE))</f>
        <v>0</v>
      </c>
      <c r="BG74" s="218" t="b">
        <f t="shared" si="734"/>
        <v>0</v>
      </c>
      <c r="BH74" s="218" t="b">
        <f t="shared" si="746"/>
        <v>0</v>
      </c>
      <c r="BI74" s="231" t="b">
        <f t="shared" ref="BI74" si="766">IF(J74="",FALSE,IF(L74=0,FALSE,IF(AND(AU71,NOT(BF74),OR(M74="",N74="",O74="")),TRUE,FALSE)))</f>
        <v>0</v>
      </c>
      <c r="BJ74" s="240" t="b">
        <f t="shared" si="748"/>
        <v>0</v>
      </c>
      <c r="BK74" s="231" t="b">
        <f>IF(NOT(BJ74),FALSE,IF(AND(競技会設定!$C$5&lt;=BJ74,BJ74&lt;=競技会設定!$C$6),FALSE,TRUE))</f>
        <v>0</v>
      </c>
      <c r="BL74" s="218" t="b">
        <f>IF(J74="",FALSE,IF(L74=0,FALSE,IF(AND(AU71,NOT(BF74),NOT(BI74),P74=""),TRUE,FALSE)))</f>
        <v>0</v>
      </c>
      <c r="BO74" s="274"/>
    </row>
    <row r="75" spans="1:67" ht="18" customHeight="1" thickTop="1">
      <c r="A75" s="420">
        <v>18</v>
      </c>
      <c r="B75" s="373" t="s">
        <v>7050</v>
      </c>
      <c r="C75" s="375"/>
      <c r="D75" s="138" t="str">
        <f t="shared" ref="D75" si="767">IF(C75="","",501&amp;TEXT(C75,"000000"))</f>
        <v/>
      </c>
      <c r="E75" s="377" t="str">
        <f>IF(D75="","",(VLOOKUP(D75,男子登録!$A$2:$N$2001,3,0)))</f>
        <v/>
      </c>
      <c r="F75" s="377" t="str">
        <f>IF(D75="","",(VLOOKUP(D75,男子登録!$A$2:$N$2001,4,0)))</f>
        <v/>
      </c>
      <c r="G75" s="138" t="str">
        <f>IF(C75="","",(VLOOKUP(D75,男子登録!$A$2:$N$2001,8,0)))</f>
        <v/>
      </c>
      <c r="H75" s="138">
        <f>IFERROR(VLOOKUP(D75,男子登録!$A$2:$N$2001,11,0),基本情報!$E$5)</f>
        <v>0</v>
      </c>
      <c r="I75" s="138" t="s">
        <v>7059</v>
      </c>
      <c r="J75" s="151"/>
      <c r="K75" s="138" t="s">
        <v>7060</v>
      </c>
      <c r="L75" s="151"/>
      <c r="M75" s="261"/>
      <c r="N75" s="262"/>
      <c r="O75" s="263"/>
      <c r="P75" s="151"/>
      <c r="Q75" s="381"/>
      <c r="R75" s="384"/>
      <c r="S75" s="136">
        <f t="shared" ref="S75" si="768">IF(OR(E75="",Q75=""),0,E75)</f>
        <v>0</v>
      </c>
      <c r="T75" s="137">
        <f>IF(S75=0,0,COUNTIF($S$7:S75,"*"))</f>
        <v>0</v>
      </c>
      <c r="U75" s="137">
        <f>IF(S75=0,0,COUNTIF($S$7:S75,S75))</f>
        <v>0</v>
      </c>
      <c r="V75" s="137">
        <f t="shared" si="203"/>
        <v>0</v>
      </c>
      <c r="W75" s="137">
        <f>IF(V75=0,0,COUNTIF($V$7:V75,"*"))</f>
        <v>0</v>
      </c>
      <c r="X75" s="137">
        <f>IF(V75=0,0,COUNTIF($V$7:V75,V75))</f>
        <v>0</v>
      </c>
      <c r="Y75" s="218">
        <f t="shared" ref="Y75" si="769">IF(OR(E75="",J75=""),0,J75&amp;E75)</f>
        <v>0</v>
      </c>
      <c r="Z75" s="218">
        <f>IF(Y75=0,0,COUNTIF($Y$7:Y75,Y75))</f>
        <v>0</v>
      </c>
      <c r="AA75" s="218" t="b">
        <f t="shared" ref="AA75" si="770">IF(COUNTIF(J75:J78,"十種競技")&gt;0,TRUE,FALSE)</f>
        <v>0</v>
      </c>
      <c r="AB75" s="218">
        <f>IF(E75="",0,IF(AA75,COUNTIF($AA$7:AA75,TRUE),0))</f>
        <v>0</v>
      </c>
      <c r="AC75" s="218">
        <f>IFERROR(VLOOKUP("十種競技",J75:L78,3,0),0)</f>
        <v>0</v>
      </c>
      <c r="AD75" s="218">
        <f>IFERROR(VLOOKUP(J75,競技会設定!$P$2:$S$22,2,0),0)</f>
        <v>0</v>
      </c>
      <c r="AE75" s="218">
        <f t="shared" ref="AE75" si="771">IF(E75="",0,IF(AD75=0,0,IF(AD75&lt;3,E75&amp;$AE$6,0)))</f>
        <v>0</v>
      </c>
      <c r="AF75" s="218">
        <f>IF(AE75=0,0,E75&amp;COUNTIF($AE$7:AE75,AE75))</f>
        <v>0</v>
      </c>
      <c r="AG75" s="218">
        <f t="shared" ref="AG75" si="772">IF(E75="",0,IF(AD75=0,0,IF(AD75&gt;=3,E75&amp;$AG$6,0)))</f>
        <v>0</v>
      </c>
      <c r="AH75" s="218">
        <f>IF(AG75=0,0,E75&amp;COUNTIF($AG$7:AG75,AG75))</f>
        <v>0</v>
      </c>
      <c r="AI75" s="218">
        <f t="shared" si="496"/>
        <v>0</v>
      </c>
      <c r="AJ75" s="218" t="b">
        <f>IF(AI75=0,FALSE,IF(COUNTIF(AI$7:AI75,AI75)&gt;1,TRUE,FALSE))</f>
        <v>0</v>
      </c>
      <c r="AK75" s="218">
        <f t="shared" ref="AK75" si="773">IF($AD75=AK$6,$E75,0)</f>
        <v>0</v>
      </c>
      <c r="AL75" s="218" t="b">
        <f>IF(AK75=0,FALSE,IF(COUNTIF(AK$7:AK75,AK75)&gt;1,TRUE,FALSE))</f>
        <v>0</v>
      </c>
      <c r="AM75" s="218">
        <f t="shared" ref="AM75" si="774">IF($AD75=AM$6,$E75,0)</f>
        <v>0</v>
      </c>
      <c r="AN75" s="218" t="b">
        <f>IF(AM75=0,FALSE,IF(COUNTIF(AM$7:AM75,AM75)&gt;1,TRUE,FALSE))</f>
        <v>0</v>
      </c>
      <c r="AO75" s="218">
        <f t="shared" ref="AO75" si="775">IF($AD75=AO$6,$E75,0)</f>
        <v>0</v>
      </c>
      <c r="AP75" s="218" t="b">
        <f>IF(AO75=0,FALSE,IF(COUNTIF(AO$7:AO75,AO75)&gt;1,TRUE,FALSE))</f>
        <v>0</v>
      </c>
      <c r="AQ75" s="218">
        <f t="shared" ref="AQ75" si="776">IF(COUNTIF(Y75,"*十種競技*")&gt;0,E75,0)</f>
        <v>0</v>
      </c>
      <c r="AR75" s="218" t="b">
        <f>IF(AQ75=0,FALSE,IF(OR(COUNTIF($AI$7:$AI$406,AQ75)+COUNTIF($AQ75:$AQ$406,AQ75)&gt;1,COUNTIF($AK$7:$AK$406,AQ75)+COUNTIF($AQ$7:$AQ$406,AQ75)&gt;1),TRUE,FALSE))</f>
        <v>0</v>
      </c>
      <c r="AS75" s="218" t="b">
        <f t="shared" ref="AS75" si="777">IF(AND(C75="",E75&lt;&gt;"",F75&lt;&gt;"",E77&lt;&gt;"",G75&lt;&gt;"",G76&lt;&gt;"",G77&lt;&gt;""),TRUE,FALSE)</f>
        <v>0</v>
      </c>
      <c r="AT75" s="218" t="b">
        <f t="shared" si="744"/>
        <v>0</v>
      </c>
      <c r="AU75" s="274" t="b">
        <f t="shared" ref="AU75" si="778">IFERROR(IF(D75&amp;E75&amp;F75&amp;E77&amp;G75&amp;G76&amp;G77&amp;J75&amp;J76&amp;J77&amp;J78&amp;L75&amp;L76&amp;L77&amp;L78&amp;M75&amp;M76&amp;M77&amp;M78&amp;N75&amp;N76&amp;N77&amp;N78&amp;O75&amp;O76&amp;O77&amp;O78&amp;P75&amp;P76&amp;P77&amp;P78&amp;Q75&amp;R75="",FALSE,TRUE),FALSE)</f>
        <v>0</v>
      </c>
      <c r="AV75" s="218" t="b">
        <f t="shared" ref="AV75" si="779">IF(AS75,FALSE,IF(C75="",AU75,FALSE))</f>
        <v>0</v>
      </c>
      <c r="AW75" s="218" t="b">
        <f>IF(C75="",FALSE,IF(C75&gt;2000,TRUE,FALSE))</f>
        <v>0</v>
      </c>
      <c r="AX75" s="274" t="b">
        <f>IF(H75=0,FALSE,IF(EXACT(基本情報!$E$5,H75)=TRUE,FALSE,TRUE))</f>
        <v>0</v>
      </c>
      <c r="AY75" s="218" t="b">
        <f>IF(C75="",FALSE,IF(ISNA(E75)=TRUE,TRUE,FALSE))</f>
        <v>0</v>
      </c>
      <c r="AZ75" s="274" t="b">
        <f>IFERROR(IF(E75="",FALSE,IF(COUNTIF($E$7:E75,E75)&gt;1,TRUE,FALSE)),FALSE)</f>
        <v>0</v>
      </c>
      <c r="BA75" s="218" t="b">
        <f t="shared" ref="BA75" si="780">IF(OR(J75&amp;J76&amp;J77&amp;J78&amp;Q75&amp;R75="",AT75,AT76,AT77,AT78),AU75,FALSE)</f>
        <v>0</v>
      </c>
      <c r="BB75" s="218" t="b">
        <f>IF(U75&gt;1,TRUE,FALSE)</f>
        <v>0</v>
      </c>
      <c r="BC75" s="218" t="b">
        <f>IF(X75&gt;1,TRUE,FALSE)</f>
        <v>0</v>
      </c>
      <c r="BD75" s="218" t="b">
        <f t="shared" si="732"/>
        <v>0</v>
      </c>
      <c r="BF75" s="231" t="b">
        <f t="shared" ref="BF75" si="781">IF(J75="",FALSE,IF(OR(AND(AU75,L75=""),AND(AU75,L75="",OR(M75&lt;&gt;"",N75&lt;&gt;"",O75&lt;&gt;"",P75&lt;&gt;""))),TRUE,FALSE))</f>
        <v>0</v>
      </c>
      <c r="BG75" s="218" t="b">
        <f t="shared" si="734"/>
        <v>0</v>
      </c>
      <c r="BH75" s="218" t="b">
        <f t="shared" si="746"/>
        <v>0</v>
      </c>
      <c r="BI75" s="231" t="b">
        <f t="shared" ref="BI75" si="782">IF(J75="",FALSE,IF(L75=0,FALSE,IF(AND(AU75,NOT(BF75),OR(M75="",N75="",O75="")),TRUE,FALSE)))</f>
        <v>0</v>
      </c>
      <c r="BJ75" s="240" t="b">
        <f t="shared" si="748"/>
        <v>0</v>
      </c>
      <c r="BK75" s="231" t="b">
        <f>IF(NOT(BJ75),FALSE,IF(AND(競技会設定!$C$5&lt;=BJ75,BJ75&lt;=競技会設定!$C$6),FALSE,TRUE))</f>
        <v>0</v>
      </c>
      <c r="BL75" s="218" t="b">
        <f>IF(J75="",FALSE,IF(L75=0,FALSE,IF(AND(AU75,NOT(BF75),NOT(BI75),P75=""),TRUE,FALSE)))</f>
        <v>0</v>
      </c>
      <c r="BO75" s="274">
        <f t="shared" ref="BO75" si="783">IF(AND(AU75,SUM(COUNTIF(AV75:BC75,TRUE),COUNTIF(BF75:BL78,TRUE),COUNTIF(BD75:BD78,TRUE))=0,NOT($BE$7)),1,0)</f>
        <v>0</v>
      </c>
    </row>
    <row r="76" spans="1:67" ht="17.399999999999999" customHeight="1">
      <c r="A76" s="421"/>
      <c r="B76" s="374"/>
      <c r="C76" s="376"/>
      <c r="D76" s="139"/>
      <c r="E76" s="378"/>
      <c r="F76" s="378"/>
      <c r="G76" s="139" t="str">
        <f>IF(C75="","",(VLOOKUP(D75,男子登録!$A$2:$N$2001,13,0)))</f>
        <v/>
      </c>
      <c r="H76" s="139"/>
      <c r="I76" s="139" t="s">
        <v>7061</v>
      </c>
      <c r="J76" s="152"/>
      <c r="K76" s="139" t="s">
        <v>7062</v>
      </c>
      <c r="L76" s="152"/>
      <c r="M76" s="264"/>
      <c r="N76" s="265"/>
      <c r="O76" s="266"/>
      <c r="P76" s="152"/>
      <c r="Q76" s="382"/>
      <c r="R76" s="385"/>
      <c r="S76" s="136"/>
      <c r="T76" s="137"/>
      <c r="U76" s="137"/>
      <c r="V76" s="137"/>
      <c r="W76" s="137"/>
      <c r="X76" s="137"/>
      <c r="Y76" s="218">
        <f t="shared" ref="Y76" si="784">IF(OR(E75="",J76=""),0,J76&amp;E75)</f>
        <v>0</v>
      </c>
      <c r="Z76" s="218">
        <f>IF(Y76=0,0,COUNTIF($Y$7:Y76,Y76))</f>
        <v>0</v>
      </c>
      <c r="AD76" s="218">
        <f>IFERROR(VLOOKUP(J76,競技会設定!$P$2:$S$22,2,0),0)</f>
        <v>0</v>
      </c>
      <c r="AE76" s="218">
        <f t="shared" ref="AE76" si="785">IF(E75="",0,IF(AD76=0,0,IF(AD76&lt;3,E75&amp;$AE$6,0)))</f>
        <v>0</v>
      </c>
      <c r="AF76" s="218">
        <f>IF(AE76=0,0,E75&amp;COUNTIF($AE$7:AE76,AE76))</f>
        <v>0</v>
      </c>
      <c r="AG76" s="218">
        <f t="shared" ref="AG76" si="786">IF(E75="",0,IF(AD76=0,0,IF(AD76&gt;=3,E75&amp;$AG$6,0)))</f>
        <v>0</v>
      </c>
      <c r="AH76" s="218">
        <f>IF(AG76=0,0,E75&amp;COUNTIF($AG$7:AG76,AG76))</f>
        <v>0</v>
      </c>
      <c r="AI76" s="218">
        <f t="shared" si="511"/>
        <v>0</v>
      </c>
      <c r="AJ76" s="218" t="b">
        <f>IF(AI76=0,FALSE,IF(COUNTIF(AI$7:AI76,AI76)&gt;1,TRUE,FALSE))</f>
        <v>0</v>
      </c>
      <c r="AK76" s="218">
        <f t="shared" ref="AK76" si="787">IF($AD76=AK$6,$E75,0)</f>
        <v>0</v>
      </c>
      <c r="AL76" s="218" t="b">
        <f>IF(AK76=0,FALSE,IF(COUNTIF(AK$7:AK76,AK76)&gt;1,TRUE,FALSE))</f>
        <v>0</v>
      </c>
      <c r="AM76" s="218">
        <f t="shared" ref="AM76" si="788">IF($AD76=AM$6,$E75,0)</f>
        <v>0</v>
      </c>
      <c r="AN76" s="218" t="b">
        <f>IF(AM76=0,FALSE,IF(COUNTIF(AM$7:AM76,AM76)&gt;1,TRUE,FALSE))</f>
        <v>0</v>
      </c>
      <c r="AO76" s="218">
        <f t="shared" ref="AO76" si="789">IF($AD76=AO$6,$E75,0)</f>
        <v>0</v>
      </c>
      <c r="AP76" s="218" t="b">
        <f>IF(AO76=0,FALSE,IF(COUNTIF(AO$7:AO76,AO76)&gt;1,TRUE,FALSE))</f>
        <v>0</v>
      </c>
      <c r="AQ76" s="218">
        <f t="shared" ref="AQ76" si="790">IF(COUNTIF(Y76,"*十種競技*")&gt;0,E75,0)</f>
        <v>0</v>
      </c>
      <c r="AR76" s="218" t="b">
        <f>IF(AQ76=0,FALSE,IF(OR(COUNTIF($AI$7:$AI$406,AQ76)+COUNTIF($AQ76:$AQ$406,AQ76)&gt;1,COUNTIF($AK$7:$AK$406,AQ76)+COUNTIF($AQ$7:$AQ$406,AQ76)&gt;1),TRUE,FALSE))</f>
        <v>0</v>
      </c>
      <c r="AT76" s="218" t="b">
        <f t="shared" si="744"/>
        <v>0</v>
      </c>
      <c r="AU76" s="274"/>
      <c r="AX76" s="274"/>
      <c r="BD76" s="218" t="b">
        <f t="shared" si="732"/>
        <v>0</v>
      </c>
      <c r="BF76" s="231" t="b">
        <f t="shared" ref="BF76" si="791">IF(J76="",FALSE,IF(OR(AND(AU75,L76=""),AND(AU75,L76="",OR(M76&lt;&gt;"",N76&lt;&gt;"",O76&lt;&gt;"",P76&lt;&gt;""))),TRUE,FALSE))</f>
        <v>0</v>
      </c>
      <c r="BG76" s="218" t="b">
        <f t="shared" si="734"/>
        <v>0</v>
      </c>
      <c r="BH76" s="218" t="b">
        <f t="shared" si="746"/>
        <v>0</v>
      </c>
      <c r="BI76" s="231" t="b">
        <f t="shared" ref="BI76" si="792">IF(J76="",FALSE,IF(L76=0,FALSE,IF(AND(AU75,NOT(BF76),OR(M76="",N76="",O76="")),TRUE,FALSE)))</f>
        <v>0</v>
      </c>
      <c r="BJ76" s="240" t="b">
        <f t="shared" si="748"/>
        <v>0</v>
      </c>
      <c r="BK76" s="231" t="b">
        <f>IF(NOT(BJ76),FALSE,IF(AND(競技会設定!$C$5&lt;=BJ76,BJ76&lt;=競技会設定!$C$6),FALSE,TRUE))</f>
        <v>0</v>
      </c>
      <c r="BL76" s="218" t="b">
        <f>IF(J76="",FALSE,IF(L76=0,FALSE,IF(AND(AU75,NOT(BF76),NOT(BI76),P76=""),TRUE,FALSE)))</f>
        <v>0</v>
      </c>
      <c r="BO76" s="274"/>
    </row>
    <row r="77" spans="1:67" ht="17.399999999999999" customHeight="1">
      <c r="A77" s="421"/>
      <c r="B77" s="374"/>
      <c r="C77" s="376"/>
      <c r="D77" s="140"/>
      <c r="E77" s="379" t="str">
        <f>IF(C75="","",VLOOKUP(D75,男子登録!$A$2:$O$2001,14,0)&amp;" ("&amp;VLOOKUP(D75,男子登録!$A$2:$O$2001,15,0)&amp;")")</f>
        <v/>
      </c>
      <c r="F77" s="380"/>
      <c r="G77" s="140" t="str">
        <f>IF(C75="","",(VLOOKUP(D75,男子登録!$A$2:$N$2001,9,0)))</f>
        <v/>
      </c>
      <c r="H77" s="140"/>
      <c r="I77" s="140" t="s">
        <v>7063</v>
      </c>
      <c r="J77" s="153"/>
      <c r="K77" s="140" t="s">
        <v>7064</v>
      </c>
      <c r="L77" s="153"/>
      <c r="M77" s="264"/>
      <c r="N77" s="265"/>
      <c r="O77" s="266"/>
      <c r="P77" s="152"/>
      <c r="Q77" s="382"/>
      <c r="R77" s="385"/>
      <c r="S77" s="136"/>
      <c r="T77" s="137"/>
      <c r="U77" s="137"/>
      <c r="V77" s="137"/>
      <c r="W77" s="137"/>
      <c r="X77" s="137"/>
      <c r="Y77" s="218">
        <f t="shared" ref="Y77" si="793">IF(OR(E75="",J77=""),0,J77&amp;E75)</f>
        <v>0</v>
      </c>
      <c r="Z77" s="218">
        <f>IF(Y77=0,0,COUNTIF($Y$7:Y77,Y77))</f>
        <v>0</v>
      </c>
      <c r="AD77" s="218">
        <f>IFERROR(VLOOKUP(J77,競技会設定!$P$2:$S$22,2,0),0)</f>
        <v>0</v>
      </c>
      <c r="AE77" s="218">
        <f t="shared" ref="AE77" si="794">IF(E75="",0,IF(AD77=0,0,IF(AD77&lt;3,E75&amp;$AE$6,0)))</f>
        <v>0</v>
      </c>
      <c r="AF77" s="218">
        <f>IF(AE77=0,0,E75&amp;COUNTIF($AE$7:AE77,AE77))</f>
        <v>0</v>
      </c>
      <c r="AG77" s="218">
        <f t="shared" ref="AG77" si="795">IF(E75="",0,IF(AD77=0,0,IF(AD77&gt;=3,E75&amp;$AG$6,0)))</f>
        <v>0</v>
      </c>
      <c r="AH77" s="218">
        <f>IF(AG77=0,0,E75&amp;COUNTIF($AG$7:AG77,AG77))</f>
        <v>0</v>
      </c>
      <c r="AI77" s="218">
        <f t="shared" si="521"/>
        <v>0</v>
      </c>
      <c r="AJ77" s="218" t="b">
        <f>IF(AI77=0,FALSE,IF(COUNTIF(AI$7:AI77,AI77)&gt;1,TRUE,FALSE))</f>
        <v>0</v>
      </c>
      <c r="AK77" s="218">
        <f t="shared" ref="AK77" si="796">IF($AD77=AK$6,$E75,0)</f>
        <v>0</v>
      </c>
      <c r="AL77" s="218" t="b">
        <f>IF(AK77=0,FALSE,IF(COUNTIF(AK$7:AK77,AK77)&gt;1,TRUE,FALSE))</f>
        <v>0</v>
      </c>
      <c r="AM77" s="218">
        <f t="shared" ref="AM77" si="797">IF($AD77=AM$6,$E75,0)</f>
        <v>0</v>
      </c>
      <c r="AN77" s="218" t="b">
        <f>IF(AM77=0,FALSE,IF(COUNTIF(AM$7:AM77,AM77)&gt;1,TRUE,FALSE))</f>
        <v>0</v>
      </c>
      <c r="AO77" s="218">
        <f t="shared" ref="AO77" si="798">IF($AD77=AO$6,$E75,0)</f>
        <v>0</v>
      </c>
      <c r="AP77" s="218" t="b">
        <f>IF(AO77=0,FALSE,IF(COUNTIF(AO$7:AO77,AO77)&gt;1,TRUE,FALSE))</f>
        <v>0</v>
      </c>
      <c r="AQ77" s="218">
        <f t="shared" ref="AQ77" si="799">IF(COUNTIF(Y77,"*十種競技*")&gt;0,E75,0)</f>
        <v>0</v>
      </c>
      <c r="AR77" s="218" t="b">
        <f>IF(AQ77=0,FALSE,IF(OR(COUNTIF($AI$7:$AI$406,AQ77)+COUNTIF($AQ77:$AQ$406,AQ77)&gt;1,COUNTIF($AK$7:$AK$406,AQ77)+COUNTIF($AQ$7:$AQ$406,AQ77)&gt;1),TRUE,FALSE))</f>
        <v>0</v>
      </c>
      <c r="AT77" s="218" t="b">
        <f t="shared" si="744"/>
        <v>0</v>
      </c>
      <c r="AU77" s="274"/>
      <c r="AX77" s="274"/>
      <c r="BD77" s="218" t="b">
        <f t="shared" si="732"/>
        <v>0</v>
      </c>
      <c r="BF77" s="231" t="b">
        <f t="shared" ref="BF77" si="800">IF(J77="",FALSE,IF(OR(AND(AU75,L77=""),AND(AU75,L77="",OR(M77&lt;&gt;"",N77&lt;&gt;"",O77&lt;&gt;"",P77&lt;&gt;""))),TRUE,FALSE))</f>
        <v>0</v>
      </c>
      <c r="BG77" s="218" t="b">
        <f t="shared" si="734"/>
        <v>0</v>
      </c>
      <c r="BH77" s="218" t="b">
        <f t="shared" si="746"/>
        <v>0</v>
      </c>
      <c r="BI77" s="231" t="b">
        <f t="shared" ref="BI77" si="801">IF(J77="",FALSE,IF(L77=0,FALSE,IF(AND(AU75,NOT(BF77),OR(M77="",N77="",O77="")),TRUE,FALSE)))</f>
        <v>0</v>
      </c>
      <c r="BJ77" s="240" t="b">
        <f t="shared" si="748"/>
        <v>0</v>
      </c>
      <c r="BK77" s="231" t="b">
        <f>IF(NOT(BJ77),FALSE,IF(AND(競技会設定!$C$5&lt;=BJ77,BJ77&lt;=競技会設定!$C$6),FALSE,TRUE))</f>
        <v>0</v>
      </c>
      <c r="BL77" s="218" t="b">
        <f>IF(J77="",FALSE,IF(L77=0,FALSE,IF(AND(AU75,NOT(BF77),NOT(BI77),P77=""),TRUE,FALSE)))</f>
        <v>0</v>
      </c>
      <c r="BO77" s="274"/>
    </row>
    <row r="78" spans="1:67" ht="18" customHeight="1" thickBot="1">
      <c r="A78" s="422"/>
      <c r="B78" s="387" t="s">
        <v>7051</v>
      </c>
      <c r="C78" s="387"/>
      <c r="D78" s="213"/>
      <c r="E78" s="388"/>
      <c r="F78" s="389"/>
      <c r="G78" s="390"/>
      <c r="H78" s="141"/>
      <c r="I78" s="213" t="s">
        <v>7065</v>
      </c>
      <c r="J78" s="154"/>
      <c r="K78" s="213" t="s">
        <v>7066</v>
      </c>
      <c r="L78" s="154"/>
      <c r="M78" s="267"/>
      <c r="N78" s="268"/>
      <c r="O78" s="269"/>
      <c r="P78" s="154"/>
      <c r="Q78" s="383"/>
      <c r="R78" s="386"/>
      <c r="S78" s="136"/>
      <c r="T78" s="137"/>
      <c r="U78" s="137"/>
      <c r="V78" s="137"/>
      <c r="W78" s="137"/>
      <c r="X78" s="137"/>
      <c r="Y78" s="218">
        <f t="shared" ref="Y78" si="802">IF(OR(E75="",J78=""),0,J78&amp;E75)</f>
        <v>0</v>
      </c>
      <c r="Z78" s="218">
        <f>IF(Y78=0,0,COUNTIF($Y$7:Y78,Y78))</f>
        <v>0</v>
      </c>
      <c r="AD78" s="218">
        <f>IFERROR(VLOOKUP(J78,競技会設定!$P$2:$S$22,2,0),0)</f>
        <v>0</v>
      </c>
      <c r="AE78" s="218">
        <f t="shared" ref="AE78" si="803">IF(E75="",0,IF(AD78=0,0,IF(AD78&lt;3,E75&amp;$AE$6,0)))</f>
        <v>0</v>
      </c>
      <c r="AF78" s="218">
        <f>IF(AE78=0,0,E75&amp;COUNTIF($AE$7:AE78,AE78))</f>
        <v>0</v>
      </c>
      <c r="AG78" s="218">
        <f t="shared" ref="AG78" si="804">IF(E75="",0,IF(AD78=0,0,IF(AD78&gt;=3,E75&amp;$AG$6,0)))</f>
        <v>0</v>
      </c>
      <c r="AH78" s="218">
        <f>IF(AG78=0,0,E75&amp;COUNTIF($AG$7:AG78,AG78))</f>
        <v>0</v>
      </c>
      <c r="AI78" s="218">
        <f t="shared" si="531"/>
        <v>0</v>
      </c>
      <c r="AJ78" s="218" t="b">
        <f>IF(AI78=0,FALSE,IF(COUNTIF(AI$7:AI78,AI78)&gt;1,TRUE,FALSE))</f>
        <v>0</v>
      </c>
      <c r="AK78" s="218">
        <f t="shared" ref="AK78" si="805">IF($AD78=AK$6,$E75,0)</f>
        <v>0</v>
      </c>
      <c r="AL78" s="218" t="b">
        <f>IF(AK78=0,FALSE,IF(COUNTIF(AK$7:AK78,AK78)&gt;1,TRUE,FALSE))</f>
        <v>0</v>
      </c>
      <c r="AM78" s="218">
        <f t="shared" ref="AM78" si="806">IF($AD78=AM$6,$E75,0)</f>
        <v>0</v>
      </c>
      <c r="AN78" s="218" t="b">
        <f>IF(AM78=0,FALSE,IF(COUNTIF(AM$7:AM78,AM78)&gt;1,TRUE,FALSE))</f>
        <v>0</v>
      </c>
      <c r="AO78" s="218">
        <f t="shared" ref="AO78" si="807">IF($AD78=AO$6,$E75,0)</f>
        <v>0</v>
      </c>
      <c r="AP78" s="218" t="b">
        <f>IF(AO78=0,FALSE,IF(COUNTIF(AO$7:AO78,AO78)&gt;1,TRUE,FALSE))</f>
        <v>0</v>
      </c>
      <c r="AQ78" s="218">
        <f t="shared" ref="AQ78" si="808">IF(COUNTIF(Y78,"*十種競技*")&gt;0,E75,0)</f>
        <v>0</v>
      </c>
      <c r="AR78" s="218" t="b">
        <f>IF(AQ78=0,FALSE,IF(OR(COUNTIF($AI$7:$AI$406,AQ78)+COUNTIF($AQ78:$AQ$406,AQ78)&gt;1,COUNTIF($AK$7:$AK$406,AQ78)+COUNTIF($AQ$7:$AQ$406,AQ78)&gt;1),TRUE,FALSE))</f>
        <v>0</v>
      </c>
      <c r="AT78" s="218" t="b">
        <f t="shared" si="744"/>
        <v>0</v>
      </c>
      <c r="AU78" s="274"/>
      <c r="AX78" s="274"/>
      <c r="BD78" s="218" t="b">
        <f t="shared" si="732"/>
        <v>0</v>
      </c>
      <c r="BF78" s="231" t="b">
        <f t="shared" ref="BF78" si="809">IF(J78="",FALSE,IF(OR(AND(AU75,L78=""),AND(AU75,L78="",OR(M78&lt;&gt;"",N78&lt;&gt;"",O78&lt;&gt;"",P78&lt;&gt;""))),TRUE,FALSE))</f>
        <v>0</v>
      </c>
      <c r="BG78" s="218" t="b">
        <f t="shared" si="734"/>
        <v>0</v>
      </c>
      <c r="BH78" s="218" t="b">
        <f t="shared" si="746"/>
        <v>0</v>
      </c>
      <c r="BI78" s="231" t="b">
        <f t="shared" ref="BI78" si="810">IF(J78="",FALSE,IF(L78=0,FALSE,IF(AND(AU75,NOT(BF78),OR(M78="",N78="",O78="")),TRUE,FALSE)))</f>
        <v>0</v>
      </c>
      <c r="BJ78" s="240" t="b">
        <f t="shared" si="748"/>
        <v>0</v>
      </c>
      <c r="BK78" s="231" t="b">
        <f>IF(NOT(BJ78),FALSE,IF(AND(競技会設定!$C$5&lt;=BJ78,BJ78&lt;=競技会設定!$C$6),FALSE,TRUE))</f>
        <v>0</v>
      </c>
      <c r="BL78" s="218" t="b">
        <f>IF(J78="",FALSE,IF(L78=0,FALSE,IF(AND(AU75,NOT(BF78),NOT(BI78),P78=""),TRUE,FALSE)))</f>
        <v>0</v>
      </c>
      <c r="BO78" s="274"/>
    </row>
    <row r="79" spans="1:67" ht="18" customHeight="1" thickTop="1">
      <c r="A79" s="417">
        <v>19</v>
      </c>
      <c r="B79" s="401" t="s">
        <v>7050</v>
      </c>
      <c r="C79" s="403"/>
      <c r="D79" s="220" t="str">
        <f t="shared" ref="D79" si="811">IF(C79="","",501&amp;TEXT(C79,"000000"))</f>
        <v/>
      </c>
      <c r="E79" s="396" t="str">
        <f>IF(D79="","",(VLOOKUP(D79,男子登録!$A$2:$N$2001,3,0)))</f>
        <v/>
      </c>
      <c r="F79" s="396" t="str">
        <f>IF(D79="","",(VLOOKUP(D79,男子登録!$A$2:$N$2001,4,0)))</f>
        <v/>
      </c>
      <c r="G79" s="220" t="str">
        <f>IF(C79="","",(VLOOKUP(D79,男子登録!$A$2:$N$2001,8,0)))</f>
        <v/>
      </c>
      <c r="H79" s="220">
        <f>IFERROR(VLOOKUP(D79,男子登録!$A$2:$N$2001,11,0),基本情報!$E$5)</f>
        <v>0</v>
      </c>
      <c r="I79" s="220" t="s">
        <v>7059</v>
      </c>
      <c r="J79" s="148"/>
      <c r="K79" s="220" t="s">
        <v>7060</v>
      </c>
      <c r="L79" s="148"/>
      <c r="M79" s="252"/>
      <c r="N79" s="253"/>
      <c r="O79" s="254"/>
      <c r="P79" s="148"/>
      <c r="Q79" s="398"/>
      <c r="R79" s="391"/>
      <c r="S79" s="136">
        <f t="shared" ref="S79" si="812">IF(OR(E79="",Q79=""),0,E79)</f>
        <v>0</v>
      </c>
      <c r="T79" s="137">
        <f>IF(S79=0,0,COUNTIF($S$7:S79,"*"))</f>
        <v>0</v>
      </c>
      <c r="U79" s="137">
        <f>IF(S79=0,0,COUNTIF($S$7:S79,S79))</f>
        <v>0</v>
      </c>
      <c r="V79" s="137">
        <f t="shared" si="203"/>
        <v>0</v>
      </c>
      <c r="W79" s="137">
        <f>IF(V79=0,0,COUNTIF($V$7:V79,"*"))</f>
        <v>0</v>
      </c>
      <c r="X79" s="137">
        <f>IF(V79=0,0,COUNTIF($V$7:V79,V79))</f>
        <v>0</v>
      </c>
      <c r="Y79" s="218">
        <f t="shared" ref="Y79" si="813">IF(OR(E79="",J79=""),0,J79&amp;E79)</f>
        <v>0</v>
      </c>
      <c r="Z79" s="218">
        <f>IF(Y79=0,0,COUNTIF($Y$7:Y79,Y79))</f>
        <v>0</v>
      </c>
      <c r="AA79" s="218" t="b">
        <f t="shared" ref="AA79" si="814">IF(COUNTIF(J79:J82,"十種競技")&gt;0,TRUE,FALSE)</f>
        <v>0</v>
      </c>
      <c r="AB79" s="218">
        <f>IF(E79="",0,IF(AA79,COUNTIF($AA$7:AA79,TRUE),0))</f>
        <v>0</v>
      </c>
      <c r="AC79" s="218">
        <f>IFERROR(VLOOKUP("十種競技",J79:L82,3,0),0)</f>
        <v>0</v>
      </c>
      <c r="AD79" s="218">
        <f>IFERROR(VLOOKUP(J79,競技会設定!$P$2:$S$22,2,0),0)</f>
        <v>0</v>
      </c>
      <c r="AE79" s="218">
        <f t="shared" ref="AE79" si="815">IF(E79="",0,IF(AD79=0,0,IF(AD79&lt;3,E79&amp;$AE$6,0)))</f>
        <v>0</v>
      </c>
      <c r="AF79" s="218">
        <f>IF(AE79=0,0,E79&amp;COUNTIF($AE$7:AE79,AE79))</f>
        <v>0</v>
      </c>
      <c r="AG79" s="218">
        <f t="shared" ref="AG79" si="816">IF(E79="",0,IF(AD79=0,0,IF(AD79&gt;=3,E79&amp;$AG$6,0)))</f>
        <v>0</v>
      </c>
      <c r="AH79" s="218">
        <f>IF(AG79=0,0,E79&amp;COUNTIF($AG$7:AG79,AG79))</f>
        <v>0</v>
      </c>
      <c r="AI79" s="218">
        <f t="shared" ref="AI79" si="817">IF(COUNTIF(Y79,"*十種*")&gt;0,0,IF($AD79=AI$6,$E79,0))</f>
        <v>0</v>
      </c>
      <c r="AJ79" s="218" t="b">
        <f>IF(AI79=0,FALSE,IF(COUNTIF(AI$7:AI79,AI79)&gt;1,TRUE,FALSE))</f>
        <v>0</v>
      </c>
      <c r="AK79" s="218">
        <f t="shared" ref="AK79" si="818">IF($AD79=AK$6,$E79,0)</f>
        <v>0</v>
      </c>
      <c r="AL79" s="218" t="b">
        <f>IF(AK79=0,FALSE,IF(COUNTIF(AK$7:AK79,AK79)&gt;1,TRUE,FALSE))</f>
        <v>0</v>
      </c>
      <c r="AM79" s="218">
        <f t="shared" ref="AM79" si="819">IF($AD79=AM$6,$E79,0)</f>
        <v>0</v>
      </c>
      <c r="AN79" s="218" t="b">
        <f>IF(AM79=0,FALSE,IF(COUNTIF(AM$7:AM79,AM79)&gt;1,TRUE,FALSE))</f>
        <v>0</v>
      </c>
      <c r="AO79" s="218">
        <f t="shared" ref="AO79" si="820">IF($AD79=AO$6,$E79,0)</f>
        <v>0</v>
      </c>
      <c r="AP79" s="218" t="b">
        <f>IF(AO79=0,FALSE,IF(COUNTIF(AO$7:AO79,AO79)&gt;1,TRUE,FALSE))</f>
        <v>0</v>
      </c>
      <c r="AQ79" s="218">
        <f t="shared" ref="AQ79" si="821">IF(COUNTIF(Y79,"*十種競技*")&gt;0,E79,0)</f>
        <v>0</v>
      </c>
      <c r="AR79" s="218" t="b">
        <f>IF(AQ79=0,FALSE,IF(OR(COUNTIF($AI$7:$AI$406,AQ79)+COUNTIF($AQ79:$AQ$406,AQ79)&gt;1,COUNTIF($AK$7:$AK$406,AQ79)+COUNTIF($AQ$7:$AQ$406,AQ79)&gt;1),TRUE,FALSE))</f>
        <v>0</v>
      </c>
      <c r="AS79" s="218" t="b">
        <f t="shared" ref="AS79" si="822">IF(AND(C79="",E79&lt;&gt;"",F79&lt;&gt;"",E81&lt;&gt;"",G79&lt;&gt;"",G80&lt;&gt;"",G81&lt;&gt;""),TRUE,FALSE)</f>
        <v>0</v>
      </c>
      <c r="AT79" s="218" t="b">
        <f t="shared" si="744"/>
        <v>0</v>
      </c>
      <c r="AU79" s="274" t="b">
        <f t="shared" ref="AU79" si="823">IFERROR(IF(D79&amp;E79&amp;F79&amp;E81&amp;G79&amp;G80&amp;G81&amp;J79&amp;J80&amp;J81&amp;J82&amp;L79&amp;L80&amp;L81&amp;L82&amp;M79&amp;M80&amp;M81&amp;M82&amp;N79&amp;N80&amp;N81&amp;N82&amp;O79&amp;O80&amp;O81&amp;O82&amp;P79&amp;P80&amp;P81&amp;P82&amp;Q79&amp;R79="",FALSE,TRUE),FALSE)</f>
        <v>0</v>
      </c>
      <c r="AV79" s="218" t="b">
        <f t="shared" ref="AV79" si="824">IF(AS79,FALSE,IF(C79="",AU79,FALSE))</f>
        <v>0</v>
      </c>
      <c r="AW79" s="218" t="b">
        <f>IF(C79="",FALSE,IF(C79&gt;2000,TRUE,FALSE))</f>
        <v>0</v>
      </c>
      <c r="AX79" s="274" t="b">
        <f>IF(H79=0,FALSE,IF(EXACT(基本情報!$E$5,H79)=TRUE,FALSE,TRUE))</f>
        <v>0</v>
      </c>
      <c r="AY79" s="218" t="b">
        <f>IF(C79="",FALSE,IF(ISNA(E79)=TRUE,TRUE,FALSE))</f>
        <v>0</v>
      </c>
      <c r="AZ79" s="274" t="b">
        <f>IFERROR(IF(E79="",FALSE,IF(COUNTIF($E$7:E79,E79)&gt;1,TRUE,FALSE)),FALSE)</f>
        <v>0</v>
      </c>
      <c r="BA79" s="218" t="b">
        <f t="shared" ref="BA79" si="825">IF(OR(J79&amp;J80&amp;J81&amp;J82&amp;Q79&amp;R79="",AT79,AT80,AT81,AT82),AU79,FALSE)</f>
        <v>0</v>
      </c>
      <c r="BB79" s="218" t="b">
        <f>IF(U79&gt;1,TRUE,FALSE)</f>
        <v>0</v>
      </c>
      <c r="BC79" s="218" t="b">
        <f>IF(X79&gt;1,TRUE,FALSE)</f>
        <v>0</v>
      </c>
      <c r="BD79" s="218" t="b">
        <f t="shared" si="732"/>
        <v>0</v>
      </c>
      <c r="BF79" s="231" t="b">
        <f t="shared" ref="BF79" si="826">IF(J79="",FALSE,IF(OR(AND(AU79,L79=""),AND(AU79,L79="",OR(M79&lt;&gt;"",N79&lt;&gt;"",O79&lt;&gt;"",P79&lt;&gt;""))),TRUE,FALSE))</f>
        <v>0</v>
      </c>
      <c r="BG79" s="218" t="b">
        <f t="shared" si="734"/>
        <v>0</v>
      </c>
      <c r="BH79" s="218" t="b">
        <f t="shared" si="746"/>
        <v>0</v>
      </c>
      <c r="BI79" s="231" t="b">
        <f t="shared" ref="BI79" si="827">IF(J79="",FALSE,IF(L79=0,FALSE,IF(AND(AU79,NOT(BF79),OR(M79="",N79="",O79="")),TRUE,FALSE)))</f>
        <v>0</v>
      </c>
      <c r="BJ79" s="240" t="b">
        <f t="shared" si="748"/>
        <v>0</v>
      </c>
      <c r="BK79" s="231" t="b">
        <f>IF(NOT(BJ79),FALSE,IF(AND(競技会設定!$C$5&lt;=BJ79,BJ79&lt;=競技会設定!$C$6),FALSE,TRUE))</f>
        <v>0</v>
      </c>
      <c r="BL79" s="218" t="b">
        <f>IF(J79="",FALSE,IF(L79=0,FALSE,IF(AND(AU79,NOT(BF79),NOT(BI79),P79=""),TRUE,FALSE)))</f>
        <v>0</v>
      </c>
      <c r="BO79" s="274">
        <f t="shared" ref="BO79" si="828">IF(AND(AU79,SUM(COUNTIF(AV79:BC79,TRUE),COUNTIF(BF79:BL82,TRUE),COUNTIF(BD79:BD82,TRUE))=0,NOT($BE$7)),1,0)</f>
        <v>0</v>
      </c>
    </row>
    <row r="80" spans="1:67" ht="17.399999999999999" customHeight="1">
      <c r="A80" s="418"/>
      <c r="B80" s="402"/>
      <c r="C80" s="404"/>
      <c r="D80" s="221"/>
      <c r="E80" s="397"/>
      <c r="F80" s="397"/>
      <c r="G80" s="221" t="str">
        <f>IF(C79="","",(VLOOKUP(D79,男子登録!$A$2:$N$2001,13,0)))</f>
        <v/>
      </c>
      <c r="H80" s="221"/>
      <c r="I80" s="221" t="s">
        <v>7061</v>
      </c>
      <c r="J80" s="149"/>
      <c r="K80" s="221" t="s">
        <v>7062</v>
      </c>
      <c r="L80" s="149"/>
      <c r="M80" s="255"/>
      <c r="N80" s="256"/>
      <c r="O80" s="257"/>
      <c r="P80" s="149"/>
      <c r="Q80" s="399"/>
      <c r="R80" s="392"/>
      <c r="S80" s="136"/>
      <c r="T80" s="137"/>
      <c r="U80" s="137"/>
      <c r="V80" s="137"/>
      <c r="W80" s="137"/>
      <c r="X80" s="137"/>
      <c r="Y80" s="218">
        <f t="shared" ref="Y80" si="829">IF(OR(E79="",J80=""),0,J80&amp;E79)</f>
        <v>0</v>
      </c>
      <c r="Z80" s="218">
        <f>IF(Y80=0,0,COUNTIF($Y$7:Y80,Y80))</f>
        <v>0</v>
      </c>
      <c r="AD80" s="218">
        <f>IFERROR(VLOOKUP(J80,競技会設定!$P$2:$S$22,2,0),0)</f>
        <v>0</v>
      </c>
      <c r="AE80" s="218">
        <f t="shared" ref="AE80" si="830">IF(E79="",0,IF(AD80=0,0,IF(AD80&lt;3,E79&amp;$AE$6,0)))</f>
        <v>0</v>
      </c>
      <c r="AF80" s="218">
        <f>IF(AE80=0,0,E79&amp;COUNTIF($AE$7:AE80,AE80))</f>
        <v>0</v>
      </c>
      <c r="AG80" s="218">
        <f t="shared" ref="AG80" si="831">IF(E79="",0,IF(AD80=0,0,IF(AD80&gt;=3,E79&amp;$AG$6,0)))</f>
        <v>0</v>
      </c>
      <c r="AH80" s="218">
        <f>IF(AG80=0,0,E79&amp;COUNTIF($AG$7:AG80,AG80))</f>
        <v>0</v>
      </c>
      <c r="AI80" s="218">
        <f t="shared" ref="AI80" si="832">IF(COUNTIF(Y80,"*十種*")&gt;0,0,IF($AD80=AI$6,$E79,0))</f>
        <v>0</v>
      </c>
      <c r="AJ80" s="218" t="b">
        <f>IF(AI80=0,FALSE,IF(COUNTIF(AI$7:AI80,AI80)&gt;1,TRUE,FALSE))</f>
        <v>0</v>
      </c>
      <c r="AK80" s="218">
        <f t="shared" ref="AK80" si="833">IF($AD80=AK$6,$E79,0)</f>
        <v>0</v>
      </c>
      <c r="AL80" s="218" t="b">
        <f>IF(AK80=0,FALSE,IF(COUNTIF(AK$7:AK80,AK80)&gt;1,TRUE,FALSE))</f>
        <v>0</v>
      </c>
      <c r="AM80" s="218">
        <f t="shared" ref="AM80" si="834">IF($AD80=AM$6,$E79,0)</f>
        <v>0</v>
      </c>
      <c r="AN80" s="218" t="b">
        <f>IF(AM80=0,FALSE,IF(COUNTIF(AM$7:AM80,AM80)&gt;1,TRUE,FALSE))</f>
        <v>0</v>
      </c>
      <c r="AO80" s="218">
        <f t="shared" ref="AO80" si="835">IF($AD80=AO$6,$E79,0)</f>
        <v>0</v>
      </c>
      <c r="AP80" s="218" t="b">
        <f>IF(AO80=0,FALSE,IF(COUNTIF(AO$7:AO80,AO80)&gt;1,TRUE,FALSE))</f>
        <v>0</v>
      </c>
      <c r="AQ80" s="218">
        <f t="shared" ref="AQ80" si="836">IF(COUNTIF(Y80,"*十種競技*")&gt;0,E79,0)</f>
        <v>0</v>
      </c>
      <c r="AR80" s="218" t="b">
        <f>IF(AQ80=0,FALSE,IF(OR(COUNTIF($AI$7:$AI$406,AQ80)+COUNTIF($AQ80:$AQ$406,AQ80)&gt;1,COUNTIF($AK$7:$AK$406,AQ80)+COUNTIF($AQ$7:$AQ$406,AQ80)&gt;1),TRUE,FALSE))</f>
        <v>0</v>
      </c>
      <c r="AT80" s="218" t="b">
        <f t="shared" si="744"/>
        <v>0</v>
      </c>
      <c r="AU80" s="274"/>
      <c r="AX80" s="274"/>
      <c r="BD80" s="218" t="b">
        <f t="shared" si="732"/>
        <v>0</v>
      </c>
      <c r="BF80" s="231" t="b">
        <f t="shared" ref="BF80" si="837">IF(J80="",FALSE,IF(OR(AND(AU79,L80=""),AND(AU79,L80="",OR(M80&lt;&gt;"",N80&lt;&gt;"",O80&lt;&gt;"",P80&lt;&gt;""))),TRUE,FALSE))</f>
        <v>0</v>
      </c>
      <c r="BG80" s="218" t="b">
        <f t="shared" si="734"/>
        <v>0</v>
      </c>
      <c r="BH80" s="218" t="b">
        <f t="shared" si="746"/>
        <v>0</v>
      </c>
      <c r="BI80" s="231" t="b">
        <f t="shared" ref="BI80" si="838">IF(J80="",FALSE,IF(L80=0,FALSE,IF(AND(AU79,NOT(BF80),OR(M80="",N80="",O80="")),TRUE,FALSE)))</f>
        <v>0</v>
      </c>
      <c r="BJ80" s="240" t="b">
        <f t="shared" si="748"/>
        <v>0</v>
      </c>
      <c r="BK80" s="231" t="b">
        <f>IF(NOT(BJ80),FALSE,IF(AND(競技会設定!$C$5&lt;=BJ80,BJ80&lt;=競技会設定!$C$6),FALSE,TRUE))</f>
        <v>0</v>
      </c>
      <c r="BL80" s="218" t="b">
        <f>IF(J80="",FALSE,IF(L80=0,FALSE,IF(AND(AU79,NOT(BF80),NOT(BI80),P80=""),TRUE,FALSE)))</f>
        <v>0</v>
      </c>
      <c r="BO80" s="274"/>
    </row>
    <row r="81" spans="1:67" ht="17.399999999999999" customHeight="1">
      <c r="A81" s="418"/>
      <c r="B81" s="402"/>
      <c r="C81" s="404"/>
      <c r="D81" s="221"/>
      <c r="E81" s="394" t="str">
        <f>IF(C79="","",VLOOKUP(D79,男子登録!$A$2:$O$2001,14,0)&amp;" ("&amp;VLOOKUP(D79,男子登録!$A$2:$O$2001,15,0)&amp;")")</f>
        <v/>
      </c>
      <c r="F81" s="394"/>
      <c r="G81" s="222" t="str">
        <f>IF(C79="","",(VLOOKUP(D79,男子登録!$A$2:$N$2001,9,0)))</f>
        <v/>
      </c>
      <c r="H81" s="222"/>
      <c r="I81" s="222" t="s">
        <v>7063</v>
      </c>
      <c r="J81" s="150"/>
      <c r="K81" s="222" t="s">
        <v>7064</v>
      </c>
      <c r="L81" s="150"/>
      <c r="M81" s="255"/>
      <c r="N81" s="256"/>
      <c r="O81" s="257"/>
      <c r="P81" s="149"/>
      <c r="Q81" s="399"/>
      <c r="R81" s="392"/>
      <c r="S81" s="136"/>
      <c r="T81" s="137"/>
      <c r="U81" s="137"/>
      <c r="V81" s="137"/>
      <c r="W81" s="137"/>
      <c r="X81" s="137"/>
      <c r="Y81" s="218">
        <f t="shared" ref="Y81" si="839">IF(OR(E79="",J81=""),0,J81&amp;E79)</f>
        <v>0</v>
      </c>
      <c r="Z81" s="218">
        <f>IF(Y81=0,0,COUNTIF($Y$7:Y81,Y81))</f>
        <v>0</v>
      </c>
      <c r="AD81" s="218">
        <f>IFERROR(VLOOKUP(J81,競技会設定!$P$2:$S$22,2,0),0)</f>
        <v>0</v>
      </c>
      <c r="AE81" s="218">
        <f t="shared" ref="AE81" si="840">IF(E79="",0,IF(AD81=0,0,IF(AD81&lt;3,E79&amp;$AE$6,0)))</f>
        <v>0</v>
      </c>
      <c r="AF81" s="218">
        <f>IF(AE81=0,0,E79&amp;COUNTIF($AE$7:AE81,AE81))</f>
        <v>0</v>
      </c>
      <c r="AG81" s="218">
        <f t="shared" ref="AG81" si="841">IF(E79="",0,IF(AD81=0,0,IF(AD81&gt;=3,E79&amp;$AG$6,0)))</f>
        <v>0</v>
      </c>
      <c r="AH81" s="218">
        <f>IF(AG81=0,0,E79&amp;COUNTIF($AG$7:AG81,AG81))</f>
        <v>0</v>
      </c>
      <c r="AI81" s="218">
        <f t="shared" ref="AI81" si="842">IF(COUNTIF(Y81,"*十種*")&gt;0,0,IF($AD81=AI$6,$E79,0))</f>
        <v>0</v>
      </c>
      <c r="AJ81" s="218" t="b">
        <f>IF(AI81=0,FALSE,IF(COUNTIF(AI$7:AI81,AI81)&gt;1,TRUE,FALSE))</f>
        <v>0</v>
      </c>
      <c r="AK81" s="218">
        <f t="shared" ref="AK81" si="843">IF($AD81=AK$6,$E79,0)</f>
        <v>0</v>
      </c>
      <c r="AL81" s="218" t="b">
        <f>IF(AK81=0,FALSE,IF(COUNTIF(AK$7:AK81,AK81)&gt;1,TRUE,FALSE))</f>
        <v>0</v>
      </c>
      <c r="AM81" s="218">
        <f t="shared" ref="AM81" si="844">IF($AD81=AM$6,$E79,0)</f>
        <v>0</v>
      </c>
      <c r="AN81" s="218" t="b">
        <f>IF(AM81=0,FALSE,IF(COUNTIF(AM$7:AM81,AM81)&gt;1,TRUE,FALSE))</f>
        <v>0</v>
      </c>
      <c r="AO81" s="218">
        <f t="shared" ref="AO81" si="845">IF($AD81=AO$6,$E79,0)</f>
        <v>0</v>
      </c>
      <c r="AP81" s="218" t="b">
        <f>IF(AO81=0,FALSE,IF(COUNTIF(AO$7:AO81,AO81)&gt;1,TRUE,FALSE))</f>
        <v>0</v>
      </c>
      <c r="AQ81" s="218">
        <f t="shared" ref="AQ81" si="846">IF(COUNTIF(Y81,"*十種競技*")&gt;0,E79,0)</f>
        <v>0</v>
      </c>
      <c r="AR81" s="218" t="b">
        <f>IF(AQ81=0,FALSE,IF(OR(COUNTIF($AI$7:$AI$406,AQ81)+COUNTIF($AQ81:$AQ$406,AQ81)&gt;1,COUNTIF($AK$7:$AK$406,AQ81)+COUNTIF($AQ$7:$AQ$406,AQ81)&gt;1),TRUE,FALSE))</f>
        <v>0</v>
      </c>
      <c r="AT81" s="218" t="b">
        <f t="shared" si="744"/>
        <v>0</v>
      </c>
      <c r="AU81" s="274"/>
      <c r="AX81" s="274"/>
      <c r="BD81" s="218" t="b">
        <f t="shared" si="732"/>
        <v>0</v>
      </c>
      <c r="BF81" s="231" t="b">
        <f t="shared" ref="BF81" si="847">IF(J81="",FALSE,IF(OR(AND(AU79,L81=""),AND(AU79,L81="",OR(M81&lt;&gt;"",N81&lt;&gt;"",O81&lt;&gt;"",P81&lt;&gt;""))),TRUE,FALSE))</f>
        <v>0</v>
      </c>
      <c r="BG81" s="218" t="b">
        <f t="shared" si="734"/>
        <v>0</v>
      </c>
      <c r="BH81" s="218" t="b">
        <f t="shared" si="746"/>
        <v>0</v>
      </c>
      <c r="BI81" s="231" t="b">
        <f t="shared" ref="BI81" si="848">IF(J81="",FALSE,IF(L81=0,FALSE,IF(AND(AU79,NOT(BF81),OR(M81="",N81="",O81="")),TRUE,FALSE)))</f>
        <v>0</v>
      </c>
      <c r="BJ81" s="240" t="b">
        <f t="shared" si="748"/>
        <v>0</v>
      </c>
      <c r="BK81" s="231" t="b">
        <f>IF(NOT(BJ81),FALSE,IF(AND(競技会設定!$C$5&lt;=BJ81,BJ81&lt;=競技会設定!$C$6),FALSE,TRUE))</f>
        <v>0</v>
      </c>
      <c r="BL81" s="218" t="b">
        <f>IF(J81="",FALSE,IF(L81=0,FALSE,IF(AND(AU79,NOT(BF81),NOT(BI81),P81=""),TRUE,FALSE)))</f>
        <v>0</v>
      </c>
      <c r="BO81" s="274"/>
    </row>
    <row r="82" spans="1:67" ht="18" customHeight="1" thickBot="1">
      <c r="A82" s="419"/>
      <c r="B82" s="395" t="s">
        <v>7051</v>
      </c>
      <c r="C82" s="395"/>
      <c r="D82" s="221"/>
      <c r="E82" s="372"/>
      <c r="F82" s="372"/>
      <c r="G82" s="372"/>
      <c r="H82" s="214"/>
      <c r="I82" s="214" t="s">
        <v>7065</v>
      </c>
      <c r="J82" s="219"/>
      <c r="K82" s="214" t="s">
        <v>7066</v>
      </c>
      <c r="L82" s="219"/>
      <c r="M82" s="258"/>
      <c r="N82" s="259"/>
      <c r="O82" s="260"/>
      <c r="P82" s="219"/>
      <c r="Q82" s="400"/>
      <c r="R82" s="393"/>
      <c r="S82" s="136"/>
      <c r="T82" s="137"/>
      <c r="U82" s="137"/>
      <c r="V82" s="137"/>
      <c r="W82" s="137"/>
      <c r="X82" s="137"/>
      <c r="Y82" s="218">
        <f t="shared" ref="Y82" si="849">IF(OR(E79="",J82=""),0,J82&amp;E79)</f>
        <v>0</v>
      </c>
      <c r="Z82" s="218">
        <f>IF(Y82=0,0,COUNTIF($Y$7:Y82,Y82))</f>
        <v>0</v>
      </c>
      <c r="AD82" s="218">
        <f>IFERROR(VLOOKUP(J82,競技会設定!$P$2:$S$22,2,0),0)</f>
        <v>0</v>
      </c>
      <c r="AE82" s="218">
        <f t="shared" ref="AE82" si="850">IF(E79="",0,IF(AD82=0,0,IF(AD82&lt;3,E79&amp;$AE$6,0)))</f>
        <v>0</v>
      </c>
      <c r="AF82" s="218">
        <f>IF(AE82=0,0,E79&amp;COUNTIF($AE$7:AE82,AE82))</f>
        <v>0</v>
      </c>
      <c r="AG82" s="218">
        <f t="shared" ref="AG82" si="851">IF(E79="",0,IF(AD82=0,0,IF(AD82&gt;=3,E79&amp;$AG$6,0)))</f>
        <v>0</v>
      </c>
      <c r="AH82" s="218">
        <f>IF(AG82=0,0,E79&amp;COUNTIF($AG$7:AG82,AG82))</f>
        <v>0</v>
      </c>
      <c r="AI82" s="218">
        <f t="shared" ref="AI82" si="852">IF(COUNTIF(Y82,"*十種*")&gt;0,0,IF($AD82=AI$6,$E79,0))</f>
        <v>0</v>
      </c>
      <c r="AJ82" s="218" t="b">
        <f>IF(AI82=0,FALSE,IF(COUNTIF(AI$7:AI82,AI82)&gt;1,TRUE,FALSE))</f>
        <v>0</v>
      </c>
      <c r="AK82" s="218">
        <f t="shared" ref="AK82" si="853">IF($AD82=AK$6,$E79,0)</f>
        <v>0</v>
      </c>
      <c r="AL82" s="218" t="b">
        <f>IF(AK82=0,FALSE,IF(COUNTIF(AK$7:AK82,AK82)&gt;1,TRUE,FALSE))</f>
        <v>0</v>
      </c>
      <c r="AM82" s="218">
        <f t="shared" ref="AM82" si="854">IF($AD82=AM$6,$E79,0)</f>
        <v>0</v>
      </c>
      <c r="AN82" s="218" t="b">
        <f>IF(AM82=0,FALSE,IF(COUNTIF(AM$7:AM82,AM82)&gt;1,TRUE,FALSE))</f>
        <v>0</v>
      </c>
      <c r="AO82" s="218">
        <f t="shared" ref="AO82" si="855">IF($AD82=AO$6,$E79,0)</f>
        <v>0</v>
      </c>
      <c r="AP82" s="218" t="b">
        <f>IF(AO82=0,FALSE,IF(COUNTIF(AO$7:AO82,AO82)&gt;1,TRUE,FALSE))</f>
        <v>0</v>
      </c>
      <c r="AQ82" s="218">
        <f t="shared" ref="AQ82" si="856">IF(COUNTIF(Y82,"*十種競技*")&gt;0,E79,0)</f>
        <v>0</v>
      </c>
      <c r="AR82" s="218" t="b">
        <f>IF(AQ82=0,FALSE,IF(OR(COUNTIF($AI$7:$AI$406,AQ82)+COUNTIF($AQ82:$AQ$406,AQ82)&gt;1,COUNTIF($AK$7:$AK$406,AQ82)+COUNTIF($AQ$7:$AQ$406,AQ82)&gt;1),TRUE,FALSE))</f>
        <v>0</v>
      </c>
      <c r="AT82" s="218" t="b">
        <f t="shared" si="744"/>
        <v>0</v>
      </c>
      <c r="AU82" s="274"/>
      <c r="AX82" s="274"/>
      <c r="BD82" s="218" t="b">
        <f t="shared" si="732"/>
        <v>0</v>
      </c>
      <c r="BF82" s="231" t="b">
        <f t="shared" ref="BF82" si="857">IF(J82="",FALSE,IF(OR(AND(AU79,L82=""),AND(AU79,L82="",OR(M82&lt;&gt;"",N82&lt;&gt;"",O82&lt;&gt;"",P82&lt;&gt;""))),TRUE,FALSE))</f>
        <v>0</v>
      </c>
      <c r="BG82" s="218" t="b">
        <f t="shared" si="734"/>
        <v>0</v>
      </c>
      <c r="BH82" s="218" t="b">
        <f t="shared" si="746"/>
        <v>0</v>
      </c>
      <c r="BI82" s="231" t="b">
        <f t="shared" ref="BI82" si="858">IF(J82="",FALSE,IF(L82=0,FALSE,IF(AND(AU79,NOT(BF82),OR(M82="",N82="",O82="")),TRUE,FALSE)))</f>
        <v>0</v>
      </c>
      <c r="BJ82" s="240" t="b">
        <f t="shared" si="748"/>
        <v>0</v>
      </c>
      <c r="BK82" s="231" t="b">
        <f>IF(NOT(BJ82),FALSE,IF(AND(競技会設定!$C$5&lt;=BJ82,BJ82&lt;=競技会設定!$C$6),FALSE,TRUE))</f>
        <v>0</v>
      </c>
      <c r="BL82" s="218" t="b">
        <f>IF(J82="",FALSE,IF(L82=0,FALSE,IF(AND(AU79,NOT(BF82),NOT(BI82),P82=""),TRUE,FALSE)))</f>
        <v>0</v>
      </c>
      <c r="BO82" s="274"/>
    </row>
    <row r="83" spans="1:67" ht="18" customHeight="1" thickTop="1">
      <c r="A83" s="420">
        <v>20</v>
      </c>
      <c r="B83" s="373" t="s">
        <v>7050</v>
      </c>
      <c r="C83" s="375"/>
      <c r="D83" s="138" t="str">
        <f t="shared" ref="D83" si="859">IF(C83="","",501&amp;TEXT(C83,"000000"))</f>
        <v/>
      </c>
      <c r="E83" s="377" t="str">
        <f>IF(D83="","",(VLOOKUP(D83,男子登録!$A$2:$N$2001,3,0)))</f>
        <v/>
      </c>
      <c r="F83" s="377" t="str">
        <f>IF(D83="","",(VLOOKUP(D83,男子登録!$A$2:$N$2001,4,0)))</f>
        <v/>
      </c>
      <c r="G83" s="138" t="str">
        <f>IF(C83="","",(VLOOKUP(D83,男子登録!$A$2:$N$2001,8,0)))</f>
        <v/>
      </c>
      <c r="H83" s="138">
        <f>IFERROR(VLOOKUP(D83,男子登録!$A$2:$N$2001,11,0),基本情報!$E$5)</f>
        <v>0</v>
      </c>
      <c r="I83" s="138" t="s">
        <v>7059</v>
      </c>
      <c r="J83" s="151"/>
      <c r="K83" s="138" t="s">
        <v>7060</v>
      </c>
      <c r="L83" s="151"/>
      <c r="M83" s="261"/>
      <c r="N83" s="262"/>
      <c r="O83" s="263"/>
      <c r="P83" s="151"/>
      <c r="Q83" s="381"/>
      <c r="R83" s="384"/>
      <c r="S83" s="136">
        <f t="shared" ref="S83" si="860">IF(OR(E83="",Q83=""),0,E83)</f>
        <v>0</v>
      </c>
      <c r="T83" s="137">
        <f>IF(S83=0,0,COUNTIF($S$7:S83,"*"))</f>
        <v>0</v>
      </c>
      <c r="U83" s="137">
        <f>IF(S83=0,0,COUNTIF($S$7:S83,S83))</f>
        <v>0</v>
      </c>
      <c r="V83" s="137">
        <f t="shared" si="203"/>
        <v>0</v>
      </c>
      <c r="W83" s="137">
        <f>IF(V83=0,0,COUNTIF($V$7:V83,"*"))</f>
        <v>0</v>
      </c>
      <c r="X83" s="137">
        <f>IF(V83=0,0,COUNTIF($V$7:V83,V83))</f>
        <v>0</v>
      </c>
      <c r="Y83" s="218">
        <f t="shared" ref="Y83" si="861">IF(OR(E83="",J83=""),0,J83&amp;E83)</f>
        <v>0</v>
      </c>
      <c r="Z83" s="218">
        <f>IF(Y83=0,0,COUNTIF($Y$7:Y83,Y83))</f>
        <v>0</v>
      </c>
      <c r="AA83" s="218" t="b">
        <f t="shared" ref="AA83" si="862">IF(COUNTIF(J83:J86,"十種競技")&gt;0,TRUE,FALSE)</f>
        <v>0</v>
      </c>
      <c r="AB83" s="218">
        <f>IF(E83="",0,IF(AA83,COUNTIF($AA$7:AA83,TRUE),0))</f>
        <v>0</v>
      </c>
      <c r="AC83" s="218">
        <f>IFERROR(VLOOKUP("十種競技",J83:L86,3,0),0)</f>
        <v>0</v>
      </c>
      <c r="AD83" s="218">
        <f>IFERROR(VLOOKUP(J83,競技会設定!$P$2:$S$22,2,0),0)</f>
        <v>0</v>
      </c>
      <c r="AE83" s="218">
        <f t="shared" ref="AE83" si="863">IF(E83="",0,IF(AD83=0,0,IF(AD83&lt;3,E83&amp;$AE$6,0)))</f>
        <v>0</v>
      </c>
      <c r="AF83" s="218">
        <f>IF(AE83=0,0,E83&amp;COUNTIF($AE$7:AE83,AE83))</f>
        <v>0</v>
      </c>
      <c r="AG83" s="218">
        <f t="shared" ref="AG83" si="864">IF(E83="",0,IF(AD83=0,0,IF(AD83&gt;=3,E83&amp;$AG$6,0)))</f>
        <v>0</v>
      </c>
      <c r="AH83" s="218">
        <f>IF(AG83=0,0,E83&amp;COUNTIF($AG$7:AG83,AG83))</f>
        <v>0</v>
      </c>
      <c r="AI83" s="218">
        <f t="shared" si="304"/>
        <v>0</v>
      </c>
      <c r="AJ83" s="218" t="b">
        <f>IF(AI83=0,FALSE,IF(COUNTIF(AI$7:AI83,AI83)&gt;1,TRUE,FALSE))</f>
        <v>0</v>
      </c>
      <c r="AK83" s="218">
        <f t="shared" ref="AK83" si="865">IF($AD83=AK$6,$E83,0)</f>
        <v>0</v>
      </c>
      <c r="AL83" s="218" t="b">
        <f>IF(AK83=0,FALSE,IF(COUNTIF(AK$7:AK83,AK83)&gt;1,TRUE,FALSE))</f>
        <v>0</v>
      </c>
      <c r="AM83" s="218">
        <f t="shared" ref="AM83" si="866">IF($AD83=AM$6,$E83,0)</f>
        <v>0</v>
      </c>
      <c r="AN83" s="218" t="b">
        <f>IF(AM83=0,FALSE,IF(COUNTIF(AM$7:AM83,AM83)&gt;1,TRUE,FALSE))</f>
        <v>0</v>
      </c>
      <c r="AO83" s="218">
        <f t="shared" ref="AO83" si="867">IF($AD83=AO$6,$E83,0)</f>
        <v>0</v>
      </c>
      <c r="AP83" s="218" t="b">
        <f>IF(AO83=0,FALSE,IF(COUNTIF(AO$7:AO83,AO83)&gt;1,TRUE,FALSE))</f>
        <v>0</v>
      </c>
      <c r="AQ83" s="218">
        <f t="shared" ref="AQ83" si="868">IF(COUNTIF(Y83,"*十種競技*")&gt;0,E83,0)</f>
        <v>0</v>
      </c>
      <c r="AR83" s="218" t="b">
        <f>IF(AQ83=0,FALSE,IF(OR(COUNTIF($AI$7:$AI$406,AQ83)+COUNTIF($AQ83:$AQ$406,AQ83)&gt;1,COUNTIF($AK$7:$AK$406,AQ83)+COUNTIF($AQ$7:$AQ$406,AQ83)&gt;1),TRUE,FALSE))</f>
        <v>0</v>
      </c>
      <c r="AS83" s="218" t="b">
        <f t="shared" ref="AS83" si="869">IF(AND(C83="",E83&lt;&gt;"",F83&lt;&gt;"",E85&lt;&gt;"",G83&lt;&gt;"",G84&lt;&gt;"",G85&lt;&gt;""),TRUE,FALSE)</f>
        <v>0</v>
      </c>
      <c r="AT83" s="218" t="b">
        <f t="shared" si="744"/>
        <v>0</v>
      </c>
      <c r="AU83" s="274" t="b">
        <f t="shared" ref="AU83" si="870">IFERROR(IF(D83&amp;E83&amp;F83&amp;E85&amp;G83&amp;G84&amp;G85&amp;J83&amp;J84&amp;J85&amp;J86&amp;L83&amp;L84&amp;L85&amp;L86&amp;M83&amp;M84&amp;M85&amp;M86&amp;N83&amp;N84&amp;N85&amp;N86&amp;O83&amp;O84&amp;O85&amp;O86&amp;P83&amp;P84&amp;P85&amp;P86&amp;Q83&amp;R83="",FALSE,TRUE),FALSE)</f>
        <v>0</v>
      </c>
      <c r="AV83" s="218" t="b">
        <f t="shared" ref="AV83" si="871">IF(AS83,FALSE,IF(C83="",AU83,FALSE))</f>
        <v>0</v>
      </c>
      <c r="AW83" s="218" t="b">
        <f>IF(C83="",FALSE,IF(C83&gt;2000,TRUE,FALSE))</f>
        <v>0</v>
      </c>
      <c r="AX83" s="274" t="b">
        <f>IF(H83=0,FALSE,IF(EXACT(基本情報!$E$5,H83)=TRUE,FALSE,TRUE))</f>
        <v>0</v>
      </c>
      <c r="AY83" s="218" t="b">
        <f>IF(C83="",FALSE,IF(ISNA(E83)=TRUE,TRUE,FALSE))</f>
        <v>0</v>
      </c>
      <c r="AZ83" s="274" t="b">
        <f>IFERROR(IF(E83="",FALSE,IF(COUNTIF($E$7:E83,E83)&gt;1,TRUE,FALSE)),FALSE)</f>
        <v>0</v>
      </c>
      <c r="BA83" s="218" t="b">
        <f t="shared" ref="BA83" si="872">IF(OR(J83&amp;J84&amp;J85&amp;J86&amp;Q83&amp;R83="",AT83,AT84,AT85,AT86),AU83,FALSE)</f>
        <v>0</v>
      </c>
      <c r="BB83" s="218" t="b">
        <f>IF(U83&gt;1,TRUE,FALSE)</f>
        <v>0</v>
      </c>
      <c r="BC83" s="218" t="b">
        <f>IF(X83&gt;1,TRUE,FALSE)</f>
        <v>0</v>
      </c>
      <c r="BD83" s="218" t="b">
        <f t="shared" si="732"/>
        <v>0</v>
      </c>
      <c r="BF83" s="231" t="b">
        <f t="shared" ref="BF83" si="873">IF(J83="",FALSE,IF(OR(AND(AU83,L83=""),AND(AU83,L83="",OR(M83&lt;&gt;"",N83&lt;&gt;"",O83&lt;&gt;"",P83&lt;&gt;""))),TRUE,FALSE))</f>
        <v>0</v>
      </c>
      <c r="BG83" s="218" t="b">
        <f t="shared" si="734"/>
        <v>0</v>
      </c>
      <c r="BH83" s="218" t="b">
        <f t="shared" si="746"/>
        <v>0</v>
      </c>
      <c r="BI83" s="231" t="b">
        <f t="shared" ref="BI83" si="874">IF(J83="",FALSE,IF(L83=0,FALSE,IF(AND(AU83,NOT(BF83),OR(M83="",N83="",O83="")),TRUE,FALSE)))</f>
        <v>0</v>
      </c>
      <c r="BJ83" s="240" t="b">
        <f t="shared" si="748"/>
        <v>0</v>
      </c>
      <c r="BK83" s="231" t="b">
        <f>IF(NOT(BJ83),FALSE,IF(AND(競技会設定!$C$5&lt;=BJ83,BJ83&lt;=競技会設定!$C$6),FALSE,TRUE))</f>
        <v>0</v>
      </c>
      <c r="BL83" s="218" t="b">
        <f>IF(J83="",FALSE,IF(L83=0,FALSE,IF(AND(AU83,NOT(BF83),NOT(BI83),P83=""),TRUE,FALSE)))</f>
        <v>0</v>
      </c>
      <c r="BO83" s="274">
        <f t="shared" ref="BO83" si="875">IF(AND(AU83,SUM(COUNTIF(AV83:BC83,TRUE),COUNTIF(BF83:BL86,TRUE),COUNTIF(BD83:BD86,TRUE))=0,NOT($BE$7)),1,0)</f>
        <v>0</v>
      </c>
    </row>
    <row r="84" spans="1:67" ht="17.399999999999999" customHeight="1">
      <c r="A84" s="421"/>
      <c r="B84" s="374"/>
      <c r="C84" s="376"/>
      <c r="D84" s="139"/>
      <c r="E84" s="378"/>
      <c r="F84" s="378"/>
      <c r="G84" s="139" t="str">
        <f>IF(C83="","",(VLOOKUP(D83,男子登録!$A$2:$N$2001,13,0)))</f>
        <v/>
      </c>
      <c r="H84" s="139"/>
      <c r="I84" s="139" t="s">
        <v>7061</v>
      </c>
      <c r="J84" s="152"/>
      <c r="K84" s="139" t="s">
        <v>7062</v>
      </c>
      <c r="L84" s="152"/>
      <c r="M84" s="264"/>
      <c r="N84" s="265"/>
      <c r="O84" s="266"/>
      <c r="P84" s="152"/>
      <c r="Q84" s="382"/>
      <c r="R84" s="385"/>
      <c r="S84" s="136"/>
      <c r="T84" s="137"/>
      <c r="U84" s="137"/>
      <c r="V84" s="137"/>
      <c r="W84" s="137"/>
      <c r="X84" s="137"/>
      <c r="Y84" s="218">
        <f t="shared" ref="Y84" si="876">IF(OR(E83="",J84=""),0,J84&amp;E83)</f>
        <v>0</v>
      </c>
      <c r="Z84" s="218">
        <f>IF(Y84=0,0,COUNTIF($Y$7:Y84,Y84))</f>
        <v>0</v>
      </c>
      <c r="AD84" s="218">
        <f>IFERROR(VLOOKUP(J84,競技会設定!$P$2:$S$22,2,0),0)</f>
        <v>0</v>
      </c>
      <c r="AE84" s="218">
        <f t="shared" ref="AE84" si="877">IF(E83="",0,IF(AD84=0,0,IF(AD84&lt;3,E83&amp;$AE$6,0)))</f>
        <v>0</v>
      </c>
      <c r="AF84" s="218">
        <f>IF(AE84=0,0,E83&amp;COUNTIF($AE$7:AE84,AE84))</f>
        <v>0</v>
      </c>
      <c r="AG84" s="218">
        <f t="shared" ref="AG84" si="878">IF(E83="",0,IF(AD84=0,0,IF(AD84&gt;=3,E83&amp;$AG$6,0)))</f>
        <v>0</v>
      </c>
      <c r="AH84" s="218">
        <f>IF(AG84=0,0,E83&amp;COUNTIF($AG$7:AG84,AG84))</f>
        <v>0</v>
      </c>
      <c r="AI84" s="218">
        <f t="shared" si="319"/>
        <v>0</v>
      </c>
      <c r="AJ84" s="218" t="b">
        <f>IF(AI84=0,FALSE,IF(COUNTIF(AI$7:AI84,AI84)&gt;1,TRUE,FALSE))</f>
        <v>0</v>
      </c>
      <c r="AK84" s="218">
        <f t="shared" ref="AK84" si="879">IF($AD84=AK$6,$E83,0)</f>
        <v>0</v>
      </c>
      <c r="AL84" s="218" t="b">
        <f>IF(AK84=0,FALSE,IF(COUNTIF(AK$7:AK84,AK84)&gt;1,TRUE,FALSE))</f>
        <v>0</v>
      </c>
      <c r="AM84" s="218">
        <f t="shared" ref="AM84" si="880">IF($AD84=AM$6,$E83,0)</f>
        <v>0</v>
      </c>
      <c r="AN84" s="218" t="b">
        <f>IF(AM84=0,FALSE,IF(COUNTIF(AM$7:AM84,AM84)&gt;1,TRUE,FALSE))</f>
        <v>0</v>
      </c>
      <c r="AO84" s="218">
        <f t="shared" ref="AO84" si="881">IF($AD84=AO$6,$E83,0)</f>
        <v>0</v>
      </c>
      <c r="AP84" s="218" t="b">
        <f>IF(AO84=0,FALSE,IF(COUNTIF(AO$7:AO84,AO84)&gt;1,TRUE,FALSE))</f>
        <v>0</v>
      </c>
      <c r="AQ84" s="218">
        <f t="shared" ref="AQ84" si="882">IF(COUNTIF(Y84,"*十種競技*")&gt;0,E83,0)</f>
        <v>0</v>
      </c>
      <c r="AR84" s="218" t="b">
        <f>IF(AQ84=0,FALSE,IF(OR(COUNTIF($AI$7:$AI$406,AQ84)+COUNTIF($AQ84:$AQ$406,AQ84)&gt;1,COUNTIF($AK$7:$AK$406,AQ84)+COUNTIF($AQ$7:$AQ$406,AQ84)&gt;1),TRUE,FALSE))</f>
        <v>0</v>
      </c>
      <c r="AT84" s="218" t="b">
        <f t="shared" si="744"/>
        <v>0</v>
      </c>
      <c r="AU84" s="274"/>
      <c r="AX84" s="274"/>
      <c r="BD84" s="218" t="b">
        <f t="shared" si="732"/>
        <v>0</v>
      </c>
      <c r="BF84" s="231" t="b">
        <f t="shared" ref="BF84" si="883">IF(J84="",FALSE,IF(OR(AND(AU83,L84=""),AND(AU83,L84="",OR(M84&lt;&gt;"",N84&lt;&gt;"",O84&lt;&gt;"",P84&lt;&gt;""))),TRUE,FALSE))</f>
        <v>0</v>
      </c>
      <c r="BG84" s="218" t="b">
        <f t="shared" si="734"/>
        <v>0</v>
      </c>
      <c r="BH84" s="218" t="b">
        <f t="shared" si="746"/>
        <v>0</v>
      </c>
      <c r="BI84" s="231" t="b">
        <f t="shared" ref="BI84" si="884">IF(J84="",FALSE,IF(L84=0,FALSE,IF(AND(AU83,NOT(BF84),OR(M84="",N84="",O84="")),TRUE,FALSE)))</f>
        <v>0</v>
      </c>
      <c r="BJ84" s="240" t="b">
        <f t="shared" si="748"/>
        <v>0</v>
      </c>
      <c r="BK84" s="231" t="b">
        <f>IF(NOT(BJ84),FALSE,IF(AND(競技会設定!$C$5&lt;=BJ84,BJ84&lt;=競技会設定!$C$6),FALSE,TRUE))</f>
        <v>0</v>
      </c>
      <c r="BL84" s="218" t="b">
        <f>IF(J84="",FALSE,IF(L84=0,FALSE,IF(AND(AU83,NOT(BF84),NOT(BI84),P84=""),TRUE,FALSE)))</f>
        <v>0</v>
      </c>
      <c r="BO84" s="274"/>
    </row>
    <row r="85" spans="1:67" ht="17.399999999999999" customHeight="1">
      <c r="A85" s="421"/>
      <c r="B85" s="374"/>
      <c r="C85" s="376"/>
      <c r="D85" s="140"/>
      <c r="E85" s="379" t="str">
        <f>IF(C83="","",VLOOKUP(D83,男子登録!$A$2:$O$2001,14,0)&amp;" ("&amp;VLOOKUP(D83,男子登録!$A$2:$O$2001,15,0)&amp;")")</f>
        <v/>
      </c>
      <c r="F85" s="380"/>
      <c r="G85" s="140" t="str">
        <f>IF(C83="","",(VLOOKUP(D83,男子登録!$A$2:$N$2001,9,0)))</f>
        <v/>
      </c>
      <c r="H85" s="140"/>
      <c r="I85" s="140" t="s">
        <v>7063</v>
      </c>
      <c r="J85" s="153"/>
      <c r="K85" s="140" t="s">
        <v>7064</v>
      </c>
      <c r="L85" s="153"/>
      <c r="M85" s="264"/>
      <c r="N85" s="265"/>
      <c r="O85" s="266"/>
      <c r="P85" s="152"/>
      <c r="Q85" s="382"/>
      <c r="R85" s="385"/>
      <c r="S85" s="136"/>
      <c r="T85" s="137"/>
      <c r="U85" s="137"/>
      <c r="V85" s="137"/>
      <c r="W85" s="137"/>
      <c r="X85" s="137"/>
      <c r="Y85" s="218">
        <f t="shared" ref="Y85" si="885">IF(OR(E83="",J85=""),0,J85&amp;E83)</f>
        <v>0</v>
      </c>
      <c r="Z85" s="218">
        <f>IF(Y85=0,0,COUNTIF($Y$7:Y85,Y85))</f>
        <v>0</v>
      </c>
      <c r="AD85" s="218">
        <f>IFERROR(VLOOKUP(J85,競技会設定!$P$2:$S$22,2,0),0)</f>
        <v>0</v>
      </c>
      <c r="AE85" s="218">
        <f t="shared" ref="AE85" si="886">IF(E83="",0,IF(AD85=0,0,IF(AD85&lt;3,E83&amp;$AE$6,0)))</f>
        <v>0</v>
      </c>
      <c r="AF85" s="218">
        <f>IF(AE85=0,0,E83&amp;COUNTIF($AE$7:AE85,AE85))</f>
        <v>0</v>
      </c>
      <c r="AG85" s="218">
        <f t="shared" ref="AG85" si="887">IF(E83="",0,IF(AD85=0,0,IF(AD85&gt;=3,E83&amp;$AG$6,0)))</f>
        <v>0</v>
      </c>
      <c r="AH85" s="218">
        <f>IF(AG85=0,0,E83&amp;COUNTIF($AG$7:AG85,AG85))</f>
        <v>0</v>
      </c>
      <c r="AI85" s="218">
        <f t="shared" si="329"/>
        <v>0</v>
      </c>
      <c r="AJ85" s="218" t="b">
        <f>IF(AI85=0,FALSE,IF(COUNTIF(AI$7:AI85,AI85)&gt;1,TRUE,FALSE))</f>
        <v>0</v>
      </c>
      <c r="AK85" s="218">
        <f t="shared" ref="AK85" si="888">IF($AD85=AK$6,$E83,0)</f>
        <v>0</v>
      </c>
      <c r="AL85" s="218" t="b">
        <f>IF(AK85=0,FALSE,IF(COUNTIF(AK$7:AK85,AK85)&gt;1,TRUE,FALSE))</f>
        <v>0</v>
      </c>
      <c r="AM85" s="218">
        <f t="shared" ref="AM85" si="889">IF($AD85=AM$6,$E83,0)</f>
        <v>0</v>
      </c>
      <c r="AN85" s="218" t="b">
        <f>IF(AM85=0,FALSE,IF(COUNTIF(AM$7:AM85,AM85)&gt;1,TRUE,FALSE))</f>
        <v>0</v>
      </c>
      <c r="AO85" s="218">
        <f t="shared" ref="AO85" si="890">IF($AD85=AO$6,$E83,0)</f>
        <v>0</v>
      </c>
      <c r="AP85" s="218" t="b">
        <f>IF(AO85=0,FALSE,IF(COUNTIF(AO$7:AO85,AO85)&gt;1,TRUE,FALSE))</f>
        <v>0</v>
      </c>
      <c r="AQ85" s="218">
        <f t="shared" ref="AQ85" si="891">IF(COUNTIF(Y85,"*十種競技*")&gt;0,E83,0)</f>
        <v>0</v>
      </c>
      <c r="AR85" s="218" t="b">
        <f>IF(AQ85=0,FALSE,IF(OR(COUNTIF($AI$7:$AI$406,AQ85)+COUNTIF($AQ85:$AQ$406,AQ85)&gt;1,COUNTIF($AK$7:$AK$406,AQ85)+COUNTIF($AQ$7:$AQ$406,AQ85)&gt;1),TRUE,FALSE))</f>
        <v>0</v>
      </c>
      <c r="AT85" s="218" t="b">
        <f t="shared" si="744"/>
        <v>0</v>
      </c>
      <c r="AU85" s="274"/>
      <c r="AX85" s="274"/>
      <c r="BD85" s="218" t="b">
        <f t="shared" si="732"/>
        <v>0</v>
      </c>
      <c r="BF85" s="231" t="b">
        <f t="shared" ref="BF85" si="892">IF(J85="",FALSE,IF(OR(AND(AU83,L85=""),AND(AU83,L85="",OR(M85&lt;&gt;"",N85&lt;&gt;"",O85&lt;&gt;"",P85&lt;&gt;""))),TRUE,FALSE))</f>
        <v>0</v>
      </c>
      <c r="BG85" s="218" t="b">
        <f t="shared" si="734"/>
        <v>0</v>
      </c>
      <c r="BH85" s="218" t="b">
        <f t="shared" si="746"/>
        <v>0</v>
      </c>
      <c r="BI85" s="231" t="b">
        <f t="shared" ref="BI85" si="893">IF(J85="",FALSE,IF(L85=0,FALSE,IF(AND(AU83,NOT(BF85),OR(M85="",N85="",O85="")),TRUE,FALSE)))</f>
        <v>0</v>
      </c>
      <c r="BJ85" s="240" t="b">
        <f t="shared" si="748"/>
        <v>0</v>
      </c>
      <c r="BK85" s="231" t="b">
        <f>IF(NOT(BJ85),FALSE,IF(AND(競技会設定!$C$5&lt;=BJ85,BJ85&lt;=競技会設定!$C$6),FALSE,TRUE))</f>
        <v>0</v>
      </c>
      <c r="BL85" s="218" t="b">
        <f>IF(J85="",FALSE,IF(L85=0,FALSE,IF(AND(AU83,NOT(BF85),NOT(BI85),P85=""),TRUE,FALSE)))</f>
        <v>0</v>
      </c>
      <c r="BO85" s="274"/>
    </row>
    <row r="86" spans="1:67" ht="18" customHeight="1" thickBot="1">
      <c r="A86" s="422"/>
      <c r="B86" s="387" t="s">
        <v>7051</v>
      </c>
      <c r="C86" s="387"/>
      <c r="D86" s="213"/>
      <c r="E86" s="388"/>
      <c r="F86" s="389"/>
      <c r="G86" s="390"/>
      <c r="H86" s="141"/>
      <c r="I86" s="213" t="s">
        <v>7065</v>
      </c>
      <c r="J86" s="154"/>
      <c r="K86" s="213" t="s">
        <v>7066</v>
      </c>
      <c r="L86" s="154"/>
      <c r="M86" s="267"/>
      <c r="N86" s="268"/>
      <c r="O86" s="269"/>
      <c r="P86" s="154"/>
      <c r="Q86" s="383"/>
      <c r="R86" s="386"/>
      <c r="S86" s="136"/>
      <c r="T86" s="137"/>
      <c r="U86" s="137"/>
      <c r="V86" s="137"/>
      <c r="W86" s="137"/>
      <c r="X86" s="137"/>
      <c r="Y86" s="218">
        <f t="shared" ref="Y86" si="894">IF(OR(E83="",J86=""),0,J86&amp;E83)</f>
        <v>0</v>
      </c>
      <c r="Z86" s="218">
        <f>IF(Y86=0,0,COUNTIF($Y$7:Y86,Y86))</f>
        <v>0</v>
      </c>
      <c r="AD86" s="218">
        <f>IFERROR(VLOOKUP(J86,競技会設定!$P$2:$S$22,2,0),0)</f>
        <v>0</v>
      </c>
      <c r="AE86" s="218">
        <f t="shared" ref="AE86" si="895">IF(E83="",0,IF(AD86=0,0,IF(AD86&lt;3,E83&amp;$AE$6,0)))</f>
        <v>0</v>
      </c>
      <c r="AF86" s="218">
        <f>IF(AE86=0,0,E83&amp;COUNTIF($AE$7:AE86,AE86))</f>
        <v>0</v>
      </c>
      <c r="AG86" s="218">
        <f t="shared" ref="AG86" si="896">IF(E83="",0,IF(AD86=0,0,IF(AD86&gt;=3,E83&amp;$AG$6,0)))</f>
        <v>0</v>
      </c>
      <c r="AH86" s="218">
        <f>IF(AG86=0,0,E83&amp;COUNTIF($AG$7:AG86,AG86))</f>
        <v>0</v>
      </c>
      <c r="AI86" s="218">
        <f t="shared" si="339"/>
        <v>0</v>
      </c>
      <c r="AJ86" s="218" t="b">
        <f>IF(AI86=0,FALSE,IF(COUNTIF(AI$7:AI86,AI86)&gt;1,TRUE,FALSE))</f>
        <v>0</v>
      </c>
      <c r="AK86" s="218">
        <f t="shared" ref="AK86" si="897">IF($AD86=AK$6,$E83,0)</f>
        <v>0</v>
      </c>
      <c r="AL86" s="218" t="b">
        <f>IF(AK86=0,FALSE,IF(COUNTIF(AK$7:AK86,AK86)&gt;1,TRUE,FALSE))</f>
        <v>0</v>
      </c>
      <c r="AM86" s="218">
        <f t="shared" ref="AM86" si="898">IF($AD86=AM$6,$E83,0)</f>
        <v>0</v>
      </c>
      <c r="AN86" s="218" t="b">
        <f>IF(AM86=0,FALSE,IF(COUNTIF(AM$7:AM86,AM86)&gt;1,TRUE,FALSE))</f>
        <v>0</v>
      </c>
      <c r="AO86" s="218">
        <f t="shared" ref="AO86" si="899">IF($AD86=AO$6,$E83,0)</f>
        <v>0</v>
      </c>
      <c r="AP86" s="218" t="b">
        <f>IF(AO86=0,FALSE,IF(COUNTIF(AO$7:AO86,AO86)&gt;1,TRUE,FALSE))</f>
        <v>0</v>
      </c>
      <c r="AQ86" s="218">
        <f t="shared" ref="AQ86" si="900">IF(COUNTIF(Y86,"*十種競技*")&gt;0,E83,0)</f>
        <v>0</v>
      </c>
      <c r="AR86" s="218" t="b">
        <f>IF(AQ86=0,FALSE,IF(OR(COUNTIF($AI$7:$AI$406,AQ86)+COUNTIF($AQ86:$AQ$406,AQ86)&gt;1,COUNTIF($AK$7:$AK$406,AQ86)+COUNTIF($AQ$7:$AQ$406,AQ86)&gt;1),TRUE,FALSE))</f>
        <v>0</v>
      </c>
      <c r="AT86" s="218" t="b">
        <f t="shared" si="744"/>
        <v>0</v>
      </c>
      <c r="AU86" s="274"/>
      <c r="AX86" s="274"/>
      <c r="BD86" s="218" t="b">
        <f t="shared" si="732"/>
        <v>0</v>
      </c>
      <c r="BF86" s="231" t="b">
        <f t="shared" ref="BF86" si="901">IF(J86="",FALSE,IF(OR(AND(AU83,L86=""),AND(AU83,L86="",OR(M86&lt;&gt;"",N86&lt;&gt;"",O86&lt;&gt;"",P86&lt;&gt;""))),TRUE,FALSE))</f>
        <v>0</v>
      </c>
      <c r="BG86" s="218" t="b">
        <f t="shared" si="734"/>
        <v>0</v>
      </c>
      <c r="BH86" s="218" t="b">
        <f t="shared" si="746"/>
        <v>0</v>
      </c>
      <c r="BI86" s="231" t="b">
        <f t="shared" ref="BI86" si="902">IF(J86="",FALSE,IF(L86=0,FALSE,IF(AND(AU83,NOT(BF86),OR(M86="",N86="",O86="")),TRUE,FALSE)))</f>
        <v>0</v>
      </c>
      <c r="BJ86" s="240" t="b">
        <f t="shared" si="748"/>
        <v>0</v>
      </c>
      <c r="BK86" s="231" t="b">
        <f>IF(NOT(BJ86),FALSE,IF(AND(競技会設定!$C$5&lt;=BJ86,BJ86&lt;=競技会設定!$C$6),FALSE,TRUE))</f>
        <v>0</v>
      </c>
      <c r="BL86" s="218" t="b">
        <f>IF(J86="",FALSE,IF(L86=0,FALSE,IF(AND(AU83,NOT(BF86),NOT(BI86),P86=""),TRUE,FALSE)))</f>
        <v>0</v>
      </c>
      <c r="BO86" s="274"/>
    </row>
    <row r="87" spans="1:67" ht="18" customHeight="1" thickTop="1">
      <c r="A87" s="417">
        <v>21</v>
      </c>
      <c r="B87" s="401" t="s">
        <v>7050</v>
      </c>
      <c r="C87" s="403"/>
      <c r="D87" s="220" t="str">
        <f t="shared" ref="D87" si="903">IF(C87="","",501&amp;TEXT(C87,"000000"))</f>
        <v/>
      </c>
      <c r="E87" s="396" t="str">
        <f>IF(D87="","",(VLOOKUP(D87,男子登録!$A$2:$N$2001,3,0)))</f>
        <v/>
      </c>
      <c r="F87" s="396" t="str">
        <f>IF(D87="","",(VLOOKUP(D87,男子登録!$A$2:$N$2001,4,0)))</f>
        <v/>
      </c>
      <c r="G87" s="220" t="str">
        <f>IF(C87="","",(VLOOKUP(D87,男子登録!$A$2:$N$2001,8,0)))</f>
        <v/>
      </c>
      <c r="H87" s="220">
        <f>IFERROR(VLOOKUP(D87,男子登録!$A$2:$N$2001,11,0),基本情報!$E$5)</f>
        <v>0</v>
      </c>
      <c r="I87" s="220" t="s">
        <v>7059</v>
      </c>
      <c r="J87" s="148"/>
      <c r="K87" s="220" t="s">
        <v>7060</v>
      </c>
      <c r="L87" s="148"/>
      <c r="M87" s="252"/>
      <c r="N87" s="253"/>
      <c r="O87" s="254"/>
      <c r="P87" s="148"/>
      <c r="Q87" s="398"/>
      <c r="R87" s="391"/>
      <c r="S87" s="136">
        <f t="shared" ref="S87" si="904">IF(OR(E87="",Q87=""),0,E87)</f>
        <v>0</v>
      </c>
      <c r="T87" s="137">
        <f>IF(S87=0,0,COUNTIF($S$7:S87,"*"))</f>
        <v>0</v>
      </c>
      <c r="U87" s="137">
        <f>IF(S87=0,0,COUNTIF($S$7:S87,S87))</f>
        <v>0</v>
      </c>
      <c r="V87" s="137">
        <f t="shared" si="203"/>
        <v>0</v>
      </c>
      <c r="W87" s="137">
        <f>IF(V87=0,0,COUNTIF($V$7:V87,"*"))</f>
        <v>0</v>
      </c>
      <c r="X87" s="137">
        <f>IF(V87=0,0,COUNTIF($V$7:V87,V87))</f>
        <v>0</v>
      </c>
      <c r="Y87" s="218">
        <f t="shared" ref="Y87" si="905">IF(OR(E87="",J87=""),0,J87&amp;E87)</f>
        <v>0</v>
      </c>
      <c r="Z87" s="218">
        <f>IF(Y87=0,0,COUNTIF($Y$7:Y87,Y87))</f>
        <v>0</v>
      </c>
      <c r="AA87" s="218" t="b">
        <f t="shared" ref="AA87" si="906">IF(COUNTIF(J87:J90,"十種競技")&gt;0,TRUE,FALSE)</f>
        <v>0</v>
      </c>
      <c r="AB87" s="218">
        <f>IF(E87="",0,IF(AA87,COUNTIF($AA$7:AA87,TRUE),0))</f>
        <v>0</v>
      </c>
      <c r="AC87" s="218">
        <f>IFERROR(VLOOKUP("十種競技",J87:L90,3,0),0)</f>
        <v>0</v>
      </c>
      <c r="AD87" s="218">
        <f>IFERROR(VLOOKUP(J87,競技会設定!$P$2:$S$22,2,0),0)</f>
        <v>0</v>
      </c>
      <c r="AE87" s="218">
        <f t="shared" ref="AE87" si="907">IF(E87="",0,IF(AD87=0,0,IF(AD87&lt;3,E87&amp;$AE$6,0)))</f>
        <v>0</v>
      </c>
      <c r="AF87" s="218">
        <f>IF(AE87=0,0,E87&amp;COUNTIF($AE$7:AE87,AE87))</f>
        <v>0</v>
      </c>
      <c r="AG87" s="218">
        <f t="shared" ref="AG87" si="908">IF(E87="",0,IF(AD87=0,0,IF(AD87&gt;=3,E87&amp;$AG$6,0)))</f>
        <v>0</v>
      </c>
      <c r="AH87" s="218">
        <f>IF(AG87=0,0,E87&amp;COUNTIF($AG$7:AG87,AG87))</f>
        <v>0</v>
      </c>
      <c r="AI87" s="218">
        <f t="shared" si="352"/>
        <v>0</v>
      </c>
      <c r="AJ87" s="218" t="b">
        <f>IF(AI87=0,FALSE,IF(COUNTIF(AI$7:AI87,AI87)&gt;1,TRUE,FALSE))</f>
        <v>0</v>
      </c>
      <c r="AK87" s="218">
        <f t="shared" ref="AK87" si="909">IF($AD87=AK$6,$E87,0)</f>
        <v>0</v>
      </c>
      <c r="AL87" s="218" t="b">
        <f>IF(AK87=0,FALSE,IF(COUNTIF(AK$7:AK87,AK87)&gt;1,TRUE,FALSE))</f>
        <v>0</v>
      </c>
      <c r="AM87" s="218">
        <f t="shared" ref="AM87" si="910">IF($AD87=AM$6,$E87,0)</f>
        <v>0</v>
      </c>
      <c r="AN87" s="218" t="b">
        <f>IF(AM87=0,FALSE,IF(COUNTIF(AM$7:AM87,AM87)&gt;1,TRUE,FALSE))</f>
        <v>0</v>
      </c>
      <c r="AO87" s="218">
        <f t="shared" ref="AO87" si="911">IF($AD87=AO$6,$E87,0)</f>
        <v>0</v>
      </c>
      <c r="AP87" s="218" t="b">
        <f>IF(AO87=0,FALSE,IF(COUNTIF(AO$7:AO87,AO87)&gt;1,TRUE,FALSE))</f>
        <v>0</v>
      </c>
      <c r="AQ87" s="218">
        <f t="shared" ref="AQ87" si="912">IF(COUNTIF(Y87,"*十種競技*")&gt;0,E87,0)</f>
        <v>0</v>
      </c>
      <c r="AR87" s="218" t="b">
        <f>IF(AQ87=0,FALSE,IF(OR(COUNTIF($AI$7:$AI$406,AQ87)+COUNTIF($AQ87:$AQ$406,AQ87)&gt;1,COUNTIF($AK$7:$AK$406,AQ87)+COUNTIF($AQ$7:$AQ$406,AQ87)&gt;1),TRUE,FALSE))</f>
        <v>0</v>
      </c>
      <c r="AS87" s="218" t="b">
        <f t="shared" ref="AS87" si="913">IF(AND(C87="",E87&lt;&gt;"",F87&lt;&gt;"",E89&lt;&gt;"",G87&lt;&gt;"",G88&lt;&gt;"",G89&lt;&gt;""),TRUE,FALSE)</f>
        <v>0</v>
      </c>
      <c r="AT87" s="218" t="b">
        <f t="shared" si="744"/>
        <v>0</v>
      </c>
      <c r="AU87" s="274" t="b">
        <f t="shared" ref="AU87" si="914">IFERROR(IF(D87&amp;E87&amp;F87&amp;E89&amp;G87&amp;G88&amp;G89&amp;J87&amp;J88&amp;J89&amp;J90&amp;L87&amp;L88&amp;L89&amp;L90&amp;M87&amp;M88&amp;M89&amp;M90&amp;N87&amp;N88&amp;N89&amp;N90&amp;O87&amp;O88&amp;O89&amp;O90&amp;P87&amp;P88&amp;P89&amp;P90&amp;Q87&amp;R87="",FALSE,TRUE),FALSE)</f>
        <v>0</v>
      </c>
      <c r="AV87" s="218" t="b">
        <f t="shared" ref="AV87" si="915">IF(AS87,FALSE,IF(C87="",AU87,FALSE))</f>
        <v>0</v>
      </c>
      <c r="AW87" s="218" t="b">
        <f>IF(C87="",FALSE,IF(C87&gt;2000,TRUE,FALSE))</f>
        <v>0</v>
      </c>
      <c r="AX87" s="274" t="b">
        <f>IF(H87=0,FALSE,IF(EXACT(基本情報!$E$5,H87)=TRUE,FALSE,TRUE))</f>
        <v>0</v>
      </c>
      <c r="AY87" s="218" t="b">
        <f>IF(C87="",FALSE,IF(ISNA(E87)=TRUE,TRUE,FALSE))</f>
        <v>0</v>
      </c>
      <c r="AZ87" s="274" t="b">
        <f>IFERROR(IF(E87="",FALSE,IF(COUNTIF($E$7:E87,E87)&gt;1,TRUE,FALSE)),FALSE)</f>
        <v>0</v>
      </c>
      <c r="BA87" s="218" t="b">
        <f t="shared" ref="BA87" si="916">IF(OR(J87&amp;J88&amp;J89&amp;J90&amp;Q87&amp;R87="",AT87,AT88,AT89,AT90),AU87,FALSE)</f>
        <v>0</v>
      </c>
      <c r="BB87" s="218" t="b">
        <f>IF(U87&gt;1,TRUE,FALSE)</f>
        <v>0</v>
      </c>
      <c r="BC87" s="218" t="b">
        <f>IF(X87&gt;1,TRUE,FALSE)</f>
        <v>0</v>
      </c>
      <c r="BD87" s="218" t="b">
        <f t="shared" si="732"/>
        <v>0</v>
      </c>
      <c r="BF87" s="231" t="b">
        <f t="shared" ref="BF87" si="917">IF(J87="",FALSE,IF(OR(AND(AU87,L87=""),AND(AU87,L87="",OR(M87&lt;&gt;"",N87&lt;&gt;"",O87&lt;&gt;"",P87&lt;&gt;""))),TRUE,FALSE))</f>
        <v>0</v>
      </c>
      <c r="BG87" s="218" t="b">
        <f t="shared" si="734"/>
        <v>0</v>
      </c>
      <c r="BH87" s="218" t="b">
        <f t="shared" si="746"/>
        <v>0</v>
      </c>
      <c r="BI87" s="231" t="b">
        <f t="shared" ref="BI87" si="918">IF(J87="",FALSE,IF(L87=0,FALSE,IF(AND(AU87,NOT(BF87),OR(M87="",N87="",O87="")),TRUE,FALSE)))</f>
        <v>0</v>
      </c>
      <c r="BJ87" s="240" t="b">
        <f t="shared" si="748"/>
        <v>0</v>
      </c>
      <c r="BK87" s="231" t="b">
        <f>IF(NOT(BJ87),FALSE,IF(AND(競技会設定!$C$5&lt;=BJ87,BJ87&lt;=競技会設定!$C$6),FALSE,TRUE))</f>
        <v>0</v>
      </c>
      <c r="BL87" s="218" t="b">
        <f>IF(J87="",FALSE,IF(L87=0,FALSE,IF(AND(AU87,NOT(BF87),NOT(BI87),P87=""),TRUE,FALSE)))</f>
        <v>0</v>
      </c>
      <c r="BO87" s="274">
        <f t="shared" ref="BO87" si="919">IF(AND(AU87,SUM(COUNTIF(AV87:BC87,TRUE),COUNTIF(BF87:BL90,TRUE),COUNTIF(BD87:BD90,TRUE))=0,NOT($BE$7)),1,0)</f>
        <v>0</v>
      </c>
    </row>
    <row r="88" spans="1:67" ht="17.399999999999999" customHeight="1">
      <c r="A88" s="418"/>
      <c r="B88" s="402"/>
      <c r="C88" s="404"/>
      <c r="D88" s="221"/>
      <c r="E88" s="397"/>
      <c r="F88" s="397"/>
      <c r="G88" s="221" t="str">
        <f>IF(C87="","",(VLOOKUP(D87,男子登録!$A$2:$N$2001,13,0)))</f>
        <v/>
      </c>
      <c r="H88" s="221"/>
      <c r="I88" s="221" t="s">
        <v>7061</v>
      </c>
      <c r="J88" s="149"/>
      <c r="K88" s="221" t="s">
        <v>7062</v>
      </c>
      <c r="L88" s="149"/>
      <c r="M88" s="255"/>
      <c r="N88" s="256"/>
      <c r="O88" s="257"/>
      <c r="P88" s="149"/>
      <c r="Q88" s="399"/>
      <c r="R88" s="392"/>
      <c r="S88" s="136"/>
      <c r="T88" s="137"/>
      <c r="U88" s="137"/>
      <c r="V88" s="137"/>
      <c r="W88" s="137"/>
      <c r="X88" s="137"/>
      <c r="Y88" s="218">
        <f t="shared" ref="Y88" si="920">IF(OR(E87="",J88=""),0,J88&amp;E87)</f>
        <v>0</v>
      </c>
      <c r="Z88" s="218">
        <f>IF(Y88=0,0,COUNTIF($Y$7:Y88,Y88))</f>
        <v>0</v>
      </c>
      <c r="AD88" s="218">
        <f>IFERROR(VLOOKUP(J88,競技会設定!$P$2:$S$22,2,0),0)</f>
        <v>0</v>
      </c>
      <c r="AE88" s="218">
        <f t="shared" ref="AE88" si="921">IF(E87="",0,IF(AD88=0,0,IF(AD88&lt;3,E87&amp;$AE$6,0)))</f>
        <v>0</v>
      </c>
      <c r="AF88" s="218">
        <f>IF(AE88=0,0,E87&amp;COUNTIF($AE$7:AE88,AE88))</f>
        <v>0</v>
      </c>
      <c r="AG88" s="218">
        <f t="shared" ref="AG88" si="922">IF(E87="",0,IF(AD88=0,0,IF(AD88&gt;=3,E87&amp;$AG$6,0)))</f>
        <v>0</v>
      </c>
      <c r="AH88" s="218">
        <f>IF(AG88=0,0,E87&amp;COUNTIF($AG$7:AG88,AG88))</f>
        <v>0</v>
      </c>
      <c r="AI88" s="218">
        <f t="shared" si="367"/>
        <v>0</v>
      </c>
      <c r="AJ88" s="218" t="b">
        <f>IF(AI88=0,FALSE,IF(COUNTIF(AI$7:AI88,AI88)&gt;1,TRUE,FALSE))</f>
        <v>0</v>
      </c>
      <c r="AK88" s="218">
        <f t="shared" ref="AK88" si="923">IF($AD88=AK$6,$E87,0)</f>
        <v>0</v>
      </c>
      <c r="AL88" s="218" t="b">
        <f>IF(AK88=0,FALSE,IF(COUNTIF(AK$7:AK88,AK88)&gt;1,TRUE,FALSE))</f>
        <v>0</v>
      </c>
      <c r="AM88" s="218">
        <f t="shared" ref="AM88" si="924">IF($AD88=AM$6,$E87,0)</f>
        <v>0</v>
      </c>
      <c r="AN88" s="218" t="b">
        <f>IF(AM88=0,FALSE,IF(COUNTIF(AM$7:AM88,AM88)&gt;1,TRUE,FALSE))</f>
        <v>0</v>
      </c>
      <c r="AO88" s="218">
        <f t="shared" ref="AO88" si="925">IF($AD88=AO$6,$E87,0)</f>
        <v>0</v>
      </c>
      <c r="AP88" s="218" t="b">
        <f>IF(AO88=0,FALSE,IF(COUNTIF(AO$7:AO88,AO88)&gt;1,TRUE,FALSE))</f>
        <v>0</v>
      </c>
      <c r="AQ88" s="218">
        <f t="shared" ref="AQ88" si="926">IF(COUNTIF(Y88,"*十種競技*")&gt;0,E87,0)</f>
        <v>0</v>
      </c>
      <c r="AR88" s="218" t="b">
        <f>IF(AQ88=0,FALSE,IF(OR(COUNTIF($AI$7:$AI$406,AQ88)+COUNTIF($AQ88:$AQ$406,AQ88)&gt;1,COUNTIF($AK$7:$AK$406,AQ88)+COUNTIF($AQ$7:$AQ$406,AQ88)&gt;1),TRUE,FALSE))</f>
        <v>0</v>
      </c>
      <c r="AT88" s="218" t="b">
        <f t="shared" si="744"/>
        <v>0</v>
      </c>
      <c r="AU88" s="274"/>
      <c r="AX88" s="274"/>
      <c r="BD88" s="218" t="b">
        <f t="shared" si="732"/>
        <v>0</v>
      </c>
      <c r="BF88" s="231" t="b">
        <f t="shared" ref="BF88" si="927">IF(J88="",FALSE,IF(OR(AND(AU87,L88=""),AND(AU87,L88="",OR(M88&lt;&gt;"",N88&lt;&gt;"",O88&lt;&gt;"",P88&lt;&gt;""))),TRUE,FALSE))</f>
        <v>0</v>
      </c>
      <c r="BG88" s="218" t="b">
        <f t="shared" si="734"/>
        <v>0</v>
      </c>
      <c r="BH88" s="218" t="b">
        <f t="shared" si="746"/>
        <v>0</v>
      </c>
      <c r="BI88" s="231" t="b">
        <f t="shared" ref="BI88" si="928">IF(J88="",FALSE,IF(L88=0,FALSE,IF(AND(AU87,NOT(BF88),OR(M88="",N88="",O88="")),TRUE,FALSE)))</f>
        <v>0</v>
      </c>
      <c r="BJ88" s="240" t="b">
        <f t="shared" si="748"/>
        <v>0</v>
      </c>
      <c r="BK88" s="231" t="b">
        <f>IF(NOT(BJ88),FALSE,IF(AND(競技会設定!$C$5&lt;=BJ88,BJ88&lt;=競技会設定!$C$6),FALSE,TRUE))</f>
        <v>0</v>
      </c>
      <c r="BL88" s="218" t="b">
        <f>IF(J88="",FALSE,IF(L88=0,FALSE,IF(AND(AU87,NOT(BF88),NOT(BI88),P88=""),TRUE,FALSE)))</f>
        <v>0</v>
      </c>
      <c r="BO88" s="274"/>
    </row>
    <row r="89" spans="1:67" ht="17.399999999999999" customHeight="1">
      <c r="A89" s="418"/>
      <c r="B89" s="402"/>
      <c r="C89" s="404"/>
      <c r="D89" s="221"/>
      <c r="E89" s="394" t="str">
        <f>IF(C87="","",VLOOKUP(D87,男子登録!$A$2:$O$2001,14,0)&amp;" ("&amp;VLOOKUP(D87,男子登録!$A$2:$O$2001,15,0)&amp;")")</f>
        <v/>
      </c>
      <c r="F89" s="394"/>
      <c r="G89" s="222" t="str">
        <f>IF(C87="","",(VLOOKUP(D87,男子登録!$A$2:$N$2001,9,0)))</f>
        <v/>
      </c>
      <c r="H89" s="222"/>
      <c r="I89" s="222" t="s">
        <v>7063</v>
      </c>
      <c r="J89" s="150"/>
      <c r="K89" s="222" t="s">
        <v>7064</v>
      </c>
      <c r="L89" s="150"/>
      <c r="M89" s="255"/>
      <c r="N89" s="256"/>
      <c r="O89" s="257"/>
      <c r="P89" s="149"/>
      <c r="Q89" s="399"/>
      <c r="R89" s="392"/>
      <c r="S89" s="136"/>
      <c r="T89" s="137"/>
      <c r="U89" s="137"/>
      <c r="V89" s="137"/>
      <c r="W89" s="137"/>
      <c r="X89" s="137"/>
      <c r="Y89" s="218">
        <f t="shared" ref="Y89" si="929">IF(OR(E87="",J89=""),0,J89&amp;E87)</f>
        <v>0</v>
      </c>
      <c r="Z89" s="218">
        <f>IF(Y89=0,0,COUNTIF($Y$7:Y89,Y89))</f>
        <v>0</v>
      </c>
      <c r="AD89" s="218">
        <f>IFERROR(VLOOKUP(J89,競技会設定!$P$2:$S$22,2,0),0)</f>
        <v>0</v>
      </c>
      <c r="AE89" s="218">
        <f t="shared" ref="AE89" si="930">IF(E87="",0,IF(AD89=0,0,IF(AD89&lt;3,E87&amp;$AE$6,0)))</f>
        <v>0</v>
      </c>
      <c r="AF89" s="218">
        <f>IF(AE89=0,0,E87&amp;COUNTIF($AE$7:AE89,AE89))</f>
        <v>0</v>
      </c>
      <c r="AG89" s="218">
        <f t="shared" ref="AG89" si="931">IF(E87="",0,IF(AD89=0,0,IF(AD89&gt;=3,E87&amp;$AG$6,0)))</f>
        <v>0</v>
      </c>
      <c r="AH89" s="218">
        <f>IF(AG89=0,0,E87&amp;COUNTIF($AG$7:AG89,AG89))</f>
        <v>0</v>
      </c>
      <c r="AI89" s="218">
        <f t="shared" si="377"/>
        <v>0</v>
      </c>
      <c r="AJ89" s="218" t="b">
        <f>IF(AI89=0,FALSE,IF(COUNTIF(AI$7:AI89,AI89)&gt;1,TRUE,FALSE))</f>
        <v>0</v>
      </c>
      <c r="AK89" s="218">
        <f t="shared" ref="AK89" si="932">IF($AD89=AK$6,$E87,0)</f>
        <v>0</v>
      </c>
      <c r="AL89" s="218" t="b">
        <f>IF(AK89=0,FALSE,IF(COUNTIF(AK$7:AK89,AK89)&gt;1,TRUE,FALSE))</f>
        <v>0</v>
      </c>
      <c r="AM89" s="218">
        <f t="shared" ref="AM89" si="933">IF($AD89=AM$6,$E87,0)</f>
        <v>0</v>
      </c>
      <c r="AN89" s="218" t="b">
        <f>IF(AM89=0,FALSE,IF(COUNTIF(AM$7:AM89,AM89)&gt;1,TRUE,FALSE))</f>
        <v>0</v>
      </c>
      <c r="AO89" s="218">
        <f t="shared" ref="AO89" si="934">IF($AD89=AO$6,$E87,0)</f>
        <v>0</v>
      </c>
      <c r="AP89" s="218" t="b">
        <f>IF(AO89=0,FALSE,IF(COUNTIF(AO$7:AO89,AO89)&gt;1,TRUE,FALSE))</f>
        <v>0</v>
      </c>
      <c r="AQ89" s="218">
        <f t="shared" ref="AQ89" si="935">IF(COUNTIF(Y89,"*十種競技*")&gt;0,E87,0)</f>
        <v>0</v>
      </c>
      <c r="AR89" s="218" t="b">
        <f>IF(AQ89=0,FALSE,IF(OR(COUNTIF($AI$7:$AI$406,AQ89)+COUNTIF($AQ89:$AQ$406,AQ89)&gt;1,COUNTIF($AK$7:$AK$406,AQ89)+COUNTIF($AQ$7:$AQ$406,AQ89)&gt;1),TRUE,FALSE))</f>
        <v>0</v>
      </c>
      <c r="AT89" s="218" t="b">
        <f t="shared" si="744"/>
        <v>0</v>
      </c>
      <c r="AU89" s="274"/>
      <c r="AX89" s="274"/>
      <c r="BD89" s="218" t="b">
        <f t="shared" si="732"/>
        <v>0</v>
      </c>
      <c r="BF89" s="231" t="b">
        <f t="shared" ref="BF89" si="936">IF(J89="",FALSE,IF(OR(AND(AU87,L89=""),AND(AU87,L89="",OR(M89&lt;&gt;"",N89&lt;&gt;"",O89&lt;&gt;"",P89&lt;&gt;""))),TRUE,FALSE))</f>
        <v>0</v>
      </c>
      <c r="BG89" s="218" t="b">
        <f t="shared" si="734"/>
        <v>0</v>
      </c>
      <c r="BH89" s="218" t="b">
        <f t="shared" si="746"/>
        <v>0</v>
      </c>
      <c r="BI89" s="231" t="b">
        <f t="shared" ref="BI89" si="937">IF(J89="",FALSE,IF(L89=0,FALSE,IF(AND(AU87,NOT(BF89),OR(M89="",N89="",O89="")),TRUE,FALSE)))</f>
        <v>0</v>
      </c>
      <c r="BJ89" s="240" t="b">
        <f t="shared" si="748"/>
        <v>0</v>
      </c>
      <c r="BK89" s="231" t="b">
        <f>IF(NOT(BJ89),FALSE,IF(AND(競技会設定!$C$5&lt;=BJ89,BJ89&lt;=競技会設定!$C$6),FALSE,TRUE))</f>
        <v>0</v>
      </c>
      <c r="BL89" s="218" t="b">
        <f>IF(J89="",FALSE,IF(L89=0,FALSE,IF(AND(AU87,NOT(BF89),NOT(BI89),P89=""),TRUE,FALSE)))</f>
        <v>0</v>
      </c>
      <c r="BO89" s="274"/>
    </row>
    <row r="90" spans="1:67" ht="18" customHeight="1" thickBot="1">
      <c r="A90" s="419"/>
      <c r="B90" s="395" t="s">
        <v>7051</v>
      </c>
      <c r="C90" s="395"/>
      <c r="D90" s="221"/>
      <c r="E90" s="372"/>
      <c r="F90" s="372"/>
      <c r="G90" s="372"/>
      <c r="H90" s="214"/>
      <c r="I90" s="214" t="s">
        <v>7065</v>
      </c>
      <c r="J90" s="219"/>
      <c r="K90" s="214" t="s">
        <v>7066</v>
      </c>
      <c r="L90" s="219"/>
      <c r="M90" s="258"/>
      <c r="N90" s="259"/>
      <c r="O90" s="260"/>
      <c r="P90" s="219"/>
      <c r="Q90" s="400"/>
      <c r="R90" s="393"/>
      <c r="S90" s="136"/>
      <c r="T90" s="137"/>
      <c r="U90" s="137"/>
      <c r="V90" s="137"/>
      <c r="W90" s="137"/>
      <c r="X90" s="137"/>
      <c r="Y90" s="218">
        <f t="shared" ref="Y90" si="938">IF(OR(E87="",J90=""),0,J90&amp;E87)</f>
        <v>0</v>
      </c>
      <c r="Z90" s="218">
        <f>IF(Y90=0,0,COUNTIF($Y$7:Y90,Y90))</f>
        <v>0</v>
      </c>
      <c r="AD90" s="218">
        <f>IFERROR(VLOOKUP(J90,競技会設定!$P$2:$S$22,2,0),0)</f>
        <v>0</v>
      </c>
      <c r="AE90" s="218">
        <f t="shared" ref="AE90" si="939">IF(E87="",0,IF(AD90=0,0,IF(AD90&lt;3,E87&amp;$AE$6,0)))</f>
        <v>0</v>
      </c>
      <c r="AF90" s="218">
        <f>IF(AE90=0,0,E87&amp;COUNTIF($AE$7:AE90,AE90))</f>
        <v>0</v>
      </c>
      <c r="AG90" s="218">
        <f t="shared" ref="AG90" si="940">IF(E87="",0,IF(AD90=0,0,IF(AD90&gt;=3,E87&amp;$AG$6,0)))</f>
        <v>0</v>
      </c>
      <c r="AH90" s="218">
        <f>IF(AG90=0,0,E87&amp;COUNTIF($AG$7:AG90,AG90))</f>
        <v>0</v>
      </c>
      <c r="AI90" s="218">
        <f t="shared" si="387"/>
        <v>0</v>
      </c>
      <c r="AJ90" s="218" t="b">
        <f>IF(AI90=0,FALSE,IF(COUNTIF(AI$7:AI90,AI90)&gt;1,TRUE,FALSE))</f>
        <v>0</v>
      </c>
      <c r="AK90" s="218">
        <f t="shared" ref="AK90" si="941">IF($AD90=AK$6,$E87,0)</f>
        <v>0</v>
      </c>
      <c r="AL90" s="218" t="b">
        <f>IF(AK90=0,FALSE,IF(COUNTIF(AK$7:AK90,AK90)&gt;1,TRUE,FALSE))</f>
        <v>0</v>
      </c>
      <c r="AM90" s="218">
        <f t="shared" ref="AM90" si="942">IF($AD90=AM$6,$E87,0)</f>
        <v>0</v>
      </c>
      <c r="AN90" s="218" t="b">
        <f>IF(AM90=0,FALSE,IF(COUNTIF(AM$7:AM90,AM90)&gt;1,TRUE,FALSE))</f>
        <v>0</v>
      </c>
      <c r="AO90" s="218">
        <f t="shared" ref="AO90" si="943">IF($AD90=AO$6,$E87,0)</f>
        <v>0</v>
      </c>
      <c r="AP90" s="218" t="b">
        <f>IF(AO90=0,FALSE,IF(COUNTIF(AO$7:AO90,AO90)&gt;1,TRUE,FALSE))</f>
        <v>0</v>
      </c>
      <c r="AQ90" s="218">
        <f t="shared" ref="AQ90" si="944">IF(COUNTIF(Y90,"*十種競技*")&gt;0,E87,0)</f>
        <v>0</v>
      </c>
      <c r="AR90" s="218" t="b">
        <f>IF(AQ90=0,FALSE,IF(OR(COUNTIF($AI$7:$AI$406,AQ90)+COUNTIF($AQ90:$AQ$406,AQ90)&gt;1,COUNTIF($AK$7:$AK$406,AQ90)+COUNTIF($AQ$7:$AQ$406,AQ90)&gt;1),TRUE,FALSE))</f>
        <v>0</v>
      </c>
      <c r="AT90" s="218" t="b">
        <f t="shared" si="744"/>
        <v>0</v>
      </c>
      <c r="AU90" s="274"/>
      <c r="AX90" s="274"/>
      <c r="BD90" s="218" t="b">
        <f t="shared" si="732"/>
        <v>0</v>
      </c>
      <c r="BF90" s="231" t="b">
        <f t="shared" ref="BF90" si="945">IF(J90="",FALSE,IF(OR(AND(AU87,L90=""),AND(AU87,L90="",OR(M90&lt;&gt;"",N90&lt;&gt;"",O90&lt;&gt;"",P90&lt;&gt;""))),TRUE,FALSE))</f>
        <v>0</v>
      </c>
      <c r="BG90" s="218" t="b">
        <f t="shared" si="734"/>
        <v>0</v>
      </c>
      <c r="BH90" s="218" t="b">
        <f t="shared" si="746"/>
        <v>0</v>
      </c>
      <c r="BI90" s="231" t="b">
        <f t="shared" ref="BI90" si="946">IF(J90="",FALSE,IF(L90=0,FALSE,IF(AND(AU87,NOT(BF90),OR(M90="",N90="",O90="")),TRUE,FALSE)))</f>
        <v>0</v>
      </c>
      <c r="BJ90" s="240" t="b">
        <f t="shared" si="748"/>
        <v>0</v>
      </c>
      <c r="BK90" s="231" t="b">
        <f>IF(NOT(BJ90),FALSE,IF(AND(競技会設定!$C$5&lt;=BJ90,BJ90&lt;=競技会設定!$C$6),FALSE,TRUE))</f>
        <v>0</v>
      </c>
      <c r="BL90" s="218" t="b">
        <f>IF(J90="",FALSE,IF(L90=0,FALSE,IF(AND(AU87,NOT(BF90),NOT(BI90),P90=""),TRUE,FALSE)))</f>
        <v>0</v>
      </c>
      <c r="BO90" s="274"/>
    </row>
    <row r="91" spans="1:67" ht="18" customHeight="1" thickTop="1">
      <c r="A91" s="420">
        <v>22</v>
      </c>
      <c r="B91" s="373" t="s">
        <v>7050</v>
      </c>
      <c r="C91" s="375"/>
      <c r="D91" s="138" t="str">
        <f t="shared" ref="D91" si="947">IF(C91="","",501&amp;TEXT(C91,"000000"))</f>
        <v/>
      </c>
      <c r="E91" s="377" t="str">
        <f>IF(D91="","",(VLOOKUP(D91,男子登録!$A$2:$N$2001,3,0)))</f>
        <v/>
      </c>
      <c r="F91" s="377" t="str">
        <f>IF(D91="","",(VLOOKUP(D91,男子登録!$A$2:$N$2001,4,0)))</f>
        <v/>
      </c>
      <c r="G91" s="138" t="str">
        <f>IF(C91="","",(VLOOKUP(D91,男子登録!$A$2:$N$2001,8,0)))</f>
        <v/>
      </c>
      <c r="H91" s="138">
        <f>IFERROR(VLOOKUP(D91,男子登録!$A$2:$N$2001,11,0),基本情報!$E$5)</f>
        <v>0</v>
      </c>
      <c r="I91" s="138" t="s">
        <v>7059</v>
      </c>
      <c r="J91" s="151"/>
      <c r="K91" s="138" t="s">
        <v>7060</v>
      </c>
      <c r="L91" s="151"/>
      <c r="M91" s="261"/>
      <c r="N91" s="262"/>
      <c r="O91" s="263"/>
      <c r="P91" s="151"/>
      <c r="Q91" s="381"/>
      <c r="R91" s="384"/>
      <c r="S91" s="136">
        <f t="shared" ref="S91" si="948">IF(OR(E91="",Q91=""),0,E91)</f>
        <v>0</v>
      </c>
      <c r="T91" s="137">
        <f>IF(S91=0,0,COUNTIF($S$7:S91,"*"))</f>
        <v>0</v>
      </c>
      <c r="U91" s="137">
        <f>IF(S91=0,0,COUNTIF($S$7:S91,S91))</f>
        <v>0</v>
      </c>
      <c r="V91" s="137">
        <f t="shared" ref="V91:V151" si="949">IF(OR(E91="",R91=""),0,E91&amp;MAX(COUNTIF($AG$7:$AG$406,E91&amp;"nans21v"))+1)</f>
        <v>0</v>
      </c>
      <c r="W91" s="137">
        <f>IF(V91=0,0,COUNTIF($V$7:V91,"*"))</f>
        <v>0</v>
      </c>
      <c r="X91" s="137">
        <f>IF(V91=0,0,COUNTIF($V$7:V91,V91))</f>
        <v>0</v>
      </c>
      <c r="Y91" s="218">
        <f t="shared" ref="Y91" si="950">IF(OR(E91="",J91=""),0,J91&amp;E91)</f>
        <v>0</v>
      </c>
      <c r="Z91" s="218">
        <f>IF(Y91=0,0,COUNTIF($Y$7:Y91,Y91))</f>
        <v>0</v>
      </c>
      <c r="AA91" s="218" t="b">
        <f t="shared" ref="AA91" si="951">IF(COUNTIF(J91:J94,"十種競技")&gt;0,TRUE,FALSE)</f>
        <v>0</v>
      </c>
      <c r="AB91" s="218">
        <f>IF(E91="",0,IF(AA91,COUNTIF($AA$7:AA91,TRUE),0))</f>
        <v>0</v>
      </c>
      <c r="AC91" s="218">
        <f>IFERROR(VLOOKUP("十種競技",J91:L94,3,0),0)</f>
        <v>0</v>
      </c>
      <c r="AD91" s="218">
        <f>IFERROR(VLOOKUP(J91,競技会設定!$P$2:$S$22,2,0),0)</f>
        <v>0</v>
      </c>
      <c r="AE91" s="218">
        <f t="shared" ref="AE91" si="952">IF(E91="",0,IF(AD91=0,0,IF(AD91&lt;3,E91&amp;$AE$6,0)))</f>
        <v>0</v>
      </c>
      <c r="AF91" s="218">
        <f>IF(AE91=0,0,E91&amp;COUNTIF($AE$7:AE91,AE91))</f>
        <v>0</v>
      </c>
      <c r="AG91" s="218">
        <f t="shared" ref="AG91" si="953">IF(E91="",0,IF(AD91=0,0,IF(AD91&gt;=3,E91&amp;$AG$6,0)))</f>
        <v>0</v>
      </c>
      <c r="AH91" s="218">
        <f>IF(AG91=0,0,E91&amp;COUNTIF($AG$7:AG91,AG91))</f>
        <v>0</v>
      </c>
      <c r="AI91" s="218">
        <f t="shared" si="400"/>
        <v>0</v>
      </c>
      <c r="AJ91" s="218" t="b">
        <f>IF(AI91=0,FALSE,IF(COUNTIF(AI$7:AI91,AI91)&gt;1,TRUE,FALSE))</f>
        <v>0</v>
      </c>
      <c r="AK91" s="218">
        <f t="shared" ref="AK91" si="954">IF($AD91=AK$6,$E91,0)</f>
        <v>0</v>
      </c>
      <c r="AL91" s="218" t="b">
        <f>IF(AK91=0,FALSE,IF(COUNTIF(AK$7:AK91,AK91)&gt;1,TRUE,FALSE))</f>
        <v>0</v>
      </c>
      <c r="AM91" s="218">
        <f t="shared" ref="AM91" si="955">IF($AD91=AM$6,$E91,0)</f>
        <v>0</v>
      </c>
      <c r="AN91" s="218" t="b">
        <f>IF(AM91=0,FALSE,IF(COUNTIF(AM$7:AM91,AM91)&gt;1,TRUE,FALSE))</f>
        <v>0</v>
      </c>
      <c r="AO91" s="218">
        <f t="shared" ref="AO91" si="956">IF($AD91=AO$6,$E91,0)</f>
        <v>0</v>
      </c>
      <c r="AP91" s="218" t="b">
        <f>IF(AO91=0,FALSE,IF(COUNTIF(AO$7:AO91,AO91)&gt;1,TRUE,FALSE))</f>
        <v>0</v>
      </c>
      <c r="AQ91" s="218">
        <f t="shared" ref="AQ91" si="957">IF(COUNTIF(Y91,"*十種競技*")&gt;0,E91,0)</f>
        <v>0</v>
      </c>
      <c r="AR91" s="218" t="b">
        <f>IF(AQ91=0,FALSE,IF(OR(COUNTIF($AI$7:$AI$406,AQ91)+COUNTIF($AQ91:$AQ$406,AQ91)&gt;1,COUNTIF($AK$7:$AK$406,AQ91)+COUNTIF($AQ$7:$AQ$406,AQ91)&gt;1),TRUE,FALSE))</f>
        <v>0</v>
      </c>
      <c r="AS91" s="218" t="b">
        <f t="shared" ref="AS91" si="958">IF(AND(C91="",E91&lt;&gt;"",F91&lt;&gt;"",E93&lt;&gt;"",G91&lt;&gt;"",G92&lt;&gt;"",G93&lt;&gt;""),TRUE,FALSE)</f>
        <v>0</v>
      </c>
      <c r="AT91" s="218" t="b">
        <f t="shared" si="744"/>
        <v>0</v>
      </c>
      <c r="AU91" s="274" t="b">
        <f t="shared" ref="AU91" si="959">IFERROR(IF(D91&amp;E91&amp;F91&amp;E93&amp;G91&amp;G92&amp;G93&amp;J91&amp;J92&amp;J93&amp;J94&amp;L91&amp;L92&amp;L93&amp;L94&amp;M91&amp;M92&amp;M93&amp;M94&amp;N91&amp;N92&amp;N93&amp;N94&amp;O91&amp;O92&amp;O93&amp;O94&amp;P91&amp;P92&amp;P93&amp;P94&amp;Q91&amp;R91="",FALSE,TRUE),FALSE)</f>
        <v>0</v>
      </c>
      <c r="AV91" s="218" t="b">
        <f t="shared" ref="AV91" si="960">IF(AS91,FALSE,IF(C91="",AU91,FALSE))</f>
        <v>0</v>
      </c>
      <c r="AW91" s="218" t="b">
        <f>IF(C91="",FALSE,IF(C91&gt;2000,TRUE,FALSE))</f>
        <v>0</v>
      </c>
      <c r="AX91" s="274" t="b">
        <f>IF(H91=0,FALSE,IF(EXACT(基本情報!$E$5,H91)=TRUE,FALSE,TRUE))</f>
        <v>0</v>
      </c>
      <c r="AY91" s="218" t="b">
        <f>IF(C91="",FALSE,IF(ISNA(E91)=TRUE,TRUE,FALSE))</f>
        <v>0</v>
      </c>
      <c r="AZ91" s="274" t="b">
        <f>IFERROR(IF(E91="",FALSE,IF(COUNTIF($E$7:E91,E91)&gt;1,TRUE,FALSE)),FALSE)</f>
        <v>0</v>
      </c>
      <c r="BA91" s="218" t="b">
        <f t="shared" ref="BA91" si="961">IF(OR(J91&amp;J92&amp;J93&amp;J94&amp;Q91&amp;R91="",AT91,AT92,AT93,AT94),AU91,FALSE)</f>
        <v>0</v>
      </c>
      <c r="BB91" s="218" t="b">
        <f>IF(U91&gt;1,TRUE,FALSE)</f>
        <v>0</v>
      </c>
      <c r="BC91" s="218" t="b">
        <f>IF(X91&gt;1,TRUE,FALSE)</f>
        <v>0</v>
      </c>
      <c r="BD91" s="218" t="b">
        <f t="shared" si="732"/>
        <v>0</v>
      </c>
      <c r="BF91" s="231" t="b">
        <f t="shared" ref="BF91" si="962">IF(J91="",FALSE,IF(OR(AND(AU91,L91=""),AND(AU91,L91="",OR(M91&lt;&gt;"",N91&lt;&gt;"",O91&lt;&gt;"",P91&lt;&gt;""))),TRUE,FALSE))</f>
        <v>0</v>
      </c>
      <c r="BG91" s="218" t="b">
        <f t="shared" si="734"/>
        <v>0</v>
      </c>
      <c r="BH91" s="218" t="b">
        <f t="shared" si="746"/>
        <v>0</v>
      </c>
      <c r="BI91" s="231" t="b">
        <f t="shared" ref="BI91" si="963">IF(J91="",FALSE,IF(L91=0,FALSE,IF(AND(AU91,NOT(BF91),OR(M91="",N91="",O91="")),TRUE,FALSE)))</f>
        <v>0</v>
      </c>
      <c r="BJ91" s="240" t="b">
        <f t="shared" si="748"/>
        <v>0</v>
      </c>
      <c r="BK91" s="231" t="b">
        <f>IF(NOT(BJ91),FALSE,IF(AND(競技会設定!$C$5&lt;=BJ91,BJ91&lt;=競技会設定!$C$6),FALSE,TRUE))</f>
        <v>0</v>
      </c>
      <c r="BL91" s="218" t="b">
        <f>IF(J91="",FALSE,IF(L91=0,FALSE,IF(AND(AU91,NOT(BF91),NOT(BI91),P91=""),TRUE,FALSE)))</f>
        <v>0</v>
      </c>
      <c r="BO91" s="274">
        <f t="shared" ref="BO91" si="964">IF(AND(AU91,SUM(COUNTIF(AV91:BC91,TRUE),COUNTIF(BF91:BL94,TRUE),COUNTIF(BD91:BD94,TRUE))=0,NOT($BE$7)),1,0)</f>
        <v>0</v>
      </c>
    </row>
    <row r="92" spans="1:67" ht="17.399999999999999" customHeight="1">
      <c r="A92" s="421"/>
      <c r="B92" s="374"/>
      <c r="C92" s="376"/>
      <c r="D92" s="139"/>
      <c r="E92" s="378"/>
      <c r="F92" s="378"/>
      <c r="G92" s="139" t="str">
        <f>IF(C91="","",(VLOOKUP(D91,男子登録!$A$2:$N$2001,13,0)))</f>
        <v/>
      </c>
      <c r="H92" s="139"/>
      <c r="I92" s="139" t="s">
        <v>7061</v>
      </c>
      <c r="J92" s="152"/>
      <c r="K92" s="139" t="s">
        <v>7062</v>
      </c>
      <c r="L92" s="152"/>
      <c r="M92" s="264"/>
      <c r="N92" s="265"/>
      <c r="O92" s="266"/>
      <c r="P92" s="152"/>
      <c r="Q92" s="382"/>
      <c r="R92" s="385"/>
      <c r="S92" s="136"/>
      <c r="T92" s="137"/>
      <c r="U92" s="137"/>
      <c r="V92" s="137"/>
      <c r="W92" s="137"/>
      <c r="X92" s="137"/>
      <c r="Y92" s="218">
        <f t="shared" ref="Y92" si="965">IF(OR(E91="",J92=""),0,J92&amp;E91)</f>
        <v>0</v>
      </c>
      <c r="Z92" s="218">
        <f>IF(Y92=0,0,COUNTIF($Y$7:Y92,Y92))</f>
        <v>0</v>
      </c>
      <c r="AD92" s="218">
        <f>IFERROR(VLOOKUP(J92,競技会設定!$P$2:$S$22,2,0),0)</f>
        <v>0</v>
      </c>
      <c r="AE92" s="218">
        <f t="shared" ref="AE92" si="966">IF(E91="",0,IF(AD92=0,0,IF(AD92&lt;3,E91&amp;$AE$6,0)))</f>
        <v>0</v>
      </c>
      <c r="AF92" s="218">
        <f>IF(AE92=0,0,E91&amp;COUNTIF($AE$7:AE92,AE92))</f>
        <v>0</v>
      </c>
      <c r="AG92" s="218">
        <f t="shared" ref="AG92" si="967">IF(E91="",0,IF(AD92=0,0,IF(AD92&gt;=3,E91&amp;$AG$6,0)))</f>
        <v>0</v>
      </c>
      <c r="AH92" s="218">
        <f>IF(AG92=0,0,E91&amp;COUNTIF($AG$7:AG92,AG92))</f>
        <v>0</v>
      </c>
      <c r="AI92" s="218">
        <f t="shared" si="415"/>
        <v>0</v>
      </c>
      <c r="AJ92" s="218" t="b">
        <f>IF(AI92=0,FALSE,IF(COUNTIF(AI$7:AI92,AI92)&gt;1,TRUE,FALSE))</f>
        <v>0</v>
      </c>
      <c r="AK92" s="218">
        <f t="shared" ref="AK92" si="968">IF($AD92=AK$6,$E91,0)</f>
        <v>0</v>
      </c>
      <c r="AL92" s="218" t="b">
        <f>IF(AK92=0,FALSE,IF(COUNTIF(AK$7:AK92,AK92)&gt;1,TRUE,FALSE))</f>
        <v>0</v>
      </c>
      <c r="AM92" s="218">
        <f t="shared" ref="AM92" si="969">IF($AD92=AM$6,$E91,0)</f>
        <v>0</v>
      </c>
      <c r="AN92" s="218" t="b">
        <f>IF(AM92=0,FALSE,IF(COUNTIF(AM$7:AM92,AM92)&gt;1,TRUE,FALSE))</f>
        <v>0</v>
      </c>
      <c r="AO92" s="218">
        <f t="shared" ref="AO92" si="970">IF($AD92=AO$6,$E91,0)</f>
        <v>0</v>
      </c>
      <c r="AP92" s="218" t="b">
        <f>IF(AO92=0,FALSE,IF(COUNTIF(AO$7:AO92,AO92)&gt;1,TRUE,FALSE))</f>
        <v>0</v>
      </c>
      <c r="AQ92" s="218">
        <f t="shared" ref="AQ92" si="971">IF(COUNTIF(Y92,"*十種競技*")&gt;0,E91,0)</f>
        <v>0</v>
      </c>
      <c r="AR92" s="218" t="b">
        <f>IF(AQ92=0,FALSE,IF(OR(COUNTIF($AI$7:$AI$406,AQ92)+COUNTIF($AQ92:$AQ$406,AQ92)&gt;1,COUNTIF($AK$7:$AK$406,AQ92)+COUNTIF($AQ$7:$AQ$406,AQ92)&gt;1),TRUE,FALSE))</f>
        <v>0</v>
      </c>
      <c r="AT92" s="218" t="b">
        <f t="shared" si="744"/>
        <v>0</v>
      </c>
      <c r="AU92" s="274"/>
      <c r="AX92" s="274"/>
      <c r="BD92" s="218" t="b">
        <f t="shared" si="732"/>
        <v>0</v>
      </c>
      <c r="BF92" s="231" t="b">
        <f t="shared" ref="BF92" si="972">IF(J92="",FALSE,IF(OR(AND(AU91,L92=""),AND(AU91,L92="",OR(M92&lt;&gt;"",N92&lt;&gt;"",O92&lt;&gt;"",P92&lt;&gt;""))),TRUE,FALSE))</f>
        <v>0</v>
      </c>
      <c r="BG92" s="218" t="b">
        <f t="shared" si="734"/>
        <v>0</v>
      </c>
      <c r="BH92" s="218" t="b">
        <f t="shared" si="746"/>
        <v>0</v>
      </c>
      <c r="BI92" s="231" t="b">
        <f t="shared" ref="BI92" si="973">IF(J92="",FALSE,IF(L92=0,FALSE,IF(AND(AU91,NOT(BF92),OR(M92="",N92="",O92="")),TRUE,FALSE)))</f>
        <v>0</v>
      </c>
      <c r="BJ92" s="240" t="b">
        <f t="shared" si="748"/>
        <v>0</v>
      </c>
      <c r="BK92" s="231" t="b">
        <f>IF(NOT(BJ92),FALSE,IF(AND(競技会設定!$C$5&lt;=BJ92,BJ92&lt;=競技会設定!$C$6),FALSE,TRUE))</f>
        <v>0</v>
      </c>
      <c r="BL92" s="218" t="b">
        <f>IF(J92="",FALSE,IF(L92=0,FALSE,IF(AND(AU91,NOT(BF92),NOT(BI92),P92=""),TRUE,FALSE)))</f>
        <v>0</v>
      </c>
      <c r="BO92" s="274"/>
    </row>
    <row r="93" spans="1:67" ht="17.399999999999999" customHeight="1">
      <c r="A93" s="421"/>
      <c r="B93" s="374"/>
      <c r="C93" s="376"/>
      <c r="D93" s="140"/>
      <c r="E93" s="379" t="str">
        <f>IF(C91="","",VLOOKUP(D91,男子登録!$A$2:$O$2001,14,0)&amp;" ("&amp;VLOOKUP(D91,男子登録!$A$2:$O$2001,15,0)&amp;")")</f>
        <v/>
      </c>
      <c r="F93" s="380"/>
      <c r="G93" s="140" t="str">
        <f>IF(C91="","",(VLOOKUP(D91,男子登録!$A$2:$N$2001,9,0)))</f>
        <v/>
      </c>
      <c r="H93" s="140"/>
      <c r="I93" s="140" t="s">
        <v>7063</v>
      </c>
      <c r="J93" s="153"/>
      <c r="K93" s="140" t="s">
        <v>7064</v>
      </c>
      <c r="L93" s="153"/>
      <c r="M93" s="264"/>
      <c r="N93" s="265"/>
      <c r="O93" s="266"/>
      <c r="P93" s="152"/>
      <c r="Q93" s="382"/>
      <c r="R93" s="385"/>
      <c r="S93" s="136"/>
      <c r="T93" s="137"/>
      <c r="U93" s="137"/>
      <c r="V93" s="137"/>
      <c r="W93" s="137"/>
      <c r="X93" s="137"/>
      <c r="Y93" s="218">
        <f t="shared" ref="Y93" si="974">IF(OR(E91="",J93=""),0,J93&amp;E91)</f>
        <v>0</v>
      </c>
      <c r="Z93" s="218">
        <f>IF(Y93=0,0,COUNTIF($Y$7:Y93,Y93))</f>
        <v>0</v>
      </c>
      <c r="AD93" s="218">
        <f>IFERROR(VLOOKUP(J93,競技会設定!$P$2:$S$22,2,0),0)</f>
        <v>0</v>
      </c>
      <c r="AE93" s="218">
        <f t="shared" ref="AE93" si="975">IF(E91="",0,IF(AD93=0,0,IF(AD93&lt;3,E91&amp;$AE$6,0)))</f>
        <v>0</v>
      </c>
      <c r="AF93" s="218">
        <f>IF(AE93=0,0,E91&amp;COUNTIF($AE$7:AE93,AE93))</f>
        <v>0</v>
      </c>
      <c r="AG93" s="218">
        <f t="shared" ref="AG93" si="976">IF(E91="",0,IF(AD93=0,0,IF(AD93&gt;=3,E91&amp;$AG$6,0)))</f>
        <v>0</v>
      </c>
      <c r="AH93" s="218">
        <f>IF(AG93=0,0,E91&amp;COUNTIF($AG$7:AG93,AG93))</f>
        <v>0</v>
      </c>
      <c r="AI93" s="218">
        <f t="shared" si="425"/>
        <v>0</v>
      </c>
      <c r="AJ93" s="218" t="b">
        <f>IF(AI93=0,FALSE,IF(COUNTIF(AI$7:AI93,AI93)&gt;1,TRUE,FALSE))</f>
        <v>0</v>
      </c>
      <c r="AK93" s="218">
        <f t="shared" ref="AK93" si="977">IF($AD93=AK$6,$E91,0)</f>
        <v>0</v>
      </c>
      <c r="AL93" s="218" t="b">
        <f>IF(AK93=0,FALSE,IF(COUNTIF(AK$7:AK93,AK93)&gt;1,TRUE,FALSE))</f>
        <v>0</v>
      </c>
      <c r="AM93" s="218">
        <f t="shared" ref="AM93" si="978">IF($AD93=AM$6,$E91,0)</f>
        <v>0</v>
      </c>
      <c r="AN93" s="218" t="b">
        <f>IF(AM93=0,FALSE,IF(COUNTIF(AM$7:AM93,AM93)&gt;1,TRUE,FALSE))</f>
        <v>0</v>
      </c>
      <c r="AO93" s="218">
        <f t="shared" ref="AO93" si="979">IF($AD93=AO$6,$E91,0)</f>
        <v>0</v>
      </c>
      <c r="AP93" s="218" t="b">
        <f>IF(AO93=0,FALSE,IF(COUNTIF(AO$7:AO93,AO93)&gt;1,TRUE,FALSE))</f>
        <v>0</v>
      </c>
      <c r="AQ93" s="218">
        <f t="shared" ref="AQ93" si="980">IF(COUNTIF(Y93,"*十種競技*")&gt;0,E91,0)</f>
        <v>0</v>
      </c>
      <c r="AR93" s="218" t="b">
        <f>IF(AQ93=0,FALSE,IF(OR(COUNTIF($AI$7:$AI$406,AQ93)+COUNTIF($AQ93:$AQ$406,AQ93)&gt;1,COUNTIF($AK$7:$AK$406,AQ93)+COUNTIF($AQ$7:$AQ$406,AQ93)&gt;1),TRUE,FALSE))</f>
        <v>0</v>
      </c>
      <c r="AT93" s="218" t="b">
        <f t="shared" si="744"/>
        <v>0</v>
      </c>
      <c r="AU93" s="274"/>
      <c r="AX93" s="274"/>
      <c r="BD93" s="218" t="b">
        <f t="shared" si="732"/>
        <v>0</v>
      </c>
      <c r="BF93" s="231" t="b">
        <f t="shared" ref="BF93" si="981">IF(J93="",FALSE,IF(OR(AND(AU91,L93=""),AND(AU91,L93="",OR(M93&lt;&gt;"",N93&lt;&gt;"",O93&lt;&gt;"",P93&lt;&gt;""))),TRUE,FALSE))</f>
        <v>0</v>
      </c>
      <c r="BG93" s="218" t="b">
        <f t="shared" si="734"/>
        <v>0</v>
      </c>
      <c r="BH93" s="218" t="b">
        <f t="shared" si="746"/>
        <v>0</v>
      </c>
      <c r="BI93" s="231" t="b">
        <f t="shared" ref="BI93" si="982">IF(J93="",FALSE,IF(L93=0,FALSE,IF(AND(AU91,NOT(BF93),OR(M93="",N93="",O93="")),TRUE,FALSE)))</f>
        <v>0</v>
      </c>
      <c r="BJ93" s="240" t="b">
        <f t="shared" si="748"/>
        <v>0</v>
      </c>
      <c r="BK93" s="231" t="b">
        <f>IF(NOT(BJ93),FALSE,IF(AND(競技会設定!$C$5&lt;=BJ93,BJ93&lt;=競技会設定!$C$6),FALSE,TRUE))</f>
        <v>0</v>
      </c>
      <c r="BL93" s="218" t="b">
        <f>IF(J93="",FALSE,IF(L93=0,FALSE,IF(AND(AU91,NOT(BF93),NOT(BI93),P93=""),TRUE,FALSE)))</f>
        <v>0</v>
      </c>
      <c r="BO93" s="274"/>
    </row>
    <row r="94" spans="1:67" ht="18" customHeight="1" thickBot="1">
      <c r="A94" s="422"/>
      <c r="B94" s="387" t="s">
        <v>7051</v>
      </c>
      <c r="C94" s="387"/>
      <c r="D94" s="213"/>
      <c r="E94" s="388"/>
      <c r="F94" s="389"/>
      <c r="G94" s="390"/>
      <c r="H94" s="141"/>
      <c r="I94" s="213" t="s">
        <v>7065</v>
      </c>
      <c r="J94" s="154"/>
      <c r="K94" s="213" t="s">
        <v>7066</v>
      </c>
      <c r="L94" s="154"/>
      <c r="M94" s="267"/>
      <c r="N94" s="268"/>
      <c r="O94" s="269"/>
      <c r="P94" s="154"/>
      <c r="Q94" s="383"/>
      <c r="R94" s="386"/>
      <c r="S94" s="136"/>
      <c r="T94" s="137"/>
      <c r="U94" s="137"/>
      <c r="V94" s="137"/>
      <c r="W94" s="137"/>
      <c r="X94" s="137"/>
      <c r="Y94" s="218">
        <f t="shared" ref="Y94" si="983">IF(OR(E91="",J94=""),0,J94&amp;E91)</f>
        <v>0</v>
      </c>
      <c r="Z94" s="218">
        <f>IF(Y94=0,0,COUNTIF($Y$7:Y94,Y94))</f>
        <v>0</v>
      </c>
      <c r="AD94" s="218">
        <f>IFERROR(VLOOKUP(J94,競技会設定!$P$2:$S$22,2,0),0)</f>
        <v>0</v>
      </c>
      <c r="AE94" s="218">
        <f t="shared" ref="AE94" si="984">IF(E91="",0,IF(AD94=0,0,IF(AD94&lt;3,E91&amp;$AE$6,0)))</f>
        <v>0</v>
      </c>
      <c r="AF94" s="218">
        <f>IF(AE94=0,0,E91&amp;COUNTIF($AE$7:AE94,AE94))</f>
        <v>0</v>
      </c>
      <c r="AG94" s="218">
        <f t="shared" ref="AG94" si="985">IF(E91="",0,IF(AD94=0,0,IF(AD94&gt;=3,E91&amp;$AG$6,0)))</f>
        <v>0</v>
      </c>
      <c r="AH94" s="218">
        <f>IF(AG94=0,0,E91&amp;COUNTIF($AG$7:AG94,AG94))</f>
        <v>0</v>
      </c>
      <c r="AI94" s="218">
        <f t="shared" si="435"/>
        <v>0</v>
      </c>
      <c r="AJ94" s="218" t="b">
        <f>IF(AI94=0,FALSE,IF(COUNTIF(AI$7:AI94,AI94)&gt;1,TRUE,FALSE))</f>
        <v>0</v>
      </c>
      <c r="AK94" s="218">
        <f t="shared" ref="AK94" si="986">IF($AD94=AK$6,$E91,0)</f>
        <v>0</v>
      </c>
      <c r="AL94" s="218" t="b">
        <f>IF(AK94=0,FALSE,IF(COUNTIF(AK$7:AK94,AK94)&gt;1,TRUE,FALSE))</f>
        <v>0</v>
      </c>
      <c r="AM94" s="218">
        <f t="shared" ref="AM94" si="987">IF($AD94=AM$6,$E91,0)</f>
        <v>0</v>
      </c>
      <c r="AN94" s="218" t="b">
        <f>IF(AM94=0,FALSE,IF(COUNTIF(AM$7:AM94,AM94)&gt;1,TRUE,FALSE))</f>
        <v>0</v>
      </c>
      <c r="AO94" s="218">
        <f t="shared" ref="AO94" si="988">IF($AD94=AO$6,$E91,0)</f>
        <v>0</v>
      </c>
      <c r="AP94" s="218" t="b">
        <f>IF(AO94=0,FALSE,IF(COUNTIF(AO$7:AO94,AO94)&gt;1,TRUE,FALSE))</f>
        <v>0</v>
      </c>
      <c r="AQ94" s="218">
        <f t="shared" ref="AQ94" si="989">IF(COUNTIF(Y94,"*十種競技*")&gt;0,E91,0)</f>
        <v>0</v>
      </c>
      <c r="AR94" s="218" t="b">
        <f>IF(AQ94=0,FALSE,IF(OR(COUNTIF($AI$7:$AI$406,AQ94)+COUNTIF($AQ94:$AQ$406,AQ94)&gt;1,COUNTIF($AK$7:$AK$406,AQ94)+COUNTIF($AQ$7:$AQ$406,AQ94)&gt;1),TRUE,FALSE))</f>
        <v>0</v>
      </c>
      <c r="AT94" s="218" t="b">
        <f t="shared" si="744"/>
        <v>0</v>
      </c>
      <c r="AU94" s="274"/>
      <c r="AX94" s="274"/>
      <c r="BD94" s="218" t="b">
        <f t="shared" si="732"/>
        <v>0</v>
      </c>
      <c r="BF94" s="231" t="b">
        <f t="shared" ref="BF94" si="990">IF(J94="",FALSE,IF(OR(AND(AU91,L94=""),AND(AU91,L94="",OR(M94&lt;&gt;"",N94&lt;&gt;"",O94&lt;&gt;"",P94&lt;&gt;""))),TRUE,FALSE))</f>
        <v>0</v>
      </c>
      <c r="BG94" s="218" t="b">
        <f t="shared" si="734"/>
        <v>0</v>
      </c>
      <c r="BH94" s="218" t="b">
        <f t="shared" si="746"/>
        <v>0</v>
      </c>
      <c r="BI94" s="231" t="b">
        <f t="shared" ref="BI94" si="991">IF(J94="",FALSE,IF(L94=0,FALSE,IF(AND(AU91,NOT(BF94),OR(M94="",N94="",O94="")),TRUE,FALSE)))</f>
        <v>0</v>
      </c>
      <c r="BJ94" s="240" t="b">
        <f t="shared" si="748"/>
        <v>0</v>
      </c>
      <c r="BK94" s="231" t="b">
        <f>IF(NOT(BJ94),FALSE,IF(AND(競技会設定!$C$5&lt;=BJ94,BJ94&lt;=競技会設定!$C$6),FALSE,TRUE))</f>
        <v>0</v>
      </c>
      <c r="BL94" s="218" t="b">
        <f>IF(J94="",FALSE,IF(L94=0,FALSE,IF(AND(AU91,NOT(BF94),NOT(BI94),P94=""),TRUE,FALSE)))</f>
        <v>0</v>
      </c>
      <c r="BO94" s="274"/>
    </row>
    <row r="95" spans="1:67" ht="18" customHeight="1" thickTop="1">
      <c r="A95" s="417">
        <v>23</v>
      </c>
      <c r="B95" s="401" t="s">
        <v>7050</v>
      </c>
      <c r="C95" s="403"/>
      <c r="D95" s="220" t="str">
        <f t="shared" ref="D95" si="992">IF(C95="","",501&amp;TEXT(C95,"000000"))</f>
        <v/>
      </c>
      <c r="E95" s="396" t="str">
        <f>IF(D95="","",(VLOOKUP(D95,男子登録!$A$2:$N$2001,3,0)))</f>
        <v/>
      </c>
      <c r="F95" s="396" t="str">
        <f>IF(D95="","",(VLOOKUP(D95,男子登録!$A$2:$N$2001,4,0)))</f>
        <v/>
      </c>
      <c r="G95" s="220" t="str">
        <f>IF(C95="","",(VLOOKUP(D95,男子登録!$A$2:$N$2001,8,0)))</f>
        <v/>
      </c>
      <c r="H95" s="220">
        <f>IFERROR(VLOOKUP(D95,男子登録!$A$2:$N$2001,11,0),基本情報!$E$5)</f>
        <v>0</v>
      </c>
      <c r="I95" s="220" t="s">
        <v>7059</v>
      </c>
      <c r="J95" s="148"/>
      <c r="K95" s="220" t="s">
        <v>7060</v>
      </c>
      <c r="L95" s="148"/>
      <c r="M95" s="252"/>
      <c r="N95" s="253"/>
      <c r="O95" s="254"/>
      <c r="P95" s="148"/>
      <c r="Q95" s="398"/>
      <c r="R95" s="391"/>
      <c r="S95" s="136">
        <f t="shared" ref="S95" si="993">IF(OR(E95="",Q95=""),0,E95)</f>
        <v>0</v>
      </c>
      <c r="T95" s="137">
        <f>IF(S95=0,0,COUNTIF($S$7:S95,"*"))</f>
        <v>0</v>
      </c>
      <c r="U95" s="137">
        <f>IF(S95=0,0,COUNTIF($S$7:S95,S95))</f>
        <v>0</v>
      </c>
      <c r="V95" s="137">
        <f t="shared" si="949"/>
        <v>0</v>
      </c>
      <c r="W95" s="137">
        <f>IF(V95=0,0,COUNTIF($V$7:V95,"*"))</f>
        <v>0</v>
      </c>
      <c r="X95" s="137">
        <f>IF(V95=0,0,COUNTIF($V$7:V95,V95))</f>
        <v>0</v>
      </c>
      <c r="Y95" s="218">
        <f t="shared" ref="Y95" si="994">IF(OR(E95="",J95=""),0,J95&amp;E95)</f>
        <v>0</v>
      </c>
      <c r="Z95" s="218">
        <f>IF(Y95=0,0,COUNTIF($Y$7:Y95,Y95))</f>
        <v>0</v>
      </c>
      <c r="AA95" s="218" t="b">
        <f t="shared" ref="AA95" si="995">IF(COUNTIF(J95:J98,"十種競技")&gt;0,TRUE,FALSE)</f>
        <v>0</v>
      </c>
      <c r="AB95" s="218">
        <f>IF(E95="",0,IF(AA95,COUNTIF($AA$7:AA95,TRUE),0))</f>
        <v>0</v>
      </c>
      <c r="AC95" s="218">
        <f>IFERROR(VLOOKUP("十種競技",J95:L98,3,0),0)</f>
        <v>0</v>
      </c>
      <c r="AD95" s="218">
        <f>IFERROR(VLOOKUP(J95,競技会設定!$P$2:$S$22,2,0),0)</f>
        <v>0</v>
      </c>
      <c r="AE95" s="218">
        <f t="shared" ref="AE95" si="996">IF(E95="",0,IF(AD95=0,0,IF(AD95&lt;3,E95&amp;$AE$6,0)))</f>
        <v>0</v>
      </c>
      <c r="AF95" s="218">
        <f>IF(AE95=0,0,E95&amp;COUNTIF($AE$7:AE95,AE95))</f>
        <v>0</v>
      </c>
      <c r="AG95" s="218">
        <f t="shared" ref="AG95" si="997">IF(E95="",0,IF(AD95=0,0,IF(AD95&gt;=3,E95&amp;$AG$6,0)))</f>
        <v>0</v>
      </c>
      <c r="AH95" s="218">
        <f>IF(AG95=0,0,E95&amp;COUNTIF($AG$7:AG95,AG95))</f>
        <v>0</v>
      </c>
      <c r="AI95" s="218">
        <f t="shared" si="448"/>
        <v>0</v>
      </c>
      <c r="AJ95" s="218" t="b">
        <f>IF(AI95=0,FALSE,IF(COUNTIF(AI$7:AI95,AI95)&gt;1,TRUE,FALSE))</f>
        <v>0</v>
      </c>
      <c r="AK95" s="218">
        <f t="shared" ref="AK95" si="998">IF($AD95=AK$6,$E95,0)</f>
        <v>0</v>
      </c>
      <c r="AL95" s="218" t="b">
        <f>IF(AK95=0,FALSE,IF(COUNTIF(AK$7:AK95,AK95)&gt;1,TRUE,FALSE))</f>
        <v>0</v>
      </c>
      <c r="AM95" s="218">
        <f t="shared" ref="AM95" si="999">IF($AD95=AM$6,$E95,0)</f>
        <v>0</v>
      </c>
      <c r="AN95" s="218" t="b">
        <f>IF(AM95=0,FALSE,IF(COUNTIF(AM$7:AM95,AM95)&gt;1,TRUE,FALSE))</f>
        <v>0</v>
      </c>
      <c r="AO95" s="218">
        <f t="shared" ref="AO95" si="1000">IF($AD95=AO$6,$E95,0)</f>
        <v>0</v>
      </c>
      <c r="AP95" s="218" t="b">
        <f>IF(AO95=0,FALSE,IF(COUNTIF(AO$7:AO95,AO95)&gt;1,TRUE,FALSE))</f>
        <v>0</v>
      </c>
      <c r="AQ95" s="218">
        <f t="shared" ref="AQ95" si="1001">IF(COUNTIF(Y95,"*十種競技*")&gt;0,E95,0)</f>
        <v>0</v>
      </c>
      <c r="AR95" s="218" t="b">
        <f>IF(AQ95=0,FALSE,IF(OR(COUNTIF($AI$7:$AI$406,AQ95)+COUNTIF($AQ95:$AQ$406,AQ95)&gt;1,COUNTIF($AK$7:$AK$406,AQ95)+COUNTIF($AQ$7:$AQ$406,AQ95)&gt;1),TRUE,FALSE))</f>
        <v>0</v>
      </c>
      <c r="AS95" s="218" t="b">
        <f t="shared" ref="AS95" si="1002">IF(AND(C95="",E95&lt;&gt;"",F95&lt;&gt;"",E97&lt;&gt;"",G95&lt;&gt;"",G96&lt;&gt;"",G97&lt;&gt;""),TRUE,FALSE)</f>
        <v>0</v>
      </c>
      <c r="AT95" s="218" t="b">
        <f t="shared" si="744"/>
        <v>0</v>
      </c>
      <c r="AU95" s="274" t="b">
        <f t="shared" ref="AU95" si="1003">IFERROR(IF(D95&amp;E95&amp;F95&amp;E97&amp;G95&amp;G96&amp;G97&amp;J95&amp;J96&amp;J97&amp;J98&amp;L95&amp;L96&amp;L97&amp;L98&amp;M95&amp;M96&amp;M97&amp;M98&amp;N95&amp;N96&amp;N97&amp;N98&amp;O95&amp;O96&amp;O97&amp;O98&amp;P95&amp;P96&amp;P97&amp;P98&amp;Q95&amp;R95="",FALSE,TRUE),FALSE)</f>
        <v>0</v>
      </c>
      <c r="AV95" s="218" t="b">
        <f t="shared" ref="AV95" si="1004">IF(AS95,FALSE,IF(C95="",AU95,FALSE))</f>
        <v>0</v>
      </c>
      <c r="AW95" s="218" t="b">
        <f>IF(C95="",FALSE,IF(C95&gt;2000,TRUE,FALSE))</f>
        <v>0</v>
      </c>
      <c r="AX95" s="274" t="b">
        <f>IF(H95=0,FALSE,IF(EXACT(基本情報!$E$5,H95)=TRUE,FALSE,TRUE))</f>
        <v>0</v>
      </c>
      <c r="AY95" s="218" t="b">
        <f>IF(C95="",FALSE,IF(ISNA(E95)=TRUE,TRUE,FALSE))</f>
        <v>0</v>
      </c>
      <c r="AZ95" s="274" t="b">
        <f>IFERROR(IF(E95="",FALSE,IF(COUNTIF($E$7:E95,E95)&gt;1,TRUE,FALSE)),FALSE)</f>
        <v>0</v>
      </c>
      <c r="BA95" s="218" t="b">
        <f t="shared" ref="BA95" si="1005">IF(OR(J95&amp;J96&amp;J97&amp;J98&amp;Q95&amp;R95="",AT95,AT96,AT97,AT98),AU95,FALSE)</f>
        <v>0</v>
      </c>
      <c r="BB95" s="218" t="b">
        <f>IF(U95&gt;1,TRUE,FALSE)</f>
        <v>0</v>
      </c>
      <c r="BC95" s="218" t="b">
        <f>IF(X95&gt;1,TRUE,FALSE)</f>
        <v>0</v>
      </c>
      <c r="BD95" s="218" t="b">
        <f t="shared" si="732"/>
        <v>0</v>
      </c>
      <c r="BF95" s="231" t="b">
        <f t="shared" ref="BF95" si="1006">IF(J95="",FALSE,IF(OR(AND(AU95,L95=""),AND(AU95,L95="",OR(M95&lt;&gt;"",N95&lt;&gt;"",O95&lt;&gt;"",P95&lt;&gt;""))),TRUE,FALSE))</f>
        <v>0</v>
      </c>
      <c r="BG95" s="218" t="b">
        <f t="shared" si="734"/>
        <v>0</v>
      </c>
      <c r="BH95" s="218" t="b">
        <f t="shared" si="746"/>
        <v>0</v>
      </c>
      <c r="BI95" s="231" t="b">
        <f t="shared" ref="BI95" si="1007">IF(J95="",FALSE,IF(L95=0,FALSE,IF(AND(AU95,NOT(BF95),OR(M95="",N95="",O95="")),TRUE,FALSE)))</f>
        <v>0</v>
      </c>
      <c r="BJ95" s="240" t="b">
        <f t="shared" si="748"/>
        <v>0</v>
      </c>
      <c r="BK95" s="231" t="b">
        <f>IF(NOT(BJ95),FALSE,IF(AND(競技会設定!$C$5&lt;=BJ95,BJ95&lt;=競技会設定!$C$6),FALSE,TRUE))</f>
        <v>0</v>
      </c>
      <c r="BL95" s="218" t="b">
        <f>IF(J95="",FALSE,IF(L95=0,FALSE,IF(AND(AU95,NOT(BF95),NOT(BI95),P95=""),TRUE,FALSE)))</f>
        <v>0</v>
      </c>
      <c r="BO95" s="274">
        <f t="shared" ref="BO95" si="1008">IF(AND(AU95,SUM(COUNTIF(AV95:BC95,TRUE),COUNTIF(BF95:BL98,TRUE),COUNTIF(BD95:BD98,TRUE))=0,NOT($BE$7)),1,0)</f>
        <v>0</v>
      </c>
    </row>
    <row r="96" spans="1:67" ht="17.399999999999999" customHeight="1">
      <c r="A96" s="418"/>
      <c r="B96" s="402"/>
      <c r="C96" s="404"/>
      <c r="D96" s="221"/>
      <c r="E96" s="397"/>
      <c r="F96" s="397"/>
      <c r="G96" s="221" t="str">
        <f>IF(C95="","",(VLOOKUP(D95,男子登録!$A$2:$N$2001,13,0)))</f>
        <v/>
      </c>
      <c r="H96" s="221"/>
      <c r="I96" s="221" t="s">
        <v>7061</v>
      </c>
      <c r="J96" s="149"/>
      <c r="K96" s="221" t="s">
        <v>7062</v>
      </c>
      <c r="L96" s="149"/>
      <c r="M96" s="255"/>
      <c r="N96" s="256"/>
      <c r="O96" s="257"/>
      <c r="P96" s="149"/>
      <c r="Q96" s="399"/>
      <c r="R96" s="392"/>
      <c r="S96" s="136"/>
      <c r="T96" s="137"/>
      <c r="U96" s="137"/>
      <c r="V96" s="137"/>
      <c r="W96" s="137"/>
      <c r="X96" s="137"/>
      <c r="Y96" s="218">
        <f t="shared" ref="Y96" si="1009">IF(OR(E95="",J96=""),0,J96&amp;E95)</f>
        <v>0</v>
      </c>
      <c r="Z96" s="218">
        <f>IF(Y96=0,0,COUNTIF($Y$7:Y96,Y96))</f>
        <v>0</v>
      </c>
      <c r="AD96" s="218">
        <f>IFERROR(VLOOKUP(J96,競技会設定!$P$2:$S$22,2,0),0)</f>
        <v>0</v>
      </c>
      <c r="AE96" s="218">
        <f t="shared" ref="AE96" si="1010">IF(E95="",0,IF(AD96=0,0,IF(AD96&lt;3,E95&amp;$AE$6,0)))</f>
        <v>0</v>
      </c>
      <c r="AF96" s="218">
        <f>IF(AE96=0,0,E95&amp;COUNTIF($AE$7:AE96,AE96))</f>
        <v>0</v>
      </c>
      <c r="AG96" s="218">
        <f t="shared" ref="AG96" si="1011">IF(E95="",0,IF(AD96=0,0,IF(AD96&gt;=3,E95&amp;$AG$6,0)))</f>
        <v>0</v>
      </c>
      <c r="AH96" s="218">
        <f>IF(AG96=0,0,E95&amp;COUNTIF($AG$7:AG96,AG96))</f>
        <v>0</v>
      </c>
      <c r="AI96" s="218">
        <f t="shared" si="463"/>
        <v>0</v>
      </c>
      <c r="AJ96" s="218" t="b">
        <f>IF(AI96=0,FALSE,IF(COUNTIF(AI$7:AI96,AI96)&gt;1,TRUE,FALSE))</f>
        <v>0</v>
      </c>
      <c r="AK96" s="218">
        <f t="shared" ref="AK96" si="1012">IF($AD96=AK$6,$E95,0)</f>
        <v>0</v>
      </c>
      <c r="AL96" s="218" t="b">
        <f>IF(AK96=0,FALSE,IF(COUNTIF(AK$7:AK96,AK96)&gt;1,TRUE,FALSE))</f>
        <v>0</v>
      </c>
      <c r="AM96" s="218">
        <f t="shared" ref="AM96" si="1013">IF($AD96=AM$6,$E95,0)</f>
        <v>0</v>
      </c>
      <c r="AN96" s="218" t="b">
        <f>IF(AM96=0,FALSE,IF(COUNTIF(AM$7:AM96,AM96)&gt;1,TRUE,FALSE))</f>
        <v>0</v>
      </c>
      <c r="AO96" s="218">
        <f t="shared" ref="AO96" si="1014">IF($AD96=AO$6,$E95,0)</f>
        <v>0</v>
      </c>
      <c r="AP96" s="218" t="b">
        <f>IF(AO96=0,FALSE,IF(COUNTIF(AO$7:AO96,AO96)&gt;1,TRUE,FALSE))</f>
        <v>0</v>
      </c>
      <c r="AQ96" s="218">
        <f t="shared" ref="AQ96" si="1015">IF(COUNTIF(Y96,"*十種競技*")&gt;0,E95,0)</f>
        <v>0</v>
      </c>
      <c r="AR96" s="218" t="b">
        <f>IF(AQ96=0,FALSE,IF(OR(COUNTIF($AI$7:$AI$406,AQ96)+COUNTIF($AQ96:$AQ$406,AQ96)&gt;1,COUNTIF($AK$7:$AK$406,AQ96)+COUNTIF($AQ$7:$AQ$406,AQ96)&gt;1),TRUE,FALSE))</f>
        <v>0</v>
      </c>
      <c r="AT96" s="218" t="b">
        <f t="shared" si="744"/>
        <v>0</v>
      </c>
      <c r="AU96" s="274"/>
      <c r="AX96" s="274"/>
      <c r="BD96" s="218" t="b">
        <f t="shared" si="732"/>
        <v>0</v>
      </c>
      <c r="BF96" s="231" t="b">
        <f t="shared" ref="BF96" si="1016">IF(J96="",FALSE,IF(OR(AND(AU95,L96=""),AND(AU95,L96="",OR(M96&lt;&gt;"",N96&lt;&gt;"",O96&lt;&gt;"",P96&lt;&gt;""))),TRUE,FALSE))</f>
        <v>0</v>
      </c>
      <c r="BG96" s="218" t="b">
        <f t="shared" si="734"/>
        <v>0</v>
      </c>
      <c r="BH96" s="218" t="b">
        <f t="shared" si="746"/>
        <v>0</v>
      </c>
      <c r="BI96" s="231" t="b">
        <f t="shared" ref="BI96" si="1017">IF(J96="",FALSE,IF(L96=0,FALSE,IF(AND(AU95,NOT(BF96),OR(M96="",N96="",O96="")),TRUE,FALSE)))</f>
        <v>0</v>
      </c>
      <c r="BJ96" s="240" t="b">
        <f t="shared" si="748"/>
        <v>0</v>
      </c>
      <c r="BK96" s="231" t="b">
        <f>IF(NOT(BJ96),FALSE,IF(AND(競技会設定!$C$5&lt;=BJ96,BJ96&lt;=競技会設定!$C$6),FALSE,TRUE))</f>
        <v>0</v>
      </c>
      <c r="BL96" s="218" t="b">
        <f>IF(J96="",FALSE,IF(L96=0,FALSE,IF(AND(AU95,NOT(BF96),NOT(BI96),P96=""),TRUE,FALSE)))</f>
        <v>0</v>
      </c>
      <c r="BO96" s="274"/>
    </row>
    <row r="97" spans="1:67" ht="17.399999999999999" customHeight="1">
      <c r="A97" s="418"/>
      <c r="B97" s="402"/>
      <c r="C97" s="404"/>
      <c r="D97" s="221"/>
      <c r="E97" s="394" t="str">
        <f>IF(C95="","",VLOOKUP(D95,男子登録!$A$2:$O$2001,14,0)&amp;" ("&amp;VLOOKUP(D95,男子登録!$A$2:$O$2001,15,0)&amp;")")</f>
        <v/>
      </c>
      <c r="F97" s="394"/>
      <c r="G97" s="222" t="str">
        <f>IF(C95="","",(VLOOKUP(D95,男子登録!$A$2:$N$2001,9,0)))</f>
        <v/>
      </c>
      <c r="H97" s="222"/>
      <c r="I97" s="222" t="s">
        <v>7063</v>
      </c>
      <c r="J97" s="150"/>
      <c r="K97" s="222" t="s">
        <v>7064</v>
      </c>
      <c r="L97" s="150"/>
      <c r="M97" s="255"/>
      <c r="N97" s="256"/>
      <c r="O97" s="257"/>
      <c r="P97" s="149"/>
      <c r="Q97" s="399"/>
      <c r="R97" s="392"/>
      <c r="S97" s="136"/>
      <c r="T97" s="137"/>
      <c r="U97" s="137"/>
      <c r="V97" s="137"/>
      <c r="W97" s="137"/>
      <c r="X97" s="137"/>
      <c r="Y97" s="218">
        <f t="shared" ref="Y97" si="1018">IF(OR(E95="",J97=""),0,J97&amp;E95)</f>
        <v>0</v>
      </c>
      <c r="Z97" s="218">
        <f>IF(Y97=0,0,COUNTIF($Y$7:Y97,Y97))</f>
        <v>0</v>
      </c>
      <c r="AD97" s="218">
        <f>IFERROR(VLOOKUP(J97,競技会設定!$P$2:$S$22,2,0),0)</f>
        <v>0</v>
      </c>
      <c r="AE97" s="218">
        <f t="shared" ref="AE97" si="1019">IF(E95="",0,IF(AD97=0,0,IF(AD97&lt;3,E95&amp;$AE$6,0)))</f>
        <v>0</v>
      </c>
      <c r="AF97" s="218">
        <f>IF(AE97=0,0,E95&amp;COUNTIF($AE$7:AE97,AE97))</f>
        <v>0</v>
      </c>
      <c r="AG97" s="218">
        <f t="shared" ref="AG97" si="1020">IF(E95="",0,IF(AD97=0,0,IF(AD97&gt;=3,E95&amp;$AG$6,0)))</f>
        <v>0</v>
      </c>
      <c r="AH97" s="218">
        <f>IF(AG97=0,0,E95&amp;COUNTIF($AG$7:AG97,AG97))</f>
        <v>0</v>
      </c>
      <c r="AI97" s="218">
        <f t="shared" si="473"/>
        <v>0</v>
      </c>
      <c r="AJ97" s="218" t="b">
        <f>IF(AI97=0,FALSE,IF(COUNTIF(AI$7:AI97,AI97)&gt;1,TRUE,FALSE))</f>
        <v>0</v>
      </c>
      <c r="AK97" s="218">
        <f t="shared" ref="AK97" si="1021">IF($AD97=AK$6,$E95,0)</f>
        <v>0</v>
      </c>
      <c r="AL97" s="218" t="b">
        <f>IF(AK97=0,FALSE,IF(COUNTIF(AK$7:AK97,AK97)&gt;1,TRUE,FALSE))</f>
        <v>0</v>
      </c>
      <c r="AM97" s="218">
        <f t="shared" ref="AM97" si="1022">IF($AD97=AM$6,$E95,0)</f>
        <v>0</v>
      </c>
      <c r="AN97" s="218" t="b">
        <f>IF(AM97=0,FALSE,IF(COUNTIF(AM$7:AM97,AM97)&gt;1,TRUE,FALSE))</f>
        <v>0</v>
      </c>
      <c r="AO97" s="218">
        <f t="shared" ref="AO97" si="1023">IF($AD97=AO$6,$E95,0)</f>
        <v>0</v>
      </c>
      <c r="AP97" s="218" t="b">
        <f>IF(AO97=0,FALSE,IF(COUNTIF(AO$7:AO97,AO97)&gt;1,TRUE,FALSE))</f>
        <v>0</v>
      </c>
      <c r="AQ97" s="218">
        <f t="shared" ref="AQ97" si="1024">IF(COUNTIF(Y97,"*十種競技*")&gt;0,E95,0)</f>
        <v>0</v>
      </c>
      <c r="AR97" s="218" t="b">
        <f>IF(AQ97=0,FALSE,IF(OR(COUNTIF($AI$7:$AI$406,AQ97)+COUNTIF($AQ97:$AQ$406,AQ97)&gt;1,COUNTIF($AK$7:$AK$406,AQ97)+COUNTIF($AQ$7:$AQ$406,AQ97)&gt;1),TRUE,FALSE))</f>
        <v>0</v>
      </c>
      <c r="AT97" s="218" t="b">
        <f t="shared" si="744"/>
        <v>0</v>
      </c>
      <c r="AU97" s="274"/>
      <c r="AX97" s="274"/>
      <c r="BD97" s="218" t="b">
        <f t="shared" si="732"/>
        <v>0</v>
      </c>
      <c r="BF97" s="231" t="b">
        <f t="shared" ref="BF97" si="1025">IF(J97="",FALSE,IF(OR(AND(AU95,L97=""),AND(AU95,L97="",OR(M97&lt;&gt;"",N97&lt;&gt;"",O97&lt;&gt;"",P97&lt;&gt;""))),TRUE,FALSE))</f>
        <v>0</v>
      </c>
      <c r="BG97" s="218" t="b">
        <f t="shared" si="734"/>
        <v>0</v>
      </c>
      <c r="BH97" s="218" t="b">
        <f t="shared" si="746"/>
        <v>0</v>
      </c>
      <c r="BI97" s="231" t="b">
        <f t="shared" ref="BI97" si="1026">IF(J97="",FALSE,IF(L97=0,FALSE,IF(AND(AU95,NOT(BF97),OR(M97="",N97="",O97="")),TRUE,FALSE)))</f>
        <v>0</v>
      </c>
      <c r="BJ97" s="240" t="b">
        <f t="shared" si="748"/>
        <v>0</v>
      </c>
      <c r="BK97" s="231" t="b">
        <f>IF(NOT(BJ97),FALSE,IF(AND(競技会設定!$C$5&lt;=BJ97,BJ97&lt;=競技会設定!$C$6),FALSE,TRUE))</f>
        <v>0</v>
      </c>
      <c r="BL97" s="218" t="b">
        <f>IF(J97="",FALSE,IF(L97=0,FALSE,IF(AND(AU95,NOT(BF97),NOT(BI97),P97=""),TRUE,FALSE)))</f>
        <v>0</v>
      </c>
      <c r="BO97" s="274"/>
    </row>
    <row r="98" spans="1:67" ht="18" customHeight="1" thickBot="1">
      <c r="A98" s="419"/>
      <c r="B98" s="395" t="s">
        <v>7051</v>
      </c>
      <c r="C98" s="395"/>
      <c r="D98" s="221"/>
      <c r="E98" s="372"/>
      <c r="F98" s="372"/>
      <c r="G98" s="372"/>
      <c r="H98" s="214"/>
      <c r="I98" s="214" t="s">
        <v>7065</v>
      </c>
      <c r="J98" s="219"/>
      <c r="K98" s="214" t="s">
        <v>7066</v>
      </c>
      <c r="L98" s="219"/>
      <c r="M98" s="258"/>
      <c r="N98" s="259"/>
      <c r="O98" s="260"/>
      <c r="P98" s="219"/>
      <c r="Q98" s="400"/>
      <c r="R98" s="393"/>
      <c r="S98" s="136"/>
      <c r="T98" s="137"/>
      <c r="U98" s="137"/>
      <c r="V98" s="137"/>
      <c r="W98" s="137"/>
      <c r="X98" s="137"/>
      <c r="Y98" s="218">
        <f t="shared" ref="Y98" si="1027">IF(OR(E95="",J98=""),0,J98&amp;E95)</f>
        <v>0</v>
      </c>
      <c r="Z98" s="218">
        <f>IF(Y98=0,0,COUNTIF($Y$7:Y98,Y98))</f>
        <v>0</v>
      </c>
      <c r="AD98" s="218">
        <f>IFERROR(VLOOKUP(J98,競技会設定!$P$2:$S$22,2,0),0)</f>
        <v>0</v>
      </c>
      <c r="AE98" s="218">
        <f t="shared" ref="AE98" si="1028">IF(E95="",0,IF(AD98=0,0,IF(AD98&lt;3,E95&amp;$AE$6,0)))</f>
        <v>0</v>
      </c>
      <c r="AF98" s="218">
        <f>IF(AE98=0,0,E95&amp;COUNTIF($AE$7:AE98,AE98))</f>
        <v>0</v>
      </c>
      <c r="AG98" s="218">
        <f t="shared" ref="AG98" si="1029">IF(E95="",0,IF(AD98=0,0,IF(AD98&gt;=3,E95&amp;$AG$6,0)))</f>
        <v>0</v>
      </c>
      <c r="AH98" s="218">
        <f>IF(AG98=0,0,E95&amp;COUNTIF($AG$7:AG98,AG98))</f>
        <v>0</v>
      </c>
      <c r="AI98" s="218">
        <f t="shared" si="483"/>
        <v>0</v>
      </c>
      <c r="AJ98" s="218" t="b">
        <f>IF(AI98=0,FALSE,IF(COUNTIF(AI$7:AI98,AI98)&gt;1,TRUE,FALSE))</f>
        <v>0</v>
      </c>
      <c r="AK98" s="218">
        <f t="shared" ref="AK98" si="1030">IF($AD98=AK$6,$E95,0)</f>
        <v>0</v>
      </c>
      <c r="AL98" s="218" t="b">
        <f>IF(AK98=0,FALSE,IF(COUNTIF(AK$7:AK98,AK98)&gt;1,TRUE,FALSE))</f>
        <v>0</v>
      </c>
      <c r="AM98" s="218">
        <f t="shared" ref="AM98" si="1031">IF($AD98=AM$6,$E95,0)</f>
        <v>0</v>
      </c>
      <c r="AN98" s="218" t="b">
        <f>IF(AM98=0,FALSE,IF(COUNTIF(AM$7:AM98,AM98)&gt;1,TRUE,FALSE))</f>
        <v>0</v>
      </c>
      <c r="AO98" s="218">
        <f t="shared" ref="AO98" si="1032">IF($AD98=AO$6,$E95,0)</f>
        <v>0</v>
      </c>
      <c r="AP98" s="218" t="b">
        <f>IF(AO98=0,FALSE,IF(COUNTIF(AO$7:AO98,AO98)&gt;1,TRUE,FALSE))</f>
        <v>0</v>
      </c>
      <c r="AQ98" s="218">
        <f t="shared" ref="AQ98" si="1033">IF(COUNTIF(Y98,"*十種競技*")&gt;0,E95,0)</f>
        <v>0</v>
      </c>
      <c r="AR98" s="218" t="b">
        <f>IF(AQ98=0,FALSE,IF(OR(COUNTIF($AI$7:$AI$406,AQ98)+COUNTIF($AQ98:$AQ$406,AQ98)&gt;1,COUNTIF($AK$7:$AK$406,AQ98)+COUNTIF($AQ$7:$AQ$406,AQ98)&gt;1),TRUE,FALSE))</f>
        <v>0</v>
      </c>
      <c r="AT98" s="218" t="b">
        <f t="shared" si="744"/>
        <v>0</v>
      </c>
      <c r="AU98" s="274"/>
      <c r="AX98" s="274"/>
      <c r="BD98" s="218" t="b">
        <f t="shared" si="732"/>
        <v>0</v>
      </c>
      <c r="BF98" s="231" t="b">
        <f t="shared" ref="BF98" si="1034">IF(J98="",FALSE,IF(OR(AND(AU95,L98=""),AND(AU95,L98="",OR(M98&lt;&gt;"",N98&lt;&gt;"",O98&lt;&gt;"",P98&lt;&gt;""))),TRUE,FALSE))</f>
        <v>0</v>
      </c>
      <c r="BG98" s="218" t="b">
        <f t="shared" si="734"/>
        <v>0</v>
      </c>
      <c r="BH98" s="218" t="b">
        <f t="shared" si="746"/>
        <v>0</v>
      </c>
      <c r="BI98" s="231" t="b">
        <f t="shared" ref="BI98" si="1035">IF(J98="",FALSE,IF(L98=0,FALSE,IF(AND(AU95,NOT(BF98),OR(M98="",N98="",O98="")),TRUE,FALSE)))</f>
        <v>0</v>
      </c>
      <c r="BJ98" s="240" t="b">
        <f t="shared" si="748"/>
        <v>0</v>
      </c>
      <c r="BK98" s="231" t="b">
        <f>IF(NOT(BJ98),FALSE,IF(AND(競技会設定!$C$5&lt;=BJ98,BJ98&lt;=競技会設定!$C$6),FALSE,TRUE))</f>
        <v>0</v>
      </c>
      <c r="BL98" s="218" t="b">
        <f>IF(J98="",FALSE,IF(L98=0,FALSE,IF(AND(AU95,NOT(BF98),NOT(BI98),P98=""),TRUE,FALSE)))</f>
        <v>0</v>
      </c>
      <c r="BO98" s="274"/>
    </row>
    <row r="99" spans="1:67" ht="18" customHeight="1" thickTop="1">
      <c r="A99" s="420">
        <v>24</v>
      </c>
      <c r="B99" s="373" t="s">
        <v>7050</v>
      </c>
      <c r="C99" s="375"/>
      <c r="D99" s="138" t="str">
        <f t="shared" ref="D99" si="1036">IF(C99="","",501&amp;TEXT(C99,"000000"))</f>
        <v/>
      </c>
      <c r="E99" s="377" t="str">
        <f>IF(D99="","",(VLOOKUP(D99,男子登録!$A$2:$N$2001,3,0)))</f>
        <v/>
      </c>
      <c r="F99" s="377" t="str">
        <f>IF(D99="","",(VLOOKUP(D99,男子登録!$A$2:$N$2001,4,0)))</f>
        <v/>
      </c>
      <c r="G99" s="138" t="str">
        <f>IF(C99="","",(VLOOKUP(D99,男子登録!$A$2:$N$2001,8,0)))</f>
        <v/>
      </c>
      <c r="H99" s="138">
        <f>IFERROR(VLOOKUP(D99,男子登録!$A$2:$N$2001,11,0),基本情報!$E$5)</f>
        <v>0</v>
      </c>
      <c r="I99" s="138" t="s">
        <v>7059</v>
      </c>
      <c r="J99" s="151"/>
      <c r="K99" s="138" t="s">
        <v>7060</v>
      </c>
      <c r="L99" s="151"/>
      <c r="M99" s="261"/>
      <c r="N99" s="262"/>
      <c r="O99" s="263"/>
      <c r="P99" s="151"/>
      <c r="Q99" s="381"/>
      <c r="R99" s="384"/>
      <c r="S99" s="136">
        <f t="shared" ref="S99" si="1037">IF(OR(E99="",Q99=""),0,E99)</f>
        <v>0</v>
      </c>
      <c r="T99" s="137">
        <f>IF(S99=0,0,COUNTIF($S$7:S99,"*"))</f>
        <v>0</v>
      </c>
      <c r="U99" s="137">
        <f>IF(S99=0,0,COUNTIF($S$7:S99,S99))</f>
        <v>0</v>
      </c>
      <c r="V99" s="137">
        <f t="shared" si="949"/>
        <v>0</v>
      </c>
      <c r="W99" s="137">
        <f>IF(V99=0,0,COUNTIF($V$7:V99,"*"))</f>
        <v>0</v>
      </c>
      <c r="X99" s="137">
        <f>IF(V99=0,0,COUNTIF($V$7:V99,V99))</f>
        <v>0</v>
      </c>
      <c r="Y99" s="218">
        <f t="shared" ref="Y99" si="1038">IF(OR(E99="",J99=""),0,J99&amp;E99)</f>
        <v>0</v>
      </c>
      <c r="Z99" s="218">
        <f>IF(Y99=0,0,COUNTIF($Y$7:Y99,Y99))</f>
        <v>0</v>
      </c>
      <c r="AA99" s="218" t="b">
        <f t="shared" ref="AA99" si="1039">IF(COUNTIF(J99:J102,"十種競技")&gt;0,TRUE,FALSE)</f>
        <v>0</v>
      </c>
      <c r="AB99" s="218">
        <f>IF(E99="",0,IF(AA99,COUNTIF($AA$7:AA99,TRUE),0))</f>
        <v>0</v>
      </c>
      <c r="AC99" s="218">
        <f>IFERROR(VLOOKUP("十種競技",J99:L102,3,0),0)</f>
        <v>0</v>
      </c>
      <c r="AD99" s="218">
        <f>IFERROR(VLOOKUP(J99,競技会設定!$P$2:$S$22,2,0),0)</f>
        <v>0</v>
      </c>
      <c r="AE99" s="218">
        <f t="shared" ref="AE99" si="1040">IF(E99="",0,IF(AD99=0,0,IF(AD99&lt;3,E99&amp;$AE$6,0)))</f>
        <v>0</v>
      </c>
      <c r="AF99" s="218">
        <f>IF(AE99=0,0,E99&amp;COUNTIF($AE$7:AE99,AE99))</f>
        <v>0</v>
      </c>
      <c r="AG99" s="218">
        <f t="shared" ref="AG99" si="1041">IF(E99="",0,IF(AD99=0,0,IF(AD99&gt;=3,E99&amp;$AG$6,0)))</f>
        <v>0</v>
      </c>
      <c r="AH99" s="218">
        <f>IF(AG99=0,0,E99&amp;COUNTIF($AG$7:AG99,AG99))</f>
        <v>0</v>
      </c>
      <c r="AI99" s="218">
        <f t="shared" si="496"/>
        <v>0</v>
      </c>
      <c r="AJ99" s="218" t="b">
        <f>IF(AI99=0,FALSE,IF(COUNTIF(AI$7:AI99,AI99)&gt;1,TRUE,FALSE))</f>
        <v>0</v>
      </c>
      <c r="AK99" s="218">
        <f t="shared" ref="AK99" si="1042">IF($AD99=AK$6,$E99,0)</f>
        <v>0</v>
      </c>
      <c r="AL99" s="218" t="b">
        <f>IF(AK99=0,FALSE,IF(COUNTIF(AK$7:AK99,AK99)&gt;1,TRUE,FALSE))</f>
        <v>0</v>
      </c>
      <c r="AM99" s="218">
        <f t="shared" ref="AM99" si="1043">IF($AD99=AM$6,$E99,0)</f>
        <v>0</v>
      </c>
      <c r="AN99" s="218" t="b">
        <f>IF(AM99=0,FALSE,IF(COUNTIF(AM$7:AM99,AM99)&gt;1,TRUE,FALSE))</f>
        <v>0</v>
      </c>
      <c r="AO99" s="218">
        <f t="shared" ref="AO99" si="1044">IF($AD99=AO$6,$E99,0)</f>
        <v>0</v>
      </c>
      <c r="AP99" s="218" t="b">
        <f>IF(AO99=0,FALSE,IF(COUNTIF(AO$7:AO99,AO99)&gt;1,TRUE,FALSE))</f>
        <v>0</v>
      </c>
      <c r="AQ99" s="218">
        <f t="shared" ref="AQ99" si="1045">IF(COUNTIF(Y99,"*十種競技*")&gt;0,E99,0)</f>
        <v>0</v>
      </c>
      <c r="AR99" s="218" t="b">
        <f>IF(AQ99=0,FALSE,IF(OR(COUNTIF($AI$7:$AI$406,AQ99)+COUNTIF($AQ99:$AQ$406,AQ99)&gt;1,COUNTIF($AK$7:$AK$406,AQ99)+COUNTIF($AQ$7:$AQ$406,AQ99)&gt;1),TRUE,FALSE))</f>
        <v>0</v>
      </c>
      <c r="AS99" s="218" t="b">
        <f t="shared" ref="AS99" si="1046">IF(AND(C99="",E99&lt;&gt;"",F99&lt;&gt;"",E101&lt;&gt;"",G99&lt;&gt;"",G100&lt;&gt;"",G101&lt;&gt;""),TRUE,FALSE)</f>
        <v>0</v>
      </c>
      <c r="AT99" s="218" t="b">
        <f t="shared" si="744"/>
        <v>0</v>
      </c>
      <c r="AU99" s="274" t="b">
        <f t="shared" ref="AU99" si="1047">IFERROR(IF(D99&amp;E99&amp;F99&amp;E101&amp;G99&amp;G100&amp;G101&amp;J99&amp;J100&amp;J101&amp;J102&amp;L99&amp;L100&amp;L101&amp;L102&amp;M99&amp;M100&amp;M101&amp;M102&amp;N99&amp;N100&amp;N101&amp;N102&amp;O99&amp;O100&amp;O101&amp;O102&amp;P99&amp;P100&amp;P101&amp;P102&amp;Q99&amp;R99="",FALSE,TRUE),FALSE)</f>
        <v>0</v>
      </c>
      <c r="AV99" s="218" t="b">
        <f t="shared" ref="AV99" si="1048">IF(AS99,FALSE,IF(C99="",AU99,FALSE))</f>
        <v>0</v>
      </c>
      <c r="AW99" s="218" t="b">
        <f>IF(C99="",FALSE,IF(C99&gt;2000,TRUE,FALSE))</f>
        <v>0</v>
      </c>
      <c r="AX99" s="274" t="b">
        <f>IF(H99=0,FALSE,IF(EXACT(基本情報!$E$5,H99)=TRUE,FALSE,TRUE))</f>
        <v>0</v>
      </c>
      <c r="AY99" s="218" t="b">
        <f>IF(C99="",FALSE,IF(ISNA(E99)=TRUE,TRUE,FALSE))</f>
        <v>0</v>
      </c>
      <c r="AZ99" s="274" t="b">
        <f>IFERROR(IF(E99="",FALSE,IF(COUNTIF($E$7:E99,E99)&gt;1,TRUE,FALSE)),FALSE)</f>
        <v>0</v>
      </c>
      <c r="BA99" s="218" t="b">
        <f t="shared" ref="BA99" si="1049">IF(OR(J99&amp;J100&amp;J101&amp;J102&amp;Q99&amp;R99="",AT99,AT100,AT101,AT102),AU99,FALSE)</f>
        <v>0</v>
      </c>
      <c r="BB99" s="218" t="b">
        <f>IF(U99&gt;1,TRUE,FALSE)</f>
        <v>0</v>
      </c>
      <c r="BC99" s="218" t="b">
        <f>IF(X99&gt;1,TRUE,FALSE)</f>
        <v>0</v>
      </c>
      <c r="BD99" s="218" t="b">
        <f t="shared" si="732"/>
        <v>0</v>
      </c>
      <c r="BF99" s="231" t="b">
        <f t="shared" ref="BF99" si="1050">IF(J99="",FALSE,IF(OR(AND(AU99,L99=""),AND(AU99,L99="",OR(M99&lt;&gt;"",N99&lt;&gt;"",O99&lt;&gt;"",P99&lt;&gt;""))),TRUE,FALSE))</f>
        <v>0</v>
      </c>
      <c r="BG99" s="218" t="b">
        <f t="shared" si="734"/>
        <v>0</v>
      </c>
      <c r="BH99" s="218" t="b">
        <f t="shared" si="746"/>
        <v>0</v>
      </c>
      <c r="BI99" s="231" t="b">
        <f t="shared" ref="BI99" si="1051">IF(J99="",FALSE,IF(L99=0,FALSE,IF(AND(AU99,NOT(BF99),OR(M99="",N99="",O99="")),TRUE,FALSE)))</f>
        <v>0</v>
      </c>
      <c r="BJ99" s="240" t="b">
        <f t="shared" si="748"/>
        <v>0</v>
      </c>
      <c r="BK99" s="231" t="b">
        <f>IF(NOT(BJ99),FALSE,IF(AND(競技会設定!$C$5&lt;=BJ99,BJ99&lt;=競技会設定!$C$6),FALSE,TRUE))</f>
        <v>0</v>
      </c>
      <c r="BL99" s="218" t="b">
        <f>IF(J99="",FALSE,IF(L99=0,FALSE,IF(AND(AU99,NOT(BF99),NOT(BI99),P99=""),TRUE,FALSE)))</f>
        <v>0</v>
      </c>
      <c r="BO99" s="274">
        <f t="shared" ref="BO99" si="1052">IF(AND(AU99,SUM(COUNTIF(AV99:BC99,TRUE),COUNTIF(BF99:BL102,TRUE),COUNTIF(BD99:BD102,TRUE))=0,NOT($BE$7)),1,0)</f>
        <v>0</v>
      </c>
    </row>
    <row r="100" spans="1:67" ht="17.399999999999999" customHeight="1">
      <c r="A100" s="421"/>
      <c r="B100" s="374"/>
      <c r="C100" s="376"/>
      <c r="D100" s="139"/>
      <c r="E100" s="378"/>
      <c r="F100" s="378"/>
      <c r="G100" s="139" t="str">
        <f>IF(C99="","",(VLOOKUP(D99,男子登録!$A$2:$N$2001,13,0)))</f>
        <v/>
      </c>
      <c r="H100" s="139"/>
      <c r="I100" s="139" t="s">
        <v>7061</v>
      </c>
      <c r="J100" s="152"/>
      <c r="K100" s="139" t="s">
        <v>7062</v>
      </c>
      <c r="L100" s="152"/>
      <c r="M100" s="264"/>
      <c r="N100" s="265"/>
      <c r="O100" s="266"/>
      <c r="P100" s="152"/>
      <c r="Q100" s="382"/>
      <c r="R100" s="385"/>
      <c r="S100" s="136"/>
      <c r="T100" s="137"/>
      <c r="U100" s="137"/>
      <c r="V100" s="137"/>
      <c r="W100" s="137"/>
      <c r="X100" s="137"/>
      <c r="Y100" s="218">
        <f t="shared" ref="Y100" si="1053">IF(OR(E99="",J100=""),0,J100&amp;E99)</f>
        <v>0</v>
      </c>
      <c r="Z100" s="218">
        <f>IF(Y100=0,0,COUNTIF($Y$7:Y100,Y100))</f>
        <v>0</v>
      </c>
      <c r="AD100" s="218">
        <f>IFERROR(VLOOKUP(J100,競技会設定!$P$2:$S$22,2,0),0)</f>
        <v>0</v>
      </c>
      <c r="AE100" s="218">
        <f t="shared" ref="AE100" si="1054">IF(E99="",0,IF(AD100=0,0,IF(AD100&lt;3,E99&amp;$AE$6,0)))</f>
        <v>0</v>
      </c>
      <c r="AF100" s="218">
        <f>IF(AE100=0,0,E99&amp;COUNTIF($AE$7:AE100,AE100))</f>
        <v>0</v>
      </c>
      <c r="AG100" s="218">
        <f t="shared" ref="AG100" si="1055">IF(E99="",0,IF(AD100=0,0,IF(AD100&gt;=3,E99&amp;$AG$6,0)))</f>
        <v>0</v>
      </c>
      <c r="AH100" s="218">
        <f>IF(AG100=0,0,E99&amp;COUNTIF($AG$7:AG100,AG100))</f>
        <v>0</v>
      </c>
      <c r="AI100" s="218">
        <f t="shared" si="511"/>
        <v>0</v>
      </c>
      <c r="AJ100" s="218" t="b">
        <f>IF(AI100=0,FALSE,IF(COUNTIF(AI$7:AI100,AI100)&gt;1,TRUE,FALSE))</f>
        <v>0</v>
      </c>
      <c r="AK100" s="218">
        <f t="shared" ref="AK100" si="1056">IF($AD100=AK$6,$E99,0)</f>
        <v>0</v>
      </c>
      <c r="AL100" s="218" t="b">
        <f>IF(AK100=0,FALSE,IF(COUNTIF(AK$7:AK100,AK100)&gt;1,TRUE,FALSE))</f>
        <v>0</v>
      </c>
      <c r="AM100" s="218">
        <f t="shared" ref="AM100" si="1057">IF($AD100=AM$6,$E99,0)</f>
        <v>0</v>
      </c>
      <c r="AN100" s="218" t="b">
        <f>IF(AM100=0,FALSE,IF(COUNTIF(AM$7:AM100,AM100)&gt;1,TRUE,FALSE))</f>
        <v>0</v>
      </c>
      <c r="AO100" s="218">
        <f t="shared" ref="AO100" si="1058">IF($AD100=AO$6,$E99,0)</f>
        <v>0</v>
      </c>
      <c r="AP100" s="218" t="b">
        <f>IF(AO100=0,FALSE,IF(COUNTIF(AO$7:AO100,AO100)&gt;1,TRUE,FALSE))</f>
        <v>0</v>
      </c>
      <c r="AQ100" s="218">
        <f t="shared" ref="AQ100" si="1059">IF(COUNTIF(Y100,"*十種競技*")&gt;0,E99,0)</f>
        <v>0</v>
      </c>
      <c r="AR100" s="218" t="b">
        <f>IF(AQ100=0,FALSE,IF(OR(COUNTIF($AI$7:$AI$406,AQ100)+COUNTIF($AQ100:$AQ$406,AQ100)&gt;1,COUNTIF($AK$7:$AK$406,AQ100)+COUNTIF($AQ$7:$AQ$406,AQ100)&gt;1),TRUE,FALSE))</f>
        <v>0</v>
      </c>
      <c r="AT100" s="218" t="b">
        <f t="shared" si="744"/>
        <v>0</v>
      </c>
      <c r="AU100" s="274"/>
      <c r="AX100" s="274"/>
      <c r="BD100" s="218" t="b">
        <f t="shared" si="732"/>
        <v>0</v>
      </c>
      <c r="BF100" s="231" t="b">
        <f t="shared" ref="BF100" si="1060">IF(J100="",FALSE,IF(OR(AND(AU99,L100=""),AND(AU99,L100="",OR(M100&lt;&gt;"",N100&lt;&gt;"",O100&lt;&gt;"",P100&lt;&gt;""))),TRUE,FALSE))</f>
        <v>0</v>
      </c>
      <c r="BG100" s="218" t="b">
        <f t="shared" si="734"/>
        <v>0</v>
      </c>
      <c r="BH100" s="218" t="b">
        <f t="shared" si="746"/>
        <v>0</v>
      </c>
      <c r="BI100" s="231" t="b">
        <f t="shared" ref="BI100" si="1061">IF(J100="",FALSE,IF(L100=0,FALSE,IF(AND(AU99,NOT(BF100),OR(M100="",N100="",O100="")),TRUE,FALSE)))</f>
        <v>0</v>
      </c>
      <c r="BJ100" s="240" t="b">
        <f t="shared" si="748"/>
        <v>0</v>
      </c>
      <c r="BK100" s="231" t="b">
        <f>IF(NOT(BJ100),FALSE,IF(AND(競技会設定!$C$5&lt;=BJ100,BJ100&lt;=競技会設定!$C$6),FALSE,TRUE))</f>
        <v>0</v>
      </c>
      <c r="BL100" s="218" t="b">
        <f>IF(J100="",FALSE,IF(L100=0,FALSE,IF(AND(AU99,NOT(BF100),NOT(BI100),P100=""),TRUE,FALSE)))</f>
        <v>0</v>
      </c>
      <c r="BO100" s="274"/>
    </row>
    <row r="101" spans="1:67" ht="17.399999999999999" customHeight="1">
      <c r="A101" s="421"/>
      <c r="B101" s="374"/>
      <c r="C101" s="376"/>
      <c r="D101" s="140"/>
      <c r="E101" s="379" t="str">
        <f>IF(C99="","",VLOOKUP(D99,男子登録!$A$2:$O$2001,14,0)&amp;" ("&amp;VLOOKUP(D99,男子登録!$A$2:$O$2001,15,0)&amp;")")</f>
        <v/>
      </c>
      <c r="F101" s="380"/>
      <c r="G101" s="140" t="str">
        <f>IF(C99="","",(VLOOKUP(D99,男子登録!$A$2:$N$2001,9,0)))</f>
        <v/>
      </c>
      <c r="H101" s="140"/>
      <c r="I101" s="140" t="s">
        <v>7063</v>
      </c>
      <c r="J101" s="153"/>
      <c r="K101" s="140" t="s">
        <v>7064</v>
      </c>
      <c r="L101" s="153"/>
      <c r="M101" s="264"/>
      <c r="N101" s="265"/>
      <c r="O101" s="266"/>
      <c r="P101" s="152"/>
      <c r="Q101" s="382"/>
      <c r="R101" s="385"/>
      <c r="S101" s="136"/>
      <c r="T101" s="137"/>
      <c r="U101" s="137"/>
      <c r="V101" s="137"/>
      <c r="W101" s="137"/>
      <c r="X101" s="137"/>
      <c r="Y101" s="218">
        <f t="shared" ref="Y101" si="1062">IF(OR(E99="",J101=""),0,J101&amp;E99)</f>
        <v>0</v>
      </c>
      <c r="Z101" s="218">
        <f>IF(Y101=0,0,COUNTIF($Y$7:Y101,Y101))</f>
        <v>0</v>
      </c>
      <c r="AD101" s="218">
        <f>IFERROR(VLOOKUP(J101,競技会設定!$P$2:$S$22,2,0),0)</f>
        <v>0</v>
      </c>
      <c r="AE101" s="218">
        <f t="shared" ref="AE101" si="1063">IF(E99="",0,IF(AD101=0,0,IF(AD101&lt;3,E99&amp;$AE$6,0)))</f>
        <v>0</v>
      </c>
      <c r="AF101" s="218">
        <f>IF(AE101=0,0,E99&amp;COUNTIF($AE$7:AE101,AE101))</f>
        <v>0</v>
      </c>
      <c r="AG101" s="218">
        <f t="shared" ref="AG101" si="1064">IF(E99="",0,IF(AD101=0,0,IF(AD101&gt;=3,E99&amp;$AG$6,0)))</f>
        <v>0</v>
      </c>
      <c r="AH101" s="218">
        <f>IF(AG101=0,0,E99&amp;COUNTIF($AG$7:AG101,AG101))</f>
        <v>0</v>
      </c>
      <c r="AI101" s="218">
        <f t="shared" si="521"/>
        <v>0</v>
      </c>
      <c r="AJ101" s="218" t="b">
        <f>IF(AI101=0,FALSE,IF(COUNTIF(AI$7:AI101,AI101)&gt;1,TRUE,FALSE))</f>
        <v>0</v>
      </c>
      <c r="AK101" s="218">
        <f t="shared" ref="AK101" si="1065">IF($AD101=AK$6,$E99,0)</f>
        <v>0</v>
      </c>
      <c r="AL101" s="218" t="b">
        <f>IF(AK101=0,FALSE,IF(COUNTIF(AK$7:AK101,AK101)&gt;1,TRUE,FALSE))</f>
        <v>0</v>
      </c>
      <c r="AM101" s="218">
        <f t="shared" ref="AM101" si="1066">IF($AD101=AM$6,$E99,0)</f>
        <v>0</v>
      </c>
      <c r="AN101" s="218" t="b">
        <f>IF(AM101=0,FALSE,IF(COUNTIF(AM$7:AM101,AM101)&gt;1,TRUE,FALSE))</f>
        <v>0</v>
      </c>
      <c r="AO101" s="218">
        <f t="shared" ref="AO101" si="1067">IF($AD101=AO$6,$E99,0)</f>
        <v>0</v>
      </c>
      <c r="AP101" s="218" t="b">
        <f>IF(AO101=0,FALSE,IF(COUNTIF(AO$7:AO101,AO101)&gt;1,TRUE,FALSE))</f>
        <v>0</v>
      </c>
      <c r="AQ101" s="218">
        <f t="shared" ref="AQ101" si="1068">IF(COUNTIF(Y101,"*十種競技*")&gt;0,E99,0)</f>
        <v>0</v>
      </c>
      <c r="AR101" s="218" t="b">
        <f>IF(AQ101=0,FALSE,IF(OR(COUNTIF($AI$7:$AI$406,AQ101)+COUNTIF($AQ101:$AQ$406,AQ101)&gt;1,COUNTIF($AK$7:$AK$406,AQ101)+COUNTIF($AQ$7:$AQ$406,AQ101)&gt;1),TRUE,FALSE))</f>
        <v>0</v>
      </c>
      <c r="AT101" s="218" t="b">
        <f t="shared" si="744"/>
        <v>0</v>
      </c>
      <c r="AU101" s="274"/>
      <c r="AX101" s="274"/>
      <c r="BD101" s="218" t="b">
        <f t="shared" si="732"/>
        <v>0</v>
      </c>
      <c r="BF101" s="231" t="b">
        <f t="shared" ref="BF101" si="1069">IF(J101="",FALSE,IF(OR(AND(AU99,L101=""),AND(AU99,L101="",OR(M101&lt;&gt;"",N101&lt;&gt;"",O101&lt;&gt;"",P101&lt;&gt;""))),TRUE,FALSE))</f>
        <v>0</v>
      </c>
      <c r="BG101" s="218" t="b">
        <f t="shared" si="734"/>
        <v>0</v>
      </c>
      <c r="BH101" s="218" t="b">
        <f t="shared" si="746"/>
        <v>0</v>
      </c>
      <c r="BI101" s="231" t="b">
        <f t="shared" ref="BI101" si="1070">IF(J101="",FALSE,IF(L101=0,FALSE,IF(AND(AU99,NOT(BF101),OR(M101="",N101="",O101="")),TRUE,FALSE)))</f>
        <v>0</v>
      </c>
      <c r="BJ101" s="240" t="b">
        <f t="shared" si="748"/>
        <v>0</v>
      </c>
      <c r="BK101" s="231" t="b">
        <f>IF(NOT(BJ101),FALSE,IF(AND(競技会設定!$C$5&lt;=BJ101,BJ101&lt;=競技会設定!$C$6),FALSE,TRUE))</f>
        <v>0</v>
      </c>
      <c r="BL101" s="218" t="b">
        <f>IF(J101="",FALSE,IF(L101=0,FALSE,IF(AND(AU99,NOT(BF101),NOT(BI101),P101=""),TRUE,FALSE)))</f>
        <v>0</v>
      </c>
      <c r="BO101" s="274"/>
    </row>
    <row r="102" spans="1:67" ht="18" customHeight="1" thickBot="1">
      <c r="A102" s="422"/>
      <c r="B102" s="387" t="s">
        <v>7051</v>
      </c>
      <c r="C102" s="387"/>
      <c r="D102" s="213"/>
      <c r="E102" s="388"/>
      <c r="F102" s="389"/>
      <c r="G102" s="390"/>
      <c r="H102" s="141"/>
      <c r="I102" s="213" t="s">
        <v>7065</v>
      </c>
      <c r="J102" s="154"/>
      <c r="K102" s="213" t="s">
        <v>7066</v>
      </c>
      <c r="L102" s="154"/>
      <c r="M102" s="267"/>
      <c r="N102" s="268"/>
      <c r="O102" s="269"/>
      <c r="P102" s="154"/>
      <c r="Q102" s="383"/>
      <c r="R102" s="386"/>
      <c r="S102" s="136"/>
      <c r="T102" s="137"/>
      <c r="U102" s="137"/>
      <c r="V102" s="137"/>
      <c r="W102" s="137"/>
      <c r="X102" s="137"/>
      <c r="Y102" s="218">
        <f t="shared" ref="Y102" si="1071">IF(OR(E99="",J102=""),0,J102&amp;E99)</f>
        <v>0</v>
      </c>
      <c r="Z102" s="218">
        <f>IF(Y102=0,0,COUNTIF($Y$7:Y102,Y102))</f>
        <v>0</v>
      </c>
      <c r="AD102" s="218">
        <f>IFERROR(VLOOKUP(J102,競技会設定!$P$2:$S$22,2,0),0)</f>
        <v>0</v>
      </c>
      <c r="AE102" s="218">
        <f t="shared" ref="AE102" si="1072">IF(E99="",0,IF(AD102=0,0,IF(AD102&lt;3,E99&amp;$AE$6,0)))</f>
        <v>0</v>
      </c>
      <c r="AF102" s="218">
        <f>IF(AE102=0,0,E99&amp;COUNTIF($AE$7:AE102,AE102))</f>
        <v>0</v>
      </c>
      <c r="AG102" s="218">
        <f t="shared" ref="AG102" si="1073">IF(E99="",0,IF(AD102=0,0,IF(AD102&gt;=3,E99&amp;$AG$6,0)))</f>
        <v>0</v>
      </c>
      <c r="AH102" s="218">
        <f>IF(AG102=0,0,E99&amp;COUNTIF($AG$7:AG102,AG102))</f>
        <v>0</v>
      </c>
      <c r="AI102" s="218">
        <f t="shared" si="531"/>
        <v>0</v>
      </c>
      <c r="AJ102" s="218" t="b">
        <f>IF(AI102=0,FALSE,IF(COUNTIF(AI$7:AI102,AI102)&gt;1,TRUE,FALSE))</f>
        <v>0</v>
      </c>
      <c r="AK102" s="218">
        <f t="shared" ref="AK102" si="1074">IF($AD102=AK$6,$E99,0)</f>
        <v>0</v>
      </c>
      <c r="AL102" s="218" t="b">
        <f>IF(AK102=0,FALSE,IF(COUNTIF(AK$7:AK102,AK102)&gt;1,TRUE,FALSE))</f>
        <v>0</v>
      </c>
      <c r="AM102" s="218">
        <f t="shared" ref="AM102" si="1075">IF($AD102=AM$6,$E99,0)</f>
        <v>0</v>
      </c>
      <c r="AN102" s="218" t="b">
        <f>IF(AM102=0,FALSE,IF(COUNTIF(AM$7:AM102,AM102)&gt;1,TRUE,FALSE))</f>
        <v>0</v>
      </c>
      <c r="AO102" s="218">
        <f t="shared" ref="AO102" si="1076">IF($AD102=AO$6,$E99,0)</f>
        <v>0</v>
      </c>
      <c r="AP102" s="218" t="b">
        <f>IF(AO102=0,FALSE,IF(COUNTIF(AO$7:AO102,AO102)&gt;1,TRUE,FALSE))</f>
        <v>0</v>
      </c>
      <c r="AQ102" s="218">
        <f t="shared" ref="AQ102" si="1077">IF(COUNTIF(Y102,"*十種競技*")&gt;0,E99,0)</f>
        <v>0</v>
      </c>
      <c r="AR102" s="218" t="b">
        <f>IF(AQ102=0,FALSE,IF(OR(COUNTIF($AI$7:$AI$406,AQ102)+COUNTIF($AQ102:$AQ$406,AQ102)&gt;1,COUNTIF($AK$7:$AK$406,AQ102)+COUNTIF($AQ$7:$AQ$406,AQ102)&gt;1),TRUE,FALSE))</f>
        <v>0</v>
      </c>
      <c r="AT102" s="218" t="b">
        <f t="shared" si="744"/>
        <v>0</v>
      </c>
      <c r="AU102" s="274"/>
      <c r="AX102" s="274"/>
      <c r="BD102" s="218" t="b">
        <f t="shared" si="732"/>
        <v>0</v>
      </c>
      <c r="BF102" s="231" t="b">
        <f t="shared" ref="BF102" si="1078">IF(J102="",FALSE,IF(OR(AND(AU99,L102=""),AND(AU99,L102="",OR(M102&lt;&gt;"",N102&lt;&gt;"",O102&lt;&gt;"",P102&lt;&gt;""))),TRUE,FALSE))</f>
        <v>0</v>
      </c>
      <c r="BG102" s="218" t="b">
        <f t="shared" si="734"/>
        <v>0</v>
      </c>
      <c r="BH102" s="218" t="b">
        <f t="shared" si="746"/>
        <v>0</v>
      </c>
      <c r="BI102" s="231" t="b">
        <f t="shared" ref="BI102" si="1079">IF(J102="",FALSE,IF(L102=0,FALSE,IF(AND(AU99,NOT(BF102),OR(M102="",N102="",O102="")),TRUE,FALSE)))</f>
        <v>0</v>
      </c>
      <c r="BJ102" s="240" t="b">
        <f t="shared" si="748"/>
        <v>0</v>
      </c>
      <c r="BK102" s="231" t="b">
        <f>IF(NOT(BJ102),FALSE,IF(AND(競技会設定!$C$5&lt;=BJ102,BJ102&lt;=競技会設定!$C$6),FALSE,TRUE))</f>
        <v>0</v>
      </c>
      <c r="BL102" s="218" t="b">
        <f>IF(J102="",FALSE,IF(L102=0,FALSE,IF(AND(AU99,NOT(BF102),NOT(BI102),P102=""),TRUE,FALSE)))</f>
        <v>0</v>
      </c>
      <c r="BO102" s="274"/>
    </row>
    <row r="103" spans="1:67" ht="18" customHeight="1" thickTop="1">
      <c r="A103" s="417">
        <v>25</v>
      </c>
      <c r="B103" s="401" t="s">
        <v>7050</v>
      </c>
      <c r="C103" s="403"/>
      <c r="D103" s="220" t="str">
        <f t="shared" ref="D103" si="1080">IF(C103="","",501&amp;TEXT(C103,"000000"))</f>
        <v/>
      </c>
      <c r="E103" s="396" t="str">
        <f>IF(D103="","",(VLOOKUP(D103,男子登録!$A$2:$N$2001,3,0)))</f>
        <v/>
      </c>
      <c r="F103" s="396" t="str">
        <f>IF(D103="","",(VLOOKUP(D103,男子登録!$A$2:$N$2001,4,0)))</f>
        <v/>
      </c>
      <c r="G103" s="220" t="str">
        <f>IF(C103="","",(VLOOKUP(D103,男子登録!$A$2:$N$2001,8,0)))</f>
        <v/>
      </c>
      <c r="H103" s="220">
        <f>IFERROR(VLOOKUP(D103,男子登録!$A$2:$N$2001,11,0),基本情報!$E$5)</f>
        <v>0</v>
      </c>
      <c r="I103" s="220" t="s">
        <v>7059</v>
      </c>
      <c r="J103" s="148"/>
      <c r="K103" s="220" t="s">
        <v>7060</v>
      </c>
      <c r="L103" s="148"/>
      <c r="M103" s="252"/>
      <c r="N103" s="253"/>
      <c r="O103" s="254"/>
      <c r="P103" s="148"/>
      <c r="Q103" s="398"/>
      <c r="R103" s="391"/>
      <c r="S103" s="136">
        <f t="shared" ref="S103" si="1081">IF(OR(E103="",Q103=""),0,E103)</f>
        <v>0</v>
      </c>
      <c r="T103" s="137">
        <f>IF(S103=0,0,COUNTIF($S$7:S103,"*"))</f>
        <v>0</v>
      </c>
      <c r="U103" s="137">
        <f>IF(S103=0,0,COUNTIF($S$7:S103,S103))</f>
        <v>0</v>
      </c>
      <c r="V103" s="137">
        <f t="shared" si="949"/>
        <v>0</v>
      </c>
      <c r="W103" s="137">
        <f>IF(V103=0,0,COUNTIF($V$7:V103,"*"))</f>
        <v>0</v>
      </c>
      <c r="X103" s="137">
        <f>IF(V103=0,0,COUNTIF($V$7:V103,V103))</f>
        <v>0</v>
      </c>
      <c r="Y103" s="218">
        <f t="shared" ref="Y103" si="1082">IF(OR(E103="",J103=""),0,J103&amp;E103)</f>
        <v>0</v>
      </c>
      <c r="Z103" s="218">
        <f>IF(Y103=0,0,COUNTIF($Y$7:Y103,Y103))</f>
        <v>0</v>
      </c>
      <c r="AA103" s="218" t="b">
        <f t="shared" ref="AA103" si="1083">IF(COUNTIF(J103:J106,"十種競技")&gt;0,TRUE,FALSE)</f>
        <v>0</v>
      </c>
      <c r="AB103" s="218">
        <f>IF(E103="",0,IF(AA103,COUNTIF($AA$7:AA103,TRUE),0))</f>
        <v>0</v>
      </c>
      <c r="AC103" s="218">
        <f>IFERROR(VLOOKUP("十種競技",J103:L106,3,0),0)</f>
        <v>0</v>
      </c>
      <c r="AD103" s="218">
        <f>IFERROR(VLOOKUP(J103,競技会設定!$P$2:$S$22,2,0),0)</f>
        <v>0</v>
      </c>
      <c r="AE103" s="218">
        <f t="shared" ref="AE103" si="1084">IF(E103="",0,IF(AD103=0,0,IF(AD103&lt;3,E103&amp;$AE$6,0)))</f>
        <v>0</v>
      </c>
      <c r="AF103" s="218">
        <f>IF(AE103=0,0,E103&amp;COUNTIF($AE$7:AE103,AE103))</f>
        <v>0</v>
      </c>
      <c r="AG103" s="218">
        <f t="shared" ref="AG103" si="1085">IF(E103="",0,IF(AD103=0,0,IF(AD103&gt;=3,E103&amp;$AG$6,0)))</f>
        <v>0</v>
      </c>
      <c r="AH103" s="218">
        <f>IF(AG103=0,0,E103&amp;COUNTIF($AG$7:AG103,AG103))</f>
        <v>0</v>
      </c>
      <c r="AI103" s="218">
        <f t="shared" ref="AI103" si="1086">IF(COUNTIF(Y103,"*十種*")&gt;0,0,IF($AD103=AI$6,$E103,0))</f>
        <v>0</v>
      </c>
      <c r="AJ103" s="218" t="b">
        <f>IF(AI103=0,FALSE,IF(COUNTIF(AI$7:AI103,AI103)&gt;1,TRUE,FALSE))</f>
        <v>0</v>
      </c>
      <c r="AK103" s="218">
        <f t="shared" ref="AK103" si="1087">IF($AD103=AK$6,$E103,0)</f>
        <v>0</v>
      </c>
      <c r="AL103" s="218" t="b">
        <f>IF(AK103=0,FALSE,IF(COUNTIF(AK$7:AK103,AK103)&gt;1,TRUE,FALSE))</f>
        <v>0</v>
      </c>
      <c r="AM103" s="218">
        <f t="shared" ref="AM103" si="1088">IF($AD103=AM$6,$E103,0)</f>
        <v>0</v>
      </c>
      <c r="AN103" s="218" t="b">
        <f>IF(AM103=0,FALSE,IF(COUNTIF(AM$7:AM103,AM103)&gt;1,TRUE,FALSE))</f>
        <v>0</v>
      </c>
      <c r="AO103" s="218">
        <f t="shared" ref="AO103" si="1089">IF($AD103=AO$6,$E103,0)</f>
        <v>0</v>
      </c>
      <c r="AP103" s="218" t="b">
        <f>IF(AO103=0,FALSE,IF(COUNTIF(AO$7:AO103,AO103)&gt;1,TRUE,FALSE))</f>
        <v>0</v>
      </c>
      <c r="AQ103" s="218">
        <f t="shared" ref="AQ103" si="1090">IF(COUNTIF(Y103,"*十種競技*")&gt;0,E103,0)</f>
        <v>0</v>
      </c>
      <c r="AR103" s="218" t="b">
        <f>IF(AQ103=0,FALSE,IF(OR(COUNTIF($AI$7:$AI$406,AQ103)+COUNTIF($AQ103:$AQ$406,AQ103)&gt;1,COUNTIF($AK$7:$AK$406,AQ103)+COUNTIF($AQ$7:$AQ$406,AQ103)&gt;1),TRUE,FALSE))</f>
        <v>0</v>
      </c>
      <c r="AS103" s="218" t="b">
        <f t="shared" ref="AS103" si="1091">IF(AND(C103="",E103&lt;&gt;"",F103&lt;&gt;"",E105&lt;&gt;"",G103&lt;&gt;"",G104&lt;&gt;"",G105&lt;&gt;""),TRUE,FALSE)</f>
        <v>0</v>
      </c>
      <c r="AT103" s="218" t="b">
        <f t="shared" si="744"/>
        <v>0</v>
      </c>
      <c r="AU103" s="274" t="b">
        <f t="shared" ref="AU103" si="1092">IFERROR(IF(D103&amp;E103&amp;F103&amp;E105&amp;G103&amp;G104&amp;G105&amp;J103&amp;J104&amp;J105&amp;J106&amp;L103&amp;L104&amp;L105&amp;L106&amp;M103&amp;M104&amp;M105&amp;M106&amp;N103&amp;N104&amp;N105&amp;N106&amp;O103&amp;O104&amp;O105&amp;O106&amp;P103&amp;P104&amp;P105&amp;P106&amp;Q103&amp;R103="",FALSE,TRUE),FALSE)</f>
        <v>0</v>
      </c>
      <c r="AV103" s="218" t="b">
        <f t="shared" ref="AV103" si="1093">IF(AS103,FALSE,IF(C103="",AU103,FALSE))</f>
        <v>0</v>
      </c>
      <c r="AW103" s="218" t="b">
        <f>IF(C103="",FALSE,IF(C103&gt;2000,TRUE,FALSE))</f>
        <v>0</v>
      </c>
      <c r="AX103" s="274" t="b">
        <f>IF(H103=0,FALSE,IF(EXACT(基本情報!$E$5,H103)=TRUE,FALSE,TRUE))</f>
        <v>0</v>
      </c>
      <c r="AY103" s="218" t="b">
        <f>IF(C103="",FALSE,IF(ISNA(E103)=TRUE,TRUE,FALSE))</f>
        <v>0</v>
      </c>
      <c r="AZ103" s="274" t="b">
        <f>IFERROR(IF(E103="",FALSE,IF(COUNTIF($E$7:E103,E103)&gt;1,TRUE,FALSE)),FALSE)</f>
        <v>0</v>
      </c>
      <c r="BA103" s="218" t="b">
        <f t="shared" ref="BA103" si="1094">IF(OR(J103&amp;J104&amp;J105&amp;J106&amp;Q103&amp;R103="",AT103,AT104,AT105,AT106),AU103,FALSE)</f>
        <v>0</v>
      </c>
      <c r="BB103" s="218" t="b">
        <f>IF(U103&gt;1,TRUE,FALSE)</f>
        <v>0</v>
      </c>
      <c r="BC103" s="218" t="b">
        <f>IF(X103&gt;1,TRUE,FALSE)</f>
        <v>0</v>
      </c>
      <c r="BD103" s="218" t="b">
        <f t="shared" si="732"/>
        <v>0</v>
      </c>
      <c r="BF103" s="231" t="b">
        <f t="shared" ref="BF103" si="1095">IF(J103="",FALSE,IF(OR(AND(AU103,L103=""),AND(AU103,L103="",OR(M103&lt;&gt;"",N103&lt;&gt;"",O103&lt;&gt;"",P103&lt;&gt;""))),TRUE,FALSE))</f>
        <v>0</v>
      </c>
      <c r="BG103" s="218" t="b">
        <f t="shared" si="734"/>
        <v>0</v>
      </c>
      <c r="BH103" s="218" t="b">
        <f t="shared" si="746"/>
        <v>0</v>
      </c>
      <c r="BI103" s="231" t="b">
        <f t="shared" ref="BI103" si="1096">IF(J103="",FALSE,IF(L103=0,FALSE,IF(AND(AU103,NOT(BF103),OR(M103="",N103="",O103="")),TRUE,FALSE)))</f>
        <v>0</v>
      </c>
      <c r="BJ103" s="240" t="b">
        <f t="shared" si="748"/>
        <v>0</v>
      </c>
      <c r="BK103" s="231" t="b">
        <f>IF(NOT(BJ103),FALSE,IF(AND(競技会設定!$C$5&lt;=BJ103,BJ103&lt;=競技会設定!$C$6),FALSE,TRUE))</f>
        <v>0</v>
      </c>
      <c r="BL103" s="218" t="b">
        <f>IF(J103="",FALSE,IF(L103=0,FALSE,IF(AND(AU103,NOT(BF103),NOT(BI103),P103=""),TRUE,FALSE)))</f>
        <v>0</v>
      </c>
      <c r="BO103" s="274">
        <f t="shared" ref="BO103" si="1097">IF(AND(AU103,SUM(COUNTIF(AV103:BC103,TRUE),COUNTIF(BF103:BL106,TRUE),COUNTIF(BD103:BD106,TRUE))=0,NOT($BE$7)),1,0)</f>
        <v>0</v>
      </c>
    </row>
    <row r="104" spans="1:67" ht="17.399999999999999" customHeight="1">
      <c r="A104" s="418"/>
      <c r="B104" s="402"/>
      <c r="C104" s="404"/>
      <c r="D104" s="221"/>
      <c r="E104" s="397"/>
      <c r="F104" s="397"/>
      <c r="G104" s="221" t="str">
        <f>IF(C103="","",(VLOOKUP(D103,男子登録!$A$2:$N$2001,13,0)))</f>
        <v/>
      </c>
      <c r="H104" s="221"/>
      <c r="I104" s="221" t="s">
        <v>7061</v>
      </c>
      <c r="J104" s="149"/>
      <c r="K104" s="221" t="s">
        <v>7062</v>
      </c>
      <c r="L104" s="149"/>
      <c r="M104" s="255"/>
      <c r="N104" s="256"/>
      <c r="O104" s="257"/>
      <c r="P104" s="149"/>
      <c r="Q104" s="399"/>
      <c r="R104" s="392"/>
      <c r="S104" s="136"/>
      <c r="T104" s="137"/>
      <c r="U104" s="137"/>
      <c r="V104" s="137"/>
      <c r="W104" s="137"/>
      <c r="X104" s="137"/>
      <c r="Y104" s="218">
        <f t="shared" ref="Y104" si="1098">IF(OR(E103="",J104=""),0,J104&amp;E103)</f>
        <v>0</v>
      </c>
      <c r="Z104" s="218">
        <f>IF(Y104=0,0,COUNTIF($Y$7:Y104,Y104))</f>
        <v>0</v>
      </c>
      <c r="AD104" s="218">
        <f>IFERROR(VLOOKUP(J104,競技会設定!$P$2:$S$22,2,0),0)</f>
        <v>0</v>
      </c>
      <c r="AE104" s="218">
        <f t="shared" ref="AE104" si="1099">IF(E103="",0,IF(AD104=0,0,IF(AD104&lt;3,E103&amp;$AE$6,0)))</f>
        <v>0</v>
      </c>
      <c r="AF104" s="218">
        <f>IF(AE104=0,0,E103&amp;COUNTIF($AE$7:AE104,AE104))</f>
        <v>0</v>
      </c>
      <c r="AG104" s="218">
        <f t="shared" ref="AG104" si="1100">IF(E103="",0,IF(AD104=0,0,IF(AD104&gt;=3,E103&amp;$AG$6,0)))</f>
        <v>0</v>
      </c>
      <c r="AH104" s="218">
        <f>IF(AG104=0,0,E103&amp;COUNTIF($AG$7:AG104,AG104))</f>
        <v>0</v>
      </c>
      <c r="AI104" s="218">
        <f t="shared" ref="AI104" si="1101">IF(COUNTIF(Y104,"*十種*")&gt;0,0,IF($AD104=AI$6,$E103,0))</f>
        <v>0</v>
      </c>
      <c r="AJ104" s="218" t="b">
        <f>IF(AI104=0,FALSE,IF(COUNTIF(AI$7:AI104,AI104)&gt;1,TRUE,FALSE))</f>
        <v>0</v>
      </c>
      <c r="AK104" s="218">
        <f t="shared" ref="AK104" si="1102">IF($AD104=AK$6,$E103,0)</f>
        <v>0</v>
      </c>
      <c r="AL104" s="218" t="b">
        <f>IF(AK104=0,FALSE,IF(COUNTIF(AK$7:AK104,AK104)&gt;1,TRUE,FALSE))</f>
        <v>0</v>
      </c>
      <c r="AM104" s="218">
        <f t="shared" ref="AM104" si="1103">IF($AD104=AM$6,$E103,0)</f>
        <v>0</v>
      </c>
      <c r="AN104" s="218" t="b">
        <f>IF(AM104=0,FALSE,IF(COUNTIF(AM$7:AM104,AM104)&gt;1,TRUE,FALSE))</f>
        <v>0</v>
      </c>
      <c r="AO104" s="218">
        <f t="shared" ref="AO104" si="1104">IF($AD104=AO$6,$E103,0)</f>
        <v>0</v>
      </c>
      <c r="AP104" s="218" t="b">
        <f>IF(AO104=0,FALSE,IF(COUNTIF(AO$7:AO104,AO104)&gt;1,TRUE,FALSE))</f>
        <v>0</v>
      </c>
      <c r="AQ104" s="218">
        <f t="shared" ref="AQ104" si="1105">IF(COUNTIF(Y104,"*十種競技*")&gt;0,E103,0)</f>
        <v>0</v>
      </c>
      <c r="AR104" s="218" t="b">
        <f>IF(AQ104=0,FALSE,IF(OR(COUNTIF($AI$7:$AI$406,AQ104)+COUNTIF($AQ104:$AQ$406,AQ104)&gt;1,COUNTIF($AK$7:$AK$406,AQ104)+COUNTIF($AQ$7:$AQ$406,AQ104)&gt;1),TRUE,FALSE))</f>
        <v>0</v>
      </c>
      <c r="AT104" s="218" t="b">
        <f t="shared" si="744"/>
        <v>0</v>
      </c>
      <c r="AU104" s="274"/>
      <c r="AX104" s="274"/>
      <c r="BD104" s="218" t="b">
        <f t="shared" si="732"/>
        <v>0</v>
      </c>
      <c r="BF104" s="231" t="b">
        <f t="shared" ref="BF104" si="1106">IF(J104="",FALSE,IF(OR(AND(AU103,L104=""),AND(AU103,L104="",OR(M104&lt;&gt;"",N104&lt;&gt;"",O104&lt;&gt;"",P104&lt;&gt;""))),TRUE,FALSE))</f>
        <v>0</v>
      </c>
      <c r="BG104" s="218" t="b">
        <f t="shared" si="734"/>
        <v>0</v>
      </c>
      <c r="BH104" s="218" t="b">
        <f t="shared" si="746"/>
        <v>0</v>
      </c>
      <c r="BI104" s="231" t="b">
        <f t="shared" ref="BI104" si="1107">IF(J104="",FALSE,IF(L104=0,FALSE,IF(AND(AU103,NOT(BF104),OR(M104="",N104="",O104="")),TRUE,FALSE)))</f>
        <v>0</v>
      </c>
      <c r="BJ104" s="240" t="b">
        <f t="shared" si="748"/>
        <v>0</v>
      </c>
      <c r="BK104" s="231" t="b">
        <f>IF(NOT(BJ104),FALSE,IF(AND(競技会設定!$C$5&lt;=BJ104,BJ104&lt;=競技会設定!$C$6),FALSE,TRUE))</f>
        <v>0</v>
      </c>
      <c r="BL104" s="218" t="b">
        <f>IF(J104="",FALSE,IF(L104=0,FALSE,IF(AND(AU103,NOT(BF104),NOT(BI104),P104=""),TRUE,FALSE)))</f>
        <v>0</v>
      </c>
      <c r="BO104" s="274"/>
    </row>
    <row r="105" spans="1:67" ht="17.399999999999999" customHeight="1">
      <c r="A105" s="418"/>
      <c r="B105" s="402"/>
      <c r="C105" s="404"/>
      <c r="D105" s="221"/>
      <c r="E105" s="394" t="str">
        <f>IF(C103="","",VLOOKUP(D103,男子登録!$A$2:$O$2001,14,0)&amp;" ("&amp;VLOOKUP(D103,男子登録!$A$2:$O$2001,15,0)&amp;")")</f>
        <v/>
      </c>
      <c r="F105" s="394"/>
      <c r="G105" s="222" t="str">
        <f>IF(C103="","",(VLOOKUP(D103,男子登録!$A$2:$N$2001,9,0)))</f>
        <v/>
      </c>
      <c r="H105" s="222"/>
      <c r="I105" s="222" t="s">
        <v>7063</v>
      </c>
      <c r="J105" s="150"/>
      <c r="K105" s="222" t="s">
        <v>7064</v>
      </c>
      <c r="L105" s="150"/>
      <c r="M105" s="255"/>
      <c r="N105" s="256"/>
      <c r="O105" s="257"/>
      <c r="P105" s="149"/>
      <c r="Q105" s="399"/>
      <c r="R105" s="392"/>
      <c r="S105" s="136"/>
      <c r="T105" s="137"/>
      <c r="U105" s="137"/>
      <c r="V105" s="137"/>
      <c r="W105" s="137"/>
      <c r="X105" s="137"/>
      <c r="Y105" s="218">
        <f t="shared" ref="Y105" si="1108">IF(OR(E103="",J105=""),0,J105&amp;E103)</f>
        <v>0</v>
      </c>
      <c r="Z105" s="218">
        <f>IF(Y105=0,0,COUNTIF($Y$7:Y105,Y105))</f>
        <v>0</v>
      </c>
      <c r="AD105" s="218">
        <f>IFERROR(VLOOKUP(J105,競技会設定!$P$2:$S$22,2,0),0)</f>
        <v>0</v>
      </c>
      <c r="AE105" s="218">
        <f t="shared" ref="AE105" si="1109">IF(E103="",0,IF(AD105=0,0,IF(AD105&lt;3,E103&amp;$AE$6,0)))</f>
        <v>0</v>
      </c>
      <c r="AF105" s="218">
        <f>IF(AE105=0,0,E103&amp;COUNTIF($AE$7:AE105,AE105))</f>
        <v>0</v>
      </c>
      <c r="AG105" s="218">
        <f t="shared" ref="AG105" si="1110">IF(E103="",0,IF(AD105=0,0,IF(AD105&gt;=3,E103&amp;$AG$6,0)))</f>
        <v>0</v>
      </c>
      <c r="AH105" s="218">
        <f>IF(AG105=0,0,E103&amp;COUNTIF($AG$7:AG105,AG105))</f>
        <v>0</v>
      </c>
      <c r="AI105" s="218">
        <f t="shared" ref="AI105" si="1111">IF(COUNTIF(Y105,"*十種*")&gt;0,0,IF($AD105=AI$6,$E103,0))</f>
        <v>0</v>
      </c>
      <c r="AJ105" s="218" t="b">
        <f>IF(AI105=0,FALSE,IF(COUNTIF(AI$7:AI105,AI105)&gt;1,TRUE,FALSE))</f>
        <v>0</v>
      </c>
      <c r="AK105" s="218">
        <f t="shared" ref="AK105" si="1112">IF($AD105=AK$6,$E103,0)</f>
        <v>0</v>
      </c>
      <c r="AL105" s="218" t="b">
        <f>IF(AK105=0,FALSE,IF(COUNTIF(AK$7:AK105,AK105)&gt;1,TRUE,FALSE))</f>
        <v>0</v>
      </c>
      <c r="AM105" s="218">
        <f t="shared" ref="AM105" si="1113">IF($AD105=AM$6,$E103,0)</f>
        <v>0</v>
      </c>
      <c r="AN105" s="218" t="b">
        <f>IF(AM105=0,FALSE,IF(COUNTIF(AM$7:AM105,AM105)&gt;1,TRUE,FALSE))</f>
        <v>0</v>
      </c>
      <c r="AO105" s="218">
        <f t="shared" ref="AO105" si="1114">IF($AD105=AO$6,$E103,0)</f>
        <v>0</v>
      </c>
      <c r="AP105" s="218" t="b">
        <f>IF(AO105=0,FALSE,IF(COUNTIF(AO$7:AO105,AO105)&gt;1,TRUE,FALSE))</f>
        <v>0</v>
      </c>
      <c r="AQ105" s="218">
        <f t="shared" ref="AQ105" si="1115">IF(COUNTIF(Y105,"*十種競技*")&gt;0,E103,0)</f>
        <v>0</v>
      </c>
      <c r="AR105" s="218" t="b">
        <f>IF(AQ105=0,FALSE,IF(OR(COUNTIF($AI$7:$AI$406,AQ105)+COUNTIF($AQ105:$AQ$406,AQ105)&gt;1,COUNTIF($AK$7:$AK$406,AQ105)+COUNTIF($AQ$7:$AQ$406,AQ105)&gt;1),TRUE,FALSE))</f>
        <v>0</v>
      </c>
      <c r="AT105" s="218" t="b">
        <f t="shared" si="744"/>
        <v>0</v>
      </c>
      <c r="AU105" s="274"/>
      <c r="AX105" s="274"/>
      <c r="BD105" s="218" t="b">
        <f t="shared" si="732"/>
        <v>0</v>
      </c>
      <c r="BF105" s="231" t="b">
        <f t="shared" ref="BF105" si="1116">IF(J105="",FALSE,IF(OR(AND(AU103,L105=""),AND(AU103,L105="",OR(M105&lt;&gt;"",N105&lt;&gt;"",O105&lt;&gt;"",P105&lt;&gt;""))),TRUE,FALSE))</f>
        <v>0</v>
      </c>
      <c r="BG105" s="218" t="b">
        <f t="shared" si="734"/>
        <v>0</v>
      </c>
      <c r="BH105" s="218" t="b">
        <f t="shared" si="746"/>
        <v>0</v>
      </c>
      <c r="BI105" s="231" t="b">
        <f t="shared" ref="BI105" si="1117">IF(J105="",FALSE,IF(L105=0,FALSE,IF(AND(AU103,NOT(BF105),OR(M105="",N105="",O105="")),TRUE,FALSE)))</f>
        <v>0</v>
      </c>
      <c r="BJ105" s="240" t="b">
        <f t="shared" si="748"/>
        <v>0</v>
      </c>
      <c r="BK105" s="231" t="b">
        <f>IF(NOT(BJ105),FALSE,IF(AND(競技会設定!$C$5&lt;=BJ105,BJ105&lt;=競技会設定!$C$6),FALSE,TRUE))</f>
        <v>0</v>
      </c>
      <c r="BL105" s="218" t="b">
        <f>IF(J105="",FALSE,IF(L105=0,FALSE,IF(AND(AU103,NOT(BF105),NOT(BI105),P105=""),TRUE,FALSE)))</f>
        <v>0</v>
      </c>
      <c r="BO105" s="274"/>
    </row>
    <row r="106" spans="1:67" ht="18" customHeight="1" thickBot="1">
      <c r="A106" s="419"/>
      <c r="B106" s="395" t="s">
        <v>7051</v>
      </c>
      <c r="C106" s="395"/>
      <c r="D106" s="221"/>
      <c r="E106" s="372"/>
      <c r="F106" s="372"/>
      <c r="G106" s="372"/>
      <c r="H106" s="214"/>
      <c r="I106" s="214" t="s">
        <v>7065</v>
      </c>
      <c r="J106" s="219"/>
      <c r="K106" s="214" t="s">
        <v>7066</v>
      </c>
      <c r="L106" s="219"/>
      <c r="M106" s="258"/>
      <c r="N106" s="259"/>
      <c r="O106" s="260"/>
      <c r="P106" s="219"/>
      <c r="Q106" s="400"/>
      <c r="R106" s="393"/>
      <c r="S106" s="136"/>
      <c r="T106" s="137"/>
      <c r="U106" s="137"/>
      <c r="V106" s="137"/>
      <c r="W106" s="137"/>
      <c r="X106" s="137"/>
      <c r="Y106" s="218">
        <f t="shared" ref="Y106" si="1118">IF(OR(E103="",J106=""),0,J106&amp;E103)</f>
        <v>0</v>
      </c>
      <c r="Z106" s="218">
        <f>IF(Y106=0,0,COUNTIF($Y$7:Y106,Y106))</f>
        <v>0</v>
      </c>
      <c r="AD106" s="218">
        <f>IFERROR(VLOOKUP(J106,競技会設定!$P$2:$S$22,2,0),0)</f>
        <v>0</v>
      </c>
      <c r="AE106" s="218">
        <f t="shared" ref="AE106" si="1119">IF(E103="",0,IF(AD106=0,0,IF(AD106&lt;3,E103&amp;$AE$6,0)))</f>
        <v>0</v>
      </c>
      <c r="AF106" s="218">
        <f>IF(AE106=0,0,E103&amp;COUNTIF($AE$7:AE106,AE106))</f>
        <v>0</v>
      </c>
      <c r="AG106" s="218">
        <f t="shared" ref="AG106" si="1120">IF(E103="",0,IF(AD106=0,0,IF(AD106&gt;=3,E103&amp;$AG$6,0)))</f>
        <v>0</v>
      </c>
      <c r="AH106" s="218">
        <f>IF(AG106=0,0,E103&amp;COUNTIF($AG$7:AG106,AG106))</f>
        <v>0</v>
      </c>
      <c r="AI106" s="218">
        <f t="shared" ref="AI106" si="1121">IF(COUNTIF(Y106,"*十種*")&gt;0,0,IF($AD106=AI$6,$E103,0))</f>
        <v>0</v>
      </c>
      <c r="AJ106" s="218" t="b">
        <f>IF(AI106=0,FALSE,IF(COUNTIF(AI$7:AI106,AI106)&gt;1,TRUE,FALSE))</f>
        <v>0</v>
      </c>
      <c r="AK106" s="218">
        <f t="shared" ref="AK106" si="1122">IF($AD106=AK$6,$E103,0)</f>
        <v>0</v>
      </c>
      <c r="AL106" s="218" t="b">
        <f>IF(AK106=0,FALSE,IF(COUNTIF(AK$7:AK106,AK106)&gt;1,TRUE,FALSE))</f>
        <v>0</v>
      </c>
      <c r="AM106" s="218">
        <f t="shared" ref="AM106" si="1123">IF($AD106=AM$6,$E103,0)</f>
        <v>0</v>
      </c>
      <c r="AN106" s="218" t="b">
        <f>IF(AM106=0,FALSE,IF(COUNTIF(AM$7:AM106,AM106)&gt;1,TRUE,FALSE))</f>
        <v>0</v>
      </c>
      <c r="AO106" s="218">
        <f t="shared" ref="AO106" si="1124">IF($AD106=AO$6,$E103,0)</f>
        <v>0</v>
      </c>
      <c r="AP106" s="218" t="b">
        <f>IF(AO106=0,FALSE,IF(COUNTIF(AO$7:AO106,AO106)&gt;1,TRUE,FALSE))</f>
        <v>0</v>
      </c>
      <c r="AQ106" s="218">
        <f t="shared" ref="AQ106" si="1125">IF(COUNTIF(Y106,"*十種競技*")&gt;0,E103,0)</f>
        <v>0</v>
      </c>
      <c r="AR106" s="218" t="b">
        <f>IF(AQ106=0,FALSE,IF(OR(COUNTIF($AI$7:$AI$406,AQ106)+COUNTIF($AQ106:$AQ$406,AQ106)&gt;1,COUNTIF($AK$7:$AK$406,AQ106)+COUNTIF($AQ$7:$AQ$406,AQ106)&gt;1),TRUE,FALSE))</f>
        <v>0</v>
      </c>
      <c r="AT106" s="218" t="b">
        <f t="shared" si="744"/>
        <v>0</v>
      </c>
      <c r="AU106" s="274"/>
      <c r="AX106" s="274"/>
      <c r="BD106" s="218" t="b">
        <f t="shared" si="732"/>
        <v>0</v>
      </c>
      <c r="BF106" s="231" t="b">
        <f t="shared" ref="BF106" si="1126">IF(J106="",FALSE,IF(OR(AND(AU103,L106=""),AND(AU103,L106="",OR(M106&lt;&gt;"",N106&lt;&gt;"",O106&lt;&gt;"",P106&lt;&gt;""))),TRUE,FALSE))</f>
        <v>0</v>
      </c>
      <c r="BG106" s="218" t="b">
        <f t="shared" si="734"/>
        <v>0</v>
      </c>
      <c r="BH106" s="218" t="b">
        <f t="shared" si="746"/>
        <v>0</v>
      </c>
      <c r="BI106" s="231" t="b">
        <f t="shared" ref="BI106" si="1127">IF(J106="",FALSE,IF(L106=0,FALSE,IF(AND(AU103,NOT(BF106),OR(M106="",N106="",O106="")),TRUE,FALSE)))</f>
        <v>0</v>
      </c>
      <c r="BJ106" s="240" t="b">
        <f t="shared" si="748"/>
        <v>0</v>
      </c>
      <c r="BK106" s="231" t="b">
        <f>IF(NOT(BJ106),FALSE,IF(AND(競技会設定!$C$5&lt;=BJ106,BJ106&lt;=競技会設定!$C$6),FALSE,TRUE))</f>
        <v>0</v>
      </c>
      <c r="BL106" s="218" t="b">
        <f>IF(J106="",FALSE,IF(L106=0,FALSE,IF(AND(AU103,NOT(BF106),NOT(BI106),P106=""),TRUE,FALSE)))</f>
        <v>0</v>
      </c>
      <c r="BO106" s="274"/>
    </row>
    <row r="107" spans="1:67" ht="18" customHeight="1" thickTop="1">
      <c r="A107" s="420">
        <v>26</v>
      </c>
      <c r="B107" s="373" t="s">
        <v>7050</v>
      </c>
      <c r="C107" s="375"/>
      <c r="D107" s="138" t="str">
        <f t="shared" ref="D107" si="1128">IF(C107="","",501&amp;TEXT(C107,"000000"))</f>
        <v/>
      </c>
      <c r="E107" s="377" t="str">
        <f>IF(D107="","",(VLOOKUP(D107,男子登録!$A$2:$N$2001,3,0)))</f>
        <v/>
      </c>
      <c r="F107" s="377" t="str">
        <f>IF(D107="","",(VLOOKUP(D107,男子登録!$A$2:$N$2001,4,0)))</f>
        <v/>
      </c>
      <c r="G107" s="138" t="str">
        <f>IF(C107="","",(VLOOKUP(D107,男子登録!$A$2:$N$2001,8,0)))</f>
        <v/>
      </c>
      <c r="H107" s="138">
        <f>IFERROR(VLOOKUP(D107,男子登録!$A$2:$N$2001,11,0),基本情報!$E$5)</f>
        <v>0</v>
      </c>
      <c r="I107" s="138" t="s">
        <v>7059</v>
      </c>
      <c r="J107" s="151"/>
      <c r="K107" s="138" t="s">
        <v>7060</v>
      </c>
      <c r="L107" s="151"/>
      <c r="M107" s="261"/>
      <c r="N107" s="262"/>
      <c r="O107" s="263"/>
      <c r="P107" s="151"/>
      <c r="Q107" s="381"/>
      <c r="R107" s="384"/>
      <c r="S107" s="136">
        <f t="shared" ref="S107" si="1129">IF(OR(E107="",Q107=""),0,E107)</f>
        <v>0</v>
      </c>
      <c r="T107" s="137">
        <f>IF(S107=0,0,COUNTIF($S$7:S107,"*"))</f>
        <v>0</v>
      </c>
      <c r="U107" s="137">
        <f>IF(S107=0,0,COUNTIF($S$7:S107,S107))</f>
        <v>0</v>
      </c>
      <c r="V107" s="137">
        <f t="shared" si="949"/>
        <v>0</v>
      </c>
      <c r="W107" s="137">
        <f>IF(V107=0,0,COUNTIF($V$7:V107,"*"))</f>
        <v>0</v>
      </c>
      <c r="X107" s="137">
        <f>IF(V107=0,0,COUNTIF($V$7:V107,V107))</f>
        <v>0</v>
      </c>
      <c r="Y107" s="218">
        <f t="shared" ref="Y107" si="1130">IF(OR(E107="",J107=""),0,J107&amp;E107)</f>
        <v>0</v>
      </c>
      <c r="Z107" s="218">
        <f>IF(Y107=0,0,COUNTIF($Y$7:Y107,Y107))</f>
        <v>0</v>
      </c>
      <c r="AA107" s="218" t="b">
        <f t="shared" ref="AA107" si="1131">IF(COUNTIF(J107:J110,"十種競技")&gt;0,TRUE,FALSE)</f>
        <v>0</v>
      </c>
      <c r="AB107" s="218">
        <f>IF(E107="",0,IF(AA107,COUNTIF($AA$7:AA107,TRUE),0))</f>
        <v>0</v>
      </c>
      <c r="AC107" s="218">
        <f>IFERROR(VLOOKUP("十種競技",J107:L110,3,0),0)</f>
        <v>0</v>
      </c>
      <c r="AD107" s="218">
        <f>IFERROR(VLOOKUP(J107,競技会設定!$P$2:$S$22,2,0),0)</f>
        <v>0</v>
      </c>
      <c r="AE107" s="218">
        <f t="shared" ref="AE107" si="1132">IF(E107="",0,IF(AD107=0,0,IF(AD107&lt;3,E107&amp;$AE$6,0)))</f>
        <v>0</v>
      </c>
      <c r="AF107" s="218">
        <f>IF(AE107=0,0,E107&amp;COUNTIF($AE$7:AE107,AE107))</f>
        <v>0</v>
      </c>
      <c r="AG107" s="218">
        <f t="shared" ref="AG107" si="1133">IF(E107="",0,IF(AD107=0,0,IF(AD107&gt;=3,E107&amp;$AG$6,0)))</f>
        <v>0</v>
      </c>
      <c r="AH107" s="218">
        <f>IF(AG107=0,0,E107&amp;COUNTIF($AG$7:AG107,AG107))</f>
        <v>0</v>
      </c>
      <c r="AI107" s="218">
        <f t="shared" ref="AI107:AI155" si="1134">IF(COUNTIF(Y107,"*十種*")&gt;0,0,IF($AD107=AI$6,$E107,0))</f>
        <v>0</v>
      </c>
      <c r="AJ107" s="218" t="b">
        <f>IF(AI107=0,FALSE,IF(COUNTIF(AI$7:AI107,AI107)&gt;1,TRUE,FALSE))</f>
        <v>0</v>
      </c>
      <c r="AK107" s="218">
        <f t="shared" ref="AK107" si="1135">IF($AD107=AK$6,$E107,0)</f>
        <v>0</v>
      </c>
      <c r="AL107" s="218" t="b">
        <f>IF(AK107=0,FALSE,IF(COUNTIF(AK$7:AK107,AK107)&gt;1,TRUE,FALSE))</f>
        <v>0</v>
      </c>
      <c r="AM107" s="218">
        <f t="shared" ref="AM107" si="1136">IF($AD107=AM$6,$E107,0)</f>
        <v>0</v>
      </c>
      <c r="AN107" s="218" t="b">
        <f>IF(AM107=0,FALSE,IF(COUNTIF(AM$7:AM107,AM107)&gt;1,TRUE,FALSE))</f>
        <v>0</v>
      </c>
      <c r="AO107" s="218">
        <f t="shared" ref="AO107" si="1137">IF($AD107=AO$6,$E107,0)</f>
        <v>0</v>
      </c>
      <c r="AP107" s="218" t="b">
        <f>IF(AO107=0,FALSE,IF(COUNTIF(AO$7:AO107,AO107)&gt;1,TRUE,FALSE))</f>
        <v>0</v>
      </c>
      <c r="AQ107" s="218">
        <f t="shared" ref="AQ107" si="1138">IF(COUNTIF(Y107,"*十種競技*")&gt;0,E107,0)</f>
        <v>0</v>
      </c>
      <c r="AR107" s="218" t="b">
        <f>IF(AQ107=0,FALSE,IF(OR(COUNTIF($AI$7:$AI$406,AQ107)+COUNTIF($AQ107:$AQ$406,AQ107)&gt;1,COUNTIF($AK$7:$AK$406,AQ107)+COUNTIF($AQ$7:$AQ$406,AQ107)&gt;1),TRUE,FALSE))</f>
        <v>0</v>
      </c>
      <c r="AS107" s="218" t="b">
        <f t="shared" ref="AS107" si="1139">IF(AND(C107="",E107&lt;&gt;"",F107&lt;&gt;"",E109&lt;&gt;"",G107&lt;&gt;"",G108&lt;&gt;"",G109&lt;&gt;""),TRUE,FALSE)</f>
        <v>0</v>
      </c>
      <c r="AT107" s="218" t="b">
        <f t="shared" si="744"/>
        <v>0</v>
      </c>
      <c r="AU107" s="274" t="b">
        <f t="shared" ref="AU107" si="1140">IFERROR(IF(D107&amp;E107&amp;F107&amp;E109&amp;G107&amp;G108&amp;G109&amp;J107&amp;J108&amp;J109&amp;J110&amp;L107&amp;L108&amp;L109&amp;L110&amp;M107&amp;M108&amp;M109&amp;M110&amp;N107&amp;N108&amp;N109&amp;N110&amp;O107&amp;O108&amp;O109&amp;O110&amp;P107&amp;P108&amp;P109&amp;P110&amp;Q107&amp;R107="",FALSE,TRUE),FALSE)</f>
        <v>0</v>
      </c>
      <c r="AV107" s="218" t="b">
        <f t="shared" ref="AV107" si="1141">IF(AS107,FALSE,IF(C107="",AU107,FALSE))</f>
        <v>0</v>
      </c>
      <c r="AW107" s="218" t="b">
        <f>IF(C107="",FALSE,IF(C107&gt;2000,TRUE,FALSE))</f>
        <v>0</v>
      </c>
      <c r="AX107" s="274" t="b">
        <f>IF(H107=0,FALSE,IF(EXACT(基本情報!$E$5,H107)=TRUE,FALSE,TRUE))</f>
        <v>0</v>
      </c>
      <c r="AY107" s="218" t="b">
        <f>IF(C107="",FALSE,IF(ISNA(E107)=TRUE,TRUE,FALSE))</f>
        <v>0</v>
      </c>
      <c r="AZ107" s="274" t="b">
        <f>IFERROR(IF(E107="",FALSE,IF(COUNTIF($E$7:E107,E107)&gt;1,TRUE,FALSE)),FALSE)</f>
        <v>0</v>
      </c>
      <c r="BA107" s="218" t="b">
        <f t="shared" ref="BA107" si="1142">IF(OR(J107&amp;J108&amp;J109&amp;J110&amp;Q107&amp;R107="",AT107,AT108,AT109,AT110),AU107,FALSE)</f>
        <v>0</v>
      </c>
      <c r="BB107" s="218" t="b">
        <f>IF(U107&gt;1,TRUE,FALSE)</f>
        <v>0</v>
      </c>
      <c r="BC107" s="218" t="b">
        <f>IF(X107&gt;1,TRUE,FALSE)</f>
        <v>0</v>
      </c>
      <c r="BD107" s="218" t="b">
        <f t="shared" si="732"/>
        <v>0</v>
      </c>
      <c r="BF107" s="231" t="b">
        <f t="shared" ref="BF107" si="1143">IF(J107="",FALSE,IF(OR(AND(AU107,L107=""),AND(AU107,L107="",OR(M107&lt;&gt;"",N107&lt;&gt;"",O107&lt;&gt;"",P107&lt;&gt;""))),TRUE,FALSE))</f>
        <v>0</v>
      </c>
      <c r="BG107" s="218" t="b">
        <f t="shared" si="734"/>
        <v>0</v>
      </c>
      <c r="BH107" s="218" t="b">
        <f t="shared" si="746"/>
        <v>0</v>
      </c>
      <c r="BI107" s="231" t="b">
        <f t="shared" ref="BI107" si="1144">IF(J107="",FALSE,IF(L107=0,FALSE,IF(AND(AU107,NOT(BF107),OR(M107="",N107="",O107="")),TRUE,FALSE)))</f>
        <v>0</v>
      </c>
      <c r="BJ107" s="240" t="b">
        <f t="shared" si="748"/>
        <v>0</v>
      </c>
      <c r="BK107" s="231" t="b">
        <f>IF(NOT(BJ107),FALSE,IF(AND(競技会設定!$C$5&lt;=BJ107,BJ107&lt;=競技会設定!$C$6),FALSE,TRUE))</f>
        <v>0</v>
      </c>
      <c r="BL107" s="218" t="b">
        <f>IF(J107="",FALSE,IF(L107=0,FALSE,IF(AND(AU107,NOT(BF107),NOT(BI107),P107=""),TRUE,FALSE)))</f>
        <v>0</v>
      </c>
      <c r="BO107" s="274">
        <f t="shared" ref="BO107" si="1145">IF(AND(AU107,SUM(COUNTIF(AV107:BC107,TRUE),COUNTIF(BF107:BL110,TRUE),COUNTIF(BD107:BD110,TRUE))=0,NOT($BE$7)),1,0)</f>
        <v>0</v>
      </c>
    </row>
    <row r="108" spans="1:67" ht="17.399999999999999" customHeight="1">
      <c r="A108" s="421"/>
      <c r="B108" s="374"/>
      <c r="C108" s="376"/>
      <c r="D108" s="139"/>
      <c r="E108" s="378"/>
      <c r="F108" s="378"/>
      <c r="G108" s="139" t="str">
        <f>IF(C107="","",(VLOOKUP(D107,男子登録!$A$2:$N$2001,13,0)))</f>
        <v/>
      </c>
      <c r="H108" s="139"/>
      <c r="I108" s="139" t="s">
        <v>7061</v>
      </c>
      <c r="J108" s="152"/>
      <c r="K108" s="139" t="s">
        <v>7062</v>
      </c>
      <c r="L108" s="152"/>
      <c r="M108" s="264"/>
      <c r="N108" s="265"/>
      <c r="O108" s="266"/>
      <c r="P108" s="152"/>
      <c r="Q108" s="382"/>
      <c r="R108" s="385"/>
      <c r="S108" s="136"/>
      <c r="T108" s="137"/>
      <c r="U108" s="137"/>
      <c r="V108" s="137"/>
      <c r="W108" s="137"/>
      <c r="X108" s="137"/>
      <c r="Y108" s="218">
        <f t="shared" ref="Y108" si="1146">IF(OR(E107="",J108=""),0,J108&amp;E107)</f>
        <v>0</v>
      </c>
      <c r="Z108" s="218">
        <f>IF(Y108=0,0,COUNTIF($Y$7:Y108,Y108))</f>
        <v>0</v>
      </c>
      <c r="AD108" s="218">
        <f>IFERROR(VLOOKUP(J108,競技会設定!$P$2:$S$22,2,0),0)</f>
        <v>0</v>
      </c>
      <c r="AE108" s="218">
        <f t="shared" ref="AE108" si="1147">IF(E107="",0,IF(AD108=0,0,IF(AD108&lt;3,E107&amp;$AE$6,0)))</f>
        <v>0</v>
      </c>
      <c r="AF108" s="218">
        <f>IF(AE108=0,0,E107&amp;COUNTIF($AE$7:AE108,AE108))</f>
        <v>0</v>
      </c>
      <c r="AG108" s="218">
        <f t="shared" ref="AG108" si="1148">IF(E107="",0,IF(AD108=0,0,IF(AD108&gt;=3,E107&amp;$AG$6,0)))</f>
        <v>0</v>
      </c>
      <c r="AH108" s="218">
        <f>IF(AG108=0,0,E107&amp;COUNTIF($AG$7:AG108,AG108))</f>
        <v>0</v>
      </c>
      <c r="AI108" s="218">
        <f t="shared" ref="AI108:AI156" si="1149">IF(COUNTIF(Y108,"*十種*")&gt;0,0,IF($AD108=AI$6,$E107,0))</f>
        <v>0</v>
      </c>
      <c r="AJ108" s="218" t="b">
        <f>IF(AI108=0,FALSE,IF(COUNTIF(AI$7:AI108,AI108)&gt;1,TRUE,FALSE))</f>
        <v>0</v>
      </c>
      <c r="AK108" s="218">
        <f t="shared" ref="AK108" si="1150">IF($AD108=AK$6,$E107,0)</f>
        <v>0</v>
      </c>
      <c r="AL108" s="218" t="b">
        <f>IF(AK108=0,FALSE,IF(COUNTIF(AK$7:AK108,AK108)&gt;1,TRUE,FALSE))</f>
        <v>0</v>
      </c>
      <c r="AM108" s="218">
        <f t="shared" ref="AM108" si="1151">IF($AD108=AM$6,$E107,0)</f>
        <v>0</v>
      </c>
      <c r="AN108" s="218" t="b">
        <f>IF(AM108=0,FALSE,IF(COUNTIF(AM$7:AM108,AM108)&gt;1,TRUE,FALSE))</f>
        <v>0</v>
      </c>
      <c r="AO108" s="218">
        <f t="shared" ref="AO108" si="1152">IF($AD108=AO$6,$E107,0)</f>
        <v>0</v>
      </c>
      <c r="AP108" s="218" t="b">
        <f>IF(AO108=0,FALSE,IF(COUNTIF(AO$7:AO108,AO108)&gt;1,TRUE,FALSE))</f>
        <v>0</v>
      </c>
      <c r="AQ108" s="218">
        <f t="shared" ref="AQ108" si="1153">IF(COUNTIF(Y108,"*十種競技*")&gt;0,E107,0)</f>
        <v>0</v>
      </c>
      <c r="AR108" s="218" t="b">
        <f>IF(AQ108=0,FALSE,IF(OR(COUNTIF($AI$7:$AI$406,AQ108)+COUNTIF($AQ108:$AQ$406,AQ108)&gt;1,COUNTIF($AK$7:$AK$406,AQ108)+COUNTIF($AQ$7:$AQ$406,AQ108)&gt;1),TRUE,FALSE))</f>
        <v>0</v>
      </c>
      <c r="AT108" s="218" t="b">
        <f t="shared" si="744"/>
        <v>0</v>
      </c>
      <c r="AU108" s="274"/>
      <c r="AX108" s="274"/>
      <c r="BD108" s="218" t="b">
        <f t="shared" si="732"/>
        <v>0</v>
      </c>
      <c r="BF108" s="231" t="b">
        <f t="shared" ref="BF108" si="1154">IF(J108="",FALSE,IF(OR(AND(AU107,L108=""),AND(AU107,L108="",OR(M108&lt;&gt;"",N108&lt;&gt;"",O108&lt;&gt;"",P108&lt;&gt;""))),TRUE,FALSE))</f>
        <v>0</v>
      </c>
      <c r="BG108" s="218" t="b">
        <f t="shared" si="734"/>
        <v>0</v>
      </c>
      <c r="BH108" s="218" t="b">
        <f t="shared" si="746"/>
        <v>0</v>
      </c>
      <c r="BI108" s="231" t="b">
        <f t="shared" ref="BI108" si="1155">IF(J108="",FALSE,IF(L108=0,FALSE,IF(AND(AU107,NOT(BF108),OR(M108="",N108="",O108="")),TRUE,FALSE)))</f>
        <v>0</v>
      </c>
      <c r="BJ108" s="240" t="b">
        <f t="shared" si="748"/>
        <v>0</v>
      </c>
      <c r="BK108" s="231" t="b">
        <f>IF(NOT(BJ108),FALSE,IF(AND(競技会設定!$C$5&lt;=BJ108,BJ108&lt;=競技会設定!$C$6),FALSE,TRUE))</f>
        <v>0</v>
      </c>
      <c r="BL108" s="218" t="b">
        <f>IF(J108="",FALSE,IF(L108=0,FALSE,IF(AND(AU107,NOT(BF108),NOT(BI108),P108=""),TRUE,FALSE)))</f>
        <v>0</v>
      </c>
      <c r="BO108" s="274"/>
    </row>
    <row r="109" spans="1:67" ht="17.399999999999999" customHeight="1">
      <c r="A109" s="421"/>
      <c r="B109" s="374"/>
      <c r="C109" s="376"/>
      <c r="D109" s="140"/>
      <c r="E109" s="379" t="str">
        <f>IF(C107="","",VLOOKUP(D107,男子登録!$A$2:$O$2001,14,0)&amp;" ("&amp;VLOOKUP(D107,男子登録!$A$2:$O$2001,15,0)&amp;")")</f>
        <v/>
      </c>
      <c r="F109" s="380"/>
      <c r="G109" s="140" t="str">
        <f>IF(C107="","",(VLOOKUP(D107,男子登録!$A$2:$N$2001,9,0)))</f>
        <v/>
      </c>
      <c r="H109" s="140"/>
      <c r="I109" s="140" t="s">
        <v>7063</v>
      </c>
      <c r="J109" s="153"/>
      <c r="K109" s="140" t="s">
        <v>7064</v>
      </c>
      <c r="L109" s="153"/>
      <c r="M109" s="264"/>
      <c r="N109" s="265"/>
      <c r="O109" s="266"/>
      <c r="P109" s="152"/>
      <c r="Q109" s="382"/>
      <c r="R109" s="385"/>
      <c r="S109" s="136"/>
      <c r="T109" s="137"/>
      <c r="U109" s="137"/>
      <c r="V109" s="137"/>
      <c r="W109" s="137"/>
      <c r="X109" s="137"/>
      <c r="Y109" s="218">
        <f t="shared" ref="Y109" si="1156">IF(OR(E107="",J109=""),0,J109&amp;E107)</f>
        <v>0</v>
      </c>
      <c r="Z109" s="218">
        <f>IF(Y109=0,0,COUNTIF($Y$7:Y109,Y109))</f>
        <v>0</v>
      </c>
      <c r="AD109" s="218">
        <f>IFERROR(VLOOKUP(J109,競技会設定!$P$2:$S$22,2,0),0)</f>
        <v>0</v>
      </c>
      <c r="AE109" s="218">
        <f t="shared" ref="AE109" si="1157">IF(E107="",0,IF(AD109=0,0,IF(AD109&lt;3,E107&amp;$AE$6,0)))</f>
        <v>0</v>
      </c>
      <c r="AF109" s="218">
        <f>IF(AE109=0,0,E107&amp;COUNTIF($AE$7:AE109,AE109))</f>
        <v>0</v>
      </c>
      <c r="AG109" s="218">
        <f t="shared" ref="AG109" si="1158">IF(E107="",0,IF(AD109=0,0,IF(AD109&gt;=3,E107&amp;$AG$6,0)))</f>
        <v>0</v>
      </c>
      <c r="AH109" s="218">
        <f>IF(AG109=0,0,E107&amp;COUNTIF($AG$7:AG109,AG109))</f>
        <v>0</v>
      </c>
      <c r="AI109" s="218">
        <f t="shared" ref="AI109:AI157" si="1159">IF(COUNTIF(Y109,"*十種*")&gt;0,0,IF($AD109=AI$6,$E107,0))</f>
        <v>0</v>
      </c>
      <c r="AJ109" s="218" t="b">
        <f>IF(AI109=0,FALSE,IF(COUNTIF(AI$7:AI109,AI109)&gt;1,TRUE,FALSE))</f>
        <v>0</v>
      </c>
      <c r="AK109" s="218">
        <f t="shared" ref="AK109" si="1160">IF($AD109=AK$6,$E107,0)</f>
        <v>0</v>
      </c>
      <c r="AL109" s="218" t="b">
        <f>IF(AK109=0,FALSE,IF(COUNTIF(AK$7:AK109,AK109)&gt;1,TRUE,FALSE))</f>
        <v>0</v>
      </c>
      <c r="AM109" s="218">
        <f t="shared" ref="AM109" si="1161">IF($AD109=AM$6,$E107,0)</f>
        <v>0</v>
      </c>
      <c r="AN109" s="218" t="b">
        <f>IF(AM109=0,FALSE,IF(COUNTIF(AM$7:AM109,AM109)&gt;1,TRUE,FALSE))</f>
        <v>0</v>
      </c>
      <c r="AO109" s="218">
        <f t="shared" ref="AO109" si="1162">IF($AD109=AO$6,$E107,0)</f>
        <v>0</v>
      </c>
      <c r="AP109" s="218" t="b">
        <f>IF(AO109=0,FALSE,IF(COUNTIF(AO$7:AO109,AO109)&gt;1,TRUE,FALSE))</f>
        <v>0</v>
      </c>
      <c r="AQ109" s="218">
        <f t="shared" ref="AQ109" si="1163">IF(COUNTIF(Y109,"*十種競技*")&gt;0,E107,0)</f>
        <v>0</v>
      </c>
      <c r="AR109" s="218" t="b">
        <f>IF(AQ109=0,FALSE,IF(OR(COUNTIF($AI$7:$AI$406,AQ109)+COUNTIF($AQ109:$AQ$406,AQ109)&gt;1,COUNTIF($AK$7:$AK$406,AQ109)+COUNTIF($AQ$7:$AQ$406,AQ109)&gt;1),TRUE,FALSE))</f>
        <v>0</v>
      </c>
      <c r="AT109" s="218" t="b">
        <f t="shared" si="744"/>
        <v>0</v>
      </c>
      <c r="AU109" s="274"/>
      <c r="AX109" s="274"/>
      <c r="BD109" s="218" t="b">
        <f t="shared" si="732"/>
        <v>0</v>
      </c>
      <c r="BF109" s="231" t="b">
        <f t="shared" ref="BF109" si="1164">IF(J109="",FALSE,IF(OR(AND(AU107,L109=""),AND(AU107,L109="",OR(M109&lt;&gt;"",N109&lt;&gt;"",O109&lt;&gt;"",P109&lt;&gt;""))),TRUE,FALSE))</f>
        <v>0</v>
      </c>
      <c r="BG109" s="218" t="b">
        <f t="shared" si="734"/>
        <v>0</v>
      </c>
      <c r="BH109" s="218" t="b">
        <f t="shared" si="746"/>
        <v>0</v>
      </c>
      <c r="BI109" s="231" t="b">
        <f t="shared" ref="BI109" si="1165">IF(J109="",FALSE,IF(L109=0,FALSE,IF(AND(AU107,NOT(BF109),OR(M109="",N109="",O109="")),TRUE,FALSE)))</f>
        <v>0</v>
      </c>
      <c r="BJ109" s="240" t="b">
        <f t="shared" si="748"/>
        <v>0</v>
      </c>
      <c r="BK109" s="231" t="b">
        <f>IF(NOT(BJ109),FALSE,IF(AND(競技会設定!$C$5&lt;=BJ109,BJ109&lt;=競技会設定!$C$6),FALSE,TRUE))</f>
        <v>0</v>
      </c>
      <c r="BL109" s="218" t="b">
        <f>IF(J109="",FALSE,IF(L109=0,FALSE,IF(AND(AU107,NOT(BF109),NOT(BI109),P109=""),TRUE,FALSE)))</f>
        <v>0</v>
      </c>
      <c r="BO109" s="274"/>
    </row>
    <row r="110" spans="1:67" ht="18" customHeight="1" thickBot="1">
      <c r="A110" s="422"/>
      <c r="B110" s="387" t="s">
        <v>7051</v>
      </c>
      <c r="C110" s="387"/>
      <c r="D110" s="213"/>
      <c r="E110" s="388"/>
      <c r="F110" s="389"/>
      <c r="G110" s="390"/>
      <c r="H110" s="141"/>
      <c r="I110" s="213" t="s">
        <v>7065</v>
      </c>
      <c r="J110" s="154"/>
      <c r="K110" s="213" t="s">
        <v>7066</v>
      </c>
      <c r="L110" s="154"/>
      <c r="M110" s="267"/>
      <c r="N110" s="268"/>
      <c r="O110" s="269"/>
      <c r="P110" s="154"/>
      <c r="Q110" s="383"/>
      <c r="R110" s="386"/>
      <c r="S110" s="136"/>
      <c r="T110" s="137"/>
      <c r="U110" s="137"/>
      <c r="V110" s="137"/>
      <c r="W110" s="137"/>
      <c r="X110" s="137"/>
      <c r="Y110" s="218">
        <f t="shared" ref="Y110" si="1166">IF(OR(E107="",J110=""),0,J110&amp;E107)</f>
        <v>0</v>
      </c>
      <c r="Z110" s="218">
        <f>IF(Y110=0,0,COUNTIF($Y$7:Y110,Y110))</f>
        <v>0</v>
      </c>
      <c r="AD110" s="218">
        <f>IFERROR(VLOOKUP(J110,競技会設定!$P$2:$S$22,2,0),0)</f>
        <v>0</v>
      </c>
      <c r="AE110" s="218">
        <f t="shared" ref="AE110" si="1167">IF(E107="",0,IF(AD110=0,0,IF(AD110&lt;3,E107&amp;$AE$6,0)))</f>
        <v>0</v>
      </c>
      <c r="AF110" s="218">
        <f>IF(AE110=0,0,E107&amp;COUNTIF($AE$7:AE110,AE110))</f>
        <v>0</v>
      </c>
      <c r="AG110" s="218">
        <f t="shared" ref="AG110" si="1168">IF(E107="",0,IF(AD110=0,0,IF(AD110&gt;=3,E107&amp;$AG$6,0)))</f>
        <v>0</v>
      </c>
      <c r="AH110" s="218">
        <f>IF(AG110=0,0,E107&amp;COUNTIF($AG$7:AG110,AG110))</f>
        <v>0</v>
      </c>
      <c r="AI110" s="218">
        <f t="shared" ref="AI110:AI158" si="1169">IF(COUNTIF(Y110,"*十種*")&gt;0,0,IF($AD110=AI$6,$E107,0))</f>
        <v>0</v>
      </c>
      <c r="AJ110" s="218" t="b">
        <f>IF(AI110=0,FALSE,IF(COUNTIF(AI$7:AI110,AI110)&gt;1,TRUE,FALSE))</f>
        <v>0</v>
      </c>
      <c r="AK110" s="218">
        <f t="shared" ref="AK110" si="1170">IF($AD110=AK$6,$E107,0)</f>
        <v>0</v>
      </c>
      <c r="AL110" s="218" t="b">
        <f>IF(AK110=0,FALSE,IF(COUNTIF(AK$7:AK110,AK110)&gt;1,TRUE,FALSE))</f>
        <v>0</v>
      </c>
      <c r="AM110" s="218">
        <f t="shared" ref="AM110" si="1171">IF($AD110=AM$6,$E107,0)</f>
        <v>0</v>
      </c>
      <c r="AN110" s="218" t="b">
        <f>IF(AM110=0,FALSE,IF(COUNTIF(AM$7:AM110,AM110)&gt;1,TRUE,FALSE))</f>
        <v>0</v>
      </c>
      <c r="AO110" s="218">
        <f t="shared" ref="AO110" si="1172">IF($AD110=AO$6,$E107,0)</f>
        <v>0</v>
      </c>
      <c r="AP110" s="218" t="b">
        <f>IF(AO110=0,FALSE,IF(COUNTIF(AO$7:AO110,AO110)&gt;1,TRUE,FALSE))</f>
        <v>0</v>
      </c>
      <c r="AQ110" s="218">
        <f t="shared" ref="AQ110" si="1173">IF(COUNTIF(Y110,"*十種競技*")&gt;0,E107,0)</f>
        <v>0</v>
      </c>
      <c r="AR110" s="218" t="b">
        <f>IF(AQ110=0,FALSE,IF(OR(COUNTIF($AI$7:$AI$406,AQ110)+COUNTIF($AQ110:$AQ$406,AQ110)&gt;1,COUNTIF($AK$7:$AK$406,AQ110)+COUNTIF($AQ$7:$AQ$406,AQ110)&gt;1),TRUE,FALSE))</f>
        <v>0</v>
      </c>
      <c r="AT110" s="218" t="b">
        <f t="shared" si="744"/>
        <v>0</v>
      </c>
      <c r="AU110" s="274"/>
      <c r="AX110" s="274"/>
      <c r="BD110" s="218" t="b">
        <f t="shared" si="732"/>
        <v>0</v>
      </c>
      <c r="BF110" s="231" t="b">
        <f t="shared" ref="BF110" si="1174">IF(J110="",FALSE,IF(OR(AND(AU107,L110=""),AND(AU107,L110="",OR(M110&lt;&gt;"",N110&lt;&gt;"",O110&lt;&gt;"",P110&lt;&gt;""))),TRUE,FALSE))</f>
        <v>0</v>
      </c>
      <c r="BG110" s="218" t="b">
        <f t="shared" si="734"/>
        <v>0</v>
      </c>
      <c r="BH110" s="218" t="b">
        <f t="shared" si="746"/>
        <v>0</v>
      </c>
      <c r="BI110" s="231" t="b">
        <f t="shared" ref="BI110" si="1175">IF(J110="",FALSE,IF(L110=0,FALSE,IF(AND(AU107,NOT(BF110),OR(M110="",N110="",O110="")),TRUE,FALSE)))</f>
        <v>0</v>
      </c>
      <c r="BJ110" s="240" t="b">
        <f t="shared" si="748"/>
        <v>0</v>
      </c>
      <c r="BK110" s="231" t="b">
        <f>IF(NOT(BJ110),FALSE,IF(AND(競技会設定!$C$5&lt;=BJ110,BJ110&lt;=競技会設定!$C$6),FALSE,TRUE))</f>
        <v>0</v>
      </c>
      <c r="BL110" s="218" t="b">
        <f>IF(J110="",FALSE,IF(L110=0,FALSE,IF(AND(AU107,NOT(BF110),NOT(BI110),P110=""),TRUE,FALSE)))</f>
        <v>0</v>
      </c>
      <c r="BO110" s="274"/>
    </row>
    <row r="111" spans="1:67" ht="18" customHeight="1" thickTop="1">
      <c r="A111" s="417">
        <v>27</v>
      </c>
      <c r="B111" s="401" t="s">
        <v>7050</v>
      </c>
      <c r="C111" s="403"/>
      <c r="D111" s="220" t="str">
        <f t="shared" ref="D111" si="1176">IF(C111="","",501&amp;TEXT(C111,"000000"))</f>
        <v/>
      </c>
      <c r="E111" s="396" t="str">
        <f>IF(D111="","",(VLOOKUP(D111,男子登録!$A$2:$N$2001,3,0)))</f>
        <v/>
      </c>
      <c r="F111" s="396" t="str">
        <f>IF(D111="","",(VLOOKUP(D111,男子登録!$A$2:$N$2001,4,0)))</f>
        <v/>
      </c>
      <c r="G111" s="220" t="str">
        <f>IF(C111="","",(VLOOKUP(D111,男子登録!$A$2:$N$2001,8,0)))</f>
        <v/>
      </c>
      <c r="H111" s="220">
        <f>IFERROR(VLOOKUP(D111,男子登録!$A$2:$N$2001,11,0),基本情報!$E$5)</f>
        <v>0</v>
      </c>
      <c r="I111" s="220" t="s">
        <v>7059</v>
      </c>
      <c r="J111" s="148"/>
      <c r="K111" s="220" t="s">
        <v>7060</v>
      </c>
      <c r="L111" s="148"/>
      <c r="M111" s="252"/>
      <c r="N111" s="253"/>
      <c r="O111" s="254"/>
      <c r="P111" s="148"/>
      <c r="Q111" s="398"/>
      <c r="R111" s="391"/>
      <c r="S111" s="136">
        <f t="shared" ref="S111" si="1177">IF(OR(E111="",Q111=""),0,E111)</f>
        <v>0</v>
      </c>
      <c r="T111" s="137">
        <f>IF(S111=0,0,COUNTIF($S$7:S111,"*"))</f>
        <v>0</v>
      </c>
      <c r="U111" s="137">
        <f>IF(S111=0,0,COUNTIF($S$7:S111,S111))</f>
        <v>0</v>
      </c>
      <c r="V111" s="137">
        <f t="shared" si="949"/>
        <v>0</v>
      </c>
      <c r="W111" s="137">
        <f>IF(V111=0,0,COUNTIF($V$7:V111,"*"))</f>
        <v>0</v>
      </c>
      <c r="X111" s="137">
        <f>IF(V111=0,0,COUNTIF($V$7:V111,V111))</f>
        <v>0</v>
      </c>
      <c r="Y111" s="218">
        <f t="shared" ref="Y111" si="1178">IF(OR(E111="",J111=""),0,J111&amp;E111)</f>
        <v>0</v>
      </c>
      <c r="Z111" s="218">
        <f>IF(Y111=0,0,COUNTIF($Y$7:Y111,Y111))</f>
        <v>0</v>
      </c>
      <c r="AA111" s="218" t="b">
        <f t="shared" ref="AA111" si="1179">IF(COUNTIF(J111:J114,"十種競技")&gt;0,TRUE,FALSE)</f>
        <v>0</v>
      </c>
      <c r="AB111" s="218">
        <f>IF(E111="",0,IF(AA111,COUNTIF($AA$7:AA111,TRUE),0))</f>
        <v>0</v>
      </c>
      <c r="AC111" s="218">
        <f>IFERROR(VLOOKUP("十種競技",J111:L114,3,0),0)</f>
        <v>0</v>
      </c>
      <c r="AD111" s="218">
        <f>IFERROR(VLOOKUP(J111,競技会設定!$P$2:$S$22,2,0),0)</f>
        <v>0</v>
      </c>
      <c r="AE111" s="218">
        <f t="shared" ref="AE111" si="1180">IF(E111="",0,IF(AD111=0,0,IF(AD111&lt;3,E111&amp;$AE$6,0)))</f>
        <v>0</v>
      </c>
      <c r="AF111" s="218">
        <f>IF(AE111=0,0,E111&amp;COUNTIF($AE$7:AE111,AE111))</f>
        <v>0</v>
      </c>
      <c r="AG111" s="218">
        <f t="shared" ref="AG111" si="1181">IF(E111="",0,IF(AD111=0,0,IF(AD111&gt;=3,E111&amp;$AG$6,0)))</f>
        <v>0</v>
      </c>
      <c r="AH111" s="218">
        <f>IF(AG111=0,0,E111&amp;COUNTIF($AG$7:AG111,AG111))</f>
        <v>0</v>
      </c>
      <c r="AI111" s="218">
        <f t="shared" ref="AI111:AI159" si="1182">IF(COUNTIF(Y111,"*十種*")&gt;0,0,IF($AD111=AI$6,$E111,0))</f>
        <v>0</v>
      </c>
      <c r="AJ111" s="218" t="b">
        <f>IF(AI111=0,FALSE,IF(COUNTIF(AI$7:AI111,AI111)&gt;1,TRUE,FALSE))</f>
        <v>0</v>
      </c>
      <c r="AK111" s="218">
        <f t="shared" ref="AK111" si="1183">IF($AD111=AK$6,$E111,0)</f>
        <v>0</v>
      </c>
      <c r="AL111" s="218" t="b">
        <f>IF(AK111=0,FALSE,IF(COUNTIF(AK$7:AK111,AK111)&gt;1,TRUE,FALSE))</f>
        <v>0</v>
      </c>
      <c r="AM111" s="218">
        <f t="shared" ref="AM111" si="1184">IF($AD111=AM$6,$E111,0)</f>
        <v>0</v>
      </c>
      <c r="AN111" s="218" t="b">
        <f>IF(AM111=0,FALSE,IF(COUNTIF(AM$7:AM111,AM111)&gt;1,TRUE,FALSE))</f>
        <v>0</v>
      </c>
      <c r="AO111" s="218">
        <f t="shared" ref="AO111" si="1185">IF($AD111=AO$6,$E111,0)</f>
        <v>0</v>
      </c>
      <c r="AP111" s="218" t="b">
        <f>IF(AO111=0,FALSE,IF(COUNTIF(AO$7:AO111,AO111)&gt;1,TRUE,FALSE))</f>
        <v>0</v>
      </c>
      <c r="AQ111" s="218">
        <f t="shared" ref="AQ111" si="1186">IF(COUNTIF(Y111,"*十種競技*")&gt;0,E111,0)</f>
        <v>0</v>
      </c>
      <c r="AR111" s="218" t="b">
        <f>IF(AQ111=0,FALSE,IF(OR(COUNTIF($AI$7:$AI$406,AQ111)+COUNTIF($AQ111:$AQ$406,AQ111)&gt;1,COUNTIF($AK$7:$AK$406,AQ111)+COUNTIF($AQ$7:$AQ$406,AQ111)&gt;1),TRUE,FALSE))</f>
        <v>0</v>
      </c>
      <c r="AS111" s="218" t="b">
        <f t="shared" ref="AS111" si="1187">IF(AND(C111="",E111&lt;&gt;"",F111&lt;&gt;"",E113&lt;&gt;"",G111&lt;&gt;"",G112&lt;&gt;"",G113&lt;&gt;""),TRUE,FALSE)</f>
        <v>0</v>
      </c>
      <c r="AT111" s="218" t="b">
        <f t="shared" si="744"/>
        <v>0</v>
      </c>
      <c r="AU111" s="274" t="b">
        <f t="shared" ref="AU111" si="1188">IFERROR(IF(D111&amp;E111&amp;F111&amp;E113&amp;G111&amp;G112&amp;G113&amp;J111&amp;J112&amp;J113&amp;J114&amp;L111&amp;L112&amp;L113&amp;L114&amp;M111&amp;M112&amp;M113&amp;M114&amp;N111&amp;N112&amp;N113&amp;N114&amp;O111&amp;O112&amp;O113&amp;O114&amp;P111&amp;P112&amp;P113&amp;P114&amp;Q111&amp;R111="",FALSE,TRUE),FALSE)</f>
        <v>0</v>
      </c>
      <c r="AV111" s="218" t="b">
        <f t="shared" ref="AV111" si="1189">IF(AS111,FALSE,IF(C111="",AU111,FALSE))</f>
        <v>0</v>
      </c>
      <c r="AW111" s="218" t="b">
        <f>IF(C111="",FALSE,IF(C111&gt;2000,TRUE,FALSE))</f>
        <v>0</v>
      </c>
      <c r="AX111" s="274" t="b">
        <f>IF(H111=0,FALSE,IF(EXACT(基本情報!$E$5,H111)=TRUE,FALSE,TRUE))</f>
        <v>0</v>
      </c>
      <c r="AY111" s="218" t="b">
        <f>IF(C111="",FALSE,IF(ISNA(E111)=TRUE,TRUE,FALSE))</f>
        <v>0</v>
      </c>
      <c r="AZ111" s="274" t="b">
        <f>IFERROR(IF(E111="",FALSE,IF(COUNTIF($E$7:E111,E111)&gt;1,TRUE,FALSE)),FALSE)</f>
        <v>0</v>
      </c>
      <c r="BA111" s="218" t="b">
        <f t="shared" ref="BA111" si="1190">IF(OR(J111&amp;J112&amp;J113&amp;J114&amp;Q111&amp;R111="",AT111,AT112,AT113,AT114),AU111,FALSE)</f>
        <v>0</v>
      </c>
      <c r="BB111" s="218" t="b">
        <f>IF(U111&gt;1,TRUE,FALSE)</f>
        <v>0</v>
      </c>
      <c r="BC111" s="218" t="b">
        <f>IF(X111&gt;1,TRUE,FALSE)</f>
        <v>0</v>
      </c>
      <c r="BD111" s="218" t="b">
        <f t="shared" si="732"/>
        <v>0</v>
      </c>
      <c r="BF111" s="231" t="b">
        <f t="shared" ref="BF111" si="1191">IF(J111="",FALSE,IF(OR(AND(AU111,L111=""),AND(AU111,L111="",OR(M111&lt;&gt;"",N111&lt;&gt;"",O111&lt;&gt;"",P111&lt;&gt;""))),TRUE,FALSE))</f>
        <v>0</v>
      </c>
      <c r="BG111" s="218" t="b">
        <f t="shared" si="734"/>
        <v>0</v>
      </c>
      <c r="BH111" s="218" t="b">
        <f t="shared" si="746"/>
        <v>0</v>
      </c>
      <c r="BI111" s="231" t="b">
        <f t="shared" ref="BI111" si="1192">IF(J111="",FALSE,IF(L111=0,FALSE,IF(AND(AU111,NOT(BF111),OR(M111="",N111="",O111="")),TRUE,FALSE)))</f>
        <v>0</v>
      </c>
      <c r="BJ111" s="240" t="b">
        <f t="shared" si="748"/>
        <v>0</v>
      </c>
      <c r="BK111" s="231" t="b">
        <f>IF(NOT(BJ111),FALSE,IF(AND(競技会設定!$C$5&lt;=BJ111,BJ111&lt;=競技会設定!$C$6),FALSE,TRUE))</f>
        <v>0</v>
      </c>
      <c r="BL111" s="218" t="b">
        <f>IF(J111="",FALSE,IF(L111=0,FALSE,IF(AND(AU111,NOT(BF111),NOT(BI111),P111=""),TRUE,FALSE)))</f>
        <v>0</v>
      </c>
      <c r="BO111" s="274">
        <f t="shared" ref="BO111" si="1193">IF(AND(AU111,SUM(COUNTIF(AV111:BC111,TRUE),COUNTIF(BF111:BL114,TRUE),COUNTIF(BD111:BD114,TRUE))=0,NOT($BE$7)),1,0)</f>
        <v>0</v>
      </c>
    </row>
    <row r="112" spans="1:67" ht="17.399999999999999" customHeight="1">
      <c r="A112" s="418"/>
      <c r="B112" s="402"/>
      <c r="C112" s="404"/>
      <c r="D112" s="221"/>
      <c r="E112" s="397"/>
      <c r="F112" s="397"/>
      <c r="G112" s="221" t="str">
        <f>IF(C111="","",(VLOOKUP(D111,男子登録!$A$2:$N$2001,13,0)))</f>
        <v/>
      </c>
      <c r="H112" s="221"/>
      <c r="I112" s="221" t="s">
        <v>7061</v>
      </c>
      <c r="J112" s="149"/>
      <c r="K112" s="221" t="s">
        <v>7062</v>
      </c>
      <c r="L112" s="149"/>
      <c r="M112" s="255"/>
      <c r="N112" s="256"/>
      <c r="O112" s="257"/>
      <c r="P112" s="149"/>
      <c r="Q112" s="399"/>
      <c r="R112" s="392"/>
      <c r="S112" s="136"/>
      <c r="T112" s="137"/>
      <c r="U112" s="137"/>
      <c r="V112" s="137"/>
      <c r="W112" s="137"/>
      <c r="X112" s="137"/>
      <c r="Y112" s="218">
        <f t="shared" ref="Y112" si="1194">IF(OR(E111="",J112=""),0,J112&amp;E111)</f>
        <v>0</v>
      </c>
      <c r="Z112" s="218">
        <f>IF(Y112=0,0,COUNTIF($Y$7:Y112,Y112))</f>
        <v>0</v>
      </c>
      <c r="AD112" s="218">
        <f>IFERROR(VLOOKUP(J112,競技会設定!$P$2:$S$22,2,0),0)</f>
        <v>0</v>
      </c>
      <c r="AE112" s="218">
        <f t="shared" ref="AE112" si="1195">IF(E111="",0,IF(AD112=0,0,IF(AD112&lt;3,E111&amp;$AE$6,0)))</f>
        <v>0</v>
      </c>
      <c r="AF112" s="218">
        <f>IF(AE112=0,0,E111&amp;COUNTIF($AE$7:AE112,AE112))</f>
        <v>0</v>
      </c>
      <c r="AG112" s="218">
        <f t="shared" ref="AG112" si="1196">IF(E111="",0,IF(AD112=0,0,IF(AD112&gt;=3,E111&amp;$AG$6,0)))</f>
        <v>0</v>
      </c>
      <c r="AH112" s="218">
        <f>IF(AG112=0,0,E111&amp;COUNTIF($AG$7:AG112,AG112))</f>
        <v>0</v>
      </c>
      <c r="AI112" s="218">
        <f t="shared" ref="AI112:AI160" si="1197">IF(COUNTIF(Y112,"*十種*")&gt;0,0,IF($AD112=AI$6,$E111,0))</f>
        <v>0</v>
      </c>
      <c r="AJ112" s="218" t="b">
        <f>IF(AI112=0,FALSE,IF(COUNTIF(AI$7:AI112,AI112)&gt;1,TRUE,FALSE))</f>
        <v>0</v>
      </c>
      <c r="AK112" s="218">
        <f t="shared" ref="AK112" si="1198">IF($AD112=AK$6,$E111,0)</f>
        <v>0</v>
      </c>
      <c r="AL112" s="218" t="b">
        <f>IF(AK112=0,FALSE,IF(COUNTIF(AK$7:AK112,AK112)&gt;1,TRUE,FALSE))</f>
        <v>0</v>
      </c>
      <c r="AM112" s="218">
        <f t="shared" ref="AM112" si="1199">IF($AD112=AM$6,$E111,0)</f>
        <v>0</v>
      </c>
      <c r="AN112" s="218" t="b">
        <f>IF(AM112=0,FALSE,IF(COUNTIF(AM$7:AM112,AM112)&gt;1,TRUE,FALSE))</f>
        <v>0</v>
      </c>
      <c r="AO112" s="218">
        <f t="shared" ref="AO112" si="1200">IF($AD112=AO$6,$E111,0)</f>
        <v>0</v>
      </c>
      <c r="AP112" s="218" t="b">
        <f>IF(AO112=0,FALSE,IF(COUNTIF(AO$7:AO112,AO112)&gt;1,TRUE,FALSE))</f>
        <v>0</v>
      </c>
      <c r="AQ112" s="218">
        <f t="shared" ref="AQ112" si="1201">IF(COUNTIF(Y112,"*十種競技*")&gt;0,E111,0)</f>
        <v>0</v>
      </c>
      <c r="AR112" s="218" t="b">
        <f>IF(AQ112=0,FALSE,IF(OR(COUNTIF($AI$7:$AI$406,AQ112)+COUNTIF($AQ112:$AQ$406,AQ112)&gt;1,COUNTIF($AK$7:$AK$406,AQ112)+COUNTIF($AQ$7:$AQ$406,AQ112)&gt;1),TRUE,FALSE))</f>
        <v>0</v>
      </c>
      <c r="AT112" s="218" t="b">
        <f t="shared" si="744"/>
        <v>0</v>
      </c>
      <c r="AU112" s="274"/>
      <c r="AX112" s="274"/>
      <c r="BD112" s="218" t="b">
        <f t="shared" si="732"/>
        <v>0</v>
      </c>
      <c r="BF112" s="231" t="b">
        <f t="shared" ref="BF112" si="1202">IF(J112="",FALSE,IF(OR(AND(AU111,L112=""),AND(AU111,L112="",OR(M112&lt;&gt;"",N112&lt;&gt;"",O112&lt;&gt;"",P112&lt;&gt;""))),TRUE,FALSE))</f>
        <v>0</v>
      </c>
      <c r="BG112" s="218" t="b">
        <f t="shared" si="734"/>
        <v>0</v>
      </c>
      <c r="BH112" s="218" t="b">
        <f t="shared" si="746"/>
        <v>0</v>
      </c>
      <c r="BI112" s="231" t="b">
        <f t="shared" ref="BI112" si="1203">IF(J112="",FALSE,IF(L112=0,FALSE,IF(AND(AU111,NOT(BF112),OR(M112="",N112="",O112="")),TRUE,FALSE)))</f>
        <v>0</v>
      </c>
      <c r="BJ112" s="240" t="b">
        <f t="shared" si="748"/>
        <v>0</v>
      </c>
      <c r="BK112" s="231" t="b">
        <f>IF(NOT(BJ112),FALSE,IF(AND(競技会設定!$C$5&lt;=BJ112,BJ112&lt;=競技会設定!$C$6),FALSE,TRUE))</f>
        <v>0</v>
      </c>
      <c r="BL112" s="218" t="b">
        <f>IF(J112="",FALSE,IF(L112=0,FALSE,IF(AND(AU111,NOT(BF112),NOT(BI112),P112=""),TRUE,FALSE)))</f>
        <v>0</v>
      </c>
      <c r="BO112" s="274"/>
    </row>
    <row r="113" spans="1:67" ht="17.399999999999999" customHeight="1">
      <c r="A113" s="418"/>
      <c r="B113" s="402"/>
      <c r="C113" s="404"/>
      <c r="D113" s="221"/>
      <c r="E113" s="394" t="str">
        <f>IF(C111="","",VLOOKUP(D111,男子登録!$A$2:$O$2001,14,0)&amp;" ("&amp;VLOOKUP(D111,男子登録!$A$2:$O$2001,15,0)&amp;")")</f>
        <v/>
      </c>
      <c r="F113" s="394"/>
      <c r="G113" s="222" t="str">
        <f>IF(C111="","",(VLOOKUP(D111,男子登録!$A$2:$N$2001,9,0)))</f>
        <v/>
      </c>
      <c r="H113" s="222"/>
      <c r="I113" s="222" t="s">
        <v>7063</v>
      </c>
      <c r="J113" s="150"/>
      <c r="K113" s="222" t="s">
        <v>7064</v>
      </c>
      <c r="L113" s="150"/>
      <c r="M113" s="255"/>
      <c r="N113" s="256"/>
      <c r="O113" s="257"/>
      <c r="P113" s="149"/>
      <c r="Q113" s="399"/>
      <c r="R113" s="392"/>
      <c r="S113" s="136"/>
      <c r="T113" s="137"/>
      <c r="U113" s="137"/>
      <c r="V113" s="137"/>
      <c r="W113" s="137"/>
      <c r="X113" s="137"/>
      <c r="Y113" s="218">
        <f t="shared" ref="Y113" si="1204">IF(OR(E111="",J113=""),0,J113&amp;E111)</f>
        <v>0</v>
      </c>
      <c r="Z113" s="218">
        <f>IF(Y113=0,0,COUNTIF($Y$7:Y113,Y113))</f>
        <v>0</v>
      </c>
      <c r="AD113" s="218">
        <f>IFERROR(VLOOKUP(J113,競技会設定!$P$2:$S$22,2,0),0)</f>
        <v>0</v>
      </c>
      <c r="AE113" s="218">
        <f t="shared" ref="AE113" si="1205">IF(E111="",0,IF(AD113=0,0,IF(AD113&lt;3,E111&amp;$AE$6,0)))</f>
        <v>0</v>
      </c>
      <c r="AF113" s="218">
        <f>IF(AE113=0,0,E111&amp;COUNTIF($AE$7:AE113,AE113))</f>
        <v>0</v>
      </c>
      <c r="AG113" s="218">
        <f t="shared" ref="AG113" si="1206">IF(E111="",0,IF(AD113=0,0,IF(AD113&gt;=3,E111&amp;$AG$6,0)))</f>
        <v>0</v>
      </c>
      <c r="AH113" s="218">
        <f>IF(AG113=0,0,E111&amp;COUNTIF($AG$7:AG113,AG113))</f>
        <v>0</v>
      </c>
      <c r="AI113" s="218">
        <f t="shared" ref="AI113:AI161" si="1207">IF(COUNTIF(Y113,"*十種*")&gt;0,0,IF($AD113=AI$6,$E111,0))</f>
        <v>0</v>
      </c>
      <c r="AJ113" s="218" t="b">
        <f>IF(AI113=0,FALSE,IF(COUNTIF(AI$7:AI113,AI113)&gt;1,TRUE,FALSE))</f>
        <v>0</v>
      </c>
      <c r="AK113" s="218">
        <f t="shared" ref="AK113" si="1208">IF($AD113=AK$6,$E111,0)</f>
        <v>0</v>
      </c>
      <c r="AL113" s="218" t="b">
        <f>IF(AK113=0,FALSE,IF(COUNTIF(AK$7:AK113,AK113)&gt;1,TRUE,FALSE))</f>
        <v>0</v>
      </c>
      <c r="AM113" s="218">
        <f t="shared" ref="AM113" si="1209">IF($AD113=AM$6,$E111,0)</f>
        <v>0</v>
      </c>
      <c r="AN113" s="218" t="b">
        <f>IF(AM113=0,FALSE,IF(COUNTIF(AM$7:AM113,AM113)&gt;1,TRUE,FALSE))</f>
        <v>0</v>
      </c>
      <c r="AO113" s="218">
        <f t="shared" ref="AO113" si="1210">IF($AD113=AO$6,$E111,0)</f>
        <v>0</v>
      </c>
      <c r="AP113" s="218" t="b">
        <f>IF(AO113=0,FALSE,IF(COUNTIF(AO$7:AO113,AO113)&gt;1,TRUE,FALSE))</f>
        <v>0</v>
      </c>
      <c r="AQ113" s="218">
        <f t="shared" ref="AQ113" si="1211">IF(COUNTIF(Y113,"*十種競技*")&gt;0,E111,0)</f>
        <v>0</v>
      </c>
      <c r="AR113" s="218" t="b">
        <f>IF(AQ113=0,FALSE,IF(OR(COUNTIF($AI$7:$AI$406,AQ113)+COUNTIF($AQ113:$AQ$406,AQ113)&gt;1,COUNTIF($AK$7:$AK$406,AQ113)+COUNTIF($AQ$7:$AQ$406,AQ113)&gt;1),TRUE,FALSE))</f>
        <v>0</v>
      </c>
      <c r="AT113" s="218" t="b">
        <f t="shared" si="744"/>
        <v>0</v>
      </c>
      <c r="AU113" s="274"/>
      <c r="AX113" s="274"/>
      <c r="BD113" s="218" t="b">
        <f t="shared" si="732"/>
        <v>0</v>
      </c>
      <c r="BF113" s="231" t="b">
        <f t="shared" ref="BF113" si="1212">IF(J113="",FALSE,IF(OR(AND(AU111,L113=""),AND(AU111,L113="",OR(M113&lt;&gt;"",N113&lt;&gt;"",O113&lt;&gt;"",P113&lt;&gt;""))),TRUE,FALSE))</f>
        <v>0</v>
      </c>
      <c r="BG113" s="218" t="b">
        <f t="shared" si="734"/>
        <v>0</v>
      </c>
      <c r="BH113" s="218" t="b">
        <f t="shared" si="746"/>
        <v>0</v>
      </c>
      <c r="BI113" s="231" t="b">
        <f t="shared" ref="BI113" si="1213">IF(J113="",FALSE,IF(L113=0,FALSE,IF(AND(AU111,NOT(BF113),OR(M113="",N113="",O113="")),TRUE,FALSE)))</f>
        <v>0</v>
      </c>
      <c r="BJ113" s="240" t="b">
        <f t="shared" si="748"/>
        <v>0</v>
      </c>
      <c r="BK113" s="231" t="b">
        <f>IF(NOT(BJ113),FALSE,IF(AND(競技会設定!$C$5&lt;=BJ113,BJ113&lt;=競技会設定!$C$6),FALSE,TRUE))</f>
        <v>0</v>
      </c>
      <c r="BL113" s="218" t="b">
        <f>IF(J113="",FALSE,IF(L113=0,FALSE,IF(AND(AU111,NOT(BF113),NOT(BI113),P113=""),TRUE,FALSE)))</f>
        <v>0</v>
      </c>
      <c r="BO113" s="274"/>
    </row>
    <row r="114" spans="1:67" ht="18" customHeight="1" thickBot="1">
      <c r="A114" s="419"/>
      <c r="B114" s="395" t="s">
        <v>7051</v>
      </c>
      <c r="C114" s="395"/>
      <c r="D114" s="221"/>
      <c r="E114" s="372"/>
      <c r="F114" s="372"/>
      <c r="G114" s="372"/>
      <c r="H114" s="214"/>
      <c r="I114" s="214" t="s">
        <v>7065</v>
      </c>
      <c r="J114" s="219"/>
      <c r="K114" s="214" t="s">
        <v>7066</v>
      </c>
      <c r="L114" s="219"/>
      <c r="M114" s="258"/>
      <c r="N114" s="259"/>
      <c r="O114" s="260"/>
      <c r="P114" s="219"/>
      <c r="Q114" s="400"/>
      <c r="R114" s="393"/>
      <c r="S114" s="136"/>
      <c r="T114" s="137"/>
      <c r="U114" s="137"/>
      <c r="V114" s="137"/>
      <c r="W114" s="137"/>
      <c r="X114" s="137"/>
      <c r="Y114" s="218">
        <f t="shared" ref="Y114" si="1214">IF(OR(E111="",J114=""),0,J114&amp;E111)</f>
        <v>0</v>
      </c>
      <c r="Z114" s="218">
        <f>IF(Y114=0,0,COUNTIF($Y$7:Y114,Y114))</f>
        <v>0</v>
      </c>
      <c r="AD114" s="218">
        <f>IFERROR(VLOOKUP(J114,競技会設定!$P$2:$S$22,2,0),0)</f>
        <v>0</v>
      </c>
      <c r="AE114" s="218">
        <f t="shared" ref="AE114" si="1215">IF(E111="",0,IF(AD114=0,0,IF(AD114&lt;3,E111&amp;$AE$6,0)))</f>
        <v>0</v>
      </c>
      <c r="AF114" s="218">
        <f>IF(AE114=0,0,E111&amp;COUNTIF($AE$7:AE114,AE114))</f>
        <v>0</v>
      </c>
      <c r="AG114" s="218">
        <f t="shared" ref="AG114" si="1216">IF(E111="",0,IF(AD114=0,0,IF(AD114&gt;=3,E111&amp;$AG$6,0)))</f>
        <v>0</v>
      </c>
      <c r="AH114" s="218">
        <f>IF(AG114=0,0,E111&amp;COUNTIF($AG$7:AG114,AG114))</f>
        <v>0</v>
      </c>
      <c r="AI114" s="218">
        <f t="shared" ref="AI114:AI162" si="1217">IF(COUNTIF(Y114,"*十種*")&gt;0,0,IF($AD114=AI$6,$E111,0))</f>
        <v>0</v>
      </c>
      <c r="AJ114" s="218" t="b">
        <f>IF(AI114=0,FALSE,IF(COUNTIF(AI$7:AI114,AI114)&gt;1,TRUE,FALSE))</f>
        <v>0</v>
      </c>
      <c r="AK114" s="218">
        <f t="shared" ref="AK114" si="1218">IF($AD114=AK$6,$E111,0)</f>
        <v>0</v>
      </c>
      <c r="AL114" s="218" t="b">
        <f>IF(AK114=0,FALSE,IF(COUNTIF(AK$7:AK114,AK114)&gt;1,TRUE,FALSE))</f>
        <v>0</v>
      </c>
      <c r="AM114" s="218">
        <f t="shared" ref="AM114" si="1219">IF($AD114=AM$6,$E111,0)</f>
        <v>0</v>
      </c>
      <c r="AN114" s="218" t="b">
        <f>IF(AM114=0,FALSE,IF(COUNTIF(AM$7:AM114,AM114)&gt;1,TRUE,FALSE))</f>
        <v>0</v>
      </c>
      <c r="AO114" s="218">
        <f t="shared" ref="AO114" si="1220">IF($AD114=AO$6,$E111,0)</f>
        <v>0</v>
      </c>
      <c r="AP114" s="218" t="b">
        <f>IF(AO114=0,FALSE,IF(COUNTIF(AO$7:AO114,AO114)&gt;1,TRUE,FALSE))</f>
        <v>0</v>
      </c>
      <c r="AQ114" s="218">
        <f t="shared" ref="AQ114" si="1221">IF(COUNTIF(Y114,"*十種競技*")&gt;0,E111,0)</f>
        <v>0</v>
      </c>
      <c r="AR114" s="218" t="b">
        <f>IF(AQ114=0,FALSE,IF(OR(COUNTIF($AI$7:$AI$406,AQ114)+COUNTIF($AQ114:$AQ$406,AQ114)&gt;1,COUNTIF($AK$7:$AK$406,AQ114)+COUNTIF($AQ$7:$AQ$406,AQ114)&gt;1),TRUE,FALSE))</f>
        <v>0</v>
      </c>
      <c r="AT114" s="218" t="b">
        <f t="shared" si="744"/>
        <v>0</v>
      </c>
      <c r="AU114" s="274"/>
      <c r="AX114" s="274"/>
      <c r="BD114" s="218" t="b">
        <f t="shared" si="732"/>
        <v>0</v>
      </c>
      <c r="BF114" s="231" t="b">
        <f t="shared" ref="BF114" si="1222">IF(J114="",FALSE,IF(OR(AND(AU111,L114=""),AND(AU111,L114="",OR(M114&lt;&gt;"",N114&lt;&gt;"",O114&lt;&gt;"",P114&lt;&gt;""))),TRUE,FALSE))</f>
        <v>0</v>
      </c>
      <c r="BG114" s="218" t="b">
        <f t="shared" si="734"/>
        <v>0</v>
      </c>
      <c r="BH114" s="218" t="b">
        <f t="shared" si="746"/>
        <v>0</v>
      </c>
      <c r="BI114" s="231" t="b">
        <f t="shared" ref="BI114" si="1223">IF(J114="",FALSE,IF(L114=0,FALSE,IF(AND(AU111,NOT(BF114),OR(M114="",N114="",O114="")),TRUE,FALSE)))</f>
        <v>0</v>
      </c>
      <c r="BJ114" s="240" t="b">
        <f t="shared" si="748"/>
        <v>0</v>
      </c>
      <c r="BK114" s="231" t="b">
        <f>IF(NOT(BJ114),FALSE,IF(AND(競技会設定!$C$5&lt;=BJ114,BJ114&lt;=競技会設定!$C$6),FALSE,TRUE))</f>
        <v>0</v>
      </c>
      <c r="BL114" s="218" t="b">
        <f>IF(J114="",FALSE,IF(L114=0,FALSE,IF(AND(AU111,NOT(BF114),NOT(BI114),P114=""),TRUE,FALSE)))</f>
        <v>0</v>
      </c>
      <c r="BO114" s="274"/>
    </row>
    <row r="115" spans="1:67" ht="18" customHeight="1" thickTop="1">
      <c r="A115" s="420">
        <v>28</v>
      </c>
      <c r="B115" s="373" t="s">
        <v>7050</v>
      </c>
      <c r="C115" s="375"/>
      <c r="D115" s="138" t="str">
        <f t="shared" ref="D115" si="1224">IF(C115="","",501&amp;TEXT(C115,"000000"))</f>
        <v/>
      </c>
      <c r="E115" s="377" t="str">
        <f>IF(D115="","",(VLOOKUP(D115,男子登録!$A$2:$N$2001,3,0)))</f>
        <v/>
      </c>
      <c r="F115" s="377" t="str">
        <f>IF(D115="","",(VLOOKUP(D115,男子登録!$A$2:$N$2001,4,0)))</f>
        <v/>
      </c>
      <c r="G115" s="138" t="str">
        <f>IF(C115="","",(VLOOKUP(D115,男子登録!$A$2:$N$2001,8,0)))</f>
        <v/>
      </c>
      <c r="H115" s="138">
        <f>IFERROR(VLOOKUP(D115,男子登録!$A$2:$N$2001,11,0),基本情報!$E$5)</f>
        <v>0</v>
      </c>
      <c r="I115" s="138" t="s">
        <v>7059</v>
      </c>
      <c r="J115" s="151"/>
      <c r="K115" s="138" t="s">
        <v>7060</v>
      </c>
      <c r="L115" s="151"/>
      <c r="M115" s="261"/>
      <c r="N115" s="262"/>
      <c r="O115" s="263"/>
      <c r="P115" s="151"/>
      <c r="Q115" s="381"/>
      <c r="R115" s="384"/>
      <c r="S115" s="136">
        <f t="shared" ref="S115" si="1225">IF(OR(E115="",Q115=""),0,E115)</f>
        <v>0</v>
      </c>
      <c r="T115" s="137">
        <f>IF(S115=0,0,COUNTIF($S$7:S115,"*"))</f>
        <v>0</v>
      </c>
      <c r="U115" s="137">
        <f>IF(S115=0,0,COUNTIF($S$7:S115,S115))</f>
        <v>0</v>
      </c>
      <c r="V115" s="137">
        <f t="shared" si="949"/>
        <v>0</v>
      </c>
      <c r="W115" s="137">
        <f>IF(V115=0,0,COUNTIF($V$7:V115,"*"))</f>
        <v>0</v>
      </c>
      <c r="X115" s="137">
        <f>IF(V115=0,0,COUNTIF($V$7:V115,V115))</f>
        <v>0</v>
      </c>
      <c r="Y115" s="218">
        <f t="shared" ref="Y115" si="1226">IF(OR(E115="",J115=""),0,J115&amp;E115)</f>
        <v>0</v>
      </c>
      <c r="Z115" s="218">
        <f>IF(Y115=0,0,COUNTIF($Y$7:Y115,Y115))</f>
        <v>0</v>
      </c>
      <c r="AA115" s="218" t="b">
        <f t="shared" ref="AA115" si="1227">IF(COUNTIF(J115:J118,"十種競技")&gt;0,TRUE,FALSE)</f>
        <v>0</v>
      </c>
      <c r="AB115" s="218">
        <f>IF(E115="",0,IF(AA115,COUNTIF($AA$7:AA115,TRUE),0))</f>
        <v>0</v>
      </c>
      <c r="AC115" s="218">
        <f>IFERROR(VLOOKUP("十種競技",J115:L118,3,0),0)</f>
        <v>0</v>
      </c>
      <c r="AD115" s="218">
        <f>IFERROR(VLOOKUP(J115,競技会設定!$P$2:$S$22,2,0),0)</f>
        <v>0</v>
      </c>
      <c r="AE115" s="218">
        <f t="shared" ref="AE115" si="1228">IF(E115="",0,IF(AD115=0,0,IF(AD115&lt;3,E115&amp;$AE$6,0)))</f>
        <v>0</v>
      </c>
      <c r="AF115" s="218">
        <f>IF(AE115=0,0,E115&amp;COUNTIF($AE$7:AE115,AE115))</f>
        <v>0</v>
      </c>
      <c r="AG115" s="218">
        <f t="shared" ref="AG115" si="1229">IF(E115="",0,IF(AD115=0,0,IF(AD115&gt;=3,E115&amp;$AG$6,0)))</f>
        <v>0</v>
      </c>
      <c r="AH115" s="218">
        <f>IF(AG115=0,0,E115&amp;COUNTIF($AG$7:AG115,AG115))</f>
        <v>0</v>
      </c>
      <c r="AI115" s="218">
        <f t="shared" ref="AI115:AI163" si="1230">IF(COUNTIF(Y115,"*十種*")&gt;0,0,IF($AD115=AI$6,$E115,0))</f>
        <v>0</v>
      </c>
      <c r="AJ115" s="218" t="b">
        <f>IF(AI115=0,FALSE,IF(COUNTIF(AI$7:AI115,AI115)&gt;1,TRUE,FALSE))</f>
        <v>0</v>
      </c>
      <c r="AK115" s="218">
        <f t="shared" ref="AK115" si="1231">IF($AD115=AK$6,$E115,0)</f>
        <v>0</v>
      </c>
      <c r="AL115" s="218" t="b">
        <f>IF(AK115=0,FALSE,IF(COUNTIF(AK$7:AK115,AK115)&gt;1,TRUE,FALSE))</f>
        <v>0</v>
      </c>
      <c r="AM115" s="218">
        <f t="shared" ref="AM115" si="1232">IF($AD115=AM$6,$E115,0)</f>
        <v>0</v>
      </c>
      <c r="AN115" s="218" t="b">
        <f>IF(AM115=0,FALSE,IF(COUNTIF(AM$7:AM115,AM115)&gt;1,TRUE,FALSE))</f>
        <v>0</v>
      </c>
      <c r="AO115" s="218">
        <f t="shared" ref="AO115" si="1233">IF($AD115=AO$6,$E115,0)</f>
        <v>0</v>
      </c>
      <c r="AP115" s="218" t="b">
        <f>IF(AO115=0,FALSE,IF(COUNTIF(AO$7:AO115,AO115)&gt;1,TRUE,FALSE))</f>
        <v>0</v>
      </c>
      <c r="AQ115" s="218">
        <f t="shared" ref="AQ115" si="1234">IF(COUNTIF(Y115,"*十種競技*")&gt;0,E115,0)</f>
        <v>0</v>
      </c>
      <c r="AR115" s="218" t="b">
        <f>IF(AQ115=0,FALSE,IF(OR(COUNTIF($AI$7:$AI$406,AQ115)+COUNTIF($AQ115:$AQ$406,AQ115)&gt;1,COUNTIF($AK$7:$AK$406,AQ115)+COUNTIF($AQ$7:$AQ$406,AQ115)&gt;1),TRUE,FALSE))</f>
        <v>0</v>
      </c>
      <c r="AS115" s="218" t="b">
        <f t="shared" ref="AS115" si="1235">IF(AND(C115="",E115&lt;&gt;"",F115&lt;&gt;"",E117&lt;&gt;"",G115&lt;&gt;"",G116&lt;&gt;"",G117&lt;&gt;""),TRUE,FALSE)</f>
        <v>0</v>
      </c>
      <c r="AT115" s="218" t="b">
        <f t="shared" si="744"/>
        <v>0</v>
      </c>
      <c r="AU115" s="274" t="b">
        <f t="shared" ref="AU115" si="1236">IFERROR(IF(D115&amp;E115&amp;F115&amp;E117&amp;G115&amp;G116&amp;G117&amp;J115&amp;J116&amp;J117&amp;J118&amp;L115&amp;L116&amp;L117&amp;L118&amp;M115&amp;M116&amp;M117&amp;M118&amp;N115&amp;N116&amp;N117&amp;N118&amp;O115&amp;O116&amp;O117&amp;O118&amp;P115&amp;P116&amp;P117&amp;P118&amp;Q115&amp;R115="",FALSE,TRUE),FALSE)</f>
        <v>0</v>
      </c>
      <c r="AV115" s="218" t="b">
        <f t="shared" ref="AV115" si="1237">IF(AS115,FALSE,IF(C115="",AU115,FALSE))</f>
        <v>0</v>
      </c>
      <c r="AW115" s="218" t="b">
        <f>IF(C115="",FALSE,IF(C115&gt;2000,TRUE,FALSE))</f>
        <v>0</v>
      </c>
      <c r="AX115" s="274" t="b">
        <f>IF(H115=0,FALSE,IF(EXACT(基本情報!$E$5,H115)=TRUE,FALSE,TRUE))</f>
        <v>0</v>
      </c>
      <c r="AY115" s="218" t="b">
        <f>IF(C115="",FALSE,IF(ISNA(E115)=TRUE,TRUE,FALSE))</f>
        <v>0</v>
      </c>
      <c r="AZ115" s="274" t="b">
        <f>IFERROR(IF(E115="",FALSE,IF(COUNTIF($E$7:E115,E115)&gt;1,TRUE,FALSE)),FALSE)</f>
        <v>0</v>
      </c>
      <c r="BA115" s="218" t="b">
        <f t="shared" ref="BA115" si="1238">IF(OR(J115&amp;J116&amp;J117&amp;J118&amp;Q115&amp;R115="",AT115,AT116,AT117,AT118),AU115,FALSE)</f>
        <v>0</v>
      </c>
      <c r="BB115" s="218" t="b">
        <f>IF(U115&gt;1,TRUE,FALSE)</f>
        <v>0</v>
      </c>
      <c r="BC115" s="218" t="b">
        <f>IF(X115&gt;1,TRUE,FALSE)</f>
        <v>0</v>
      </c>
      <c r="BD115" s="218" t="b">
        <f t="shared" si="732"/>
        <v>0</v>
      </c>
      <c r="BF115" s="231" t="b">
        <f t="shared" ref="BF115" si="1239">IF(J115="",FALSE,IF(OR(AND(AU115,L115=""),AND(AU115,L115="",OR(M115&lt;&gt;"",N115&lt;&gt;"",O115&lt;&gt;"",P115&lt;&gt;""))),TRUE,FALSE))</f>
        <v>0</v>
      </c>
      <c r="BG115" s="218" t="b">
        <f t="shared" si="734"/>
        <v>0</v>
      </c>
      <c r="BH115" s="218" t="b">
        <f t="shared" si="746"/>
        <v>0</v>
      </c>
      <c r="BI115" s="231" t="b">
        <f t="shared" ref="BI115" si="1240">IF(J115="",FALSE,IF(L115=0,FALSE,IF(AND(AU115,NOT(BF115),OR(M115="",N115="",O115="")),TRUE,FALSE)))</f>
        <v>0</v>
      </c>
      <c r="BJ115" s="240" t="b">
        <f t="shared" si="748"/>
        <v>0</v>
      </c>
      <c r="BK115" s="231" t="b">
        <f>IF(NOT(BJ115),FALSE,IF(AND(競技会設定!$C$5&lt;=BJ115,BJ115&lt;=競技会設定!$C$6),FALSE,TRUE))</f>
        <v>0</v>
      </c>
      <c r="BL115" s="218" t="b">
        <f>IF(J115="",FALSE,IF(L115=0,FALSE,IF(AND(AU115,NOT(BF115),NOT(BI115),P115=""),TRUE,FALSE)))</f>
        <v>0</v>
      </c>
      <c r="BO115" s="274">
        <f t="shared" ref="BO115" si="1241">IF(AND(AU115,SUM(COUNTIF(AV115:BC115,TRUE),COUNTIF(BF115:BL118,TRUE),COUNTIF(BD115:BD118,TRUE))=0,NOT($BE$7)),1,0)</f>
        <v>0</v>
      </c>
    </row>
    <row r="116" spans="1:67" ht="17.399999999999999" customHeight="1">
      <c r="A116" s="421"/>
      <c r="B116" s="374"/>
      <c r="C116" s="376"/>
      <c r="D116" s="139"/>
      <c r="E116" s="378"/>
      <c r="F116" s="378"/>
      <c r="G116" s="139" t="str">
        <f>IF(C115="","",(VLOOKUP(D115,男子登録!$A$2:$N$2001,13,0)))</f>
        <v/>
      </c>
      <c r="H116" s="139"/>
      <c r="I116" s="139" t="s">
        <v>7061</v>
      </c>
      <c r="J116" s="152"/>
      <c r="K116" s="139" t="s">
        <v>7062</v>
      </c>
      <c r="L116" s="152"/>
      <c r="M116" s="264"/>
      <c r="N116" s="265"/>
      <c r="O116" s="266"/>
      <c r="P116" s="152"/>
      <c r="Q116" s="382"/>
      <c r="R116" s="385"/>
      <c r="S116" s="136"/>
      <c r="T116" s="137"/>
      <c r="U116" s="137"/>
      <c r="V116" s="137"/>
      <c r="W116" s="137"/>
      <c r="X116" s="137"/>
      <c r="Y116" s="218">
        <f t="shared" ref="Y116" si="1242">IF(OR(E115="",J116=""),0,J116&amp;E115)</f>
        <v>0</v>
      </c>
      <c r="Z116" s="218">
        <f>IF(Y116=0,0,COUNTIF($Y$7:Y116,Y116))</f>
        <v>0</v>
      </c>
      <c r="AD116" s="218">
        <f>IFERROR(VLOOKUP(J116,競技会設定!$P$2:$S$22,2,0),0)</f>
        <v>0</v>
      </c>
      <c r="AE116" s="218">
        <f t="shared" ref="AE116" si="1243">IF(E115="",0,IF(AD116=0,0,IF(AD116&lt;3,E115&amp;$AE$6,0)))</f>
        <v>0</v>
      </c>
      <c r="AF116" s="218">
        <f>IF(AE116=0,0,E115&amp;COUNTIF($AE$7:AE116,AE116))</f>
        <v>0</v>
      </c>
      <c r="AG116" s="218">
        <f t="shared" ref="AG116" si="1244">IF(E115="",0,IF(AD116=0,0,IF(AD116&gt;=3,E115&amp;$AG$6,0)))</f>
        <v>0</v>
      </c>
      <c r="AH116" s="218">
        <f>IF(AG116=0,0,E115&amp;COUNTIF($AG$7:AG116,AG116))</f>
        <v>0</v>
      </c>
      <c r="AI116" s="218">
        <f t="shared" ref="AI116:AI164" si="1245">IF(COUNTIF(Y116,"*十種*")&gt;0,0,IF($AD116=AI$6,$E115,0))</f>
        <v>0</v>
      </c>
      <c r="AJ116" s="218" t="b">
        <f>IF(AI116=0,FALSE,IF(COUNTIF(AI$7:AI116,AI116)&gt;1,TRUE,FALSE))</f>
        <v>0</v>
      </c>
      <c r="AK116" s="218">
        <f t="shared" ref="AK116" si="1246">IF($AD116=AK$6,$E115,0)</f>
        <v>0</v>
      </c>
      <c r="AL116" s="218" t="b">
        <f>IF(AK116=0,FALSE,IF(COUNTIF(AK$7:AK116,AK116)&gt;1,TRUE,FALSE))</f>
        <v>0</v>
      </c>
      <c r="AM116" s="218">
        <f t="shared" ref="AM116" si="1247">IF($AD116=AM$6,$E115,0)</f>
        <v>0</v>
      </c>
      <c r="AN116" s="218" t="b">
        <f>IF(AM116=0,FALSE,IF(COUNTIF(AM$7:AM116,AM116)&gt;1,TRUE,FALSE))</f>
        <v>0</v>
      </c>
      <c r="AO116" s="218">
        <f t="shared" ref="AO116" si="1248">IF($AD116=AO$6,$E115,0)</f>
        <v>0</v>
      </c>
      <c r="AP116" s="218" t="b">
        <f>IF(AO116=0,FALSE,IF(COUNTIF(AO$7:AO116,AO116)&gt;1,TRUE,FALSE))</f>
        <v>0</v>
      </c>
      <c r="AQ116" s="218">
        <f t="shared" ref="AQ116" si="1249">IF(COUNTIF(Y116,"*十種競技*")&gt;0,E115,0)</f>
        <v>0</v>
      </c>
      <c r="AR116" s="218" t="b">
        <f>IF(AQ116=0,FALSE,IF(OR(COUNTIF($AI$7:$AI$406,AQ116)+COUNTIF($AQ116:$AQ$406,AQ116)&gt;1,COUNTIF($AK$7:$AK$406,AQ116)+COUNTIF($AQ$7:$AQ$406,AQ116)&gt;1),TRUE,FALSE))</f>
        <v>0</v>
      </c>
      <c r="AT116" s="218" t="b">
        <f t="shared" si="744"/>
        <v>0</v>
      </c>
      <c r="AU116" s="274"/>
      <c r="AX116" s="274"/>
      <c r="BD116" s="218" t="b">
        <f t="shared" si="732"/>
        <v>0</v>
      </c>
      <c r="BF116" s="231" t="b">
        <f t="shared" ref="BF116" si="1250">IF(J116="",FALSE,IF(OR(AND(AU115,L116=""),AND(AU115,L116="",OR(M116&lt;&gt;"",N116&lt;&gt;"",O116&lt;&gt;"",P116&lt;&gt;""))),TRUE,FALSE))</f>
        <v>0</v>
      </c>
      <c r="BG116" s="218" t="b">
        <f t="shared" si="734"/>
        <v>0</v>
      </c>
      <c r="BH116" s="218" t="b">
        <f t="shared" si="746"/>
        <v>0</v>
      </c>
      <c r="BI116" s="231" t="b">
        <f t="shared" ref="BI116" si="1251">IF(J116="",FALSE,IF(L116=0,FALSE,IF(AND(AU115,NOT(BF116),OR(M116="",N116="",O116="")),TRUE,FALSE)))</f>
        <v>0</v>
      </c>
      <c r="BJ116" s="240" t="b">
        <f t="shared" si="748"/>
        <v>0</v>
      </c>
      <c r="BK116" s="231" t="b">
        <f>IF(NOT(BJ116),FALSE,IF(AND(競技会設定!$C$5&lt;=BJ116,BJ116&lt;=競技会設定!$C$6),FALSE,TRUE))</f>
        <v>0</v>
      </c>
      <c r="BL116" s="218" t="b">
        <f>IF(J116="",FALSE,IF(L116=0,FALSE,IF(AND(AU115,NOT(BF116),NOT(BI116),P116=""),TRUE,FALSE)))</f>
        <v>0</v>
      </c>
      <c r="BO116" s="274"/>
    </row>
    <row r="117" spans="1:67" ht="17.399999999999999" customHeight="1">
      <c r="A117" s="421"/>
      <c r="B117" s="374"/>
      <c r="C117" s="376"/>
      <c r="D117" s="140"/>
      <c r="E117" s="379" t="str">
        <f>IF(C115="","",VLOOKUP(D115,男子登録!$A$2:$O$2001,14,0)&amp;" ("&amp;VLOOKUP(D115,男子登録!$A$2:$O$2001,15,0)&amp;")")</f>
        <v/>
      </c>
      <c r="F117" s="380"/>
      <c r="G117" s="140" t="str">
        <f>IF(C115="","",(VLOOKUP(D115,男子登録!$A$2:$N$2001,9,0)))</f>
        <v/>
      </c>
      <c r="H117" s="140"/>
      <c r="I117" s="140" t="s">
        <v>7063</v>
      </c>
      <c r="J117" s="153"/>
      <c r="K117" s="140" t="s">
        <v>7064</v>
      </c>
      <c r="L117" s="153"/>
      <c r="M117" s="264"/>
      <c r="N117" s="265"/>
      <c r="O117" s="266"/>
      <c r="P117" s="152"/>
      <c r="Q117" s="382"/>
      <c r="R117" s="385"/>
      <c r="S117" s="136"/>
      <c r="T117" s="137"/>
      <c r="U117" s="137"/>
      <c r="V117" s="137"/>
      <c r="W117" s="137"/>
      <c r="X117" s="137"/>
      <c r="Y117" s="218">
        <f t="shared" ref="Y117" si="1252">IF(OR(E115="",J117=""),0,J117&amp;E115)</f>
        <v>0</v>
      </c>
      <c r="Z117" s="218">
        <f>IF(Y117=0,0,COUNTIF($Y$7:Y117,Y117))</f>
        <v>0</v>
      </c>
      <c r="AD117" s="218">
        <f>IFERROR(VLOOKUP(J117,競技会設定!$P$2:$S$22,2,0),0)</f>
        <v>0</v>
      </c>
      <c r="AE117" s="218">
        <f t="shared" ref="AE117" si="1253">IF(E115="",0,IF(AD117=0,0,IF(AD117&lt;3,E115&amp;$AE$6,0)))</f>
        <v>0</v>
      </c>
      <c r="AF117" s="218">
        <f>IF(AE117=0,0,E115&amp;COUNTIF($AE$7:AE117,AE117))</f>
        <v>0</v>
      </c>
      <c r="AG117" s="218">
        <f t="shared" ref="AG117" si="1254">IF(E115="",0,IF(AD117=0,0,IF(AD117&gt;=3,E115&amp;$AG$6,0)))</f>
        <v>0</v>
      </c>
      <c r="AH117" s="218">
        <f>IF(AG117=0,0,E115&amp;COUNTIF($AG$7:AG117,AG117))</f>
        <v>0</v>
      </c>
      <c r="AI117" s="218">
        <f t="shared" ref="AI117:AI165" si="1255">IF(COUNTIF(Y117,"*十種*")&gt;0,0,IF($AD117=AI$6,$E115,0))</f>
        <v>0</v>
      </c>
      <c r="AJ117" s="218" t="b">
        <f>IF(AI117=0,FALSE,IF(COUNTIF(AI$7:AI117,AI117)&gt;1,TRUE,FALSE))</f>
        <v>0</v>
      </c>
      <c r="AK117" s="218">
        <f t="shared" ref="AK117" si="1256">IF($AD117=AK$6,$E115,0)</f>
        <v>0</v>
      </c>
      <c r="AL117" s="218" t="b">
        <f>IF(AK117=0,FALSE,IF(COUNTIF(AK$7:AK117,AK117)&gt;1,TRUE,FALSE))</f>
        <v>0</v>
      </c>
      <c r="AM117" s="218">
        <f t="shared" ref="AM117" si="1257">IF($AD117=AM$6,$E115,0)</f>
        <v>0</v>
      </c>
      <c r="AN117" s="218" t="b">
        <f>IF(AM117=0,FALSE,IF(COUNTIF(AM$7:AM117,AM117)&gt;1,TRUE,FALSE))</f>
        <v>0</v>
      </c>
      <c r="AO117" s="218">
        <f t="shared" ref="AO117" si="1258">IF($AD117=AO$6,$E115,0)</f>
        <v>0</v>
      </c>
      <c r="AP117" s="218" t="b">
        <f>IF(AO117=0,FALSE,IF(COUNTIF(AO$7:AO117,AO117)&gt;1,TRUE,FALSE))</f>
        <v>0</v>
      </c>
      <c r="AQ117" s="218">
        <f t="shared" ref="AQ117" si="1259">IF(COUNTIF(Y117,"*十種競技*")&gt;0,E115,0)</f>
        <v>0</v>
      </c>
      <c r="AR117" s="218" t="b">
        <f>IF(AQ117=0,FALSE,IF(OR(COUNTIF($AI$7:$AI$406,AQ117)+COUNTIF($AQ117:$AQ$406,AQ117)&gt;1,COUNTIF($AK$7:$AK$406,AQ117)+COUNTIF($AQ$7:$AQ$406,AQ117)&gt;1),TRUE,FALSE))</f>
        <v>0</v>
      </c>
      <c r="AT117" s="218" t="b">
        <f t="shared" si="744"/>
        <v>0</v>
      </c>
      <c r="AU117" s="274"/>
      <c r="AX117" s="274"/>
      <c r="BD117" s="218" t="b">
        <f t="shared" si="732"/>
        <v>0</v>
      </c>
      <c r="BF117" s="231" t="b">
        <f t="shared" ref="BF117" si="1260">IF(J117="",FALSE,IF(OR(AND(AU115,L117=""),AND(AU115,L117="",OR(M117&lt;&gt;"",N117&lt;&gt;"",O117&lt;&gt;"",P117&lt;&gt;""))),TRUE,FALSE))</f>
        <v>0</v>
      </c>
      <c r="BG117" s="218" t="b">
        <f t="shared" si="734"/>
        <v>0</v>
      </c>
      <c r="BH117" s="218" t="b">
        <f t="shared" si="746"/>
        <v>0</v>
      </c>
      <c r="BI117" s="231" t="b">
        <f t="shared" ref="BI117" si="1261">IF(J117="",FALSE,IF(L117=0,FALSE,IF(AND(AU115,NOT(BF117),OR(M117="",N117="",O117="")),TRUE,FALSE)))</f>
        <v>0</v>
      </c>
      <c r="BJ117" s="240" t="b">
        <f t="shared" si="748"/>
        <v>0</v>
      </c>
      <c r="BK117" s="231" t="b">
        <f>IF(NOT(BJ117),FALSE,IF(AND(競技会設定!$C$5&lt;=BJ117,BJ117&lt;=競技会設定!$C$6),FALSE,TRUE))</f>
        <v>0</v>
      </c>
      <c r="BL117" s="218" t="b">
        <f>IF(J117="",FALSE,IF(L117=0,FALSE,IF(AND(AU115,NOT(BF117),NOT(BI117),P117=""),TRUE,FALSE)))</f>
        <v>0</v>
      </c>
      <c r="BO117" s="274"/>
    </row>
    <row r="118" spans="1:67" ht="18" customHeight="1" thickBot="1">
      <c r="A118" s="422"/>
      <c r="B118" s="387" t="s">
        <v>7051</v>
      </c>
      <c r="C118" s="387"/>
      <c r="D118" s="213"/>
      <c r="E118" s="388"/>
      <c r="F118" s="389"/>
      <c r="G118" s="390"/>
      <c r="H118" s="141"/>
      <c r="I118" s="213" t="s">
        <v>7065</v>
      </c>
      <c r="J118" s="154"/>
      <c r="K118" s="213" t="s">
        <v>7066</v>
      </c>
      <c r="L118" s="154"/>
      <c r="M118" s="267"/>
      <c r="N118" s="268"/>
      <c r="O118" s="269"/>
      <c r="P118" s="154"/>
      <c r="Q118" s="383"/>
      <c r="R118" s="386"/>
      <c r="S118" s="136"/>
      <c r="T118" s="137"/>
      <c r="U118" s="137"/>
      <c r="V118" s="137"/>
      <c r="W118" s="137"/>
      <c r="X118" s="137"/>
      <c r="Y118" s="218">
        <f t="shared" ref="Y118" si="1262">IF(OR(E115="",J118=""),0,J118&amp;E115)</f>
        <v>0</v>
      </c>
      <c r="Z118" s="218">
        <f>IF(Y118=0,0,COUNTIF($Y$7:Y118,Y118))</f>
        <v>0</v>
      </c>
      <c r="AD118" s="218">
        <f>IFERROR(VLOOKUP(J118,競技会設定!$P$2:$S$22,2,0),0)</f>
        <v>0</v>
      </c>
      <c r="AE118" s="218">
        <f t="shared" ref="AE118" si="1263">IF(E115="",0,IF(AD118=0,0,IF(AD118&lt;3,E115&amp;$AE$6,0)))</f>
        <v>0</v>
      </c>
      <c r="AF118" s="218">
        <f>IF(AE118=0,0,E115&amp;COUNTIF($AE$7:AE118,AE118))</f>
        <v>0</v>
      </c>
      <c r="AG118" s="218">
        <f t="shared" ref="AG118" si="1264">IF(E115="",0,IF(AD118=0,0,IF(AD118&gt;=3,E115&amp;$AG$6,0)))</f>
        <v>0</v>
      </c>
      <c r="AH118" s="218">
        <f>IF(AG118=0,0,E115&amp;COUNTIF($AG$7:AG118,AG118))</f>
        <v>0</v>
      </c>
      <c r="AI118" s="218">
        <f t="shared" ref="AI118:AI166" si="1265">IF(COUNTIF(Y118,"*十種*")&gt;0,0,IF($AD118=AI$6,$E115,0))</f>
        <v>0</v>
      </c>
      <c r="AJ118" s="218" t="b">
        <f>IF(AI118=0,FALSE,IF(COUNTIF(AI$7:AI118,AI118)&gt;1,TRUE,FALSE))</f>
        <v>0</v>
      </c>
      <c r="AK118" s="218">
        <f t="shared" ref="AK118" si="1266">IF($AD118=AK$6,$E115,0)</f>
        <v>0</v>
      </c>
      <c r="AL118" s="218" t="b">
        <f>IF(AK118=0,FALSE,IF(COUNTIF(AK$7:AK118,AK118)&gt;1,TRUE,FALSE))</f>
        <v>0</v>
      </c>
      <c r="AM118" s="218">
        <f t="shared" ref="AM118" si="1267">IF($AD118=AM$6,$E115,0)</f>
        <v>0</v>
      </c>
      <c r="AN118" s="218" t="b">
        <f>IF(AM118=0,FALSE,IF(COUNTIF(AM$7:AM118,AM118)&gt;1,TRUE,FALSE))</f>
        <v>0</v>
      </c>
      <c r="AO118" s="218">
        <f t="shared" ref="AO118" si="1268">IF($AD118=AO$6,$E115,0)</f>
        <v>0</v>
      </c>
      <c r="AP118" s="218" t="b">
        <f>IF(AO118=0,FALSE,IF(COUNTIF(AO$7:AO118,AO118)&gt;1,TRUE,FALSE))</f>
        <v>0</v>
      </c>
      <c r="AQ118" s="218">
        <f t="shared" ref="AQ118" si="1269">IF(COUNTIF(Y118,"*十種競技*")&gt;0,E115,0)</f>
        <v>0</v>
      </c>
      <c r="AR118" s="218" t="b">
        <f>IF(AQ118=0,FALSE,IF(OR(COUNTIF($AI$7:$AI$406,AQ118)+COUNTIF($AQ118:$AQ$406,AQ118)&gt;1,COUNTIF($AK$7:$AK$406,AQ118)+COUNTIF($AQ$7:$AQ$406,AQ118)&gt;1),TRUE,FALSE))</f>
        <v>0</v>
      </c>
      <c r="AT118" s="218" t="b">
        <f t="shared" si="744"/>
        <v>0</v>
      </c>
      <c r="AU118" s="274"/>
      <c r="AX118" s="274"/>
      <c r="BD118" s="218" t="b">
        <f t="shared" si="732"/>
        <v>0</v>
      </c>
      <c r="BF118" s="231" t="b">
        <f t="shared" ref="BF118" si="1270">IF(J118="",FALSE,IF(OR(AND(AU115,L118=""),AND(AU115,L118="",OR(M118&lt;&gt;"",N118&lt;&gt;"",O118&lt;&gt;"",P118&lt;&gt;""))),TRUE,FALSE))</f>
        <v>0</v>
      </c>
      <c r="BG118" s="218" t="b">
        <f t="shared" si="734"/>
        <v>0</v>
      </c>
      <c r="BH118" s="218" t="b">
        <f t="shared" si="746"/>
        <v>0</v>
      </c>
      <c r="BI118" s="231" t="b">
        <f t="shared" ref="BI118" si="1271">IF(J118="",FALSE,IF(L118=0,FALSE,IF(AND(AU115,NOT(BF118),OR(M118="",N118="",O118="")),TRUE,FALSE)))</f>
        <v>0</v>
      </c>
      <c r="BJ118" s="240" t="b">
        <f t="shared" si="748"/>
        <v>0</v>
      </c>
      <c r="BK118" s="231" t="b">
        <f>IF(NOT(BJ118),FALSE,IF(AND(競技会設定!$C$5&lt;=BJ118,BJ118&lt;=競技会設定!$C$6),FALSE,TRUE))</f>
        <v>0</v>
      </c>
      <c r="BL118" s="218" t="b">
        <f>IF(J118="",FALSE,IF(L118=0,FALSE,IF(AND(AU115,NOT(BF118),NOT(BI118),P118=""),TRUE,FALSE)))</f>
        <v>0</v>
      </c>
      <c r="BO118" s="274"/>
    </row>
    <row r="119" spans="1:67" ht="18" customHeight="1" thickTop="1">
      <c r="A119" s="417">
        <v>29</v>
      </c>
      <c r="B119" s="401" t="s">
        <v>7050</v>
      </c>
      <c r="C119" s="403"/>
      <c r="D119" s="220" t="str">
        <f t="shared" ref="D119" si="1272">IF(C119="","",501&amp;TEXT(C119,"000000"))</f>
        <v/>
      </c>
      <c r="E119" s="396" t="str">
        <f>IF(D119="","",(VLOOKUP(D119,男子登録!$A$2:$N$2001,3,0)))</f>
        <v/>
      </c>
      <c r="F119" s="396" t="str">
        <f>IF(D119="","",(VLOOKUP(D119,男子登録!$A$2:$N$2001,4,0)))</f>
        <v/>
      </c>
      <c r="G119" s="220" t="str">
        <f>IF(C119="","",(VLOOKUP(D119,男子登録!$A$2:$N$2001,8,0)))</f>
        <v/>
      </c>
      <c r="H119" s="220">
        <f>IFERROR(VLOOKUP(D119,男子登録!$A$2:$N$2001,11,0),基本情報!$E$5)</f>
        <v>0</v>
      </c>
      <c r="I119" s="220" t="s">
        <v>7059</v>
      </c>
      <c r="J119" s="148"/>
      <c r="K119" s="220" t="s">
        <v>7060</v>
      </c>
      <c r="L119" s="148"/>
      <c r="M119" s="252"/>
      <c r="N119" s="253"/>
      <c r="O119" s="254"/>
      <c r="P119" s="148"/>
      <c r="Q119" s="398"/>
      <c r="R119" s="391"/>
      <c r="S119" s="136">
        <f t="shared" ref="S119" si="1273">IF(OR(E119="",Q119=""),0,E119)</f>
        <v>0</v>
      </c>
      <c r="T119" s="137">
        <f>IF(S119=0,0,COUNTIF($S$7:S119,"*"))</f>
        <v>0</v>
      </c>
      <c r="U119" s="137">
        <f>IF(S119=0,0,COUNTIF($S$7:S119,S119))</f>
        <v>0</v>
      </c>
      <c r="V119" s="137">
        <f t="shared" si="949"/>
        <v>0</v>
      </c>
      <c r="W119" s="137">
        <f>IF(V119=0,0,COUNTIF($V$7:V119,"*"))</f>
        <v>0</v>
      </c>
      <c r="X119" s="137">
        <f>IF(V119=0,0,COUNTIF($V$7:V119,V119))</f>
        <v>0</v>
      </c>
      <c r="Y119" s="218">
        <f t="shared" ref="Y119" si="1274">IF(OR(E119="",J119=""),0,J119&amp;E119)</f>
        <v>0</v>
      </c>
      <c r="Z119" s="218">
        <f>IF(Y119=0,0,COUNTIF($Y$7:Y119,Y119))</f>
        <v>0</v>
      </c>
      <c r="AA119" s="218" t="b">
        <f t="shared" ref="AA119" si="1275">IF(COUNTIF(J119:J122,"十種競技")&gt;0,TRUE,FALSE)</f>
        <v>0</v>
      </c>
      <c r="AB119" s="218">
        <f>IF(E119="",0,IF(AA119,COUNTIF($AA$7:AA119,TRUE),0))</f>
        <v>0</v>
      </c>
      <c r="AC119" s="218">
        <f>IFERROR(VLOOKUP("十種競技",J119:L122,3,0),0)</f>
        <v>0</v>
      </c>
      <c r="AD119" s="218">
        <f>IFERROR(VLOOKUP(J119,競技会設定!$P$2:$S$22,2,0),0)</f>
        <v>0</v>
      </c>
      <c r="AE119" s="218">
        <f t="shared" ref="AE119" si="1276">IF(E119="",0,IF(AD119=0,0,IF(AD119&lt;3,E119&amp;$AE$6,0)))</f>
        <v>0</v>
      </c>
      <c r="AF119" s="218">
        <f>IF(AE119=0,0,E119&amp;COUNTIF($AE$7:AE119,AE119))</f>
        <v>0</v>
      </c>
      <c r="AG119" s="218">
        <f t="shared" ref="AG119" si="1277">IF(E119="",0,IF(AD119=0,0,IF(AD119&gt;=3,E119&amp;$AG$6,0)))</f>
        <v>0</v>
      </c>
      <c r="AH119" s="218">
        <f>IF(AG119=0,0,E119&amp;COUNTIF($AG$7:AG119,AG119))</f>
        <v>0</v>
      </c>
      <c r="AI119" s="218">
        <f t="shared" ref="AI119:AI167" si="1278">IF(COUNTIF(Y119,"*十種*")&gt;0,0,IF($AD119=AI$6,$E119,0))</f>
        <v>0</v>
      </c>
      <c r="AJ119" s="218" t="b">
        <f>IF(AI119=0,FALSE,IF(COUNTIF(AI$7:AI119,AI119)&gt;1,TRUE,FALSE))</f>
        <v>0</v>
      </c>
      <c r="AK119" s="218">
        <f t="shared" ref="AK119" si="1279">IF($AD119=AK$6,$E119,0)</f>
        <v>0</v>
      </c>
      <c r="AL119" s="218" t="b">
        <f>IF(AK119=0,FALSE,IF(COUNTIF(AK$7:AK119,AK119)&gt;1,TRUE,FALSE))</f>
        <v>0</v>
      </c>
      <c r="AM119" s="218">
        <f t="shared" ref="AM119" si="1280">IF($AD119=AM$6,$E119,0)</f>
        <v>0</v>
      </c>
      <c r="AN119" s="218" t="b">
        <f>IF(AM119=0,FALSE,IF(COUNTIF(AM$7:AM119,AM119)&gt;1,TRUE,FALSE))</f>
        <v>0</v>
      </c>
      <c r="AO119" s="218">
        <f t="shared" ref="AO119" si="1281">IF($AD119=AO$6,$E119,0)</f>
        <v>0</v>
      </c>
      <c r="AP119" s="218" t="b">
        <f>IF(AO119=0,FALSE,IF(COUNTIF(AO$7:AO119,AO119)&gt;1,TRUE,FALSE))</f>
        <v>0</v>
      </c>
      <c r="AQ119" s="218">
        <f t="shared" ref="AQ119" si="1282">IF(COUNTIF(Y119,"*十種競技*")&gt;0,E119,0)</f>
        <v>0</v>
      </c>
      <c r="AR119" s="218" t="b">
        <f>IF(AQ119=0,FALSE,IF(OR(COUNTIF($AI$7:$AI$406,AQ119)+COUNTIF($AQ119:$AQ$406,AQ119)&gt;1,COUNTIF($AK$7:$AK$406,AQ119)+COUNTIF($AQ$7:$AQ$406,AQ119)&gt;1),TRUE,FALSE))</f>
        <v>0</v>
      </c>
      <c r="AS119" s="218" t="b">
        <f t="shared" ref="AS119" si="1283">IF(AND(C119="",E119&lt;&gt;"",F119&lt;&gt;"",E121&lt;&gt;"",G119&lt;&gt;"",G120&lt;&gt;"",G121&lt;&gt;""),TRUE,FALSE)</f>
        <v>0</v>
      </c>
      <c r="AT119" s="218" t="b">
        <f t="shared" si="744"/>
        <v>0</v>
      </c>
      <c r="AU119" s="274" t="b">
        <f t="shared" ref="AU119" si="1284">IFERROR(IF(D119&amp;E119&amp;F119&amp;E121&amp;G119&amp;G120&amp;G121&amp;J119&amp;J120&amp;J121&amp;J122&amp;L119&amp;L120&amp;L121&amp;L122&amp;M119&amp;M120&amp;M121&amp;M122&amp;N119&amp;N120&amp;N121&amp;N122&amp;O119&amp;O120&amp;O121&amp;O122&amp;P119&amp;P120&amp;P121&amp;P122&amp;Q119&amp;R119="",FALSE,TRUE),FALSE)</f>
        <v>0</v>
      </c>
      <c r="AV119" s="218" t="b">
        <f t="shared" ref="AV119" si="1285">IF(AS119,FALSE,IF(C119="",AU119,FALSE))</f>
        <v>0</v>
      </c>
      <c r="AW119" s="218" t="b">
        <f>IF(C119="",FALSE,IF(C119&gt;2000,TRUE,FALSE))</f>
        <v>0</v>
      </c>
      <c r="AX119" s="274" t="b">
        <f>IF(H119=0,FALSE,IF(EXACT(基本情報!$E$5,H119)=TRUE,FALSE,TRUE))</f>
        <v>0</v>
      </c>
      <c r="AY119" s="218" t="b">
        <f>IF(C119="",FALSE,IF(ISNA(E119)=TRUE,TRUE,FALSE))</f>
        <v>0</v>
      </c>
      <c r="AZ119" s="274" t="b">
        <f>IFERROR(IF(E119="",FALSE,IF(COUNTIF($E$7:E119,E119)&gt;1,TRUE,FALSE)),FALSE)</f>
        <v>0</v>
      </c>
      <c r="BA119" s="218" t="b">
        <f t="shared" ref="BA119" si="1286">IF(OR(J119&amp;J120&amp;J121&amp;J122&amp;Q119&amp;R119="",AT119,AT120,AT121,AT122),AU119,FALSE)</f>
        <v>0</v>
      </c>
      <c r="BB119" s="218" t="b">
        <f>IF(U119&gt;1,TRUE,FALSE)</f>
        <v>0</v>
      </c>
      <c r="BC119" s="218" t="b">
        <f>IF(X119&gt;1,TRUE,FALSE)</f>
        <v>0</v>
      </c>
      <c r="BD119" s="218" t="b">
        <f t="shared" si="732"/>
        <v>0</v>
      </c>
      <c r="BF119" s="231" t="b">
        <f t="shared" ref="BF119" si="1287">IF(J119="",FALSE,IF(OR(AND(AU119,L119=""),AND(AU119,L119="",OR(M119&lt;&gt;"",N119&lt;&gt;"",O119&lt;&gt;"",P119&lt;&gt;""))),TRUE,FALSE))</f>
        <v>0</v>
      </c>
      <c r="BG119" s="218" t="b">
        <f t="shared" si="734"/>
        <v>0</v>
      </c>
      <c r="BH119" s="218" t="b">
        <f t="shared" si="746"/>
        <v>0</v>
      </c>
      <c r="BI119" s="231" t="b">
        <f t="shared" ref="BI119" si="1288">IF(J119="",FALSE,IF(L119=0,FALSE,IF(AND(AU119,NOT(BF119),OR(M119="",N119="",O119="")),TRUE,FALSE)))</f>
        <v>0</v>
      </c>
      <c r="BJ119" s="240" t="b">
        <f t="shared" si="748"/>
        <v>0</v>
      </c>
      <c r="BK119" s="231" t="b">
        <f>IF(NOT(BJ119),FALSE,IF(AND(競技会設定!$C$5&lt;=BJ119,BJ119&lt;=競技会設定!$C$6),FALSE,TRUE))</f>
        <v>0</v>
      </c>
      <c r="BL119" s="218" t="b">
        <f>IF(J119="",FALSE,IF(L119=0,FALSE,IF(AND(AU119,NOT(BF119),NOT(BI119),P119=""),TRUE,FALSE)))</f>
        <v>0</v>
      </c>
      <c r="BO119" s="274">
        <f t="shared" ref="BO119" si="1289">IF(AND(AU119,SUM(COUNTIF(AV119:BC119,TRUE),COUNTIF(BF119:BL122,TRUE),COUNTIF(BD119:BD122,TRUE))=0,NOT($BE$7)),1,0)</f>
        <v>0</v>
      </c>
    </row>
    <row r="120" spans="1:67" ht="17.399999999999999" customHeight="1">
      <c r="A120" s="418"/>
      <c r="B120" s="402"/>
      <c r="C120" s="404"/>
      <c r="D120" s="221"/>
      <c r="E120" s="397"/>
      <c r="F120" s="397"/>
      <c r="G120" s="221" t="str">
        <f>IF(C119="","",(VLOOKUP(D119,男子登録!$A$2:$N$2001,13,0)))</f>
        <v/>
      </c>
      <c r="H120" s="221"/>
      <c r="I120" s="221" t="s">
        <v>7061</v>
      </c>
      <c r="J120" s="149"/>
      <c r="K120" s="221" t="s">
        <v>7062</v>
      </c>
      <c r="L120" s="149"/>
      <c r="M120" s="255"/>
      <c r="N120" s="256"/>
      <c r="O120" s="257"/>
      <c r="P120" s="149"/>
      <c r="Q120" s="399"/>
      <c r="R120" s="392"/>
      <c r="S120" s="136"/>
      <c r="T120" s="137"/>
      <c r="U120" s="137"/>
      <c r="V120" s="137"/>
      <c r="W120" s="137"/>
      <c r="X120" s="137"/>
      <c r="Y120" s="218">
        <f t="shared" ref="Y120" si="1290">IF(OR(E119="",J120=""),0,J120&amp;E119)</f>
        <v>0</v>
      </c>
      <c r="Z120" s="218">
        <f>IF(Y120=0,0,COUNTIF($Y$7:Y120,Y120))</f>
        <v>0</v>
      </c>
      <c r="AD120" s="218">
        <f>IFERROR(VLOOKUP(J120,競技会設定!$P$2:$S$22,2,0),0)</f>
        <v>0</v>
      </c>
      <c r="AE120" s="218">
        <f t="shared" ref="AE120" si="1291">IF(E119="",0,IF(AD120=0,0,IF(AD120&lt;3,E119&amp;$AE$6,0)))</f>
        <v>0</v>
      </c>
      <c r="AF120" s="218">
        <f>IF(AE120=0,0,E119&amp;COUNTIF($AE$7:AE120,AE120))</f>
        <v>0</v>
      </c>
      <c r="AG120" s="218">
        <f t="shared" ref="AG120" si="1292">IF(E119="",0,IF(AD120=0,0,IF(AD120&gt;=3,E119&amp;$AG$6,0)))</f>
        <v>0</v>
      </c>
      <c r="AH120" s="218">
        <f>IF(AG120=0,0,E119&amp;COUNTIF($AG$7:AG120,AG120))</f>
        <v>0</v>
      </c>
      <c r="AI120" s="218">
        <f t="shared" ref="AI120:AI168" si="1293">IF(COUNTIF(Y120,"*十種*")&gt;0,0,IF($AD120=AI$6,$E119,0))</f>
        <v>0</v>
      </c>
      <c r="AJ120" s="218" t="b">
        <f>IF(AI120=0,FALSE,IF(COUNTIF(AI$7:AI120,AI120)&gt;1,TRUE,FALSE))</f>
        <v>0</v>
      </c>
      <c r="AK120" s="218">
        <f t="shared" ref="AK120" si="1294">IF($AD120=AK$6,$E119,0)</f>
        <v>0</v>
      </c>
      <c r="AL120" s="218" t="b">
        <f>IF(AK120=0,FALSE,IF(COUNTIF(AK$7:AK120,AK120)&gt;1,TRUE,FALSE))</f>
        <v>0</v>
      </c>
      <c r="AM120" s="218">
        <f t="shared" ref="AM120" si="1295">IF($AD120=AM$6,$E119,0)</f>
        <v>0</v>
      </c>
      <c r="AN120" s="218" t="b">
        <f>IF(AM120=0,FALSE,IF(COUNTIF(AM$7:AM120,AM120)&gt;1,TRUE,FALSE))</f>
        <v>0</v>
      </c>
      <c r="AO120" s="218">
        <f t="shared" ref="AO120" si="1296">IF($AD120=AO$6,$E119,0)</f>
        <v>0</v>
      </c>
      <c r="AP120" s="218" t="b">
        <f>IF(AO120=0,FALSE,IF(COUNTIF(AO$7:AO120,AO120)&gt;1,TRUE,FALSE))</f>
        <v>0</v>
      </c>
      <c r="AQ120" s="218">
        <f t="shared" ref="AQ120" si="1297">IF(COUNTIF(Y120,"*十種競技*")&gt;0,E119,0)</f>
        <v>0</v>
      </c>
      <c r="AR120" s="218" t="b">
        <f>IF(AQ120=0,FALSE,IF(OR(COUNTIF($AI$7:$AI$406,AQ120)+COUNTIF($AQ120:$AQ$406,AQ120)&gt;1,COUNTIF($AK$7:$AK$406,AQ120)+COUNTIF($AQ$7:$AQ$406,AQ120)&gt;1),TRUE,FALSE))</f>
        <v>0</v>
      </c>
      <c r="AT120" s="218" t="b">
        <f t="shared" si="744"/>
        <v>0</v>
      </c>
      <c r="AU120" s="274"/>
      <c r="AX120" s="274"/>
      <c r="BD120" s="218" t="b">
        <f t="shared" si="732"/>
        <v>0</v>
      </c>
      <c r="BF120" s="231" t="b">
        <f t="shared" ref="BF120" si="1298">IF(J120="",FALSE,IF(OR(AND(AU119,L120=""),AND(AU119,L120="",OR(M120&lt;&gt;"",N120&lt;&gt;"",O120&lt;&gt;"",P120&lt;&gt;""))),TRUE,FALSE))</f>
        <v>0</v>
      </c>
      <c r="BG120" s="218" t="b">
        <f t="shared" si="734"/>
        <v>0</v>
      </c>
      <c r="BH120" s="218" t="b">
        <f t="shared" si="746"/>
        <v>0</v>
      </c>
      <c r="BI120" s="231" t="b">
        <f t="shared" ref="BI120" si="1299">IF(J120="",FALSE,IF(L120=0,FALSE,IF(AND(AU119,NOT(BF120),OR(M120="",N120="",O120="")),TRUE,FALSE)))</f>
        <v>0</v>
      </c>
      <c r="BJ120" s="240" t="b">
        <f t="shared" si="748"/>
        <v>0</v>
      </c>
      <c r="BK120" s="231" t="b">
        <f>IF(NOT(BJ120),FALSE,IF(AND(競技会設定!$C$5&lt;=BJ120,BJ120&lt;=競技会設定!$C$6),FALSE,TRUE))</f>
        <v>0</v>
      </c>
      <c r="BL120" s="218" t="b">
        <f>IF(J120="",FALSE,IF(L120=0,FALSE,IF(AND(AU119,NOT(BF120),NOT(BI120),P120=""),TRUE,FALSE)))</f>
        <v>0</v>
      </c>
      <c r="BO120" s="274"/>
    </row>
    <row r="121" spans="1:67" ht="17.399999999999999" customHeight="1">
      <c r="A121" s="418"/>
      <c r="B121" s="402"/>
      <c r="C121" s="404"/>
      <c r="D121" s="221"/>
      <c r="E121" s="394" t="str">
        <f>IF(C119="","",VLOOKUP(D119,男子登録!$A$2:$O$2001,14,0)&amp;" ("&amp;VLOOKUP(D119,男子登録!$A$2:$O$2001,15,0)&amp;")")</f>
        <v/>
      </c>
      <c r="F121" s="394"/>
      <c r="G121" s="222" t="str">
        <f>IF(C119="","",(VLOOKUP(D119,男子登録!$A$2:$N$2001,9,0)))</f>
        <v/>
      </c>
      <c r="H121" s="222"/>
      <c r="I121" s="222" t="s">
        <v>7063</v>
      </c>
      <c r="J121" s="150"/>
      <c r="K121" s="222" t="s">
        <v>7064</v>
      </c>
      <c r="L121" s="150"/>
      <c r="M121" s="255"/>
      <c r="N121" s="256"/>
      <c r="O121" s="257"/>
      <c r="P121" s="149"/>
      <c r="Q121" s="399"/>
      <c r="R121" s="392"/>
      <c r="S121" s="136"/>
      <c r="T121" s="137"/>
      <c r="U121" s="137"/>
      <c r="V121" s="137"/>
      <c r="W121" s="137"/>
      <c r="X121" s="137"/>
      <c r="Y121" s="218">
        <f t="shared" ref="Y121" si="1300">IF(OR(E119="",J121=""),0,J121&amp;E119)</f>
        <v>0</v>
      </c>
      <c r="Z121" s="218">
        <f>IF(Y121=0,0,COUNTIF($Y$7:Y121,Y121))</f>
        <v>0</v>
      </c>
      <c r="AD121" s="218">
        <f>IFERROR(VLOOKUP(J121,競技会設定!$P$2:$S$22,2,0),0)</f>
        <v>0</v>
      </c>
      <c r="AE121" s="218">
        <f t="shared" ref="AE121" si="1301">IF(E119="",0,IF(AD121=0,0,IF(AD121&lt;3,E119&amp;$AE$6,0)))</f>
        <v>0</v>
      </c>
      <c r="AF121" s="218">
        <f>IF(AE121=0,0,E119&amp;COUNTIF($AE$7:AE121,AE121))</f>
        <v>0</v>
      </c>
      <c r="AG121" s="218">
        <f t="shared" ref="AG121" si="1302">IF(E119="",0,IF(AD121=0,0,IF(AD121&gt;=3,E119&amp;$AG$6,0)))</f>
        <v>0</v>
      </c>
      <c r="AH121" s="218">
        <f>IF(AG121=0,0,E119&amp;COUNTIF($AG$7:AG121,AG121))</f>
        <v>0</v>
      </c>
      <c r="AI121" s="218">
        <f t="shared" ref="AI121:AI169" si="1303">IF(COUNTIF(Y121,"*十種*")&gt;0,0,IF($AD121=AI$6,$E119,0))</f>
        <v>0</v>
      </c>
      <c r="AJ121" s="218" t="b">
        <f>IF(AI121=0,FALSE,IF(COUNTIF(AI$7:AI121,AI121)&gt;1,TRUE,FALSE))</f>
        <v>0</v>
      </c>
      <c r="AK121" s="218">
        <f t="shared" ref="AK121" si="1304">IF($AD121=AK$6,$E119,0)</f>
        <v>0</v>
      </c>
      <c r="AL121" s="218" t="b">
        <f>IF(AK121=0,FALSE,IF(COUNTIF(AK$7:AK121,AK121)&gt;1,TRUE,FALSE))</f>
        <v>0</v>
      </c>
      <c r="AM121" s="218">
        <f t="shared" ref="AM121" si="1305">IF($AD121=AM$6,$E119,0)</f>
        <v>0</v>
      </c>
      <c r="AN121" s="218" t="b">
        <f>IF(AM121=0,FALSE,IF(COUNTIF(AM$7:AM121,AM121)&gt;1,TRUE,FALSE))</f>
        <v>0</v>
      </c>
      <c r="AO121" s="218">
        <f t="shared" ref="AO121" si="1306">IF($AD121=AO$6,$E119,0)</f>
        <v>0</v>
      </c>
      <c r="AP121" s="218" t="b">
        <f>IF(AO121=0,FALSE,IF(COUNTIF(AO$7:AO121,AO121)&gt;1,TRUE,FALSE))</f>
        <v>0</v>
      </c>
      <c r="AQ121" s="218">
        <f t="shared" ref="AQ121" si="1307">IF(COUNTIF(Y121,"*十種競技*")&gt;0,E119,0)</f>
        <v>0</v>
      </c>
      <c r="AR121" s="218" t="b">
        <f>IF(AQ121=0,FALSE,IF(OR(COUNTIF($AI$7:$AI$406,AQ121)+COUNTIF($AQ121:$AQ$406,AQ121)&gt;1,COUNTIF($AK$7:$AK$406,AQ121)+COUNTIF($AQ$7:$AQ$406,AQ121)&gt;1),TRUE,FALSE))</f>
        <v>0</v>
      </c>
      <c r="AT121" s="218" t="b">
        <f t="shared" si="744"/>
        <v>0</v>
      </c>
      <c r="AU121" s="274"/>
      <c r="AX121" s="274"/>
      <c r="BD121" s="218" t="b">
        <f t="shared" si="732"/>
        <v>0</v>
      </c>
      <c r="BF121" s="231" t="b">
        <f t="shared" ref="BF121" si="1308">IF(J121="",FALSE,IF(OR(AND(AU119,L121=""),AND(AU119,L121="",OR(M121&lt;&gt;"",N121&lt;&gt;"",O121&lt;&gt;"",P121&lt;&gt;""))),TRUE,FALSE))</f>
        <v>0</v>
      </c>
      <c r="BG121" s="218" t="b">
        <f t="shared" si="734"/>
        <v>0</v>
      </c>
      <c r="BH121" s="218" t="b">
        <f t="shared" si="746"/>
        <v>0</v>
      </c>
      <c r="BI121" s="231" t="b">
        <f t="shared" ref="BI121" si="1309">IF(J121="",FALSE,IF(L121=0,FALSE,IF(AND(AU119,NOT(BF121),OR(M121="",N121="",O121="")),TRUE,FALSE)))</f>
        <v>0</v>
      </c>
      <c r="BJ121" s="240" t="b">
        <f t="shared" si="748"/>
        <v>0</v>
      </c>
      <c r="BK121" s="231" t="b">
        <f>IF(NOT(BJ121),FALSE,IF(AND(競技会設定!$C$5&lt;=BJ121,BJ121&lt;=競技会設定!$C$6),FALSE,TRUE))</f>
        <v>0</v>
      </c>
      <c r="BL121" s="218" t="b">
        <f>IF(J121="",FALSE,IF(L121=0,FALSE,IF(AND(AU119,NOT(BF121),NOT(BI121),P121=""),TRUE,FALSE)))</f>
        <v>0</v>
      </c>
      <c r="BO121" s="274"/>
    </row>
    <row r="122" spans="1:67" ht="18" customHeight="1" thickBot="1">
      <c r="A122" s="419"/>
      <c r="B122" s="395" t="s">
        <v>7051</v>
      </c>
      <c r="C122" s="395"/>
      <c r="D122" s="221"/>
      <c r="E122" s="372"/>
      <c r="F122" s="372"/>
      <c r="G122" s="372"/>
      <c r="H122" s="214"/>
      <c r="I122" s="214" t="s">
        <v>7065</v>
      </c>
      <c r="J122" s="219"/>
      <c r="K122" s="214" t="s">
        <v>7066</v>
      </c>
      <c r="L122" s="219"/>
      <c r="M122" s="258"/>
      <c r="N122" s="259"/>
      <c r="O122" s="260"/>
      <c r="P122" s="219"/>
      <c r="Q122" s="400"/>
      <c r="R122" s="393"/>
      <c r="S122" s="136"/>
      <c r="T122" s="137"/>
      <c r="U122" s="137"/>
      <c r="V122" s="137"/>
      <c r="W122" s="137"/>
      <c r="X122" s="137"/>
      <c r="Y122" s="218">
        <f t="shared" ref="Y122" si="1310">IF(OR(E119="",J122=""),0,J122&amp;E119)</f>
        <v>0</v>
      </c>
      <c r="Z122" s="218">
        <f>IF(Y122=0,0,COUNTIF($Y$7:Y122,Y122))</f>
        <v>0</v>
      </c>
      <c r="AD122" s="218">
        <f>IFERROR(VLOOKUP(J122,競技会設定!$P$2:$S$22,2,0),0)</f>
        <v>0</v>
      </c>
      <c r="AE122" s="218">
        <f t="shared" ref="AE122" si="1311">IF(E119="",0,IF(AD122=0,0,IF(AD122&lt;3,E119&amp;$AE$6,0)))</f>
        <v>0</v>
      </c>
      <c r="AF122" s="218">
        <f>IF(AE122=0,0,E119&amp;COUNTIF($AE$7:AE122,AE122))</f>
        <v>0</v>
      </c>
      <c r="AG122" s="218">
        <f t="shared" ref="AG122" si="1312">IF(E119="",0,IF(AD122=0,0,IF(AD122&gt;=3,E119&amp;$AG$6,0)))</f>
        <v>0</v>
      </c>
      <c r="AH122" s="218">
        <f>IF(AG122=0,0,E119&amp;COUNTIF($AG$7:AG122,AG122))</f>
        <v>0</v>
      </c>
      <c r="AI122" s="218">
        <f t="shared" ref="AI122:AI170" si="1313">IF(COUNTIF(Y122,"*十種*")&gt;0,0,IF($AD122=AI$6,$E119,0))</f>
        <v>0</v>
      </c>
      <c r="AJ122" s="218" t="b">
        <f>IF(AI122=0,FALSE,IF(COUNTIF(AI$7:AI122,AI122)&gt;1,TRUE,FALSE))</f>
        <v>0</v>
      </c>
      <c r="AK122" s="218">
        <f t="shared" ref="AK122" si="1314">IF($AD122=AK$6,$E119,0)</f>
        <v>0</v>
      </c>
      <c r="AL122" s="218" t="b">
        <f>IF(AK122=0,FALSE,IF(COUNTIF(AK$7:AK122,AK122)&gt;1,TRUE,FALSE))</f>
        <v>0</v>
      </c>
      <c r="AM122" s="218">
        <f t="shared" ref="AM122" si="1315">IF($AD122=AM$6,$E119,0)</f>
        <v>0</v>
      </c>
      <c r="AN122" s="218" t="b">
        <f>IF(AM122=0,FALSE,IF(COUNTIF(AM$7:AM122,AM122)&gt;1,TRUE,FALSE))</f>
        <v>0</v>
      </c>
      <c r="AO122" s="218">
        <f t="shared" ref="AO122" si="1316">IF($AD122=AO$6,$E119,0)</f>
        <v>0</v>
      </c>
      <c r="AP122" s="218" t="b">
        <f>IF(AO122=0,FALSE,IF(COUNTIF(AO$7:AO122,AO122)&gt;1,TRUE,FALSE))</f>
        <v>0</v>
      </c>
      <c r="AQ122" s="218">
        <f t="shared" ref="AQ122" si="1317">IF(COUNTIF(Y122,"*十種競技*")&gt;0,E119,0)</f>
        <v>0</v>
      </c>
      <c r="AR122" s="218" t="b">
        <f>IF(AQ122=0,FALSE,IF(OR(COUNTIF($AI$7:$AI$406,AQ122)+COUNTIF($AQ122:$AQ$406,AQ122)&gt;1,COUNTIF($AK$7:$AK$406,AQ122)+COUNTIF($AQ$7:$AQ$406,AQ122)&gt;1),TRUE,FALSE))</f>
        <v>0</v>
      </c>
      <c r="AT122" s="218" t="b">
        <f t="shared" si="744"/>
        <v>0</v>
      </c>
      <c r="AU122" s="274"/>
      <c r="AX122" s="274"/>
      <c r="BD122" s="218" t="b">
        <f t="shared" si="732"/>
        <v>0</v>
      </c>
      <c r="BF122" s="231" t="b">
        <f t="shared" ref="BF122" si="1318">IF(J122="",FALSE,IF(OR(AND(AU119,L122=""),AND(AU119,L122="",OR(M122&lt;&gt;"",N122&lt;&gt;"",O122&lt;&gt;"",P122&lt;&gt;""))),TRUE,FALSE))</f>
        <v>0</v>
      </c>
      <c r="BG122" s="218" t="b">
        <f t="shared" si="734"/>
        <v>0</v>
      </c>
      <c r="BH122" s="218" t="b">
        <f t="shared" si="746"/>
        <v>0</v>
      </c>
      <c r="BI122" s="231" t="b">
        <f t="shared" ref="BI122" si="1319">IF(J122="",FALSE,IF(L122=0,FALSE,IF(AND(AU119,NOT(BF122),OR(M122="",N122="",O122="")),TRUE,FALSE)))</f>
        <v>0</v>
      </c>
      <c r="BJ122" s="240" t="b">
        <f t="shared" si="748"/>
        <v>0</v>
      </c>
      <c r="BK122" s="231" t="b">
        <f>IF(NOT(BJ122),FALSE,IF(AND(競技会設定!$C$5&lt;=BJ122,BJ122&lt;=競技会設定!$C$6),FALSE,TRUE))</f>
        <v>0</v>
      </c>
      <c r="BL122" s="218" t="b">
        <f>IF(J122="",FALSE,IF(L122=0,FALSE,IF(AND(AU119,NOT(BF122),NOT(BI122),P122=""),TRUE,FALSE)))</f>
        <v>0</v>
      </c>
      <c r="BO122" s="274"/>
    </row>
    <row r="123" spans="1:67" ht="18" customHeight="1" thickTop="1">
      <c r="A123" s="420">
        <v>30</v>
      </c>
      <c r="B123" s="373" t="s">
        <v>7050</v>
      </c>
      <c r="C123" s="375"/>
      <c r="D123" s="138" t="str">
        <f t="shared" ref="D123" si="1320">IF(C123="","",501&amp;TEXT(C123,"000000"))</f>
        <v/>
      </c>
      <c r="E123" s="377" t="str">
        <f>IF(D123="","",(VLOOKUP(D123,男子登録!$A$2:$N$2001,3,0)))</f>
        <v/>
      </c>
      <c r="F123" s="377" t="str">
        <f>IF(D123="","",(VLOOKUP(D123,男子登録!$A$2:$N$2001,4,0)))</f>
        <v/>
      </c>
      <c r="G123" s="138" t="str">
        <f>IF(C123="","",(VLOOKUP(D123,男子登録!$A$2:$N$2001,8,0)))</f>
        <v/>
      </c>
      <c r="H123" s="138">
        <f>IFERROR(VLOOKUP(D123,男子登録!$A$2:$N$2001,11,0),基本情報!$E$5)</f>
        <v>0</v>
      </c>
      <c r="I123" s="138" t="s">
        <v>7059</v>
      </c>
      <c r="J123" s="151"/>
      <c r="K123" s="138" t="s">
        <v>7060</v>
      </c>
      <c r="L123" s="151"/>
      <c r="M123" s="261"/>
      <c r="N123" s="262"/>
      <c r="O123" s="263"/>
      <c r="P123" s="151"/>
      <c r="Q123" s="381"/>
      <c r="R123" s="384"/>
      <c r="S123" s="136">
        <f t="shared" ref="S123" si="1321">IF(OR(E123="",Q123=""),0,E123)</f>
        <v>0</v>
      </c>
      <c r="T123" s="137">
        <f>IF(S123=0,0,COUNTIF($S$7:S123,"*"))</f>
        <v>0</v>
      </c>
      <c r="U123" s="137">
        <f>IF(S123=0,0,COUNTIF($S$7:S123,S123))</f>
        <v>0</v>
      </c>
      <c r="V123" s="137">
        <f t="shared" si="949"/>
        <v>0</v>
      </c>
      <c r="W123" s="137">
        <f>IF(V123=0,0,COUNTIF($V$7:V123,"*"))</f>
        <v>0</v>
      </c>
      <c r="X123" s="137">
        <f>IF(V123=0,0,COUNTIF($V$7:V123,V123))</f>
        <v>0</v>
      </c>
      <c r="Y123" s="218">
        <f t="shared" ref="Y123" si="1322">IF(OR(E123="",J123=""),0,J123&amp;E123)</f>
        <v>0</v>
      </c>
      <c r="Z123" s="218">
        <f>IF(Y123=0,0,COUNTIF($Y$7:Y123,Y123))</f>
        <v>0</v>
      </c>
      <c r="AA123" s="218" t="b">
        <f t="shared" ref="AA123" si="1323">IF(COUNTIF(J123:J126,"十種競技")&gt;0,TRUE,FALSE)</f>
        <v>0</v>
      </c>
      <c r="AB123" s="218">
        <f>IF(E123="",0,IF(AA123,COUNTIF($AA$7:AA123,TRUE),0))</f>
        <v>0</v>
      </c>
      <c r="AC123" s="218">
        <f>IFERROR(VLOOKUP("十種競技",J123:L126,3,0),0)</f>
        <v>0</v>
      </c>
      <c r="AD123" s="218">
        <f>IFERROR(VLOOKUP(J123,競技会設定!$P$2:$S$22,2,0),0)</f>
        <v>0</v>
      </c>
      <c r="AE123" s="218">
        <f t="shared" ref="AE123" si="1324">IF(E123="",0,IF(AD123=0,0,IF(AD123&lt;3,E123&amp;$AE$6,0)))</f>
        <v>0</v>
      </c>
      <c r="AF123" s="218">
        <f>IF(AE123=0,0,E123&amp;COUNTIF($AE$7:AE123,AE123))</f>
        <v>0</v>
      </c>
      <c r="AG123" s="218">
        <f t="shared" ref="AG123" si="1325">IF(E123="",0,IF(AD123=0,0,IF(AD123&gt;=3,E123&amp;$AG$6,0)))</f>
        <v>0</v>
      </c>
      <c r="AH123" s="218">
        <f>IF(AG123=0,0,E123&amp;COUNTIF($AG$7:AG123,AG123))</f>
        <v>0</v>
      </c>
      <c r="AI123" s="218">
        <f t="shared" ref="AI123:AI171" si="1326">IF(COUNTIF(Y123,"*十種*")&gt;0,0,IF($AD123=AI$6,$E123,0))</f>
        <v>0</v>
      </c>
      <c r="AJ123" s="218" t="b">
        <f>IF(AI123=0,FALSE,IF(COUNTIF(AI$7:AI123,AI123)&gt;1,TRUE,FALSE))</f>
        <v>0</v>
      </c>
      <c r="AK123" s="218">
        <f t="shared" ref="AK123" si="1327">IF($AD123=AK$6,$E123,0)</f>
        <v>0</v>
      </c>
      <c r="AL123" s="218" t="b">
        <f>IF(AK123=0,FALSE,IF(COUNTIF(AK$7:AK123,AK123)&gt;1,TRUE,FALSE))</f>
        <v>0</v>
      </c>
      <c r="AM123" s="218">
        <f t="shared" ref="AM123" si="1328">IF($AD123=AM$6,$E123,0)</f>
        <v>0</v>
      </c>
      <c r="AN123" s="218" t="b">
        <f>IF(AM123=0,FALSE,IF(COUNTIF(AM$7:AM123,AM123)&gt;1,TRUE,FALSE))</f>
        <v>0</v>
      </c>
      <c r="AO123" s="218">
        <f t="shared" ref="AO123" si="1329">IF($AD123=AO$6,$E123,0)</f>
        <v>0</v>
      </c>
      <c r="AP123" s="218" t="b">
        <f>IF(AO123=0,FALSE,IF(COUNTIF(AO$7:AO123,AO123)&gt;1,TRUE,FALSE))</f>
        <v>0</v>
      </c>
      <c r="AQ123" s="218">
        <f t="shared" ref="AQ123" si="1330">IF(COUNTIF(Y123,"*十種競技*")&gt;0,E123,0)</f>
        <v>0</v>
      </c>
      <c r="AR123" s="218" t="b">
        <f>IF(AQ123=0,FALSE,IF(OR(COUNTIF($AI$7:$AI$406,AQ123)+COUNTIF($AQ123:$AQ$406,AQ123)&gt;1,COUNTIF($AK$7:$AK$406,AQ123)+COUNTIF($AQ$7:$AQ$406,AQ123)&gt;1),TRUE,FALSE))</f>
        <v>0</v>
      </c>
      <c r="AS123" s="218" t="b">
        <f t="shared" ref="AS123" si="1331">IF(AND(C123="",E123&lt;&gt;"",F123&lt;&gt;"",E125&lt;&gt;"",G123&lt;&gt;"",G124&lt;&gt;"",G125&lt;&gt;""),TRUE,FALSE)</f>
        <v>0</v>
      </c>
      <c r="AT123" s="218" t="b">
        <f t="shared" si="744"/>
        <v>0</v>
      </c>
      <c r="AU123" s="274" t="b">
        <f t="shared" ref="AU123" si="1332">IFERROR(IF(D123&amp;E123&amp;F123&amp;E125&amp;G123&amp;G124&amp;G125&amp;J123&amp;J124&amp;J125&amp;J126&amp;L123&amp;L124&amp;L125&amp;L126&amp;M123&amp;M124&amp;M125&amp;M126&amp;N123&amp;N124&amp;N125&amp;N126&amp;O123&amp;O124&amp;O125&amp;O126&amp;P123&amp;P124&amp;P125&amp;P126&amp;Q123&amp;R123="",FALSE,TRUE),FALSE)</f>
        <v>0</v>
      </c>
      <c r="AV123" s="218" t="b">
        <f t="shared" ref="AV123" si="1333">IF(AS123,FALSE,IF(C123="",AU123,FALSE))</f>
        <v>0</v>
      </c>
      <c r="AW123" s="218" t="b">
        <f>IF(C123="",FALSE,IF(C123&gt;2000,TRUE,FALSE))</f>
        <v>0</v>
      </c>
      <c r="AX123" s="274" t="b">
        <f>IF(H123=0,FALSE,IF(EXACT(基本情報!$E$5,H123)=TRUE,FALSE,TRUE))</f>
        <v>0</v>
      </c>
      <c r="AY123" s="218" t="b">
        <f>IF(C123="",FALSE,IF(ISNA(E123)=TRUE,TRUE,FALSE))</f>
        <v>0</v>
      </c>
      <c r="AZ123" s="274" t="b">
        <f>IFERROR(IF(E123="",FALSE,IF(COUNTIF($E$7:E123,E123)&gt;1,TRUE,FALSE)),FALSE)</f>
        <v>0</v>
      </c>
      <c r="BA123" s="218" t="b">
        <f t="shared" ref="BA123" si="1334">IF(OR(J123&amp;J124&amp;J125&amp;J126&amp;Q123&amp;R123="",AT123,AT124,AT125,AT126),AU123,FALSE)</f>
        <v>0</v>
      </c>
      <c r="BB123" s="218" t="b">
        <f>IF(U123&gt;1,TRUE,FALSE)</f>
        <v>0</v>
      </c>
      <c r="BC123" s="218" t="b">
        <f>IF(X123&gt;1,TRUE,FALSE)</f>
        <v>0</v>
      </c>
      <c r="BD123" s="218" t="b">
        <f t="shared" si="732"/>
        <v>0</v>
      </c>
      <c r="BF123" s="231" t="b">
        <f t="shared" ref="BF123" si="1335">IF(J123="",FALSE,IF(OR(AND(AU123,L123=""),AND(AU123,L123="",OR(M123&lt;&gt;"",N123&lt;&gt;"",O123&lt;&gt;"",P123&lt;&gt;""))),TRUE,FALSE))</f>
        <v>0</v>
      </c>
      <c r="BG123" s="218" t="b">
        <f t="shared" si="734"/>
        <v>0</v>
      </c>
      <c r="BH123" s="218" t="b">
        <f t="shared" si="746"/>
        <v>0</v>
      </c>
      <c r="BI123" s="231" t="b">
        <f t="shared" ref="BI123" si="1336">IF(J123="",FALSE,IF(L123=0,FALSE,IF(AND(AU123,NOT(BF123),OR(M123="",N123="",O123="")),TRUE,FALSE)))</f>
        <v>0</v>
      </c>
      <c r="BJ123" s="240" t="b">
        <f t="shared" si="748"/>
        <v>0</v>
      </c>
      <c r="BK123" s="231" t="b">
        <f>IF(NOT(BJ123),FALSE,IF(AND(競技会設定!$C$5&lt;=BJ123,BJ123&lt;=競技会設定!$C$6),FALSE,TRUE))</f>
        <v>0</v>
      </c>
      <c r="BL123" s="218" t="b">
        <f>IF(J123="",FALSE,IF(L123=0,FALSE,IF(AND(AU123,NOT(BF123),NOT(BI123),P123=""),TRUE,FALSE)))</f>
        <v>0</v>
      </c>
      <c r="BO123" s="274">
        <f t="shared" ref="BO123" si="1337">IF(AND(AU123,SUM(COUNTIF(AV123:BC123,TRUE),COUNTIF(BF123:BL126,TRUE),COUNTIF(BD123:BD126,TRUE))=0,NOT($BE$7)),1,0)</f>
        <v>0</v>
      </c>
    </row>
    <row r="124" spans="1:67" ht="17.399999999999999" customHeight="1">
      <c r="A124" s="421"/>
      <c r="B124" s="374"/>
      <c r="C124" s="376"/>
      <c r="D124" s="139"/>
      <c r="E124" s="378"/>
      <c r="F124" s="378"/>
      <c r="G124" s="139" t="str">
        <f>IF(C123="","",(VLOOKUP(D123,男子登録!$A$2:$N$2001,13,0)))</f>
        <v/>
      </c>
      <c r="H124" s="139"/>
      <c r="I124" s="139" t="s">
        <v>7061</v>
      </c>
      <c r="J124" s="152"/>
      <c r="K124" s="139" t="s">
        <v>7062</v>
      </c>
      <c r="L124" s="152"/>
      <c r="M124" s="264"/>
      <c r="N124" s="265"/>
      <c r="O124" s="266"/>
      <c r="P124" s="152"/>
      <c r="Q124" s="382"/>
      <c r="R124" s="385"/>
      <c r="S124" s="136"/>
      <c r="T124" s="137"/>
      <c r="U124" s="137"/>
      <c r="V124" s="137"/>
      <c r="W124" s="137"/>
      <c r="X124" s="137"/>
      <c r="Y124" s="218">
        <f t="shared" ref="Y124" si="1338">IF(OR(E123="",J124=""),0,J124&amp;E123)</f>
        <v>0</v>
      </c>
      <c r="Z124" s="218">
        <f>IF(Y124=0,0,COUNTIF($Y$7:Y124,Y124))</f>
        <v>0</v>
      </c>
      <c r="AD124" s="218">
        <f>IFERROR(VLOOKUP(J124,競技会設定!$P$2:$S$22,2,0),0)</f>
        <v>0</v>
      </c>
      <c r="AE124" s="218">
        <f t="shared" ref="AE124" si="1339">IF(E123="",0,IF(AD124=0,0,IF(AD124&lt;3,E123&amp;$AE$6,0)))</f>
        <v>0</v>
      </c>
      <c r="AF124" s="218">
        <f>IF(AE124=0,0,E123&amp;COUNTIF($AE$7:AE124,AE124))</f>
        <v>0</v>
      </c>
      <c r="AG124" s="218">
        <f t="shared" ref="AG124" si="1340">IF(E123="",0,IF(AD124=0,0,IF(AD124&gt;=3,E123&amp;$AG$6,0)))</f>
        <v>0</v>
      </c>
      <c r="AH124" s="218">
        <f>IF(AG124=0,0,E123&amp;COUNTIF($AG$7:AG124,AG124))</f>
        <v>0</v>
      </c>
      <c r="AI124" s="218">
        <f t="shared" ref="AI124:AI172" si="1341">IF(COUNTIF(Y124,"*十種*")&gt;0,0,IF($AD124=AI$6,$E123,0))</f>
        <v>0</v>
      </c>
      <c r="AJ124" s="218" t="b">
        <f>IF(AI124=0,FALSE,IF(COUNTIF(AI$7:AI124,AI124)&gt;1,TRUE,FALSE))</f>
        <v>0</v>
      </c>
      <c r="AK124" s="218">
        <f t="shared" ref="AK124" si="1342">IF($AD124=AK$6,$E123,0)</f>
        <v>0</v>
      </c>
      <c r="AL124" s="218" t="b">
        <f>IF(AK124=0,FALSE,IF(COUNTIF(AK$7:AK124,AK124)&gt;1,TRUE,FALSE))</f>
        <v>0</v>
      </c>
      <c r="AM124" s="218">
        <f t="shared" ref="AM124" si="1343">IF($AD124=AM$6,$E123,0)</f>
        <v>0</v>
      </c>
      <c r="AN124" s="218" t="b">
        <f>IF(AM124=0,FALSE,IF(COUNTIF(AM$7:AM124,AM124)&gt;1,TRUE,FALSE))</f>
        <v>0</v>
      </c>
      <c r="AO124" s="218">
        <f t="shared" ref="AO124" si="1344">IF($AD124=AO$6,$E123,0)</f>
        <v>0</v>
      </c>
      <c r="AP124" s="218" t="b">
        <f>IF(AO124=0,FALSE,IF(COUNTIF(AO$7:AO124,AO124)&gt;1,TRUE,FALSE))</f>
        <v>0</v>
      </c>
      <c r="AQ124" s="218">
        <f t="shared" ref="AQ124" si="1345">IF(COUNTIF(Y124,"*十種競技*")&gt;0,E123,0)</f>
        <v>0</v>
      </c>
      <c r="AR124" s="218" t="b">
        <f>IF(AQ124=0,FALSE,IF(OR(COUNTIF($AI$7:$AI$406,AQ124)+COUNTIF($AQ124:$AQ$406,AQ124)&gt;1,COUNTIF($AK$7:$AK$406,AQ124)+COUNTIF($AQ$7:$AQ$406,AQ124)&gt;1),TRUE,FALSE))</f>
        <v>0</v>
      </c>
      <c r="AT124" s="218" t="b">
        <f t="shared" si="744"/>
        <v>0</v>
      </c>
      <c r="AU124" s="274"/>
      <c r="AX124" s="274"/>
      <c r="BD124" s="218" t="b">
        <f t="shared" si="732"/>
        <v>0</v>
      </c>
      <c r="BF124" s="231" t="b">
        <f t="shared" ref="BF124" si="1346">IF(J124="",FALSE,IF(OR(AND(AU123,L124=""),AND(AU123,L124="",OR(M124&lt;&gt;"",N124&lt;&gt;"",O124&lt;&gt;"",P124&lt;&gt;""))),TRUE,FALSE))</f>
        <v>0</v>
      </c>
      <c r="BG124" s="218" t="b">
        <f t="shared" si="734"/>
        <v>0</v>
      </c>
      <c r="BH124" s="218" t="b">
        <f t="shared" si="746"/>
        <v>0</v>
      </c>
      <c r="BI124" s="231" t="b">
        <f t="shared" ref="BI124" si="1347">IF(J124="",FALSE,IF(L124=0,FALSE,IF(AND(AU123,NOT(BF124),OR(M124="",N124="",O124="")),TRUE,FALSE)))</f>
        <v>0</v>
      </c>
      <c r="BJ124" s="240" t="b">
        <f t="shared" si="748"/>
        <v>0</v>
      </c>
      <c r="BK124" s="231" t="b">
        <f>IF(NOT(BJ124),FALSE,IF(AND(競技会設定!$C$5&lt;=BJ124,BJ124&lt;=競技会設定!$C$6),FALSE,TRUE))</f>
        <v>0</v>
      </c>
      <c r="BL124" s="218" t="b">
        <f>IF(J124="",FALSE,IF(L124=0,FALSE,IF(AND(AU123,NOT(BF124),NOT(BI124),P124=""),TRUE,FALSE)))</f>
        <v>0</v>
      </c>
      <c r="BO124" s="274"/>
    </row>
    <row r="125" spans="1:67" ht="17.399999999999999" customHeight="1">
      <c r="A125" s="421"/>
      <c r="B125" s="374"/>
      <c r="C125" s="376"/>
      <c r="D125" s="140"/>
      <c r="E125" s="379" t="str">
        <f>IF(C123="","",VLOOKUP(D123,男子登録!$A$2:$O$2001,14,0)&amp;" ("&amp;VLOOKUP(D123,男子登録!$A$2:$O$2001,15,0)&amp;")")</f>
        <v/>
      </c>
      <c r="F125" s="380"/>
      <c r="G125" s="140" t="str">
        <f>IF(C123="","",(VLOOKUP(D123,男子登録!$A$2:$N$2001,9,0)))</f>
        <v/>
      </c>
      <c r="H125" s="140"/>
      <c r="I125" s="140" t="s">
        <v>7063</v>
      </c>
      <c r="J125" s="153"/>
      <c r="K125" s="140" t="s">
        <v>7064</v>
      </c>
      <c r="L125" s="153"/>
      <c r="M125" s="264"/>
      <c r="N125" s="265"/>
      <c r="O125" s="266"/>
      <c r="P125" s="152"/>
      <c r="Q125" s="382"/>
      <c r="R125" s="385"/>
      <c r="S125" s="136"/>
      <c r="T125" s="137"/>
      <c r="U125" s="137"/>
      <c r="V125" s="137"/>
      <c r="W125" s="137"/>
      <c r="X125" s="137"/>
      <c r="Y125" s="218">
        <f t="shared" ref="Y125" si="1348">IF(OR(E123="",J125=""),0,J125&amp;E123)</f>
        <v>0</v>
      </c>
      <c r="Z125" s="218">
        <f>IF(Y125=0,0,COUNTIF($Y$7:Y125,Y125))</f>
        <v>0</v>
      </c>
      <c r="AD125" s="218">
        <f>IFERROR(VLOOKUP(J125,競技会設定!$P$2:$S$22,2,0),0)</f>
        <v>0</v>
      </c>
      <c r="AE125" s="218">
        <f t="shared" ref="AE125" si="1349">IF(E123="",0,IF(AD125=0,0,IF(AD125&lt;3,E123&amp;$AE$6,0)))</f>
        <v>0</v>
      </c>
      <c r="AF125" s="218">
        <f>IF(AE125=0,0,E123&amp;COUNTIF($AE$7:AE125,AE125))</f>
        <v>0</v>
      </c>
      <c r="AG125" s="218">
        <f t="shared" ref="AG125" si="1350">IF(E123="",0,IF(AD125=0,0,IF(AD125&gt;=3,E123&amp;$AG$6,0)))</f>
        <v>0</v>
      </c>
      <c r="AH125" s="218">
        <f>IF(AG125=0,0,E123&amp;COUNTIF($AG$7:AG125,AG125))</f>
        <v>0</v>
      </c>
      <c r="AI125" s="218">
        <f t="shared" ref="AI125:AI173" si="1351">IF(COUNTIF(Y125,"*十種*")&gt;0,0,IF($AD125=AI$6,$E123,0))</f>
        <v>0</v>
      </c>
      <c r="AJ125" s="218" t="b">
        <f>IF(AI125=0,FALSE,IF(COUNTIF(AI$7:AI125,AI125)&gt;1,TRUE,FALSE))</f>
        <v>0</v>
      </c>
      <c r="AK125" s="218">
        <f t="shared" ref="AK125" si="1352">IF($AD125=AK$6,$E123,0)</f>
        <v>0</v>
      </c>
      <c r="AL125" s="218" t="b">
        <f>IF(AK125=0,FALSE,IF(COUNTIF(AK$7:AK125,AK125)&gt;1,TRUE,FALSE))</f>
        <v>0</v>
      </c>
      <c r="AM125" s="218">
        <f t="shared" ref="AM125" si="1353">IF($AD125=AM$6,$E123,0)</f>
        <v>0</v>
      </c>
      <c r="AN125" s="218" t="b">
        <f>IF(AM125=0,FALSE,IF(COUNTIF(AM$7:AM125,AM125)&gt;1,TRUE,FALSE))</f>
        <v>0</v>
      </c>
      <c r="AO125" s="218">
        <f t="shared" ref="AO125" si="1354">IF($AD125=AO$6,$E123,0)</f>
        <v>0</v>
      </c>
      <c r="AP125" s="218" t="b">
        <f>IF(AO125=0,FALSE,IF(COUNTIF(AO$7:AO125,AO125)&gt;1,TRUE,FALSE))</f>
        <v>0</v>
      </c>
      <c r="AQ125" s="218">
        <f t="shared" ref="AQ125" si="1355">IF(COUNTIF(Y125,"*十種競技*")&gt;0,E123,0)</f>
        <v>0</v>
      </c>
      <c r="AR125" s="218" t="b">
        <f>IF(AQ125=0,FALSE,IF(OR(COUNTIF($AI$7:$AI$406,AQ125)+COUNTIF($AQ125:$AQ$406,AQ125)&gt;1,COUNTIF($AK$7:$AK$406,AQ125)+COUNTIF($AQ$7:$AQ$406,AQ125)&gt;1),TRUE,FALSE))</f>
        <v>0</v>
      </c>
      <c r="AT125" s="218" t="b">
        <f t="shared" si="744"/>
        <v>0</v>
      </c>
      <c r="AU125" s="274"/>
      <c r="AX125" s="274"/>
      <c r="BD125" s="218" t="b">
        <f t="shared" si="732"/>
        <v>0</v>
      </c>
      <c r="BF125" s="231" t="b">
        <f t="shared" ref="BF125" si="1356">IF(J125="",FALSE,IF(OR(AND(AU123,L125=""),AND(AU123,L125="",OR(M125&lt;&gt;"",N125&lt;&gt;"",O125&lt;&gt;"",P125&lt;&gt;""))),TRUE,FALSE))</f>
        <v>0</v>
      </c>
      <c r="BG125" s="218" t="b">
        <f t="shared" si="734"/>
        <v>0</v>
      </c>
      <c r="BH125" s="218" t="b">
        <f t="shared" si="746"/>
        <v>0</v>
      </c>
      <c r="BI125" s="231" t="b">
        <f t="shared" ref="BI125" si="1357">IF(J125="",FALSE,IF(L125=0,FALSE,IF(AND(AU123,NOT(BF125),OR(M125="",N125="",O125="")),TRUE,FALSE)))</f>
        <v>0</v>
      </c>
      <c r="BJ125" s="240" t="b">
        <f t="shared" si="748"/>
        <v>0</v>
      </c>
      <c r="BK125" s="231" t="b">
        <f>IF(NOT(BJ125),FALSE,IF(AND(競技会設定!$C$5&lt;=BJ125,BJ125&lt;=競技会設定!$C$6),FALSE,TRUE))</f>
        <v>0</v>
      </c>
      <c r="BL125" s="218" t="b">
        <f>IF(J125="",FALSE,IF(L125=0,FALSE,IF(AND(AU123,NOT(BF125),NOT(BI125),P125=""),TRUE,FALSE)))</f>
        <v>0</v>
      </c>
      <c r="BO125" s="274"/>
    </row>
    <row r="126" spans="1:67" ht="18" customHeight="1" thickBot="1">
      <c r="A126" s="422"/>
      <c r="B126" s="387" t="s">
        <v>7051</v>
      </c>
      <c r="C126" s="387"/>
      <c r="D126" s="213"/>
      <c r="E126" s="388"/>
      <c r="F126" s="389"/>
      <c r="G126" s="390"/>
      <c r="H126" s="141"/>
      <c r="I126" s="213" t="s">
        <v>7065</v>
      </c>
      <c r="J126" s="154"/>
      <c r="K126" s="213" t="s">
        <v>7066</v>
      </c>
      <c r="L126" s="154"/>
      <c r="M126" s="267"/>
      <c r="N126" s="268"/>
      <c r="O126" s="269"/>
      <c r="P126" s="154"/>
      <c r="Q126" s="383"/>
      <c r="R126" s="386"/>
      <c r="S126" s="136"/>
      <c r="T126" s="137"/>
      <c r="U126" s="137"/>
      <c r="V126" s="137"/>
      <c r="W126" s="137"/>
      <c r="X126" s="137"/>
      <c r="Y126" s="218">
        <f t="shared" ref="Y126" si="1358">IF(OR(E123="",J126=""),0,J126&amp;E123)</f>
        <v>0</v>
      </c>
      <c r="Z126" s="218">
        <f>IF(Y126=0,0,COUNTIF($Y$7:Y126,Y126))</f>
        <v>0</v>
      </c>
      <c r="AD126" s="218">
        <f>IFERROR(VLOOKUP(J126,競技会設定!$P$2:$S$22,2,0),0)</f>
        <v>0</v>
      </c>
      <c r="AE126" s="218">
        <f t="shared" ref="AE126" si="1359">IF(E123="",0,IF(AD126=0,0,IF(AD126&lt;3,E123&amp;$AE$6,0)))</f>
        <v>0</v>
      </c>
      <c r="AF126" s="218">
        <f>IF(AE126=0,0,E123&amp;COUNTIF($AE$7:AE126,AE126))</f>
        <v>0</v>
      </c>
      <c r="AG126" s="218">
        <f t="shared" ref="AG126" si="1360">IF(E123="",0,IF(AD126=0,0,IF(AD126&gt;=3,E123&amp;$AG$6,0)))</f>
        <v>0</v>
      </c>
      <c r="AH126" s="218">
        <f>IF(AG126=0,0,E123&amp;COUNTIF($AG$7:AG126,AG126))</f>
        <v>0</v>
      </c>
      <c r="AI126" s="218">
        <f t="shared" ref="AI126:AI174" si="1361">IF(COUNTIF(Y126,"*十種*")&gt;0,0,IF($AD126=AI$6,$E123,0))</f>
        <v>0</v>
      </c>
      <c r="AJ126" s="218" t="b">
        <f>IF(AI126=0,FALSE,IF(COUNTIF(AI$7:AI126,AI126)&gt;1,TRUE,FALSE))</f>
        <v>0</v>
      </c>
      <c r="AK126" s="218">
        <f t="shared" ref="AK126" si="1362">IF($AD126=AK$6,$E123,0)</f>
        <v>0</v>
      </c>
      <c r="AL126" s="218" t="b">
        <f>IF(AK126=0,FALSE,IF(COUNTIF(AK$7:AK126,AK126)&gt;1,TRUE,FALSE))</f>
        <v>0</v>
      </c>
      <c r="AM126" s="218">
        <f t="shared" ref="AM126" si="1363">IF($AD126=AM$6,$E123,0)</f>
        <v>0</v>
      </c>
      <c r="AN126" s="218" t="b">
        <f>IF(AM126=0,FALSE,IF(COUNTIF(AM$7:AM126,AM126)&gt;1,TRUE,FALSE))</f>
        <v>0</v>
      </c>
      <c r="AO126" s="218">
        <f t="shared" ref="AO126" si="1364">IF($AD126=AO$6,$E123,0)</f>
        <v>0</v>
      </c>
      <c r="AP126" s="218" t="b">
        <f>IF(AO126=0,FALSE,IF(COUNTIF(AO$7:AO126,AO126)&gt;1,TRUE,FALSE))</f>
        <v>0</v>
      </c>
      <c r="AQ126" s="218">
        <f t="shared" ref="AQ126" si="1365">IF(COUNTIF(Y126,"*十種競技*")&gt;0,E123,0)</f>
        <v>0</v>
      </c>
      <c r="AR126" s="218" t="b">
        <f>IF(AQ126=0,FALSE,IF(OR(COUNTIF($AI$7:$AI$406,AQ126)+COUNTIF($AQ126:$AQ$406,AQ126)&gt;1,COUNTIF($AK$7:$AK$406,AQ126)+COUNTIF($AQ$7:$AQ$406,AQ126)&gt;1),TRUE,FALSE))</f>
        <v>0</v>
      </c>
      <c r="AT126" s="218" t="b">
        <f t="shared" si="744"/>
        <v>0</v>
      </c>
      <c r="AU126" s="274"/>
      <c r="AX126" s="274"/>
      <c r="BD126" s="218" t="b">
        <f t="shared" si="732"/>
        <v>0</v>
      </c>
      <c r="BF126" s="231" t="b">
        <f t="shared" ref="BF126" si="1366">IF(J126="",FALSE,IF(OR(AND(AU123,L126=""),AND(AU123,L126="",OR(M126&lt;&gt;"",N126&lt;&gt;"",O126&lt;&gt;"",P126&lt;&gt;""))),TRUE,FALSE))</f>
        <v>0</v>
      </c>
      <c r="BG126" s="218" t="b">
        <f t="shared" si="734"/>
        <v>0</v>
      </c>
      <c r="BH126" s="218" t="b">
        <f t="shared" si="746"/>
        <v>0</v>
      </c>
      <c r="BI126" s="231" t="b">
        <f t="shared" ref="BI126" si="1367">IF(J126="",FALSE,IF(L126=0,FALSE,IF(AND(AU123,NOT(BF126),OR(M126="",N126="",O126="")),TRUE,FALSE)))</f>
        <v>0</v>
      </c>
      <c r="BJ126" s="240" t="b">
        <f t="shared" si="748"/>
        <v>0</v>
      </c>
      <c r="BK126" s="231" t="b">
        <f>IF(NOT(BJ126),FALSE,IF(AND(競技会設定!$C$5&lt;=BJ126,BJ126&lt;=競技会設定!$C$6),FALSE,TRUE))</f>
        <v>0</v>
      </c>
      <c r="BL126" s="218" t="b">
        <f>IF(J126="",FALSE,IF(L126=0,FALSE,IF(AND(AU123,NOT(BF126),NOT(BI126),P126=""),TRUE,FALSE)))</f>
        <v>0</v>
      </c>
      <c r="BO126" s="274"/>
    </row>
    <row r="127" spans="1:67" ht="18" customHeight="1" thickTop="1">
      <c r="A127" s="417">
        <v>31</v>
      </c>
      <c r="B127" s="401" t="s">
        <v>7050</v>
      </c>
      <c r="C127" s="403"/>
      <c r="D127" s="220" t="str">
        <f t="shared" ref="D127" si="1368">IF(C127="","",501&amp;TEXT(C127,"000000"))</f>
        <v/>
      </c>
      <c r="E127" s="396" t="str">
        <f>IF(D127="","",(VLOOKUP(D127,男子登録!$A$2:$N$2001,3,0)))</f>
        <v/>
      </c>
      <c r="F127" s="396" t="str">
        <f>IF(D127="","",(VLOOKUP(D127,男子登録!$A$2:$N$2001,4,0)))</f>
        <v/>
      </c>
      <c r="G127" s="220" t="str">
        <f>IF(C127="","",(VLOOKUP(D127,男子登録!$A$2:$N$2001,8,0)))</f>
        <v/>
      </c>
      <c r="H127" s="220">
        <f>IFERROR(VLOOKUP(D127,男子登録!$A$2:$N$2001,11,0),基本情報!$E$5)</f>
        <v>0</v>
      </c>
      <c r="I127" s="220" t="s">
        <v>7059</v>
      </c>
      <c r="J127" s="148"/>
      <c r="K127" s="220" t="s">
        <v>7060</v>
      </c>
      <c r="L127" s="148"/>
      <c r="M127" s="252"/>
      <c r="N127" s="253"/>
      <c r="O127" s="254"/>
      <c r="P127" s="148"/>
      <c r="Q127" s="398"/>
      <c r="R127" s="391"/>
      <c r="S127" s="136">
        <f t="shared" ref="S127" si="1369">IF(OR(E127="",Q127=""),0,E127)</f>
        <v>0</v>
      </c>
      <c r="T127" s="137">
        <f>IF(S127=0,0,COUNTIF($S$7:S127,"*"))</f>
        <v>0</v>
      </c>
      <c r="U127" s="137">
        <f>IF(S127=0,0,COUNTIF($S$7:S127,S127))</f>
        <v>0</v>
      </c>
      <c r="V127" s="137">
        <f t="shared" si="949"/>
        <v>0</v>
      </c>
      <c r="W127" s="137">
        <f>IF(V127=0,0,COUNTIF($V$7:V127,"*"))</f>
        <v>0</v>
      </c>
      <c r="X127" s="137">
        <f>IF(V127=0,0,COUNTIF($V$7:V127,V127))</f>
        <v>0</v>
      </c>
      <c r="Y127" s="218">
        <f t="shared" ref="Y127" si="1370">IF(OR(E127="",J127=""),0,J127&amp;E127)</f>
        <v>0</v>
      </c>
      <c r="Z127" s="218">
        <f>IF(Y127=0,0,COUNTIF($Y$7:Y127,Y127))</f>
        <v>0</v>
      </c>
      <c r="AA127" s="218" t="b">
        <f t="shared" ref="AA127" si="1371">IF(COUNTIF(J127:J130,"十種競技")&gt;0,TRUE,FALSE)</f>
        <v>0</v>
      </c>
      <c r="AB127" s="218">
        <f>IF(E127="",0,IF(AA127,COUNTIF($AA$7:AA127,TRUE),0))</f>
        <v>0</v>
      </c>
      <c r="AC127" s="218">
        <f>IFERROR(VLOOKUP("十種競技",J127:L130,3,0),0)</f>
        <v>0</v>
      </c>
      <c r="AD127" s="218">
        <f>IFERROR(VLOOKUP(J127,競技会設定!$P$2:$S$22,2,0),0)</f>
        <v>0</v>
      </c>
      <c r="AE127" s="218">
        <f t="shared" ref="AE127" si="1372">IF(E127="",0,IF(AD127=0,0,IF(AD127&lt;3,E127&amp;$AE$6,0)))</f>
        <v>0</v>
      </c>
      <c r="AF127" s="218">
        <f>IF(AE127=0,0,E127&amp;COUNTIF($AE$7:AE127,AE127))</f>
        <v>0</v>
      </c>
      <c r="AG127" s="218">
        <f t="shared" ref="AG127" si="1373">IF(E127="",0,IF(AD127=0,0,IF(AD127&gt;=3,E127&amp;$AG$6,0)))</f>
        <v>0</v>
      </c>
      <c r="AH127" s="218">
        <f>IF(AG127=0,0,E127&amp;COUNTIF($AG$7:AG127,AG127))</f>
        <v>0</v>
      </c>
      <c r="AI127" s="218">
        <f t="shared" ref="AI127" si="1374">IF(COUNTIF(Y127,"*十種*")&gt;0,0,IF($AD127=AI$6,$E127,0))</f>
        <v>0</v>
      </c>
      <c r="AJ127" s="218" t="b">
        <f>IF(AI127=0,FALSE,IF(COUNTIF(AI$7:AI127,AI127)&gt;1,TRUE,FALSE))</f>
        <v>0</v>
      </c>
      <c r="AK127" s="218">
        <f t="shared" ref="AK127" si="1375">IF($AD127=AK$6,$E127,0)</f>
        <v>0</v>
      </c>
      <c r="AL127" s="218" t="b">
        <f>IF(AK127=0,FALSE,IF(COUNTIF(AK$7:AK127,AK127)&gt;1,TRUE,FALSE))</f>
        <v>0</v>
      </c>
      <c r="AM127" s="218">
        <f t="shared" ref="AM127" si="1376">IF($AD127=AM$6,$E127,0)</f>
        <v>0</v>
      </c>
      <c r="AN127" s="218" t="b">
        <f>IF(AM127=0,FALSE,IF(COUNTIF(AM$7:AM127,AM127)&gt;1,TRUE,FALSE))</f>
        <v>0</v>
      </c>
      <c r="AO127" s="218">
        <f t="shared" ref="AO127" si="1377">IF($AD127=AO$6,$E127,0)</f>
        <v>0</v>
      </c>
      <c r="AP127" s="218" t="b">
        <f>IF(AO127=0,FALSE,IF(COUNTIF(AO$7:AO127,AO127)&gt;1,TRUE,FALSE))</f>
        <v>0</v>
      </c>
      <c r="AQ127" s="218">
        <f t="shared" ref="AQ127" si="1378">IF(COUNTIF(Y127,"*十種競技*")&gt;0,E127,0)</f>
        <v>0</v>
      </c>
      <c r="AR127" s="218" t="b">
        <f>IF(AQ127=0,FALSE,IF(OR(COUNTIF($AI$7:$AI$406,AQ127)+COUNTIF($AQ127:$AQ$406,AQ127)&gt;1,COUNTIF($AK$7:$AK$406,AQ127)+COUNTIF($AQ$7:$AQ$406,AQ127)&gt;1),TRUE,FALSE))</f>
        <v>0</v>
      </c>
      <c r="AS127" s="218" t="b">
        <f t="shared" ref="AS127" si="1379">IF(AND(C127="",E127&lt;&gt;"",F127&lt;&gt;"",E129&lt;&gt;"",G127&lt;&gt;"",G128&lt;&gt;"",G129&lt;&gt;""),TRUE,FALSE)</f>
        <v>0</v>
      </c>
      <c r="AT127" s="218" t="b">
        <f t="shared" si="744"/>
        <v>0</v>
      </c>
      <c r="AU127" s="274" t="b">
        <f t="shared" ref="AU127" si="1380">IFERROR(IF(D127&amp;E127&amp;F127&amp;E129&amp;G127&amp;G128&amp;G129&amp;J127&amp;J128&amp;J129&amp;J130&amp;L127&amp;L128&amp;L129&amp;L130&amp;M127&amp;M128&amp;M129&amp;M130&amp;N127&amp;N128&amp;N129&amp;N130&amp;O127&amp;O128&amp;O129&amp;O130&amp;P127&amp;P128&amp;P129&amp;P130&amp;Q127&amp;R127="",FALSE,TRUE),FALSE)</f>
        <v>0</v>
      </c>
      <c r="AV127" s="218" t="b">
        <f t="shared" ref="AV127" si="1381">IF(AS127,FALSE,IF(C127="",AU127,FALSE))</f>
        <v>0</v>
      </c>
      <c r="AW127" s="218" t="b">
        <f>IF(C127="",FALSE,IF(C127&gt;2000,TRUE,FALSE))</f>
        <v>0</v>
      </c>
      <c r="AX127" s="274" t="b">
        <f>IF(H127=0,FALSE,IF(EXACT(基本情報!$E$5,H127)=TRUE,FALSE,TRUE))</f>
        <v>0</v>
      </c>
      <c r="AY127" s="218" t="b">
        <f>IF(C127="",FALSE,IF(ISNA(E127)=TRUE,TRUE,FALSE))</f>
        <v>0</v>
      </c>
      <c r="AZ127" s="274" t="b">
        <f>IFERROR(IF(E127="",FALSE,IF(COUNTIF($E$7:E127,E127)&gt;1,TRUE,FALSE)),FALSE)</f>
        <v>0</v>
      </c>
      <c r="BA127" s="218" t="b">
        <f t="shared" ref="BA127" si="1382">IF(OR(J127&amp;J128&amp;J129&amp;J130&amp;Q127&amp;R127="",AT127,AT128,AT129,AT130),AU127,FALSE)</f>
        <v>0</v>
      </c>
      <c r="BB127" s="218" t="b">
        <f>IF(U127&gt;1,TRUE,FALSE)</f>
        <v>0</v>
      </c>
      <c r="BC127" s="218" t="b">
        <f>IF(X127&gt;1,TRUE,FALSE)</f>
        <v>0</v>
      </c>
      <c r="BD127" s="218" t="b">
        <f t="shared" si="732"/>
        <v>0</v>
      </c>
      <c r="BF127" s="231" t="b">
        <f t="shared" ref="BF127" si="1383">IF(J127="",FALSE,IF(OR(AND(AU127,L127=""),AND(AU127,L127="",OR(M127&lt;&gt;"",N127&lt;&gt;"",O127&lt;&gt;"",P127&lt;&gt;""))),TRUE,FALSE))</f>
        <v>0</v>
      </c>
      <c r="BG127" s="218" t="b">
        <f t="shared" si="734"/>
        <v>0</v>
      </c>
      <c r="BH127" s="218" t="b">
        <f t="shared" si="746"/>
        <v>0</v>
      </c>
      <c r="BI127" s="231" t="b">
        <f t="shared" ref="BI127" si="1384">IF(J127="",FALSE,IF(L127=0,FALSE,IF(AND(AU127,NOT(BF127),OR(M127="",N127="",O127="")),TRUE,FALSE)))</f>
        <v>0</v>
      </c>
      <c r="BJ127" s="240" t="b">
        <f t="shared" si="748"/>
        <v>0</v>
      </c>
      <c r="BK127" s="231" t="b">
        <f>IF(NOT(BJ127),FALSE,IF(AND(競技会設定!$C$5&lt;=BJ127,BJ127&lt;=競技会設定!$C$6),FALSE,TRUE))</f>
        <v>0</v>
      </c>
      <c r="BL127" s="218" t="b">
        <f>IF(J127="",FALSE,IF(L127=0,FALSE,IF(AND(AU127,NOT(BF127),NOT(BI127),P127=""),TRUE,FALSE)))</f>
        <v>0</v>
      </c>
      <c r="BO127" s="274">
        <f t="shared" ref="BO127" si="1385">IF(AND(AU127,SUM(COUNTIF(AV127:BC127,TRUE),COUNTIF(BF127:BL130,TRUE),COUNTIF(BD127:BD130,TRUE))=0,NOT($BE$7)),1,0)</f>
        <v>0</v>
      </c>
    </row>
    <row r="128" spans="1:67" ht="17.399999999999999" customHeight="1">
      <c r="A128" s="418"/>
      <c r="B128" s="402"/>
      <c r="C128" s="404"/>
      <c r="D128" s="221"/>
      <c r="E128" s="397"/>
      <c r="F128" s="397"/>
      <c r="G128" s="221" t="str">
        <f>IF(C127="","",(VLOOKUP(D127,男子登録!$A$2:$N$2001,13,0)))</f>
        <v/>
      </c>
      <c r="H128" s="221"/>
      <c r="I128" s="221" t="s">
        <v>7061</v>
      </c>
      <c r="J128" s="149"/>
      <c r="K128" s="221" t="s">
        <v>7062</v>
      </c>
      <c r="L128" s="149"/>
      <c r="M128" s="255"/>
      <c r="N128" s="256"/>
      <c r="O128" s="257"/>
      <c r="P128" s="149"/>
      <c r="Q128" s="399"/>
      <c r="R128" s="392"/>
      <c r="S128" s="136"/>
      <c r="T128" s="137"/>
      <c r="U128" s="137"/>
      <c r="V128" s="137"/>
      <c r="W128" s="137"/>
      <c r="X128" s="137"/>
      <c r="Y128" s="218">
        <f t="shared" ref="Y128" si="1386">IF(OR(E127="",J128=""),0,J128&amp;E127)</f>
        <v>0</v>
      </c>
      <c r="Z128" s="218">
        <f>IF(Y128=0,0,COUNTIF($Y$7:Y128,Y128))</f>
        <v>0</v>
      </c>
      <c r="AD128" s="218">
        <f>IFERROR(VLOOKUP(J128,競技会設定!$P$2:$S$22,2,0),0)</f>
        <v>0</v>
      </c>
      <c r="AE128" s="218">
        <f t="shared" ref="AE128" si="1387">IF(E127="",0,IF(AD128=0,0,IF(AD128&lt;3,E127&amp;$AE$6,0)))</f>
        <v>0</v>
      </c>
      <c r="AF128" s="218">
        <f>IF(AE128=0,0,E127&amp;COUNTIF($AE$7:AE128,AE128))</f>
        <v>0</v>
      </c>
      <c r="AG128" s="218">
        <f t="shared" ref="AG128" si="1388">IF(E127="",0,IF(AD128=0,0,IF(AD128&gt;=3,E127&amp;$AG$6,0)))</f>
        <v>0</v>
      </c>
      <c r="AH128" s="218">
        <f>IF(AG128=0,0,E127&amp;COUNTIF($AG$7:AG128,AG128))</f>
        <v>0</v>
      </c>
      <c r="AI128" s="218">
        <f t="shared" ref="AI128" si="1389">IF(COUNTIF(Y128,"*十種*")&gt;0,0,IF($AD128=AI$6,$E127,0))</f>
        <v>0</v>
      </c>
      <c r="AJ128" s="218" t="b">
        <f>IF(AI128=0,FALSE,IF(COUNTIF(AI$7:AI128,AI128)&gt;1,TRUE,FALSE))</f>
        <v>0</v>
      </c>
      <c r="AK128" s="218">
        <f t="shared" ref="AK128" si="1390">IF($AD128=AK$6,$E127,0)</f>
        <v>0</v>
      </c>
      <c r="AL128" s="218" t="b">
        <f>IF(AK128=0,FALSE,IF(COUNTIF(AK$7:AK128,AK128)&gt;1,TRUE,FALSE))</f>
        <v>0</v>
      </c>
      <c r="AM128" s="218">
        <f t="shared" ref="AM128" si="1391">IF($AD128=AM$6,$E127,0)</f>
        <v>0</v>
      </c>
      <c r="AN128" s="218" t="b">
        <f>IF(AM128=0,FALSE,IF(COUNTIF(AM$7:AM128,AM128)&gt;1,TRUE,FALSE))</f>
        <v>0</v>
      </c>
      <c r="AO128" s="218">
        <f t="shared" ref="AO128" si="1392">IF($AD128=AO$6,$E127,0)</f>
        <v>0</v>
      </c>
      <c r="AP128" s="218" t="b">
        <f>IF(AO128=0,FALSE,IF(COUNTIF(AO$7:AO128,AO128)&gt;1,TRUE,FALSE))</f>
        <v>0</v>
      </c>
      <c r="AQ128" s="218">
        <f t="shared" ref="AQ128" si="1393">IF(COUNTIF(Y128,"*十種競技*")&gt;0,E127,0)</f>
        <v>0</v>
      </c>
      <c r="AR128" s="218" t="b">
        <f>IF(AQ128=0,FALSE,IF(OR(COUNTIF($AI$7:$AI$406,AQ128)+COUNTIF($AQ128:$AQ$406,AQ128)&gt;1,COUNTIF($AK$7:$AK$406,AQ128)+COUNTIF($AQ$7:$AQ$406,AQ128)&gt;1),TRUE,FALSE))</f>
        <v>0</v>
      </c>
      <c r="AT128" s="218" t="b">
        <f t="shared" si="744"/>
        <v>0</v>
      </c>
      <c r="AU128" s="274"/>
      <c r="AX128" s="274"/>
      <c r="BD128" s="218" t="b">
        <f t="shared" si="732"/>
        <v>0</v>
      </c>
      <c r="BF128" s="231" t="b">
        <f t="shared" ref="BF128" si="1394">IF(J128="",FALSE,IF(OR(AND(AU127,L128=""),AND(AU127,L128="",OR(M128&lt;&gt;"",N128&lt;&gt;"",O128&lt;&gt;"",P128&lt;&gt;""))),TRUE,FALSE))</f>
        <v>0</v>
      </c>
      <c r="BG128" s="218" t="b">
        <f t="shared" si="734"/>
        <v>0</v>
      </c>
      <c r="BH128" s="218" t="b">
        <f t="shared" si="746"/>
        <v>0</v>
      </c>
      <c r="BI128" s="231" t="b">
        <f t="shared" ref="BI128" si="1395">IF(J128="",FALSE,IF(L128=0,FALSE,IF(AND(AU127,NOT(BF128),OR(M128="",N128="",O128="")),TRUE,FALSE)))</f>
        <v>0</v>
      </c>
      <c r="BJ128" s="240" t="b">
        <f t="shared" si="748"/>
        <v>0</v>
      </c>
      <c r="BK128" s="231" t="b">
        <f>IF(NOT(BJ128),FALSE,IF(AND(競技会設定!$C$5&lt;=BJ128,BJ128&lt;=競技会設定!$C$6),FALSE,TRUE))</f>
        <v>0</v>
      </c>
      <c r="BL128" s="218" t="b">
        <f>IF(J128="",FALSE,IF(L128=0,FALSE,IF(AND(AU127,NOT(BF128),NOT(BI128),P128=""),TRUE,FALSE)))</f>
        <v>0</v>
      </c>
      <c r="BO128" s="274"/>
    </row>
    <row r="129" spans="1:67" ht="17.399999999999999" customHeight="1">
      <c r="A129" s="418"/>
      <c r="B129" s="402"/>
      <c r="C129" s="404"/>
      <c r="D129" s="221"/>
      <c r="E129" s="394" t="str">
        <f>IF(C127="","",VLOOKUP(D127,男子登録!$A$2:$O$2001,14,0)&amp;" ("&amp;VLOOKUP(D127,男子登録!$A$2:$O$2001,15,0)&amp;")")</f>
        <v/>
      </c>
      <c r="F129" s="394"/>
      <c r="G129" s="222" t="str">
        <f>IF(C127="","",(VLOOKUP(D127,男子登録!$A$2:$N$2001,9,0)))</f>
        <v/>
      </c>
      <c r="H129" s="222"/>
      <c r="I129" s="222" t="s">
        <v>7063</v>
      </c>
      <c r="J129" s="150"/>
      <c r="K129" s="222" t="s">
        <v>7064</v>
      </c>
      <c r="L129" s="150"/>
      <c r="M129" s="255"/>
      <c r="N129" s="256"/>
      <c r="O129" s="257"/>
      <c r="P129" s="149"/>
      <c r="Q129" s="399"/>
      <c r="R129" s="392"/>
      <c r="S129" s="136"/>
      <c r="T129" s="137"/>
      <c r="U129" s="137"/>
      <c r="V129" s="137"/>
      <c r="W129" s="137"/>
      <c r="X129" s="137"/>
      <c r="Y129" s="218">
        <f t="shared" ref="Y129" si="1396">IF(OR(E127="",J129=""),0,J129&amp;E127)</f>
        <v>0</v>
      </c>
      <c r="Z129" s="218">
        <f>IF(Y129=0,0,COUNTIF($Y$7:Y129,Y129))</f>
        <v>0</v>
      </c>
      <c r="AD129" s="218">
        <f>IFERROR(VLOOKUP(J129,競技会設定!$P$2:$S$22,2,0),0)</f>
        <v>0</v>
      </c>
      <c r="AE129" s="218">
        <f t="shared" ref="AE129" si="1397">IF(E127="",0,IF(AD129=0,0,IF(AD129&lt;3,E127&amp;$AE$6,0)))</f>
        <v>0</v>
      </c>
      <c r="AF129" s="218">
        <f>IF(AE129=0,0,E127&amp;COUNTIF($AE$7:AE129,AE129))</f>
        <v>0</v>
      </c>
      <c r="AG129" s="218">
        <f t="shared" ref="AG129" si="1398">IF(E127="",0,IF(AD129=0,0,IF(AD129&gt;=3,E127&amp;$AG$6,0)))</f>
        <v>0</v>
      </c>
      <c r="AH129" s="218">
        <f>IF(AG129=0,0,E127&amp;COUNTIF($AG$7:AG129,AG129))</f>
        <v>0</v>
      </c>
      <c r="AI129" s="218">
        <f t="shared" ref="AI129" si="1399">IF(COUNTIF(Y129,"*十種*")&gt;0,0,IF($AD129=AI$6,$E127,0))</f>
        <v>0</v>
      </c>
      <c r="AJ129" s="218" t="b">
        <f>IF(AI129=0,FALSE,IF(COUNTIF(AI$7:AI129,AI129)&gt;1,TRUE,FALSE))</f>
        <v>0</v>
      </c>
      <c r="AK129" s="218">
        <f t="shared" ref="AK129" si="1400">IF($AD129=AK$6,$E127,0)</f>
        <v>0</v>
      </c>
      <c r="AL129" s="218" t="b">
        <f>IF(AK129=0,FALSE,IF(COUNTIF(AK$7:AK129,AK129)&gt;1,TRUE,FALSE))</f>
        <v>0</v>
      </c>
      <c r="AM129" s="218">
        <f t="shared" ref="AM129" si="1401">IF($AD129=AM$6,$E127,0)</f>
        <v>0</v>
      </c>
      <c r="AN129" s="218" t="b">
        <f>IF(AM129=0,FALSE,IF(COUNTIF(AM$7:AM129,AM129)&gt;1,TRUE,FALSE))</f>
        <v>0</v>
      </c>
      <c r="AO129" s="218">
        <f t="shared" ref="AO129" si="1402">IF($AD129=AO$6,$E127,0)</f>
        <v>0</v>
      </c>
      <c r="AP129" s="218" t="b">
        <f>IF(AO129=0,FALSE,IF(COUNTIF(AO$7:AO129,AO129)&gt;1,TRUE,FALSE))</f>
        <v>0</v>
      </c>
      <c r="AQ129" s="218">
        <f t="shared" ref="AQ129" si="1403">IF(COUNTIF(Y129,"*十種競技*")&gt;0,E127,0)</f>
        <v>0</v>
      </c>
      <c r="AR129" s="218" t="b">
        <f>IF(AQ129=0,FALSE,IF(OR(COUNTIF($AI$7:$AI$406,AQ129)+COUNTIF($AQ129:$AQ$406,AQ129)&gt;1,COUNTIF($AK$7:$AK$406,AQ129)+COUNTIF($AQ$7:$AQ$406,AQ129)&gt;1),TRUE,FALSE))</f>
        <v>0</v>
      </c>
      <c r="AT129" s="218" t="b">
        <f t="shared" si="744"/>
        <v>0</v>
      </c>
      <c r="AU129" s="274"/>
      <c r="AX129" s="274"/>
      <c r="BD129" s="218" t="b">
        <f t="shared" si="732"/>
        <v>0</v>
      </c>
      <c r="BF129" s="231" t="b">
        <f t="shared" ref="BF129" si="1404">IF(J129="",FALSE,IF(OR(AND(AU127,L129=""),AND(AU127,L129="",OR(M129&lt;&gt;"",N129&lt;&gt;"",O129&lt;&gt;"",P129&lt;&gt;""))),TRUE,FALSE))</f>
        <v>0</v>
      </c>
      <c r="BG129" s="218" t="b">
        <f t="shared" si="734"/>
        <v>0</v>
      </c>
      <c r="BH129" s="218" t="b">
        <f t="shared" si="746"/>
        <v>0</v>
      </c>
      <c r="BI129" s="231" t="b">
        <f t="shared" ref="BI129" si="1405">IF(J129="",FALSE,IF(L129=0,FALSE,IF(AND(AU127,NOT(BF129),OR(M129="",N129="",O129="")),TRUE,FALSE)))</f>
        <v>0</v>
      </c>
      <c r="BJ129" s="240" t="b">
        <f t="shared" si="748"/>
        <v>0</v>
      </c>
      <c r="BK129" s="231" t="b">
        <f>IF(NOT(BJ129),FALSE,IF(AND(競技会設定!$C$5&lt;=BJ129,BJ129&lt;=競技会設定!$C$6),FALSE,TRUE))</f>
        <v>0</v>
      </c>
      <c r="BL129" s="218" t="b">
        <f>IF(J129="",FALSE,IF(L129=0,FALSE,IF(AND(AU127,NOT(BF129),NOT(BI129),P129=""),TRUE,FALSE)))</f>
        <v>0</v>
      </c>
      <c r="BO129" s="274"/>
    </row>
    <row r="130" spans="1:67" ht="18" customHeight="1" thickBot="1">
      <c r="A130" s="419"/>
      <c r="B130" s="395" t="s">
        <v>7051</v>
      </c>
      <c r="C130" s="395"/>
      <c r="D130" s="221"/>
      <c r="E130" s="372"/>
      <c r="F130" s="372"/>
      <c r="G130" s="372"/>
      <c r="H130" s="214"/>
      <c r="I130" s="214" t="s">
        <v>7065</v>
      </c>
      <c r="J130" s="219"/>
      <c r="K130" s="214" t="s">
        <v>7066</v>
      </c>
      <c r="L130" s="219"/>
      <c r="M130" s="258"/>
      <c r="N130" s="259"/>
      <c r="O130" s="260"/>
      <c r="P130" s="219"/>
      <c r="Q130" s="400"/>
      <c r="R130" s="393"/>
      <c r="S130" s="136"/>
      <c r="T130" s="137"/>
      <c r="U130" s="137"/>
      <c r="V130" s="137"/>
      <c r="W130" s="137"/>
      <c r="X130" s="137"/>
      <c r="Y130" s="218">
        <f t="shared" ref="Y130" si="1406">IF(OR(E127="",J130=""),0,J130&amp;E127)</f>
        <v>0</v>
      </c>
      <c r="Z130" s="218">
        <f>IF(Y130=0,0,COUNTIF($Y$7:Y130,Y130))</f>
        <v>0</v>
      </c>
      <c r="AD130" s="218">
        <f>IFERROR(VLOOKUP(J130,競技会設定!$P$2:$S$22,2,0),0)</f>
        <v>0</v>
      </c>
      <c r="AE130" s="218">
        <f t="shared" ref="AE130" si="1407">IF(E127="",0,IF(AD130=0,0,IF(AD130&lt;3,E127&amp;$AE$6,0)))</f>
        <v>0</v>
      </c>
      <c r="AF130" s="218">
        <f>IF(AE130=0,0,E127&amp;COUNTIF($AE$7:AE130,AE130))</f>
        <v>0</v>
      </c>
      <c r="AG130" s="218">
        <f t="shared" ref="AG130" si="1408">IF(E127="",0,IF(AD130=0,0,IF(AD130&gt;=3,E127&amp;$AG$6,0)))</f>
        <v>0</v>
      </c>
      <c r="AH130" s="218">
        <f>IF(AG130=0,0,E127&amp;COUNTIF($AG$7:AG130,AG130))</f>
        <v>0</v>
      </c>
      <c r="AI130" s="218">
        <f t="shared" ref="AI130" si="1409">IF(COUNTIF(Y130,"*十種*")&gt;0,0,IF($AD130=AI$6,$E127,0))</f>
        <v>0</v>
      </c>
      <c r="AJ130" s="218" t="b">
        <f>IF(AI130=0,FALSE,IF(COUNTIF(AI$7:AI130,AI130)&gt;1,TRUE,FALSE))</f>
        <v>0</v>
      </c>
      <c r="AK130" s="218">
        <f t="shared" ref="AK130" si="1410">IF($AD130=AK$6,$E127,0)</f>
        <v>0</v>
      </c>
      <c r="AL130" s="218" t="b">
        <f>IF(AK130=0,FALSE,IF(COUNTIF(AK$7:AK130,AK130)&gt;1,TRUE,FALSE))</f>
        <v>0</v>
      </c>
      <c r="AM130" s="218">
        <f t="shared" ref="AM130" si="1411">IF($AD130=AM$6,$E127,0)</f>
        <v>0</v>
      </c>
      <c r="AN130" s="218" t="b">
        <f>IF(AM130=0,FALSE,IF(COUNTIF(AM$7:AM130,AM130)&gt;1,TRUE,FALSE))</f>
        <v>0</v>
      </c>
      <c r="AO130" s="218">
        <f t="shared" ref="AO130" si="1412">IF($AD130=AO$6,$E127,0)</f>
        <v>0</v>
      </c>
      <c r="AP130" s="218" t="b">
        <f>IF(AO130=0,FALSE,IF(COUNTIF(AO$7:AO130,AO130)&gt;1,TRUE,FALSE))</f>
        <v>0</v>
      </c>
      <c r="AQ130" s="218">
        <f t="shared" ref="AQ130" si="1413">IF(COUNTIF(Y130,"*十種競技*")&gt;0,E127,0)</f>
        <v>0</v>
      </c>
      <c r="AR130" s="218" t="b">
        <f>IF(AQ130=0,FALSE,IF(OR(COUNTIF($AI$7:$AI$406,AQ130)+COUNTIF($AQ130:$AQ$406,AQ130)&gt;1,COUNTIF($AK$7:$AK$406,AQ130)+COUNTIF($AQ$7:$AQ$406,AQ130)&gt;1),TRUE,FALSE))</f>
        <v>0</v>
      </c>
      <c r="AT130" s="218" t="b">
        <f t="shared" si="744"/>
        <v>0</v>
      </c>
      <c r="AU130" s="274"/>
      <c r="AX130" s="274"/>
      <c r="BD130" s="218" t="b">
        <f t="shared" si="732"/>
        <v>0</v>
      </c>
      <c r="BF130" s="231" t="b">
        <f t="shared" ref="BF130" si="1414">IF(J130="",FALSE,IF(OR(AND(AU127,L130=""),AND(AU127,L130="",OR(M130&lt;&gt;"",N130&lt;&gt;"",O130&lt;&gt;"",P130&lt;&gt;""))),TRUE,FALSE))</f>
        <v>0</v>
      </c>
      <c r="BG130" s="218" t="b">
        <f t="shared" si="734"/>
        <v>0</v>
      </c>
      <c r="BH130" s="218" t="b">
        <f t="shared" si="746"/>
        <v>0</v>
      </c>
      <c r="BI130" s="231" t="b">
        <f t="shared" ref="BI130" si="1415">IF(J130="",FALSE,IF(L130=0,FALSE,IF(AND(AU127,NOT(BF130),OR(M130="",N130="",O130="")),TRUE,FALSE)))</f>
        <v>0</v>
      </c>
      <c r="BJ130" s="240" t="b">
        <f t="shared" si="748"/>
        <v>0</v>
      </c>
      <c r="BK130" s="231" t="b">
        <f>IF(NOT(BJ130),FALSE,IF(AND(競技会設定!$C$5&lt;=BJ130,BJ130&lt;=競技会設定!$C$6),FALSE,TRUE))</f>
        <v>0</v>
      </c>
      <c r="BL130" s="218" t="b">
        <f>IF(J130="",FALSE,IF(L130=0,FALSE,IF(AND(AU127,NOT(BF130),NOT(BI130),P130=""),TRUE,FALSE)))</f>
        <v>0</v>
      </c>
      <c r="BO130" s="274"/>
    </row>
    <row r="131" spans="1:67" ht="18" customHeight="1" thickTop="1">
      <c r="A131" s="420">
        <v>32</v>
      </c>
      <c r="B131" s="373" t="s">
        <v>7050</v>
      </c>
      <c r="C131" s="375"/>
      <c r="D131" s="138" t="str">
        <f t="shared" ref="D131" si="1416">IF(C131="","",501&amp;TEXT(C131,"000000"))</f>
        <v/>
      </c>
      <c r="E131" s="377" t="str">
        <f>IF(D131="","",(VLOOKUP(D131,男子登録!$A$2:$N$2001,3,0)))</f>
        <v/>
      </c>
      <c r="F131" s="377" t="str">
        <f>IF(D131="","",(VLOOKUP(D131,男子登録!$A$2:$N$2001,4,0)))</f>
        <v/>
      </c>
      <c r="G131" s="138" t="str">
        <f>IF(C131="","",(VLOOKUP(D131,男子登録!$A$2:$N$2001,8,0)))</f>
        <v/>
      </c>
      <c r="H131" s="138">
        <f>IFERROR(VLOOKUP(D131,男子登録!$A$2:$N$2001,11,0),基本情報!$E$5)</f>
        <v>0</v>
      </c>
      <c r="I131" s="138" t="s">
        <v>7059</v>
      </c>
      <c r="J131" s="151"/>
      <c r="K131" s="138" t="s">
        <v>7060</v>
      </c>
      <c r="L131" s="151"/>
      <c r="M131" s="261"/>
      <c r="N131" s="262"/>
      <c r="O131" s="263"/>
      <c r="P131" s="151"/>
      <c r="Q131" s="381"/>
      <c r="R131" s="384"/>
      <c r="S131" s="136">
        <f t="shared" ref="S131" si="1417">IF(OR(E131="",Q131=""),0,E131)</f>
        <v>0</v>
      </c>
      <c r="T131" s="137">
        <f>IF(S131=0,0,COUNTIF($S$7:S131,"*"))</f>
        <v>0</v>
      </c>
      <c r="U131" s="137">
        <f>IF(S131=0,0,COUNTIF($S$7:S131,S131))</f>
        <v>0</v>
      </c>
      <c r="V131" s="137">
        <f t="shared" si="949"/>
        <v>0</v>
      </c>
      <c r="W131" s="137">
        <f>IF(V131=0,0,COUNTIF($V$7:V131,"*"))</f>
        <v>0</v>
      </c>
      <c r="X131" s="137">
        <f>IF(V131=0,0,COUNTIF($V$7:V131,V131))</f>
        <v>0</v>
      </c>
      <c r="Y131" s="218">
        <f t="shared" ref="Y131" si="1418">IF(OR(E131="",J131=""),0,J131&amp;E131)</f>
        <v>0</v>
      </c>
      <c r="Z131" s="218">
        <f>IF(Y131=0,0,COUNTIF($Y$7:Y131,Y131))</f>
        <v>0</v>
      </c>
      <c r="AA131" s="218" t="b">
        <f t="shared" ref="AA131" si="1419">IF(COUNTIF(J131:J134,"十種競技")&gt;0,TRUE,FALSE)</f>
        <v>0</v>
      </c>
      <c r="AB131" s="218">
        <f>IF(E131="",0,IF(AA131,COUNTIF($AA$7:AA131,TRUE),0))</f>
        <v>0</v>
      </c>
      <c r="AC131" s="218">
        <f>IFERROR(VLOOKUP("十種競技",J131:L134,3,0),0)</f>
        <v>0</v>
      </c>
      <c r="AD131" s="218">
        <f>IFERROR(VLOOKUP(J131,競技会設定!$P$2:$S$22,2,0),0)</f>
        <v>0</v>
      </c>
      <c r="AE131" s="218">
        <f t="shared" ref="AE131" si="1420">IF(E131="",0,IF(AD131=0,0,IF(AD131&lt;3,E131&amp;$AE$6,0)))</f>
        <v>0</v>
      </c>
      <c r="AF131" s="218">
        <f>IF(AE131=0,0,E131&amp;COUNTIF($AE$7:AE131,AE131))</f>
        <v>0</v>
      </c>
      <c r="AG131" s="218">
        <f t="shared" ref="AG131" si="1421">IF(E131="",0,IF(AD131=0,0,IF(AD131&gt;=3,E131&amp;$AG$6,0)))</f>
        <v>0</v>
      </c>
      <c r="AH131" s="218">
        <f>IF(AG131=0,0,E131&amp;COUNTIF($AG$7:AG131,AG131))</f>
        <v>0</v>
      </c>
      <c r="AI131" s="218">
        <f t="shared" si="1134"/>
        <v>0</v>
      </c>
      <c r="AJ131" s="218" t="b">
        <f>IF(AI131=0,FALSE,IF(COUNTIF(AI$7:AI131,AI131)&gt;1,TRUE,FALSE))</f>
        <v>0</v>
      </c>
      <c r="AK131" s="218">
        <f t="shared" ref="AK131" si="1422">IF($AD131=AK$6,$E131,0)</f>
        <v>0</v>
      </c>
      <c r="AL131" s="218" t="b">
        <f>IF(AK131=0,FALSE,IF(COUNTIF(AK$7:AK131,AK131)&gt;1,TRUE,FALSE))</f>
        <v>0</v>
      </c>
      <c r="AM131" s="218">
        <f t="shared" ref="AM131" si="1423">IF($AD131=AM$6,$E131,0)</f>
        <v>0</v>
      </c>
      <c r="AN131" s="218" t="b">
        <f>IF(AM131=0,FALSE,IF(COUNTIF(AM$7:AM131,AM131)&gt;1,TRUE,FALSE))</f>
        <v>0</v>
      </c>
      <c r="AO131" s="218">
        <f t="shared" ref="AO131" si="1424">IF($AD131=AO$6,$E131,0)</f>
        <v>0</v>
      </c>
      <c r="AP131" s="218" t="b">
        <f>IF(AO131=0,FALSE,IF(COUNTIF(AO$7:AO131,AO131)&gt;1,TRUE,FALSE))</f>
        <v>0</v>
      </c>
      <c r="AQ131" s="218">
        <f t="shared" ref="AQ131" si="1425">IF(COUNTIF(Y131,"*十種競技*")&gt;0,E131,0)</f>
        <v>0</v>
      </c>
      <c r="AR131" s="218" t="b">
        <f>IF(AQ131=0,FALSE,IF(OR(COUNTIF($AI$7:$AI$406,AQ131)+COUNTIF($AQ131:$AQ$406,AQ131)&gt;1,COUNTIF($AK$7:$AK$406,AQ131)+COUNTIF($AQ$7:$AQ$406,AQ131)&gt;1),TRUE,FALSE))</f>
        <v>0</v>
      </c>
      <c r="AS131" s="218" t="b">
        <f t="shared" ref="AS131" si="1426">IF(AND(C131="",E131&lt;&gt;"",F131&lt;&gt;"",E133&lt;&gt;"",G131&lt;&gt;"",G132&lt;&gt;"",G133&lt;&gt;""),TRUE,FALSE)</f>
        <v>0</v>
      </c>
      <c r="AT131" s="218" t="b">
        <f t="shared" si="744"/>
        <v>0</v>
      </c>
      <c r="AU131" s="274" t="b">
        <f t="shared" ref="AU131" si="1427">IFERROR(IF(D131&amp;E131&amp;F131&amp;E133&amp;G131&amp;G132&amp;G133&amp;J131&amp;J132&amp;J133&amp;J134&amp;L131&amp;L132&amp;L133&amp;L134&amp;M131&amp;M132&amp;M133&amp;M134&amp;N131&amp;N132&amp;N133&amp;N134&amp;O131&amp;O132&amp;O133&amp;O134&amp;P131&amp;P132&amp;P133&amp;P134&amp;Q131&amp;R131="",FALSE,TRUE),FALSE)</f>
        <v>0</v>
      </c>
      <c r="AV131" s="218" t="b">
        <f t="shared" ref="AV131" si="1428">IF(AS131,FALSE,IF(C131="",AU131,FALSE))</f>
        <v>0</v>
      </c>
      <c r="AW131" s="218" t="b">
        <f>IF(C131="",FALSE,IF(C131&gt;2000,TRUE,FALSE))</f>
        <v>0</v>
      </c>
      <c r="AX131" s="274" t="b">
        <f>IF(H131=0,FALSE,IF(EXACT(基本情報!$E$5,H131)=TRUE,FALSE,TRUE))</f>
        <v>0</v>
      </c>
      <c r="AY131" s="218" t="b">
        <f>IF(C131="",FALSE,IF(ISNA(E131)=TRUE,TRUE,FALSE))</f>
        <v>0</v>
      </c>
      <c r="AZ131" s="274" t="b">
        <f>IFERROR(IF(E131="",FALSE,IF(COUNTIF($E$7:E131,E131)&gt;1,TRUE,FALSE)),FALSE)</f>
        <v>0</v>
      </c>
      <c r="BA131" s="218" t="b">
        <f t="shared" ref="BA131" si="1429">IF(OR(J131&amp;J132&amp;J133&amp;J134&amp;Q131&amp;R131="",AT131,AT132,AT133,AT134),AU131,FALSE)</f>
        <v>0</v>
      </c>
      <c r="BB131" s="218" t="b">
        <f>IF(U131&gt;1,TRUE,FALSE)</f>
        <v>0</v>
      </c>
      <c r="BC131" s="218" t="b">
        <f>IF(X131&gt;1,TRUE,FALSE)</f>
        <v>0</v>
      </c>
      <c r="BD131" s="218" t="b">
        <f t="shared" si="732"/>
        <v>0</v>
      </c>
      <c r="BF131" s="231" t="b">
        <f t="shared" ref="BF131" si="1430">IF(J131="",FALSE,IF(OR(AND(AU131,L131=""),AND(AU131,L131="",OR(M131&lt;&gt;"",N131&lt;&gt;"",O131&lt;&gt;"",P131&lt;&gt;""))),TRUE,FALSE))</f>
        <v>0</v>
      </c>
      <c r="BG131" s="218" t="b">
        <f t="shared" si="734"/>
        <v>0</v>
      </c>
      <c r="BH131" s="218" t="b">
        <f t="shared" si="746"/>
        <v>0</v>
      </c>
      <c r="BI131" s="231" t="b">
        <f t="shared" ref="BI131" si="1431">IF(J131="",FALSE,IF(L131=0,FALSE,IF(AND(AU131,NOT(BF131),OR(M131="",N131="",O131="")),TRUE,FALSE)))</f>
        <v>0</v>
      </c>
      <c r="BJ131" s="240" t="b">
        <f t="shared" si="748"/>
        <v>0</v>
      </c>
      <c r="BK131" s="231" t="b">
        <f>IF(NOT(BJ131),FALSE,IF(AND(競技会設定!$C$5&lt;=BJ131,BJ131&lt;=競技会設定!$C$6),FALSE,TRUE))</f>
        <v>0</v>
      </c>
      <c r="BL131" s="218" t="b">
        <f>IF(J131="",FALSE,IF(L131=0,FALSE,IF(AND(AU131,NOT(BF131),NOT(BI131),P131=""),TRUE,FALSE)))</f>
        <v>0</v>
      </c>
      <c r="BO131" s="274">
        <f t="shared" ref="BO131" si="1432">IF(AND(AU131,SUM(COUNTIF(AV131:BC131,TRUE),COUNTIF(BF131:BL134,TRUE),COUNTIF(BD131:BD134,TRUE))=0,NOT($BE$7)),1,0)</f>
        <v>0</v>
      </c>
    </row>
    <row r="132" spans="1:67" ht="17.399999999999999" customHeight="1">
      <c r="A132" s="421"/>
      <c r="B132" s="374"/>
      <c r="C132" s="376"/>
      <c r="D132" s="139"/>
      <c r="E132" s="378"/>
      <c r="F132" s="378"/>
      <c r="G132" s="139" t="str">
        <f>IF(C131="","",(VLOOKUP(D131,男子登録!$A$2:$N$2001,13,0)))</f>
        <v/>
      </c>
      <c r="H132" s="139"/>
      <c r="I132" s="139" t="s">
        <v>7061</v>
      </c>
      <c r="J132" s="152"/>
      <c r="K132" s="139" t="s">
        <v>7062</v>
      </c>
      <c r="L132" s="152"/>
      <c r="M132" s="264"/>
      <c r="N132" s="265"/>
      <c r="O132" s="266"/>
      <c r="P132" s="152"/>
      <c r="Q132" s="382"/>
      <c r="R132" s="385"/>
      <c r="S132" s="136"/>
      <c r="T132" s="137"/>
      <c r="U132" s="137"/>
      <c r="V132" s="137"/>
      <c r="W132" s="137"/>
      <c r="X132" s="137"/>
      <c r="Y132" s="218">
        <f t="shared" ref="Y132" si="1433">IF(OR(E131="",J132=""),0,J132&amp;E131)</f>
        <v>0</v>
      </c>
      <c r="Z132" s="218">
        <f>IF(Y132=0,0,COUNTIF($Y$7:Y132,Y132))</f>
        <v>0</v>
      </c>
      <c r="AD132" s="218">
        <f>IFERROR(VLOOKUP(J132,競技会設定!$P$2:$S$22,2,0),0)</f>
        <v>0</v>
      </c>
      <c r="AE132" s="218">
        <f t="shared" ref="AE132" si="1434">IF(E131="",0,IF(AD132=0,0,IF(AD132&lt;3,E131&amp;$AE$6,0)))</f>
        <v>0</v>
      </c>
      <c r="AF132" s="218">
        <f>IF(AE132=0,0,E131&amp;COUNTIF($AE$7:AE132,AE132))</f>
        <v>0</v>
      </c>
      <c r="AG132" s="218">
        <f t="shared" ref="AG132" si="1435">IF(E131="",0,IF(AD132=0,0,IF(AD132&gt;=3,E131&amp;$AG$6,0)))</f>
        <v>0</v>
      </c>
      <c r="AH132" s="218">
        <f>IF(AG132=0,0,E131&amp;COUNTIF($AG$7:AG132,AG132))</f>
        <v>0</v>
      </c>
      <c r="AI132" s="218">
        <f t="shared" si="1149"/>
        <v>0</v>
      </c>
      <c r="AJ132" s="218" t="b">
        <f>IF(AI132=0,FALSE,IF(COUNTIF(AI$7:AI132,AI132)&gt;1,TRUE,FALSE))</f>
        <v>0</v>
      </c>
      <c r="AK132" s="218">
        <f t="shared" ref="AK132" si="1436">IF($AD132=AK$6,$E131,0)</f>
        <v>0</v>
      </c>
      <c r="AL132" s="218" t="b">
        <f>IF(AK132=0,FALSE,IF(COUNTIF(AK$7:AK132,AK132)&gt;1,TRUE,FALSE))</f>
        <v>0</v>
      </c>
      <c r="AM132" s="218">
        <f t="shared" ref="AM132" si="1437">IF($AD132=AM$6,$E131,0)</f>
        <v>0</v>
      </c>
      <c r="AN132" s="218" t="b">
        <f>IF(AM132=0,FALSE,IF(COUNTIF(AM$7:AM132,AM132)&gt;1,TRUE,FALSE))</f>
        <v>0</v>
      </c>
      <c r="AO132" s="218">
        <f t="shared" ref="AO132" si="1438">IF($AD132=AO$6,$E131,0)</f>
        <v>0</v>
      </c>
      <c r="AP132" s="218" t="b">
        <f>IF(AO132=0,FALSE,IF(COUNTIF(AO$7:AO132,AO132)&gt;1,TRUE,FALSE))</f>
        <v>0</v>
      </c>
      <c r="AQ132" s="218">
        <f t="shared" ref="AQ132" si="1439">IF(COUNTIF(Y132,"*十種競技*")&gt;0,E131,0)</f>
        <v>0</v>
      </c>
      <c r="AR132" s="218" t="b">
        <f>IF(AQ132=0,FALSE,IF(OR(COUNTIF($AI$7:$AI$406,AQ132)+COUNTIF($AQ132:$AQ$406,AQ132)&gt;1,COUNTIF($AK$7:$AK$406,AQ132)+COUNTIF($AQ$7:$AQ$406,AQ132)&gt;1),TRUE,FALSE))</f>
        <v>0</v>
      </c>
      <c r="AT132" s="218" t="b">
        <f t="shared" si="744"/>
        <v>0</v>
      </c>
      <c r="AU132" s="274"/>
      <c r="AX132" s="274"/>
      <c r="BD132" s="218" t="b">
        <f t="shared" si="732"/>
        <v>0</v>
      </c>
      <c r="BF132" s="231" t="b">
        <f t="shared" ref="BF132" si="1440">IF(J132="",FALSE,IF(OR(AND(AU131,L132=""),AND(AU131,L132="",OR(M132&lt;&gt;"",N132&lt;&gt;"",O132&lt;&gt;"",P132&lt;&gt;""))),TRUE,FALSE))</f>
        <v>0</v>
      </c>
      <c r="BG132" s="218" t="b">
        <f t="shared" si="734"/>
        <v>0</v>
      </c>
      <c r="BH132" s="218" t="b">
        <f t="shared" si="746"/>
        <v>0</v>
      </c>
      <c r="BI132" s="231" t="b">
        <f t="shared" ref="BI132" si="1441">IF(J132="",FALSE,IF(L132=0,FALSE,IF(AND(AU131,NOT(BF132),OR(M132="",N132="",O132="")),TRUE,FALSE)))</f>
        <v>0</v>
      </c>
      <c r="BJ132" s="240" t="b">
        <f t="shared" si="748"/>
        <v>0</v>
      </c>
      <c r="BK132" s="231" t="b">
        <f>IF(NOT(BJ132),FALSE,IF(AND(競技会設定!$C$5&lt;=BJ132,BJ132&lt;=競技会設定!$C$6),FALSE,TRUE))</f>
        <v>0</v>
      </c>
      <c r="BL132" s="218" t="b">
        <f>IF(J132="",FALSE,IF(L132=0,FALSE,IF(AND(AU131,NOT(BF132),NOT(BI132),P132=""),TRUE,FALSE)))</f>
        <v>0</v>
      </c>
      <c r="BO132" s="274"/>
    </row>
    <row r="133" spans="1:67" ht="17.399999999999999" customHeight="1">
      <c r="A133" s="421"/>
      <c r="B133" s="374"/>
      <c r="C133" s="376"/>
      <c r="D133" s="140"/>
      <c r="E133" s="379" t="str">
        <f>IF(C131="","",VLOOKUP(D131,男子登録!$A$2:$O$2001,14,0)&amp;" ("&amp;VLOOKUP(D131,男子登録!$A$2:$O$2001,15,0)&amp;")")</f>
        <v/>
      </c>
      <c r="F133" s="380"/>
      <c r="G133" s="140" t="str">
        <f>IF(C131="","",(VLOOKUP(D131,男子登録!$A$2:$N$2001,9,0)))</f>
        <v/>
      </c>
      <c r="H133" s="140"/>
      <c r="I133" s="140" t="s">
        <v>7063</v>
      </c>
      <c r="J133" s="153"/>
      <c r="K133" s="140" t="s">
        <v>7064</v>
      </c>
      <c r="L133" s="153"/>
      <c r="M133" s="264"/>
      <c r="N133" s="265"/>
      <c r="O133" s="266"/>
      <c r="P133" s="152"/>
      <c r="Q133" s="382"/>
      <c r="R133" s="385"/>
      <c r="S133" s="136"/>
      <c r="T133" s="137"/>
      <c r="U133" s="137"/>
      <c r="V133" s="137"/>
      <c r="W133" s="137"/>
      <c r="X133" s="137"/>
      <c r="Y133" s="218">
        <f t="shared" ref="Y133" si="1442">IF(OR(E131="",J133=""),0,J133&amp;E131)</f>
        <v>0</v>
      </c>
      <c r="Z133" s="218">
        <f>IF(Y133=0,0,COUNTIF($Y$7:Y133,Y133))</f>
        <v>0</v>
      </c>
      <c r="AD133" s="218">
        <f>IFERROR(VLOOKUP(J133,競技会設定!$P$2:$S$22,2,0),0)</f>
        <v>0</v>
      </c>
      <c r="AE133" s="218">
        <f t="shared" ref="AE133" si="1443">IF(E131="",0,IF(AD133=0,0,IF(AD133&lt;3,E131&amp;$AE$6,0)))</f>
        <v>0</v>
      </c>
      <c r="AF133" s="218">
        <f>IF(AE133=0,0,E131&amp;COUNTIF($AE$7:AE133,AE133))</f>
        <v>0</v>
      </c>
      <c r="AG133" s="218">
        <f t="shared" ref="AG133" si="1444">IF(E131="",0,IF(AD133=0,0,IF(AD133&gt;=3,E131&amp;$AG$6,0)))</f>
        <v>0</v>
      </c>
      <c r="AH133" s="218">
        <f>IF(AG133=0,0,E131&amp;COUNTIF($AG$7:AG133,AG133))</f>
        <v>0</v>
      </c>
      <c r="AI133" s="218">
        <f t="shared" si="1159"/>
        <v>0</v>
      </c>
      <c r="AJ133" s="218" t="b">
        <f>IF(AI133=0,FALSE,IF(COUNTIF(AI$7:AI133,AI133)&gt;1,TRUE,FALSE))</f>
        <v>0</v>
      </c>
      <c r="AK133" s="218">
        <f t="shared" ref="AK133" si="1445">IF($AD133=AK$6,$E131,0)</f>
        <v>0</v>
      </c>
      <c r="AL133" s="218" t="b">
        <f>IF(AK133=0,FALSE,IF(COUNTIF(AK$7:AK133,AK133)&gt;1,TRUE,FALSE))</f>
        <v>0</v>
      </c>
      <c r="AM133" s="218">
        <f t="shared" ref="AM133" si="1446">IF($AD133=AM$6,$E131,0)</f>
        <v>0</v>
      </c>
      <c r="AN133" s="218" t="b">
        <f>IF(AM133=0,FALSE,IF(COUNTIF(AM$7:AM133,AM133)&gt;1,TRUE,FALSE))</f>
        <v>0</v>
      </c>
      <c r="AO133" s="218">
        <f t="shared" ref="AO133" si="1447">IF($AD133=AO$6,$E131,0)</f>
        <v>0</v>
      </c>
      <c r="AP133" s="218" t="b">
        <f>IF(AO133=0,FALSE,IF(COUNTIF(AO$7:AO133,AO133)&gt;1,TRUE,FALSE))</f>
        <v>0</v>
      </c>
      <c r="AQ133" s="218">
        <f t="shared" ref="AQ133" si="1448">IF(COUNTIF(Y133,"*十種競技*")&gt;0,E131,0)</f>
        <v>0</v>
      </c>
      <c r="AR133" s="218" t="b">
        <f>IF(AQ133=0,FALSE,IF(OR(COUNTIF($AI$7:$AI$406,AQ133)+COUNTIF($AQ133:$AQ$406,AQ133)&gt;1,COUNTIF($AK$7:$AK$406,AQ133)+COUNTIF($AQ$7:$AQ$406,AQ133)&gt;1),TRUE,FALSE))</f>
        <v>0</v>
      </c>
      <c r="AT133" s="218" t="b">
        <f t="shared" si="744"/>
        <v>0</v>
      </c>
      <c r="AU133" s="274"/>
      <c r="AX133" s="274"/>
      <c r="BD133" s="218" t="b">
        <f t="shared" si="732"/>
        <v>0</v>
      </c>
      <c r="BF133" s="231" t="b">
        <f t="shared" ref="BF133" si="1449">IF(J133="",FALSE,IF(OR(AND(AU131,L133=""),AND(AU131,L133="",OR(M133&lt;&gt;"",N133&lt;&gt;"",O133&lt;&gt;"",P133&lt;&gt;""))),TRUE,FALSE))</f>
        <v>0</v>
      </c>
      <c r="BG133" s="218" t="b">
        <f t="shared" si="734"/>
        <v>0</v>
      </c>
      <c r="BH133" s="218" t="b">
        <f t="shared" si="746"/>
        <v>0</v>
      </c>
      <c r="BI133" s="231" t="b">
        <f t="shared" ref="BI133" si="1450">IF(J133="",FALSE,IF(L133=0,FALSE,IF(AND(AU131,NOT(BF133),OR(M133="",N133="",O133="")),TRUE,FALSE)))</f>
        <v>0</v>
      </c>
      <c r="BJ133" s="240" t="b">
        <f t="shared" si="748"/>
        <v>0</v>
      </c>
      <c r="BK133" s="231" t="b">
        <f>IF(NOT(BJ133),FALSE,IF(AND(競技会設定!$C$5&lt;=BJ133,BJ133&lt;=競技会設定!$C$6),FALSE,TRUE))</f>
        <v>0</v>
      </c>
      <c r="BL133" s="218" t="b">
        <f>IF(J133="",FALSE,IF(L133=0,FALSE,IF(AND(AU131,NOT(BF133),NOT(BI133),P133=""),TRUE,FALSE)))</f>
        <v>0</v>
      </c>
      <c r="BO133" s="274"/>
    </row>
    <row r="134" spans="1:67" ht="18" customHeight="1" thickBot="1">
      <c r="A134" s="422"/>
      <c r="B134" s="387" t="s">
        <v>7051</v>
      </c>
      <c r="C134" s="387"/>
      <c r="D134" s="213"/>
      <c r="E134" s="388"/>
      <c r="F134" s="389"/>
      <c r="G134" s="390"/>
      <c r="H134" s="141"/>
      <c r="I134" s="213" t="s">
        <v>7065</v>
      </c>
      <c r="J134" s="154"/>
      <c r="K134" s="213" t="s">
        <v>7066</v>
      </c>
      <c r="L134" s="154"/>
      <c r="M134" s="267"/>
      <c r="N134" s="268"/>
      <c r="O134" s="269"/>
      <c r="P134" s="154"/>
      <c r="Q134" s="383"/>
      <c r="R134" s="386"/>
      <c r="S134" s="136"/>
      <c r="T134" s="137"/>
      <c r="U134" s="137"/>
      <c r="V134" s="137"/>
      <c r="W134" s="137"/>
      <c r="X134" s="137"/>
      <c r="Y134" s="218">
        <f t="shared" ref="Y134" si="1451">IF(OR(E131="",J134=""),0,J134&amp;E131)</f>
        <v>0</v>
      </c>
      <c r="Z134" s="218">
        <f>IF(Y134=0,0,COUNTIF($Y$7:Y134,Y134))</f>
        <v>0</v>
      </c>
      <c r="AD134" s="218">
        <f>IFERROR(VLOOKUP(J134,競技会設定!$P$2:$S$22,2,0),0)</f>
        <v>0</v>
      </c>
      <c r="AE134" s="218">
        <f t="shared" ref="AE134" si="1452">IF(E131="",0,IF(AD134=0,0,IF(AD134&lt;3,E131&amp;$AE$6,0)))</f>
        <v>0</v>
      </c>
      <c r="AF134" s="218">
        <f>IF(AE134=0,0,E131&amp;COUNTIF($AE$7:AE134,AE134))</f>
        <v>0</v>
      </c>
      <c r="AG134" s="218">
        <f t="shared" ref="AG134" si="1453">IF(E131="",0,IF(AD134=0,0,IF(AD134&gt;=3,E131&amp;$AG$6,0)))</f>
        <v>0</v>
      </c>
      <c r="AH134" s="218">
        <f>IF(AG134=0,0,E131&amp;COUNTIF($AG$7:AG134,AG134))</f>
        <v>0</v>
      </c>
      <c r="AI134" s="218">
        <f t="shared" si="1169"/>
        <v>0</v>
      </c>
      <c r="AJ134" s="218" t="b">
        <f>IF(AI134=0,FALSE,IF(COUNTIF(AI$7:AI134,AI134)&gt;1,TRUE,FALSE))</f>
        <v>0</v>
      </c>
      <c r="AK134" s="218">
        <f t="shared" ref="AK134" si="1454">IF($AD134=AK$6,$E131,0)</f>
        <v>0</v>
      </c>
      <c r="AL134" s="218" t="b">
        <f>IF(AK134=0,FALSE,IF(COUNTIF(AK$7:AK134,AK134)&gt;1,TRUE,FALSE))</f>
        <v>0</v>
      </c>
      <c r="AM134" s="218">
        <f t="shared" ref="AM134" si="1455">IF($AD134=AM$6,$E131,0)</f>
        <v>0</v>
      </c>
      <c r="AN134" s="218" t="b">
        <f>IF(AM134=0,FALSE,IF(COUNTIF(AM$7:AM134,AM134)&gt;1,TRUE,FALSE))</f>
        <v>0</v>
      </c>
      <c r="AO134" s="218">
        <f t="shared" ref="AO134" si="1456">IF($AD134=AO$6,$E131,0)</f>
        <v>0</v>
      </c>
      <c r="AP134" s="218" t="b">
        <f>IF(AO134=0,FALSE,IF(COUNTIF(AO$7:AO134,AO134)&gt;1,TRUE,FALSE))</f>
        <v>0</v>
      </c>
      <c r="AQ134" s="218">
        <f t="shared" ref="AQ134" si="1457">IF(COUNTIF(Y134,"*十種競技*")&gt;0,E131,0)</f>
        <v>0</v>
      </c>
      <c r="AR134" s="218" t="b">
        <f>IF(AQ134=0,FALSE,IF(OR(COUNTIF($AI$7:$AI$406,AQ134)+COUNTIF($AQ134:$AQ$406,AQ134)&gt;1,COUNTIF($AK$7:$AK$406,AQ134)+COUNTIF($AQ$7:$AQ$406,AQ134)&gt;1),TRUE,FALSE))</f>
        <v>0</v>
      </c>
      <c r="AT134" s="218" t="b">
        <f t="shared" si="744"/>
        <v>0</v>
      </c>
      <c r="AU134" s="274"/>
      <c r="AX134" s="274"/>
      <c r="BD134" s="218" t="b">
        <f t="shared" si="732"/>
        <v>0</v>
      </c>
      <c r="BF134" s="231" t="b">
        <f t="shared" ref="BF134" si="1458">IF(J134="",FALSE,IF(OR(AND(AU131,L134=""),AND(AU131,L134="",OR(M134&lt;&gt;"",N134&lt;&gt;"",O134&lt;&gt;"",P134&lt;&gt;""))),TRUE,FALSE))</f>
        <v>0</v>
      </c>
      <c r="BG134" s="218" t="b">
        <f t="shared" si="734"/>
        <v>0</v>
      </c>
      <c r="BH134" s="218" t="b">
        <f t="shared" si="746"/>
        <v>0</v>
      </c>
      <c r="BI134" s="231" t="b">
        <f t="shared" ref="BI134" si="1459">IF(J134="",FALSE,IF(L134=0,FALSE,IF(AND(AU131,NOT(BF134),OR(M134="",N134="",O134="")),TRUE,FALSE)))</f>
        <v>0</v>
      </c>
      <c r="BJ134" s="240" t="b">
        <f t="shared" si="748"/>
        <v>0</v>
      </c>
      <c r="BK134" s="231" t="b">
        <f>IF(NOT(BJ134),FALSE,IF(AND(競技会設定!$C$5&lt;=BJ134,BJ134&lt;=競技会設定!$C$6),FALSE,TRUE))</f>
        <v>0</v>
      </c>
      <c r="BL134" s="218" t="b">
        <f>IF(J134="",FALSE,IF(L134=0,FALSE,IF(AND(AU131,NOT(BF134),NOT(BI134),P134=""),TRUE,FALSE)))</f>
        <v>0</v>
      </c>
      <c r="BO134" s="274"/>
    </row>
    <row r="135" spans="1:67" ht="18" customHeight="1" thickTop="1">
      <c r="A135" s="417">
        <v>33</v>
      </c>
      <c r="B135" s="401" t="s">
        <v>7050</v>
      </c>
      <c r="C135" s="403"/>
      <c r="D135" s="220" t="str">
        <f t="shared" ref="D135" si="1460">IF(C135="","",501&amp;TEXT(C135,"000000"))</f>
        <v/>
      </c>
      <c r="E135" s="396" t="str">
        <f>IF(D135="","",(VLOOKUP(D135,男子登録!$A$2:$N$2001,3,0)))</f>
        <v/>
      </c>
      <c r="F135" s="396" t="str">
        <f>IF(D135="","",(VLOOKUP(D135,男子登録!$A$2:$N$2001,4,0)))</f>
        <v/>
      </c>
      <c r="G135" s="220" t="str">
        <f>IF(C135="","",(VLOOKUP(D135,男子登録!$A$2:$N$2001,8,0)))</f>
        <v/>
      </c>
      <c r="H135" s="220">
        <f>IFERROR(VLOOKUP(D135,男子登録!$A$2:$N$2001,11,0),基本情報!$E$5)</f>
        <v>0</v>
      </c>
      <c r="I135" s="220" t="s">
        <v>7059</v>
      </c>
      <c r="J135" s="148"/>
      <c r="K135" s="220" t="s">
        <v>7060</v>
      </c>
      <c r="L135" s="148"/>
      <c r="M135" s="252"/>
      <c r="N135" s="253"/>
      <c r="O135" s="254"/>
      <c r="P135" s="148"/>
      <c r="Q135" s="398"/>
      <c r="R135" s="391"/>
      <c r="S135" s="136">
        <f t="shared" ref="S135" si="1461">IF(OR(E135="",Q135=""),0,E135)</f>
        <v>0</v>
      </c>
      <c r="T135" s="137">
        <f>IF(S135=0,0,COUNTIF($S$7:S135,"*"))</f>
        <v>0</v>
      </c>
      <c r="U135" s="137">
        <f>IF(S135=0,0,COUNTIF($S$7:S135,S135))</f>
        <v>0</v>
      </c>
      <c r="V135" s="137">
        <f t="shared" si="949"/>
        <v>0</v>
      </c>
      <c r="W135" s="137">
        <f>IF(V135=0,0,COUNTIF($V$7:V135,"*"))</f>
        <v>0</v>
      </c>
      <c r="X135" s="137">
        <f>IF(V135=0,0,COUNTIF($V$7:V135,V135))</f>
        <v>0</v>
      </c>
      <c r="Y135" s="218">
        <f t="shared" ref="Y135" si="1462">IF(OR(E135="",J135=""),0,J135&amp;E135)</f>
        <v>0</v>
      </c>
      <c r="Z135" s="218">
        <f>IF(Y135=0,0,COUNTIF($Y$7:Y135,Y135))</f>
        <v>0</v>
      </c>
      <c r="AA135" s="218" t="b">
        <f t="shared" ref="AA135" si="1463">IF(COUNTIF(J135:J138,"十種競技")&gt;0,TRUE,FALSE)</f>
        <v>0</v>
      </c>
      <c r="AB135" s="218">
        <f>IF(E135="",0,IF(AA135,COUNTIF($AA$7:AA135,TRUE),0))</f>
        <v>0</v>
      </c>
      <c r="AC135" s="218">
        <f>IFERROR(VLOOKUP("十種競技",J135:L138,3,0),0)</f>
        <v>0</v>
      </c>
      <c r="AD135" s="218">
        <f>IFERROR(VLOOKUP(J135,競技会設定!$P$2:$S$22,2,0),0)</f>
        <v>0</v>
      </c>
      <c r="AE135" s="218">
        <f t="shared" ref="AE135" si="1464">IF(E135="",0,IF(AD135=0,0,IF(AD135&lt;3,E135&amp;$AE$6,0)))</f>
        <v>0</v>
      </c>
      <c r="AF135" s="218">
        <f>IF(AE135=0,0,E135&amp;COUNTIF($AE$7:AE135,AE135))</f>
        <v>0</v>
      </c>
      <c r="AG135" s="218">
        <f t="shared" ref="AG135" si="1465">IF(E135="",0,IF(AD135=0,0,IF(AD135&gt;=3,E135&amp;$AG$6,0)))</f>
        <v>0</v>
      </c>
      <c r="AH135" s="218">
        <f>IF(AG135=0,0,E135&amp;COUNTIF($AG$7:AG135,AG135))</f>
        <v>0</v>
      </c>
      <c r="AI135" s="218">
        <f t="shared" si="1182"/>
        <v>0</v>
      </c>
      <c r="AJ135" s="218" t="b">
        <f>IF(AI135=0,FALSE,IF(COUNTIF(AI$7:AI135,AI135)&gt;1,TRUE,FALSE))</f>
        <v>0</v>
      </c>
      <c r="AK135" s="218">
        <f t="shared" ref="AK135" si="1466">IF($AD135=AK$6,$E135,0)</f>
        <v>0</v>
      </c>
      <c r="AL135" s="218" t="b">
        <f>IF(AK135=0,FALSE,IF(COUNTIF(AK$7:AK135,AK135)&gt;1,TRUE,FALSE))</f>
        <v>0</v>
      </c>
      <c r="AM135" s="218">
        <f t="shared" ref="AM135" si="1467">IF($AD135=AM$6,$E135,0)</f>
        <v>0</v>
      </c>
      <c r="AN135" s="218" t="b">
        <f>IF(AM135=0,FALSE,IF(COUNTIF(AM$7:AM135,AM135)&gt;1,TRUE,FALSE))</f>
        <v>0</v>
      </c>
      <c r="AO135" s="218">
        <f t="shared" ref="AO135" si="1468">IF($AD135=AO$6,$E135,0)</f>
        <v>0</v>
      </c>
      <c r="AP135" s="218" t="b">
        <f>IF(AO135=0,FALSE,IF(COUNTIF(AO$7:AO135,AO135)&gt;1,TRUE,FALSE))</f>
        <v>0</v>
      </c>
      <c r="AQ135" s="218">
        <f t="shared" ref="AQ135" si="1469">IF(COUNTIF(Y135,"*十種競技*")&gt;0,E135,0)</f>
        <v>0</v>
      </c>
      <c r="AR135" s="218" t="b">
        <f>IF(AQ135=0,FALSE,IF(OR(COUNTIF($AI$7:$AI$406,AQ135)+COUNTIF($AQ135:$AQ$406,AQ135)&gt;1,COUNTIF($AK$7:$AK$406,AQ135)+COUNTIF($AQ$7:$AQ$406,AQ135)&gt;1),TRUE,FALSE))</f>
        <v>0</v>
      </c>
      <c r="AS135" s="218" t="b">
        <f t="shared" ref="AS135" si="1470">IF(AND(C135="",E135&lt;&gt;"",F135&lt;&gt;"",E137&lt;&gt;"",G135&lt;&gt;"",G136&lt;&gt;"",G137&lt;&gt;""),TRUE,FALSE)</f>
        <v>0</v>
      </c>
      <c r="AT135" s="218" t="b">
        <f t="shared" si="744"/>
        <v>0</v>
      </c>
      <c r="AU135" s="274" t="b">
        <f t="shared" ref="AU135" si="1471">IFERROR(IF(D135&amp;E135&amp;F135&amp;E137&amp;G135&amp;G136&amp;G137&amp;J135&amp;J136&amp;J137&amp;J138&amp;L135&amp;L136&amp;L137&amp;L138&amp;M135&amp;M136&amp;M137&amp;M138&amp;N135&amp;N136&amp;N137&amp;N138&amp;O135&amp;O136&amp;O137&amp;O138&amp;P135&amp;P136&amp;P137&amp;P138&amp;Q135&amp;R135="",FALSE,TRUE),FALSE)</f>
        <v>0</v>
      </c>
      <c r="AV135" s="218" t="b">
        <f t="shared" ref="AV135" si="1472">IF(AS135,FALSE,IF(C135="",AU135,FALSE))</f>
        <v>0</v>
      </c>
      <c r="AW135" s="218" t="b">
        <f>IF(C135="",FALSE,IF(C135&gt;2000,TRUE,FALSE))</f>
        <v>0</v>
      </c>
      <c r="AX135" s="274" t="b">
        <f>IF(H135=0,FALSE,IF(EXACT(基本情報!$E$5,H135)=TRUE,FALSE,TRUE))</f>
        <v>0</v>
      </c>
      <c r="AY135" s="218" t="b">
        <f>IF(C135="",FALSE,IF(ISNA(E135)=TRUE,TRUE,FALSE))</f>
        <v>0</v>
      </c>
      <c r="AZ135" s="274" t="b">
        <f>IFERROR(IF(E135="",FALSE,IF(COUNTIF($E$7:E135,E135)&gt;1,TRUE,FALSE)),FALSE)</f>
        <v>0</v>
      </c>
      <c r="BA135" s="218" t="b">
        <f t="shared" ref="BA135" si="1473">IF(OR(J135&amp;J136&amp;J137&amp;J138&amp;Q135&amp;R135="",AT135,AT136,AT137,AT138),AU135,FALSE)</f>
        <v>0</v>
      </c>
      <c r="BB135" s="218" t="b">
        <f>IF(U135&gt;1,TRUE,FALSE)</f>
        <v>0</v>
      </c>
      <c r="BC135" s="218" t="b">
        <f>IF(X135&gt;1,TRUE,FALSE)</f>
        <v>0</v>
      </c>
      <c r="BD135" s="218" t="b">
        <f t="shared" ref="BD135:BD198" si="1474">IF(Z135&gt;1,TRUE,FALSE)</f>
        <v>0</v>
      </c>
      <c r="BF135" s="231" t="b">
        <f t="shared" ref="BF135" si="1475">IF(J135="",FALSE,IF(OR(AND(AU135,L135=""),AND(AU135,L135="",OR(M135&lt;&gt;"",N135&lt;&gt;"",O135&lt;&gt;"",P135&lt;&gt;""))),TRUE,FALSE))</f>
        <v>0</v>
      </c>
      <c r="BG135" s="218" t="b">
        <f t="shared" ref="BG135:BG198" si="1476">IF(J135="",FALSE,IF(ISNUMBER(L135)&lt;&gt;TRUE,TRUE,IFERROR(IF(MOD(L135,1)=0,FALSE,TRUE),FALSE)))</f>
        <v>0</v>
      </c>
      <c r="BH135" s="218" t="b">
        <f t="shared" si="746"/>
        <v>0</v>
      </c>
      <c r="BI135" s="231" t="b">
        <f t="shared" ref="BI135" si="1477">IF(J135="",FALSE,IF(L135=0,FALSE,IF(AND(AU135,NOT(BF135),OR(M135="",N135="",O135="")),TRUE,FALSE)))</f>
        <v>0</v>
      </c>
      <c r="BJ135" s="240" t="b">
        <f t="shared" si="748"/>
        <v>0</v>
      </c>
      <c r="BK135" s="231" t="b">
        <f>IF(NOT(BJ135),FALSE,IF(AND(競技会設定!$C$5&lt;=BJ135,BJ135&lt;=競技会設定!$C$6),FALSE,TRUE))</f>
        <v>0</v>
      </c>
      <c r="BL135" s="218" t="b">
        <f>IF(J135="",FALSE,IF(L135=0,FALSE,IF(AND(AU135,NOT(BF135),NOT(BI135),P135=""),TRUE,FALSE)))</f>
        <v>0</v>
      </c>
      <c r="BO135" s="274">
        <f t="shared" ref="BO135" si="1478">IF(AND(AU135,SUM(COUNTIF(AV135:BC135,TRUE),COUNTIF(BF135:BL138,TRUE),COUNTIF(BD135:BD138,TRUE))=0,NOT($BE$7)),1,0)</f>
        <v>0</v>
      </c>
    </row>
    <row r="136" spans="1:67" ht="17.399999999999999" customHeight="1">
      <c r="A136" s="418"/>
      <c r="B136" s="402"/>
      <c r="C136" s="404"/>
      <c r="D136" s="221"/>
      <c r="E136" s="397"/>
      <c r="F136" s="397"/>
      <c r="G136" s="221" t="str">
        <f>IF(C135="","",(VLOOKUP(D135,男子登録!$A$2:$N$2001,13,0)))</f>
        <v/>
      </c>
      <c r="H136" s="221"/>
      <c r="I136" s="221" t="s">
        <v>7061</v>
      </c>
      <c r="J136" s="149"/>
      <c r="K136" s="221" t="s">
        <v>7062</v>
      </c>
      <c r="L136" s="149"/>
      <c r="M136" s="255"/>
      <c r="N136" s="256"/>
      <c r="O136" s="257"/>
      <c r="P136" s="149"/>
      <c r="Q136" s="399"/>
      <c r="R136" s="392"/>
      <c r="S136" s="136"/>
      <c r="T136" s="137"/>
      <c r="U136" s="137"/>
      <c r="V136" s="137"/>
      <c r="W136" s="137"/>
      <c r="X136" s="137"/>
      <c r="Y136" s="218">
        <f t="shared" ref="Y136" si="1479">IF(OR(E135="",J136=""),0,J136&amp;E135)</f>
        <v>0</v>
      </c>
      <c r="Z136" s="218">
        <f>IF(Y136=0,0,COUNTIF($Y$7:Y136,Y136))</f>
        <v>0</v>
      </c>
      <c r="AD136" s="218">
        <f>IFERROR(VLOOKUP(J136,競技会設定!$P$2:$S$22,2,0),0)</f>
        <v>0</v>
      </c>
      <c r="AE136" s="218">
        <f t="shared" ref="AE136" si="1480">IF(E135="",0,IF(AD136=0,0,IF(AD136&lt;3,E135&amp;$AE$6,0)))</f>
        <v>0</v>
      </c>
      <c r="AF136" s="218">
        <f>IF(AE136=0,0,E135&amp;COUNTIF($AE$7:AE136,AE136))</f>
        <v>0</v>
      </c>
      <c r="AG136" s="218">
        <f t="shared" ref="AG136" si="1481">IF(E135="",0,IF(AD136=0,0,IF(AD136&gt;=3,E135&amp;$AG$6,0)))</f>
        <v>0</v>
      </c>
      <c r="AH136" s="218">
        <f>IF(AG136=0,0,E135&amp;COUNTIF($AG$7:AG136,AG136))</f>
        <v>0</v>
      </c>
      <c r="AI136" s="218">
        <f t="shared" si="1197"/>
        <v>0</v>
      </c>
      <c r="AJ136" s="218" t="b">
        <f>IF(AI136=0,FALSE,IF(COUNTIF(AI$7:AI136,AI136)&gt;1,TRUE,FALSE))</f>
        <v>0</v>
      </c>
      <c r="AK136" s="218">
        <f t="shared" ref="AK136" si="1482">IF($AD136=AK$6,$E135,0)</f>
        <v>0</v>
      </c>
      <c r="AL136" s="218" t="b">
        <f>IF(AK136=0,FALSE,IF(COUNTIF(AK$7:AK136,AK136)&gt;1,TRUE,FALSE))</f>
        <v>0</v>
      </c>
      <c r="AM136" s="218">
        <f t="shared" ref="AM136" si="1483">IF($AD136=AM$6,$E135,0)</f>
        <v>0</v>
      </c>
      <c r="AN136" s="218" t="b">
        <f>IF(AM136=0,FALSE,IF(COUNTIF(AM$7:AM136,AM136)&gt;1,TRUE,FALSE))</f>
        <v>0</v>
      </c>
      <c r="AO136" s="218">
        <f t="shared" ref="AO136" si="1484">IF($AD136=AO$6,$E135,0)</f>
        <v>0</v>
      </c>
      <c r="AP136" s="218" t="b">
        <f>IF(AO136=0,FALSE,IF(COUNTIF(AO$7:AO136,AO136)&gt;1,TRUE,FALSE))</f>
        <v>0</v>
      </c>
      <c r="AQ136" s="218">
        <f t="shared" ref="AQ136" si="1485">IF(COUNTIF(Y136,"*十種競技*")&gt;0,E135,0)</f>
        <v>0</v>
      </c>
      <c r="AR136" s="218" t="b">
        <f>IF(AQ136=0,FALSE,IF(OR(COUNTIF($AI$7:$AI$406,AQ136)+COUNTIF($AQ136:$AQ$406,AQ136)&gt;1,COUNTIF($AK$7:$AK$406,AQ136)+COUNTIF($AQ$7:$AQ$406,AQ136)&gt;1),TRUE,FALSE))</f>
        <v>0</v>
      </c>
      <c r="AT136" s="218" t="b">
        <f t="shared" ref="AT136:AT199" si="1486">IF(AND(J136="",OR(L136&lt;&gt;"",M136&lt;&gt;"",P136&lt;&gt;"")),TRUE,FALSE)</f>
        <v>0</v>
      </c>
      <c r="AU136" s="274"/>
      <c r="AX136" s="274"/>
      <c r="BD136" s="218" t="b">
        <f t="shared" si="1474"/>
        <v>0</v>
      </c>
      <c r="BF136" s="231" t="b">
        <f t="shared" ref="BF136" si="1487">IF(J136="",FALSE,IF(OR(AND(AU135,L136=""),AND(AU135,L136="",OR(M136&lt;&gt;"",N136&lt;&gt;"",O136&lt;&gt;"",P136&lt;&gt;""))),TRUE,FALSE))</f>
        <v>0</v>
      </c>
      <c r="BG136" s="218" t="b">
        <f t="shared" si="1476"/>
        <v>0</v>
      </c>
      <c r="BH136" s="218" t="b">
        <f t="shared" ref="BH136:BH199" si="1488">IF(COUNTIF(J136,"*m*")=0,FALSE,IF(VALUE(RIGHT(INT(L136/100),2))&gt;59,TRUE,IF(VALUE(RIGHT(INT(L136/10000),2))&gt;59,TRUE,FALSE)))</f>
        <v>0</v>
      </c>
      <c r="BI136" s="231" t="b">
        <f t="shared" ref="BI136" si="1489">IF(J136="",FALSE,IF(L136=0,FALSE,IF(AND(AU135,NOT(BF136),OR(M136="",N136="",O136="")),TRUE,FALSE)))</f>
        <v>0</v>
      </c>
      <c r="BJ136" s="240" t="b">
        <f t="shared" ref="BJ136:BJ199" si="1490">IF(OR(M136="",N136="",O136=""),FALSE,DATE(M136,N136,O136))</f>
        <v>0</v>
      </c>
      <c r="BK136" s="231" t="b">
        <f>IF(NOT(BJ136),FALSE,IF(AND(競技会設定!$C$5&lt;=BJ136,BJ136&lt;=競技会設定!$C$6),FALSE,TRUE))</f>
        <v>0</v>
      </c>
      <c r="BL136" s="218" t="b">
        <f>IF(J136="",FALSE,IF(L136=0,FALSE,IF(AND(AU135,NOT(BF136),NOT(BI136),P136=""),TRUE,FALSE)))</f>
        <v>0</v>
      </c>
      <c r="BO136" s="274"/>
    </row>
    <row r="137" spans="1:67" ht="17.399999999999999" customHeight="1">
      <c r="A137" s="418"/>
      <c r="B137" s="402"/>
      <c r="C137" s="404"/>
      <c r="D137" s="221"/>
      <c r="E137" s="394" t="str">
        <f>IF(C135="","",VLOOKUP(D135,男子登録!$A$2:$O$2001,14,0)&amp;" ("&amp;VLOOKUP(D135,男子登録!$A$2:$O$2001,15,0)&amp;")")</f>
        <v/>
      </c>
      <c r="F137" s="394"/>
      <c r="G137" s="222" t="str">
        <f>IF(C135="","",(VLOOKUP(D135,男子登録!$A$2:$N$2001,9,0)))</f>
        <v/>
      </c>
      <c r="H137" s="222"/>
      <c r="I137" s="222" t="s">
        <v>7063</v>
      </c>
      <c r="J137" s="150"/>
      <c r="K137" s="222" t="s">
        <v>7064</v>
      </c>
      <c r="L137" s="150"/>
      <c r="M137" s="255"/>
      <c r="N137" s="256"/>
      <c r="O137" s="257"/>
      <c r="P137" s="149"/>
      <c r="Q137" s="399"/>
      <c r="R137" s="392"/>
      <c r="S137" s="136"/>
      <c r="T137" s="137"/>
      <c r="U137" s="137"/>
      <c r="V137" s="137"/>
      <c r="W137" s="137"/>
      <c r="X137" s="137"/>
      <c r="Y137" s="218">
        <f t="shared" ref="Y137" si="1491">IF(OR(E135="",J137=""),0,J137&amp;E135)</f>
        <v>0</v>
      </c>
      <c r="Z137" s="218">
        <f>IF(Y137=0,0,COUNTIF($Y$7:Y137,Y137))</f>
        <v>0</v>
      </c>
      <c r="AD137" s="218">
        <f>IFERROR(VLOOKUP(J137,競技会設定!$P$2:$S$22,2,0),0)</f>
        <v>0</v>
      </c>
      <c r="AE137" s="218">
        <f t="shared" ref="AE137" si="1492">IF(E135="",0,IF(AD137=0,0,IF(AD137&lt;3,E135&amp;$AE$6,0)))</f>
        <v>0</v>
      </c>
      <c r="AF137" s="218">
        <f>IF(AE137=0,0,E135&amp;COUNTIF($AE$7:AE137,AE137))</f>
        <v>0</v>
      </c>
      <c r="AG137" s="218">
        <f t="shared" ref="AG137" si="1493">IF(E135="",0,IF(AD137=0,0,IF(AD137&gt;=3,E135&amp;$AG$6,0)))</f>
        <v>0</v>
      </c>
      <c r="AH137" s="218">
        <f>IF(AG137=0,0,E135&amp;COUNTIF($AG$7:AG137,AG137))</f>
        <v>0</v>
      </c>
      <c r="AI137" s="218">
        <f t="shared" si="1207"/>
        <v>0</v>
      </c>
      <c r="AJ137" s="218" t="b">
        <f>IF(AI137=0,FALSE,IF(COUNTIF(AI$7:AI137,AI137)&gt;1,TRUE,FALSE))</f>
        <v>0</v>
      </c>
      <c r="AK137" s="218">
        <f t="shared" ref="AK137" si="1494">IF($AD137=AK$6,$E135,0)</f>
        <v>0</v>
      </c>
      <c r="AL137" s="218" t="b">
        <f>IF(AK137=0,FALSE,IF(COUNTIF(AK$7:AK137,AK137)&gt;1,TRUE,FALSE))</f>
        <v>0</v>
      </c>
      <c r="AM137" s="218">
        <f t="shared" ref="AM137" si="1495">IF($AD137=AM$6,$E135,0)</f>
        <v>0</v>
      </c>
      <c r="AN137" s="218" t="b">
        <f>IF(AM137=0,FALSE,IF(COUNTIF(AM$7:AM137,AM137)&gt;1,TRUE,FALSE))</f>
        <v>0</v>
      </c>
      <c r="AO137" s="218">
        <f t="shared" ref="AO137" si="1496">IF($AD137=AO$6,$E135,0)</f>
        <v>0</v>
      </c>
      <c r="AP137" s="218" t="b">
        <f>IF(AO137=0,FALSE,IF(COUNTIF(AO$7:AO137,AO137)&gt;1,TRUE,FALSE))</f>
        <v>0</v>
      </c>
      <c r="AQ137" s="218">
        <f t="shared" ref="AQ137" si="1497">IF(COUNTIF(Y137,"*十種競技*")&gt;0,E135,0)</f>
        <v>0</v>
      </c>
      <c r="AR137" s="218" t="b">
        <f>IF(AQ137=0,FALSE,IF(OR(COUNTIF($AI$7:$AI$406,AQ137)+COUNTIF($AQ137:$AQ$406,AQ137)&gt;1,COUNTIF($AK$7:$AK$406,AQ137)+COUNTIF($AQ$7:$AQ$406,AQ137)&gt;1),TRUE,FALSE))</f>
        <v>0</v>
      </c>
      <c r="AT137" s="218" t="b">
        <f t="shared" si="1486"/>
        <v>0</v>
      </c>
      <c r="AU137" s="274"/>
      <c r="AX137" s="274"/>
      <c r="BD137" s="218" t="b">
        <f t="shared" si="1474"/>
        <v>0</v>
      </c>
      <c r="BF137" s="231" t="b">
        <f t="shared" ref="BF137" si="1498">IF(J137="",FALSE,IF(OR(AND(AU135,L137=""),AND(AU135,L137="",OR(M137&lt;&gt;"",N137&lt;&gt;"",O137&lt;&gt;"",P137&lt;&gt;""))),TRUE,FALSE))</f>
        <v>0</v>
      </c>
      <c r="BG137" s="218" t="b">
        <f t="shared" si="1476"/>
        <v>0</v>
      </c>
      <c r="BH137" s="218" t="b">
        <f t="shared" si="1488"/>
        <v>0</v>
      </c>
      <c r="BI137" s="231" t="b">
        <f t="shared" ref="BI137" si="1499">IF(J137="",FALSE,IF(L137=0,FALSE,IF(AND(AU135,NOT(BF137),OR(M137="",N137="",O137="")),TRUE,FALSE)))</f>
        <v>0</v>
      </c>
      <c r="BJ137" s="240" t="b">
        <f t="shared" si="1490"/>
        <v>0</v>
      </c>
      <c r="BK137" s="231" t="b">
        <f>IF(NOT(BJ137),FALSE,IF(AND(競技会設定!$C$5&lt;=BJ137,BJ137&lt;=競技会設定!$C$6),FALSE,TRUE))</f>
        <v>0</v>
      </c>
      <c r="BL137" s="218" t="b">
        <f>IF(J137="",FALSE,IF(L137=0,FALSE,IF(AND(AU135,NOT(BF137),NOT(BI137),P137=""),TRUE,FALSE)))</f>
        <v>0</v>
      </c>
      <c r="BO137" s="274"/>
    </row>
    <row r="138" spans="1:67" ht="18" customHeight="1" thickBot="1">
      <c r="A138" s="419"/>
      <c r="B138" s="395" t="s">
        <v>7051</v>
      </c>
      <c r="C138" s="395"/>
      <c r="D138" s="221"/>
      <c r="E138" s="372"/>
      <c r="F138" s="372"/>
      <c r="G138" s="372"/>
      <c r="H138" s="214"/>
      <c r="I138" s="214" t="s">
        <v>7065</v>
      </c>
      <c r="J138" s="219"/>
      <c r="K138" s="214" t="s">
        <v>7066</v>
      </c>
      <c r="L138" s="219"/>
      <c r="M138" s="258"/>
      <c r="N138" s="259"/>
      <c r="O138" s="260"/>
      <c r="P138" s="219"/>
      <c r="Q138" s="400"/>
      <c r="R138" s="393"/>
      <c r="S138" s="136"/>
      <c r="T138" s="137"/>
      <c r="U138" s="137"/>
      <c r="V138" s="137"/>
      <c r="W138" s="137"/>
      <c r="X138" s="137"/>
      <c r="Y138" s="218">
        <f t="shared" ref="Y138" si="1500">IF(OR(E135="",J138=""),0,J138&amp;E135)</f>
        <v>0</v>
      </c>
      <c r="Z138" s="218">
        <f>IF(Y138=0,0,COUNTIF($Y$7:Y138,Y138))</f>
        <v>0</v>
      </c>
      <c r="AD138" s="218">
        <f>IFERROR(VLOOKUP(J138,競技会設定!$P$2:$S$22,2,0),0)</f>
        <v>0</v>
      </c>
      <c r="AE138" s="218">
        <f t="shared" ref="AE138" si="1501">IF(E135="",0,IF(AD138=0,0,IF(AD138&lt;3,E135&amp;$AE$6,0)))</f>
        <v>0</v>
      </c>
      <c r="AF138" s="218">
        <f>IF(AE138=0,0,E135&amp;COUNTIF($AE$7:AE138,AE138))</f>
        <v>0</v>
      </c>
      <c r="AG138" s="218">
        <f t="shared" ref="AG138" si="1502">IF(E135="",0,IF(AD138=0,0,IF(AD138&gt;=3,E135&amp;$AG$6,0)))</f>
        <v>0</v>
      </c>
      <c r="AH138" s="218">
        <f>IF(AG138=0,0,E135&amp;COUNTIF($AG$7:AG138,AG138))</f>
        <v>0</v>
      </c>
      <c r="AI138" s="218">
        <f t="shared" si="1217"/>
        <v>0</v>
      </c>
      <c r="AJ138" s="218" t="b">
        <f>IF(AI138=0,FALSE,IF(COUNTIF(AI$7:AI138,AI138)&gt;1,TRUE,FALSE))</f>
        <v>0</v>
      </c>
      <c r="AK138" s="218">
        <f t="shared" ref="AK138" si="1503">IF($AD138=AK$6,$E135,0)</f>
        <v>0</v>
      </c>
      <c r="AL138" s="218" t="b">
        <f>IF(AK138=0,FALSE,IF(COUNTIF(AK$7:AK138,AK138)&gt;1,TRUE,FALSE))</f>
        <v>0</v>
      </c>
      <c r="AM138" s="218">
        <f t="shared" ref="AM138" si="1504">IF($AD138=AM$6,$E135,0)</f>
        <v>0</v>
      </c>
      <c r="AN138" s="218" t="b">
        <f>IF(AM138=0,FALSE,IF(COUNTIF(AM$7:AM138,AM138)&gt;1,TRUE,FALSE))</f>
        <v>0</v>
      </c>
      <c r="AO138" s="218">
        <f t="shared" ref="AO138" si="1505">IF($AD138=AO$6,$E135,0)</f>
        <v>0</v>
      </c>
      <c r="AP138" s="218" t="b">
        <f>IF(AO138=0,FALSE,IF(COUNTIF(AO$7:AO138,AO138)&gt;1,TRUE,FALSE))</f>
        <v>0</v>
      </c>
      <c r="AQ138" s="218">
        <f t="shared" ref="AQ138" si="1506">IF(COUNTIF(Y138,"*十種競技*")&gt;0,E135,0)</f>
        <v>0</v>
      </c>
      <c r="AR138" s="218" t="b">
        <f>IF(AQ138=0,FALSE,IF(OR(COUNTIF($AI$7:$AI$406,AQ138)+COUNTIF($AQ138:$AQ$406,AQ138)&gt;1,COUNTIF($AK$7:$AK$406,AQ138)+COUNTIF($AQ$7:$AQ$406,AQ138)&gt;1),TRUE,FALSE))</f>
        <v>0</v>
      </c>
      <c r="AT138" s="218" t="b">
        <f t="shared" si="1486"/>
        <v>0</v>
      </c>
      <c r="AU138" s="274"/>
      <c r="AX138" s="274"/>
      <c r="BD138" s="218" t="b">
        <f t="shared" si="1474"/>
        <v>0</v>
      </c>
      <c r="BF138" s="231" t="b">
        <f t="shared" ref="BF138" si="1507">IF(J138="",FALSE,IF(OR(AND(AU135,L138=""),AND(AU135,L138="",OR(M138&lt;&gt;"",N138&lt;&gt;"",O138&lt;&gt;"",P138&lt;&gt;""))),TRUE,FALSE))</f>
        <v>0</v>
      </c>
      <c r="BG138" s="218" t="b">
        <f t="shared" si="1476"/>
        <v>0</v>
      </c>
      <c r="BH138" s="218" t="b">
        <f t="shared" si="1488"/>
        <v>0</v>
      </c>
      <c r="BI138" s="231" t="b">
        <f t="shared" ref="BI138" si="1508">IF(J138="",FALSE,IF(L138=0,FALSE,IF(AND(AU135,NOT(BF138),OR(M138="",N138="",O138="")),TRUE,FALSE)))</f>
        <v>0</v>
      </c>
      <c r="BJ138" s="240" t="b">
        <f t="shared" si="1490"/>
        <v>0</v>
      </c>
      <c r="BK138" s="231" t="b">
        <f>IF(NOT(BJ138),FALSE,IF(AND(競技会設定!$C$5&lt;=BJ138,BJ138&lt;=競技会設定!$C$6),FALSE,TRUE))</f>
        <v>0</v>
      </c>
      <c r="BL138" s="218" t="b">
        <f>IF(J138="",FALSE,IF(L138=0,FALSE,IF(AND(AU135,NOT(BF138),NOT(BI138),P138=""),TRUE,FALSE)))</f>
        <v>0</v>
      </c>
      <c r="BO138" s="274"/>
    </row>
    <row r="139" spans="1:67" ht="18" customHeight="1" thickTop="1">
      <c r="A139" s="420">
        <v>34</v>
      </c>
      <c r="B139" s="373" t="s">
        <v>7050</v>
      </c>
      <c r="C139" s="375"/>
      <c r="D139" s="138" t="str">
        <f t="shared" ref="D139" si="1509">IF(C139="","",501&amp;TEXT(C139,"000000"))</f>
        <v/>
      </c>
      <c r="E139" s="377" t="str">
        <f>IF(D139="","",(VLOOKUP(D139,男子登録!$A$2:$N$2001,3,0)))</f>
        <v/>
      </c>
      <c r="F139" s="377" t="str">
        <f>IF(D139="","",(VLOOKUP(D139,男子登録!$A$2:$N$2001,4,0)))</f>
        <v/>
      </c>
      <c r="G139" s="138" t="str">
        <f>IF(C139="","",(VLOOKUP(D139,男子登録!$A$2:$N$2001,8,0)))</f>
        <v/>
      </c>
      <c r="H139" s="138">
        <f>IFERROR(VLOOKUP(D139,男子登録!$A$2:$N$2001,11,0),基本情報!$E$5)</f>
        <v>0</v>
      </c>
      <c r="I139" s="138" t="s">
        <v>7059</v>
      </c>
      <c r="J139" s="151"/>
      <c r="K139" s="138" t="s">
        <v>7060</v>
      </c>
      <c r="L139" s="151"/>
      <c r="M139" s="261"/>
      <c r="N139" s="262"/>
      <c r="O139" s="263"/>
      <c r="P139" s="151"/>
      <c r="Q139" s="381"/>
      <c r="R139" s="384"/>
      <c r="S139" s="136">
        <f t="shared" ref="S139" si="1510">IF(OR(E139="",Q139=""),0,E139)</f>
        <v>0</v>
      </c>
      <c r="T139" s="137">
        <f>IF(S139=0,0,COUNTIF($S$7:S139,"*"))</f>
        <v>0</v>
      </c>
      <c r="U139" s="137">
        <f>IF(S139=0,0,COUNTIF($S$7:S139,S139))</f>
        <v>0</v>
      </c>
      <c r="V139" s="137">
        <f t="shared" si="949"/>
        <v>0</v>
      </c>
      <c r="W139" s="137">
        <f>IF(V139=0,0,COUNTIF($V$7:V139,"*"))</f>
        <v>0</v>
      </c>
      <c r="X139" s="137">
        <f>IF(V139=0,0,COUNTIF($V$7:V139,V139))</f>
        <v>0</v>
      </c>
      <c r="Y139" s="218">
        <f t="shared" ref="Y139" si="1511">IF(OR(E139="",J139=""),0,J139&amp;E139)</f>
        <v>0</v>
      </c>
      <c r="Z139" s="218">
        <f>IF(Y139=0,0,COUNTIF($Y$7:Y139,Y139))</f>
        <v>0</v>
      </c>
      <c r="AA139" s="218" t="b">
        <f t="shared" ref="AA139" si="1512">IF(COUNTIF(J139:J142,"十種競技")&gt;0,TRUE,FALSE)</f>
        <v>0</v>
      </c>
      <c r="AB139" s="218">
        <f>IF(E139="",0,IF(AA139,COUNTIF($AA$7:AA139,TRUE),0))</f>
        <v>0</v>
      </c>
      <c r="AC139" s="218">
        <f>IFERROR(VLOOKUP("十種競技",J139:L142,3,0),0)</f>
        <v>0</v>
      </c>
      <c r="AD139" s="218">
        <f>IFERROR(VLOOKUP(J139,競技会設定!$P$2:$S$22,2,0),0)</f>
        <v>0</v>
      </c>
      <c r="AE139" s="218">
        <f t="shared" ref="AE139" si="1513">IF(E139="",0,IF(AD139=0,0,IF(AD139&lt;3,E139&amp;$AE$6,0)))</f>
        <v>0</v>
      </c>
      <c r="AF139" s="218">
        <f>IF(AE139=0,0,E139&amp;COUNTIF($AE$7:AE139,AE139))</f>
        <v>0</v>
      </c>
      <c r="AG139" s="218">
        <f t="shared" ref="AG139" si="1514">IF(E139="",0,IF(AD139=0,0,IF(AD139&gt;=3,E139&amp;$AG$6,0)))</f>
        <v>0</v>
      </c>
      <c r="AH139" s="218">
        <f>IF(AG139=0,0,E139&amp;COUNTIF($AG$7:AG139,AG139))</f>
        <v>0</v>
      </c>
      <c r="AI139" s="218">
        <f t="shared" si="1230"/>
        <v>0</v>
      </c>
      <c r="AJ139" s="218" t="b">
        <f>IF(AI139=0,FALSE,IF(COUNTIF(AI$7:AI139,AI139)&gt;1,TRUE,FALSE))</f>
        <v>0</v>
      </c>
      <c r="AK139" s="218">
        <f t="shared" ref="AK139" si="1515">IF($AD139=AK$6,$E139,0)</f>
        <v>0</v>
      </c>
      <c r="AL139" s="218" t="b">
        <f>IF(AK139=0,FALSE,IF(COUNTIF(AK$7:AK139,AK139)&gt;1,TRUE,FALSE))</f>
        <v>0</v>
      </c>
      <c r="AM139" s="218">
        <f t="shared" ref="AM139" si="1516">IF($AD139=AM$6,$E139,0)</f>
        <v>0</v>
      </c>
      <c r="AN139" s="218" t="b">
        <f>IF(AM139=0,FALSE,IF(COUNTIF(AM$7:AM139,AM139)&gt;1,TRUE,FALSE))</f>
        <v>0</v>
      </c>
      <c r="AO139" s="218">
        <f t="shared" ref="AO139" si="1517">IF($AD139=AO$6,$E139,0)</f>
        <v>0</v>
      </c>
      <c r="AP139" s="218" t="b">
        <f>IF(AO139=0,FALSE,IF(COUNTIF(AO$7:AO139,AO139)&gt;1,TRUE,FALSE))</f>
        <v>0</v>
      </c>
      <c r="AQ139" s="218">
        <f t="shared" ref="AQ139" si="1518">IF(COUNTIF(Y139,"*十種競技*")&gt;0,E139,0)</f>
        <v>0</v>
      </c>
      <c r="AR139" s="218" t="b">
        <f>IF(AQ139=0,FALSE,IF(OR(COUNTIF($AI$7:$AI$406,AQ139)+COUNTIF($AQ139:$AQ$406,AQ139)&gt;1,COUNTIF($AK$7:$AK$406,AQ139)+COUNTIF($AQ$7:$AQ$406,AQ139)&gt;1),TRUE,FALSE))</f>
        <v>0</v>
      </c>
      <c r="AS139" s="218" t="b">
        <f t="shared" ref="AS139" si="1519">IF(AND(C139="",E139&lt;&gt;"",F139&lt;&gt;"",E141&lt;&gt;"",G139&lt;&gt;"",G140&lt;&gt;"",G141&lt;&gt;""),TRUE,FALSE)</f>
        <v>0</v>
      </c>
      <c r="AT139" s="218" t="b">
        <f t="shared" si="1486"/>
        <v>0</v>
      </c>
      <c r="AU139" s="274" t="b">
        <f t="shared" ref="AU139" si="1520">IFERROR(IF(D139&amp;E139&amp;F139&amp;E141&amp;G139&amp;G140&amp;G141&amp;J139&amp;J140&amp;J141&amp;J142&amp;L139&amp;L140&amp;L141&amp;L142&amp;M139&amp;M140&amp;M141&amp;M142&amp;N139&amp;N140&amp;N141&amp;N142&amp;O139&amp;O140&amp;O141&amp;O142&amp;P139&amp;P140&amp;P141&amp;P142&amp;Q139&amp;R139="",FALSE,TRUE),FALSE)</f>
        <v>0</v>
      </c>
      <c r="AV139" s="218" t="b">
        <f t="shared" ref="AV139" si="1521">IF(AS139,FALSE,IF(C139="",AU139,FALSE))</f>
        <v>0</v>
      </c>
      <c r="AW139" s="218" t="b">
        <f>IF(C139="",FALSE,IF(C139&gt;2000,TRUE,FALSE))</f>
        <v>0</v>
      </c>
      <c r="AX139" s="274" t="b">
        <f>IF(H139=0,FALSE,IF(EXACT(基本情報!$E$5,H139)=TRUE,FALSE,TRUE))</f>
        <v>0</v>
      </c>
      <c r="AY139" s="218" t="b">
        <f>IF(C139="",FALSE,IF(ISNA(E139)=TRUE,TRUE,FALSE))</f>
        <v>0</v>
      </c>
      <c r="AZ139" s="274" t="b">
        <f>IFERROR(IF(E139="",FALSE,IF(COUNTIF($E$7:E139,E139)&gt;1,TRUE,FALSE)),FALSE)</f>
        <v>0</v>
      </c>
      <c r="BA139" s="218" t="b">
        <f t="shared" ref="BA139" si="1522">IF(OR(J139&amp;J140&amp;J141&amp;J142&amp;Q139&amp;R139="",AT139,AT140,AT141,AT142),AU139,FALSE)</f>
        <v>0</v>
      </c>
      <c r="BB139" s="218" t="b">
        <f>IF(U139&gt;1,TRUE,FALSE)</f>
        <v>0</v>
      </c>
      <c r="BC139" s="218" t="b">
        <f>IF(X139&gt;1,TRUE,FALSE)</f>
        <v>0</v>
      </c>
      <c r="BD139" s="218" t="b">
        <f t="shared" si="1474"/>
        <v>0</v>
      </c>
      <c r="BF139" s="231" t="b">
        <f t="shared" ref="BF139" si="1523">IF(J139="",FALSE,IF(OR(AND(AU139,L139=""),AND(AU139,L139="",OR(M139&lt;&gt;"",N139&lt;&gt;"",O139&lt;&gt;"",P139&lt;&gt;""))),TRUE,FALSE))</f>
        <v>0</v>
      </c>
      <c r="BG139" s="218" t="b">
        <f t="shared" si="1476"/>
        <v>0</v>
      </c>
      <c r="BH139" s="218" t="b">
        <f t="shared" si="1488"/>
        <v>0</v>
      </c>
      <c r="BI139" s="231" t="b">
        <f t="shared" ref="BI139" si="1524">IF(J139="",FALSE,IF(L139=0,FALSE,IF(AND(AU139,NOT(BF139),OR(M139="",N139="",O139="")),TRUE,FALSE)))</f>
        <v>0</v>
      </c>
      <c r="BJ139" s="240" t="b">
        <f t="shared" si="1490"/>
        <v>0</v>
      </c>
      <c r="BK139" s="231" t="b">
        <f>IF(NOT(BJ139),FALSE,IF(AND(競技会設定!$C$5&lt;=BJ139,BJ139&lt;=競技会設定!$C$6),FALSE,TRUE))</f>
        <v>0</v>
      </c>
      <c r="BL139" s="218" t="b">
        <f>IF(J139="",FALSE,IF(L139=0,FALSE,IF(AND(AU139,NOT(BF139),NOT(BI139),P139=""),TRUE,FALSE)))</f>
        <v>0</v>
      </c>
      <c r="BO139" s="274">
        <f t="shared" ref="BO139" si="1525">IF(AND(AU139,SUM(COUNTIF(AV139:BC139,TRUE),COUNTIF(BF139:BL142,TRUE),COUNTIF(BD139:BD142,TRUE))=0,NOT($BE$7)),1,0)</f>
        <v>0</v>
      </c>
    </row>
    <row r="140" spans="1:67" ht="17.399999999999999" customHeight="1">
      <c r="A140" s="421"/>
      <c r="B140" s="374"/>
      <c r="C140" s="376"/>
      <c r="D140" s="139"/>
      <c r="E140" s="378"/>
      <c r="F140" s="378"/>
      <c r="G140" s="139" t="str">
        <f>IF(C139="","",(VLOOKUP(D139,男子登録!$A$2:$N$2001,13,0)))</f>
        <v/>
      </c>
      <c r="H140" s="139"/>
      <c r="I140" s="139" t="s">
        <v>7061</v>
      </c>
      <c r="J140" s="152"/>
      <c r="K140" s="139" t="s">
        <v>7062</v>
      </c>
      <c r="L140" s="152"/>
      <c r="M140" s="264"/>
      <c r="N140" s="265"/>
      <c r="O140" s="266"/>
      <c r="P140" s="152"/>
      <c r="Q140" s="382"/>
      <c r="R140" s="385"/>
      <c r="S140" s="136"/>
      <c r="T140" s="137"/>
      <c r="U140" s="137"/>
      <c r="V140" s="137"/>
      <c r="W140" s="137"/>
      <c r="X140" s="137"/>
      <c r="Y140" s="218">
        <f t="shared" ref="Y140" si="1526">IF(OR(E139="",J140=""),0,J140&amp;E139)</f>
        <v>0</v>
      </c>
      <c r="Z140" s="218">
        <f>IF(Y140=0,0,COUNTIF($Y$7:Y140,Y140))</f>
        <v>0</v>
      </c>
      <c r="AD140" s="218">
        <f>IFERROR(VLOOKUP(J140,競技会設定!$P$2:$S$22,2,0),0)</f>
        <v>0</v>
      </c>
      <c r="AE140" s="218">
        <f t="shared" ref="AE140" si="1527">IF(E139="",0,IF(AD140=0,0,IF(AD140&lt;3,E139&amp;$AE$6,0)))</f>
        <v>0</v>
      </c>
      <c r="AF140" s="218">
        <f>IF(AE140=0,0,E139&amp;COUNTIF($AE$7:AE140,AE140))</f>
        <v>0</v>
      </c>
      <c r="AG140" s="218">
        <f t="shared" ref="AG140" si="1528">IF(E139="",0,IF(AD140=0,0,IF(AD140&gt;=3,E139&amp;$AG$6,0)))</f>
        <v>0</v>
      </c>
      <c r="AH140" s="218">
        <f>IF(AG140=0,0,E139&amp;COUNTIF($AG$7:AG140,AG140))</f>
        <v>0</v>
      </c>
      <c r="AI140" s="218">
        <f t="shared" si="1245"/>
        <v>0</v>
      </c>
      <c r="AJ140" s="218" t="b">
        <f>IF(AI140=0,FALSE,IF(COUNTIF(AI$7:AI140,AI140)&gt;1,TRUE,FALSE))</f>
        <v>0</v>
      </c>
      <c r="AK140" s="218">
        <f t="shared" ref="AK140" si="1529">IF($AD140=AK$6,$E139,0)</f>
        <v>0</v>
      </c>
      <c r="AL140" s="218" t="b">
        <f>IF(AK140=0,FALSE,IF(COUNTIF(AK$7:AK140,AK140)&gt;1,TRUE,FALSE))</f>
        <v>0</v>
      </c>
      <c r="AM140" s="218">
        <f t="shared" ref="AM140" si="1530">IF($AD140=AM$6,$E139,0)</f>
        <v>0</v>
      </c>
      <c r="AN140" s="218" t="b">
        <f>IF(AM140=0,FALSE,IF(COUNTIF(AM$7:AM140,AM140)&gt;1,TRUE,FALSE))</f>
        <v>0</v>
      </c>
      <c r="AO140" s="218">
        <f t="shared" ref="AO140" si="1531">IF($AD140=AO$6,$E139,0)</f>
        <v>0</v>
      </c>
      <c r="AP140" s="218" t="b">
        <f>IF(AO140=0,FALSE,IF(COUNTIF(AO$7:AO140,AO140)&gt;1,TRUE,FALSE))</f>
        <v>0</v>
      </c>
      <c r="AQ140" s="218">
        <f t="shared" ref="AQ140" si="1532">IF(COUNTIF(Y140,"*十種競技*")&gt;0,E139,0)</f>
        <v>0</v>
      </c>
      <c r="AR140" s="218" t="b">
        <f>IF(AQ140=0,FALSE,IF(OR(COUNTIF($AI$7:$AI$406,AQ140)+COUNTIF($AQ140:$AQ$406,AQ140)&gt;1,COUNTIF($AK$7:$AK$406,AQ140)+COUNTIF($AQ$7:$AQ$406,AQ140)&gt;1),TRUE,FALSE))</f>
        <v>0</v>
      </c>
      <c r="AT140" s="218" t="b">
        <f t="shared" si="1486"/>
        <v>0</v>
      </c>
      <c r="AU140" s="274"/>
      <c r="AX140" s="274"/>
      <c r="BD140" s="218" t="b">
        <f t="shared" si="1474"/>
        <v>0</v>
      </c>
      <c r="BF140" s="231" t="b">
        <f t="shared" ref="BF140" si="1533">IF(J140="",FALSE,IF(OR(AND(AU139,L140=""),AND(AU139,L140="",OR(M140&lt;&gt;"",N140&lt;&gt;"",O140&lt;&gt;"",P140&lt;&gt;""))),TRUE,FALSE))</f>
        <v>0</v>
      </c>
      <c r="BG140" s="218" t="b">
        <f t="shared" si="1476"/>
        <v>0</v>
      </c>
      <c r="BH140" s="218" t="b">
        <f t="shared" si="1488"/>
        <v>0</v>
      </c>
      <c r="BI140" s="231" t="b">
        <f t="shared" ref="BI140" si="1534">IF(J140="",FALSE,IF(L140=0,FALSE,IF(AND(AU139,NOT(BF140),OR(M140="",N140="",O140="")),TRUE,FALSE)))</f>
        <v>0</v>
      </c>
      <c r="BJ140" s="240" t="b">
        <f t="shared" si="1490"/>
        <v>0</v>
      </c>
      <c r="BK140" s="231" t="b">
        <f>IF(NOT(BJ140),FALSE,IF(AND(競技会設定!$C$5&lt;=BJ140,BJ140&lt;=競技会設定!$C$6),FALSE,TRUE))</f>
        <v>0</v>
      </c>
      <c r="BL140" s="218" t="b">
        <f>IF(J140="",FALSE,IF(L140=0,FALSE,IF(AND(AU139,NOT(BF140),NOT(BI140),P140=""),TRUE,FALSE)))</f>
        <v>0</v>
      </c>
      <c r="BO140" s="274"/>
    </row>
    <row r="141" spans="1:67" ht="17.399999999999999" customHeight="1">
      <c r="A141" s="421"/>
      <c r="B141" s="374"/>
      <c r="C141" s="376"/>
      <c r="D141" s="140"/>
      <c r="E141" s="379" t="str">
        <f>IF(C139="","",VLOOKUP(D139,男子登録!$A$2:$O$2001,14,0)&amp;" ("&amp;VLOOKUP(D139,男子登録!$A$2:$O$2001,15,0)&amp;")")</f>
        <v/>
      </c>
      <c r="F141" s="380"/>
      <c r="G141" s="140" t="str">
        <f>IF(C139="","",(VLOOKUP(D139,男子登録!$A$2:$N$2001,9,0)))</f>
        <v/>
      </c>
      <c r="H141" s="140"/>
      <c r="I141" s="140" t="s">
        <v>7063</v>
      </c>
      <c r="J141" s="153"/>
      <c r="K141" s="140" t="s">
        <v>7064</v>
      </c>
      <c r="L141" s="153"/>
      <c r="M141" s="264"/>
      <c r="N141" s="265"/>
      <c r="O141" s="266"/>
      <c r="P141" s="152"/>
      <c r="Q141" s="382"/>
      <c r="R141" s="385"/>
      <c r="S141" s="136"/>
      <c r="T141" s="137"/>
      <c r="U141" s="137"/>
      <c r="V141" s="137"/>
      <c r="W141" s="137"/>
      <c r="X141" s="137"/>
      <c r="Y141" s="218">
        <f t="shared" ref="Y141" si="1535">IF(OR(E139="",J141=""),0,J141&amp;E139)</f>
        <v>0</v>
      </c>
      <c r="Z141" s="218">
        <f>IF(Y141=0,0,COUNTIF($Y$7:Y141,Y141))</f>
        <v>0</v>
      </c>
      <c r="AD141" s="218">
        <f>IFERROR(VLOOKUP(J141,競技会設定!$P$2:$S$22,2,0),0)</f>
        <v>0</v>
      </c>
      <c r="AE141" s="218">
        <f t="shared" ref="AE141" si="1536">IF(E139="",0,IF(AD141=0,0,IF(AD141&lt;3,E139&amp;$AE$6,0)))</f>
        <v>0</v>
      </c>
      <c r="AF141" s="218">
        <f>IF(AE141=0,0,E139&amp;COUNTIF($AE$7:AE141,AE141))</f>
        <v>0</v>
      </c>
      <c r="AG141" s="218">
        <f t="shared" ref="AG141" si="1537">IF(E139="",0,IF(AD141=0,0,IF(AD141&gt;=3,E139&amp;$AG$6,0)))</f>
        <v>0</v>
      </c>
      <c r="AH141" s="218">
        <f>IF(AG141=0,0,E139&amp;COUNTIF($AG$7:AG141,AG141))</f>
        <v>0</v>
      </c>
      <c r="AI141" s="218">
        <f t="shared" si="1255"/>
        <v>0</v>
      </c>
      <c r="AJ141" s="218" t="b">
        <f>IF(AI141=0,FALSE,IF(COUNTIF(AI$7:AI141,AI141)&gt;1,TRUE,FALSE))</f>
        <v>0</v>
      </c>
      <c r="AK141" s="218">
        <f t="shared" ref="AK141" si="1538">IF($AD141=AK$6,$E139,0)</f>
        <v>0</v>
      </c>
      <c r="AL141" s="218" t="b">
        <f>IF(AK141=0,FALSE,IF(COUNTIF(AK$7:AK141,AK141)&gt;1,TRUE,FALSE))</f>
        <v>0</v>
      </c>
      <c r="AM141" s="218">
        <f t="shared" ref="AM141" si="1539">IF($AD141=AM$6,$E139,0)</f>
        <v>0</v>
      </c>
      <c r="AN141" s="218" t="b">
        <f>IF(AM141=0,FALSE,IF(COUNTIF(AM$7:AM141,AM141)&gt;1,TRUE,FALSE))</f>
        <v>0</v>
      </c>
      <c r="AO141" s="218">
        <f t="shared" ref="AO141" si="1540">IF($AD141=AO$6,$E139,0)</f>
        <v>0</v>
      </c>
      <c r="AP141" s="218" t="b">
        <f>IF(AO141=0,FALSE,IF(COUNTIF(AO$7:AO141,AO141)&gt;1,TRUE,FALSE))</f>
        <v>0</v>
      </c>
      <c r="AQ141" s="218">
        <f t="shared" ref="AQ141" si="1541">IF(COUNTIF(Y141,"*十種競技*")&gt;0,E139,0)</f>
        <v>0</v>
      </c>
      <c r="AR141" s="218" t="b">
        <f>IF(AQ141=0,FALSE,IF(OR(COUNTIF($AI$7:$AI$406,AQ141)+COUNTIF($AQ141:$AQ$406,AQ141)&gt;1,COUNTIF($AK$7:$AK$406,AQ141)+COUNTIF($AQ$7:$AQ$406,AQ141)&gt;1),TRUE,FALSE))</f>
        <v>0</v>
      </c>
      <c r="AT141" s="218" t="b">
        <f t="shared" si="1486"/>
        <v>0</v>
      </c>
      <c r="AU141" s="274"/>
      <c r="AX141" s="274"/>
      <c r="BD141" s="218" t="b">
        <f t="shared" si="1474"/>
        <v>0</v>
      </c>
      <c r="BF141" s="231" t="b">
        <f t="shared" ref="BF141" si="1542">IF(J141="",FALSE,IF(OR(AND(AU139,L141=""),AND(AU139,L141="",OR(M141&lt;&gt;"",N141&lt;&gt;"",O141&lt;&gt;"",P141&lt;&gt;""))),TRUE,FALSE))</f>
        <v>0</v>
      </c>
      <c r="BG141" s="218" t="b">
        <f t="shared" si="1476"/>
        <v>0</v>
      </c>
      <c r="BH141" s="218" t="b">
        <f t="shared" si="1488"/>
        <v>0</v>
      </c>
      <c r="BI141" s="231" t="b">
        <f t="shared" ref="BI141" si="1543">IF(J141="",FALSE,IF(L141=0,FALSE,IF(AND(AU139,NOT(BF141),OR(M141="",N141="",O141="")),TRUE,FALSE)))</f>
        <v>0</v>
      </c>
      <c r="BJ141" s="240" t="b">
        <f t="shared" si="1490"/>
        <v>0</v>
      </c>
      <c r="BK141" s="231" t="b">
        <f>IF(NOT(BJ141),FALSE,IF(AND(競技会設定!$C$5&lt;=BJ141,BJ141&lt;=競技会設定!$C$6),FALSE,TRUE))</f>
        <v>0</v>
      </c>
      <c r="BL141" s="218" t="b">
        <f>IF(J141="",FALSE,IF(L141=0,FALSE,IF(AND(AU139,NOT(BF141),NOT(BI141),P141=""),TRUE,FALSE)))</f>
        <v>0</v>
      </c>
      <c r="BO141" s="274"/>
    </row>
    <row r="142" spans="1:67" ht="18" customHeight="1" thickBot="1">
      <c r="A142" s="422"/>
      <c r="B142" s="387" t="s">
        <v>7051</v>
      </c>
      <c r="C142" s="387"/>
      <c r="D142" s="213"/>
      <c r="E142" s="388"/>
      <c r="F142" s="389"/>
      <c r="G142" s="390"/>
      <c r="H142" s="141"/>
      <c r="I142" s="213" t="s">
        <v>7065</v>
      </c>
      <c r="J142" s="154"/>
      <c r="K142" s="213" t="s">
        <v>7066</v>
      </c>
      <c r="L142" s="154"/>
      <c r="M142" s="267"/>
      <c r="N142" s="268"/>
      <c r="O142" s="269"/>
      <c r="P142" s="154"/>
      <c r="Q142" s="383"/>
      <c r="R142" s="386"/>
      <c r="S142" s="136"/>
      <c r="T142" s="137"/>
      <c r="U142" s="137"/>
      <c r="V142" s="137"/>
      <c r="W142" s="137"/>
      <c r="X142" s="137"/>
      <c r="Y142" s="218">
        <f t="shared" ref="Y142" si="1544">IF(OR(E139="",J142=""),0,J142&amp;E139)</f>
        <v>0</v>
      </c>
      <c r="Z142" s="218">
        <f>IF(Y142=0,0,COUNTIF($Y$7:Y142,Y142))</f>
        <v>0</v>
      </c>
      <c r="AD142" s="218">
        <f>IFERROR(VLOOKUP(J142,競技会設定!$P$2:$S$22,2,0),0)</f>
        <v>0</v>
      </c>
      <c r="AE142" s="218">
        <f t="shared" ref="AE142" si="1545">IF(E139="",0,IF(AD142=0,0,IF(AD142&lt;3,E139&amp;$AE$6,0)))</f>
        <v>0</v>
      </c>
      <c r="AF142" s="218">
        <f>IF(AE142=0,0,E139&amp;COUNTIF($AE$7:AE142,AE142))</f>
        <v>0</v>
      </c>
      <c r="AG142" s="218">
        <f t="shared" ref="AG142" si="1546">IF(E139="",0,IF(AD142=0,0,IF(AD142&gt;=3,E139&amp;$AG$6,0)))</f>
        <v>0</v>
      </c>
      <c r="AH142" s="218">
        <f>IF(AG142=0,0,E139&amp;COUNTIF($AG$7:AG142,AG142))</f>
        <v>0</v>
      </c>
      <c r="AI142" s="218">
        <f t="shared" si="1265"/>
        <v>0</v>
      </c>
      <c r="AJ142" s="218" t="b">
        <f>IF(AI142=0,FALSE,IF(COUNTIF(AI$7:AI142,AI142)&gt;1,TRUE,FALSE))</f>
        <v>0</v>
      </c>
      <c r="AK142" s="218">
        <f t="shared" ref="AK142" si="1547">IF($AD142=AK$6,$E139,0)</f>
        <v>0</v>
      </c>
      <c r="AL142" s="218" t="b">
        <f>IF(AK142=0,FALSE,IF(COUNTIF(AK$7:AK142,AK142)&gt;1,TRUE,FALSE))</f>
        <v>0</v>
      </c>
      <c r="AM142" s="218">
        <f t="shared" ref="AM142" si="1548">IF($AD142=AM$6,$E139,0)</f>
        <v>0</v>
      </c>
      <c r="AN142" s="218" t="b">
        <f>IF(AM142=0,FALSE,IF(COUNTIF(AM$7:AM142,AM142)&gt;1,TRUE,FALSE))</f>
        <v>0</v>
      </c>
      <c r="AO142" s="218">
        <f t="shared" ref="AO142" si="1549">IF($AD142=AO$6,$E139,0)</f>
        <v>0</v>
      </c>
      <c r="AP142" s="218" t="b">
        <f>IF(AO142=0,FALSE,IF(COUNTIF(AO$7:AO142,AO142)&gt;1,TRUE,FALSE))</f>
        <v>0</v>
      </c>
      <c r="AQ142" s="218">
        <f t="shared" ref="AQ142" si="1550">IF(COUNTIF(Y142,"*十種競技*")&gt;0,E139,0)</f>
        <v>0</v>
      </c>
      <c r="AR142" s="218" t="b">
        <f>IF(AQ142=0,FALSE,IF(OR(COUNTIF($AI$7:$AI$406,AQ142)+COUNTIF($AQ142:$AQ$406,AQ142)&gt;1,COUNTIF($AK$7:$AK$406,AQ142)+COUNTIF($AQ$7:$AQ$406,AQ142)&gt;1),TRUE,FALSE))</f>
        <v>0</v>
      </c>
      <c r="AT142" s="218" t="b">
        <f t="shared" si="1486"/>
        <v>0</v>
      </c>
      <c r="AU142" s="274"/>
      <c r="AX142" s="274"/>
      <c r="BD142" s="218" t="b">
        <f t="shared" si="1474"/>
        <v>0</v>
      </c>
      <c r="BF142" s="231" t="b">
        <f t="shared" ref="BF142" si="1551">IF(J142="",FALSE,IF(OR(AND(AU139,L142=""),AND(AU139,L142="",OR(M142&lt;&gt;"",N142&lt;&gt;"",O142&lt;&gt;"",P142&lt;&gt;""))),TRUE,FALSE))</f>
        <v>0</v>
      </c>
      <c r="BG142" s="218" t="b">
        <f t="shared" si="1476"/>
        <v>0</v>
      </c>
      <c r="BH142" s="218" t="b">
        <f t="shared" si="1488"/>
        <v>0</v>
      </c>
      <c r="BI142" s="231" t="b">
        <f t="shared" ref="BI142" si="1552">IF(J142="",FALSE,IF(L142=0,FALSE,IF(AND(AU139,NOT(BF142),OR(M142="",N142="",O142="")),TRUE,FALSE)))</f>
        <v>0</v>
      </c>
      <c r="BJ142" s="240" t="b">
        <f t="shared" si="1490"/>
        <v>0</v>
      </c>
      <c r="BK142" s="231" t="b">
        <f>IF(NOT(BJ142),FALSE,IF(AND(競技会設定!$C$5&lt;=BJ142,BJ142&lt;=競技会設定!$C$6),FALSE,TRUE))</f>
        <v>0</v>
      </c>
      <c r="BL142" s="218" t="b">
        <f>IF(J142="",FALSE,IF(L142=0,FALSE,IF(AND(AU139,NOT(BF142),NOT(BI142),P142=""),TRUE,FALSE)))</f>
        <v>0</v>
      </c>
      <c r="BO142" s="274"/>
    </row>
    <row r="143" spans="1:67" ht="18" customHeight="1" thickTop="1">
      <c r="A143" s="417">
        <v>35</v>
      </c>
      <c r="B143" s="401" t="s">
        <v>7050</v>
      </c>
      <c r="C143" s="403"/>
      <c r="D143" s="220" t="str">
        <f t="shared" ref="D143" si="1553">IF(C143="","",501&amp;TEXT(C143,"000000"))</f>
        <v/>
      </c>
      <c r="E143" s="396" t="str">
        <f>IF(D143="","",(VLOOKUP(D143,男子登録!$A$2:$N$2001,3,0)))</f>
        <v/>
      </c>
      <c r="F143" s="396" t="str">
        <f>IF(D143="","",(VLOOKUP(D143,男子登録!$A$2:$N$2001,4,0)))</f>
        <v/>
      </c>
      <c r="G143" s="220" t="str">
        <f>IF(C143="","",(VLOOKUP(D143,男子登録!$A$2:$N$2001,8,0)))</f>
        <v/>
      </c>
      <c r="H143" s="220">
        <f>IFERROR(VLOOKUP(D143,男子登録!$A$2:$N$2001,11,0),基本情報!$E$5)</f>
        <v>0</v>
      </c>
      <c r="I143" s="220" t="s">
        <v>7059</v>
      </c>
      <c r="J143" s="148"/>
      <c r="K143" s="220" t="s">
        <v>7060</v>
      </c>
      <c r="L143" s="148"/>
      <c r="M143" s="252"/>
      <c r="N143" s="253"/>
      <c r="O143" s="254"/>
      <c r="P143" s="148"/>
      <c r="Q143" s="398"/>
      <c r="R143" s="391"/>
      <c r="S143" s="136">
        <f t="shared" ref="S143" si="1554">IF(OR(E143="",Q143=""),0,E143)</f>
        <v>0</v>
      </c>
      <c r="T143" s="137">
        <f>IF(S143=0,0,COUNTIF($S$7:S143,"*"))</f>
        <v>0</v>
      </c>
      <c r="U143" s="137">
        <f>IF(S143=0,0,COUNTIF($S$7:S143,S143))</f>
        <v>0</v>
      </c>
      <c r="V143" s="137">
        <f t="shared" si="949"/>
        <v>0</v>
      </c>
      <c r="W143" s="137">
        <f>IF(V143=0,0,COUNTIF($V$7:V143,"*"))</f>
        <v>0</v>
      </c>
      <c r="X143" s="137">
        <f>IF(V143=0,0,COUNTIF($V$7:V143,V143))</f>
        <v>0</v>
      </c>
      <c r="Y143" s="218">
        <f t="shared" ref="Y143" si="1555">IF(OR(E143="",J143=""),0,J143&amp;E143)</f>
        <v>0</v>
      </c>
      <c r="Z143" s="218">
        <f>IF(Y143=0,0,COUNTIF($Y$7:Y143,Y143))</f>
        <v>0</v>
      </c>
      <c r="AA143" s="218" t="b">
        <f t="shared" ref="AA143" si="1556">IF(COUNTIF(J143:J146,"十種競技")&gt;0,TRUE,FALSE)</f>
        <v>0</v>
      </c>
      <c r="AB143" s="218">
        <f>IF(E143="",0,IF(AA143,COUNTIF($AA$7:AA143,TRUE),0))</f>
        <v>0</v>
      </c>
      <c r="AC143" s="218">
        <f>IFERROR(VLOOKUP("十種競技",J143:L146,3,0),0)</f>
        <v>0</v>
      </c>
      <c r="AD143" s="218">
        <f>IFERROR(VLOOKUP(J143,競技会設定!$P$2:$S$22,2,0),0)</f>
        <v>0</v>
      </c>
      <c r="AE143" s="218">
        <f t="shared" ref="AE143" si="1557">IF(E143="",0,IF(AD143=0,0,IF(AD143&lt;3,E143&amp;$AE$6,0)))</f>
        <v>0</v>
      </c>
      <c r="AF143" s="218">
        <f>IF(AE143=0,0,E143&amp;COUNTIF($AE$7:AE143,AE143))</f>
        <v>0</v>
      </c>
      <c r="AG143" s="218">
        <f t="shared" ref="AG143" si="1558">IF(E143="",0,IF(AD143=0,0,IF(AD143&gt;=3,E143&amp;$AG$6,0)))</f>
        <v>0</v>
      </c>
      <c r="AH143" s="218">
        <f>IF(AG143=0,0,E143&amp;COUNTIF($AG$7:AG143,AG143))</f>
        <v>0</v>
      </c>
      <c r="AI143" s="218">
        <f t="shared" si="1278"/>
        <v>0</v>
      </c>
      <c r="AJ143" s="218" t="b">
        <f>IF(AI143=0,FALSE,IF(COUNTIF(AI$7:AI143,AI143)&gt;1,TRUE,FALSE))</f>
        <v>0</v>
      </c>
      <c r="AK143" s="218">
        <f t="shared" ref="AK143" si="1559">IF($AD143=AK$6,$E143,0)</f>
        <v>0</v>
      </c>
      <c r="AL143" s="218" t="b">
        <f>IF(AK143=0,FALSE,IF(COUNTIF(AK$7:AK143,AK143)&gt;1,TRUE,FALSE))</f>
        <v>0</v>
      </c>
      <c r="AM143" s="218">
        <f t="shared" ref="AM143" si="1560">IF($AD143=AM$6,$E143,0)</f>
        <v>0</v>
      </c>
      <c r="AN143" s="218" t="b">
        <f>IF(AM143=0,FALSE,IF(COUNTIF(AM$7:AM143,AM143)&gt;1,TRUE,FALSE))</f>
        <v>0</v>
      </c>
      <c r="AO143" s="218">
        <f t="shared" ref="AO143" si="1561">IF($AD143=AO$6,$E143,0)</f>
        <v>0</v>
      </c>
      <c r="AP143" s="218" t="b">
        <f>IF(AO143=0,FALSE,IF(COUNTIF(AO$7:AO143,AO143)&gt;1,TRUE,FALSE))</f>
        <v>0</v>
      </c>
      <c r="AQ143" s="218">
        <f t="shared" ref="AQ143" si="1562">IF(COUNTIF(Y143,"*十種競技*")&gt;0,E143,0)</f>
        <v>0</v>
      </c>
      <c r="AR143" s="218" t="b">
        <f>IF(AQ143=0,FALSE,IF(OR(COUNTIF($AI$7:$AI$406,AQ143)+COUNTIF($AQ143:$AQ$406,AQ143)&gt;1,COUNTIF($AK$7:$AK$406,AQ143)+COUNTIF($AQ$7:$AQ$406,AQ143)&gt;1),TRUE,FALSE))</f>
        <v>0</v>
      </c>
      <c r="AS143" s="218" t="b">
        <f t="shared" ref="AS143" si="1563">IF(AND(C143="",E143&lt;&gt;"",F143&lt;&gt;"",E145&lt;&gt;"",G143&lt;&gt;"",G144&lt;&gt;"",G145&lt;&gt;""),TRUE,FALSE)</f>
        <v>0</v>
      </c>
      <c r="AT143" s="218" t="b">
        <f t="shared" si="1486"/>
        <v>0</v>
      </c>
      <c r="AU143" s="274" t="b">
        <f t="shared" ref="AU143" si="1564">IFERROR(IF(D143&amp;E143&amp;F143&amp;E145&amp;G143&amp;G144&amp;G145&amp;J143&amp;J144&amp;J145&amp;J146&amp;L143&amp;L144&amp;L145&amp;L146&amp;M143&amp;M144&amp;M145&amp;M146&amp;N143&amp;N144&amp;N145&amp;N146&amp;O143&amp;O144&amp;O145&amp;O146&amp;P143&amp;P144&amp;P145&amp;P146&amp;Q143&amp;R143="",FALSE,TRUE),FALSE)</f>
        <v>0</v>
      </c>
      <c r="AV143" s="218" t="b">
        <f t="shared" ref="AV143" si="1565">IF(AS143,FALSE,IF(C143="",AU143,FALSE))</f>
        <v>0</v>
      </c>
      <c r="AW143" s="218" t="b">
        <f>IF(C143="",FALSE,IF(C143&gt;2000,TRUE,FALSE))</f>
        <v>0</v>
      </c>
      <c r="AX143" s="274" t="b">
        <f>IF(H143=0,FALSE,IF(EXACT(基本情報!$E$5,H143)=TRUE,FALSE,TRUE))</f>
        <v>0</v>
      </c>
      <c r="AY143" s="218" t="b">
        <f>IF(C143="",FALSE,IF(ISNA(E143)=TRUE,TRUE,FALSE))</f>
        <v>0</v>
      </c>
      <c r="AZ143" s="274" t="b">
        <f>IFERROR(IF(E143="",FALSE,IF(COUNTIF($E$7:E143,E143)&gt;1,TRUE,FALSE)),FALSE)</f>
        <v>0</v>
      </c>
      <c r="BA143" s="218" t="b">
        <f t="shared" ref="BA143" si="1566">IF(OR(J143&amp;J144&amp;J145&amp;J146&amp;Q143&amp;R143="",AT143,AT144,AT145,AT146),AU143,FALSE)</f>
        <v>0</v>
      </c>
      <c r="BB143" s="218" t="b">
        <f>IF(U143&gt;1,TRUE,FALSE)</f>
        <v>0</v>
      </c>
      <c r="BC143" s="218" t="b">
        <f>IF(X143&gt;1,TRUE,FALSE)</f>
        <v>0</v>
      </c>
      <c r="BD143" s="218" t="b">
        <f t="shared" si="1474"/>
        <v>0</v>
      </c>
      <c r="BF143" s="231" t="b">
        <f t="shared" ref="BF143" si="1567">IF(J143="",FALSE,IF(OR(AND(AU143,L143=""),AND(AU143,L143="",OR(M143&lt;&gt;"",N143&lt;&gt;"",O143&lt;&gt;"",P143&lt;&gt;""))),TRUE,FALSE))</f>
        <v>0</v>
      </c>
      <c r="BG143" s="218" t="b">
        <f t="shared" si="1476"/>
        <v>0</v>
      </c>
      <c r="BH143" s="218" t="b">
        <f t="shared" si="1488"/>
        <v>0</v>
      </c>
      <c r="BI143" s="231" t="b">
        <f t="shared" ref="BI143" si="1568">IF(J143="",FALSE,IF(L143=0,FALSE,IF(AND(AU143,NOT(BF143),OR(M143="",N143="",O143="")),TRUE,FALSE)))</f>
        <v>0</v>
      </c>
      <c r="BJ143" s="240" t="b">
        <f t="shared" si="1490"/>
        <v>0</v>
      </c>
      <c r="BK143" s="231" t="b">
        <f>IF(NOT(BJ143),FALSE,IF(AND(競技会設定!$C$5&lt;=BJ143,BJ143&lt;=競技会設定!$C$6),FALSE,TRUE))</f>
        <v>0</v>
      </c>
      <c r="BL143" s="218" t="b">
        <f>IF(J143="",FALSE,IF(L143=0,FALSE,IF(AND(AU143,NOT(BF143),NOT(BI143),P143=""),TRUE,FALSE)))</f>
        <v>0</v>
      </c>
      <c r="BO143" s="274">
        <f t="shared" ref="BO143" si="1569">IF(AND(AU143,SUM(COUNTIF(AV143:BC143,TRUE),COUNTIF(BF143:BL146,TRUE),COUNTIF(BD143:BD146,TRUE))=0,NOT($BE$7)),1,0)</f>
        <v>0</v>
      </c>
    </row>
    <row r="144" spans="1:67" ht="17.399999999999999" customHeight="1">
      <c r="A144" s="418"/>
      <c r="B144" s="402"/>
      <c r="C144" s="404"/>
      <c r="D144" s="221"/>
      <c r="E144" s="397"/>
      <c r="F144" s="397"/>
      <c r="G144" s="221" t="str">
        <f>IF(C143="","",(VLOOKUP(D143,男子登録!$A$2:$N$2001,13,0)))</f>
        <v/>
      </c>
      <c r="H144" s="221"/>
      <c r="I144" s="221" t="s">
        <v>7061</v>
      </c>
      <c r="J144" s="149"/>
      <c r="K144" s="221" t="s">
        <v>7062</v>
      </c>
      <c r="L144" s="149"/>
      <c r="M144" s="255"/>
      <c r="N144" s="256"/>
      <c r="O144" s="257"/>
      <c r="P144" s="149"/>
      <c r="Q144" s="399"/>
      <c r="R144" s="392"/>
      <c r="S144" s="136"/>
      <c r="T144" s="137"/>
      <c r="U144" s="137"/>
      <c r="V144" s="137"/>
      <c r="W144" s="137"/>
      <c r="X144" s="137"/>
      <c r="Y144" s="218">
        <f t="shared" ref="Y144" si="1570">IF(OR(E143="",J144=""),0,J144&amp;E143)</f>
        <v>0</v>
      </c>
      <c r="Z144" s="218">
        <f>IF(Y144=0,0,COUNTIF($Y$7:Y144,Y144))</f>
        <v>0</v>
      </c>
      <c r="AD144" s="218">
        <f>IFERROR(VLOOKUP(J144,競技会設定!$P$2:$S$22,2,0),0)</f>
        <v>0</v>
      </c>
      <c r="AE144" s="218">
        <f t="shared" ref="AE144" si="1571">IF(E143="",0,IF(AD144=0,0,IF(AD144&lt;3,E143&amp;$AE$6,0)))</f>
        <v>0</v>
      </c>
      <c r="AF144" s="218">
        <f>IF(AE144=0,0,E143&amp;COUNTIF($AE$7:AE144,AE144))</f>
        <v>0</v>
      </c>
      <c r="AG144" s="218">
        <f t="shared" ref="AG144" si="1572">IF(E143="",0,IF(AD144=0,0,IF(AD144&gt;=3,E143&amp;$AG$6,0)))</f>
        <v>0</v>
      </c>
      <c r="AH144" s="218">
        <f>IF(AG144=0,0,E143&amp;COUNTIF($AG$7:AG144,AG144))</f>
        <v>0</v>
      </c>
      <c r="AI144" s="218">
        <f t="shared" si="1293"/>
        <v>0</v>
      </c>
      <c r="AJ144" s="218" t="b">
        <f>IF(AI144=0,FALSE,IF(COUNTIF(AI$7:AI144,AI144)&gt;1,TRUE,FALSE))</f>
        <v>0</v>
      </c>
      <c r="AK144" s="218">
        <f t="shared" ref="AK144" si="1573">IF($AD144=AK$6,$E143,0)</f>
        <v>0</v>
      </c>
      <c r="AL144" s="218" t="b">
        <f>IF(AK144=0,FALSE,IF(COUNTIF(AK$7:AK144,AK144)&gt;1,TRUE,FALSE))</f>
        <v>0</v>
      </c>
      <c r="AM144" s="218">
        <f t="shared" ref="AM144" si="1574">IF($AD144=AM$6,$E143,0)</f>
        <v>0</v>
      </c>
      <c r="AN144" s="218" t="b">
        <f>IF(AM144=0,FALSE,IF(COUNTIF(AM$7:AM144,AM144)&gt;1,TRUE,FALSE))</f>
        <v>0</v>
      </c>
      <c r="AO144" s="218">
        <f t="shared" ref="AO144" si="1575">IF($AD144=AO$6,$E143,0)</f>
        <v>0</v>
      </c>
      <c r="AP144" s="218" t="b">
        <f>IF(AO144=0,FALSE,IF(COUNTIF(AO$7:AO144,AO144)&gt;1,TRUE,FALSE))</f>
        <v>0</v>
      </c>
      <c r="AQ144" s="218">
        <f t="shared" ref="AQ144" si="1576">IF(COUNTIF(Y144,"*十種競技*")&gt;0,E143,0)</f>
        <v>0</v>
      </c>
      <c r="AR144" s="218" t="b">
        <f>IF(AQ144=0,FALSE,IF(OR(COUNTIF($AI$7:$AI$406,AQ144)+COUNTIF($AQ144:$AQ$406,AQ144)&gt;1,COUNTIF($AK$7:$AK$406,AQ144)+COUNTIF($AQ$7:$AQ$406,AQ144)&gt;1),TRUE,FALSE))</f>
        <v>0</v>
      </c>
      <c r="AT144" s="218" t="b">
        <f t="shared" si="1486"/>
        <v>0</v>
      </c>
      <c r="AU144" s="274"/>
      <c r="AX144" s="274"/>
      <c r="BD144" s="218" t="b">
        <f t="shared" si="1474"/>
        <v>0</v>
      </c>
      <c r="BF144" s="231" t="b">
        <f t="shared" ref="BF144" si="1577">IF(J144="",FALSE,IF(OR(AND(AU143,L144=""),AND(AU143,L144="",OR(M144&lt;&gt;"",N144&lt;&gt;"",O144&lt;&gt;"",P144&lt;&gt;""))),TRUE,FALSE))</f>
        <v>0</v>
      </c>
      <c r="BG144" s="218" t="b">
        <f t="shared" si="1476"/>
        <v>0</v>
      </c>
      <c r="BH144" s="218" t="b">
        <f t="shared" si="1488"/>
        <v>0</v>
      </c>
      <c r="BI144" s="231" t="b">
        <f t="shared" ref="BI144" si="1578">IF(J144="",FALSE,IF(L144=0,FALSE,IF(AND(AU143,NOT(BF144),OR(M144="",N144="",O144="")),TRUE,FALSE)))</f>
        <v>0</v>
      </c>
      <c r="BJ144" s="240" t="b">
        <f t="shared" si="1490"/>
        <v>0</v>
      </c>
      <c r="BK144" s="231" t="b">
        <f>IF(NOT(BJ144),FALSE,IF(AND(競技会設定!$C$5&lt;=BJ144,BJ144&lt;=競技会設定!$C$6),FALSE,TRUE))</f>
        <v>0</v>
      </c>
      <c r="BL144" s="218" t="b">
        <f>IF(J144="",FALSE,IF(L144=0,FALSE,IF(AND(AU143,NOT(BF144),NOT(BI144),P144=""),TRUE,FALSE)))</f>
        <v>0</v>
      </c>
      <c r="BO144" s="274"/>
    </row>
    <row r="145" spans="1:67" ht="17.399999999999999" customHeight="1">
      <c r="A145" s="418"/>
      <c r="B145" s="402"/>
      <c r="C145" s="404"/>
      <c r="D145" s="221"/>
      <c r="E145" s="394" t="str">
        <f>IF(C143="","",VLOOKUP(D143,男子登録!$A$2:$O$2001,14,0)&amp;" ("&amp;VLOOKUP(D143,男子登録!$A$2:$O$2001,15,0)&amp;")")</f>
        <v/>
      </c>
      <c r="F145" s="394"/>
      <c r="G145" s="222" t="str">
        <f>IF(C143="","",(VLOOKUP(D143,男子登録!$A$2:$N$2001,9,0)))</f>
        <v/>
      </c>
      <c r="H145" s="222"/>
      <c r="I145" s="222" t="s">
        <v>7063</v>
      </c>
      <c r="J145" s="150"/>
      <c r="K145" s="222" t="s">
        <v>7064</v>
      </c>
      <c r="L145" s="150"/>
      <c r="M145" s="255"/>
      <c r="N145" s="256"/>
      <c r="O145" s="257"/>
      <c r="P145" s="149"/>
      <c r="Q145" s="399"/>
      <c r="R145" s="392"/>
      <c r="S145" s="136"/>
      <c r="T145" s="137"/>
      <c r="U145" s="137"/>
      <c r="V145" s="137"/>
      <c r="W145" s="137"/>
      <c r="X145" s="137"/>
      <c r="Y145" s="218">
        <f t="shared" ref="Y145" si="1579">IF(OR(E143="",J145=""),0,J145&amp;E143)</f>
        <v>0</v>
      </c>
      <c r="Z145" s="218">
        <f>IF(Y145=0,0,COUNTIF($Y$7:Y145,Y145))</f>
        <v>0</v>
      </c>
      <c r="AD145" s="218">
        <f>IFERROR(VLOOKUP(J145,競技会設定!$P$2:$S$22,2,0),0)</f>
        <v>0</v>
      </c>
      <c r="AE145" s="218">
        <f t="shared" ref="AE145" si="1580">IF(E143="",0,IF(AD145=0,0,IF(AD145&lt;3,E143&amp;$AE$6,0)))</f>
        <v>0</v>
      </c>
      <c r="AF145" s="218">
        <f>IF(AE145=0,0,E143&amp;COUNTIF($AE$7:AE145,AE145))</f>
        <v>0</v>
      </c>
      <c r="AG145" s="218">
        <f t="shared" ref="AG145" si="1581">IF(E143="",0,IF(AD145=0,0,IF(AD145&gt;=3,E143&amp;$AG$6,0)))</f>
        <v>0</v>
      </c>
      <c r="AH145" s="218">
        <f>IF(AG145=0,0,E143&amp;COUNTIF($AG$7:AG145,AG145))</f>
        <v>0</v>
      </c>
      <c r="AI145" s="218">
        <f t="shared" si="1303"/>
        <v>0</v>
      </c>
      <c r="AJ145" s="218" t="b">
        <f>IF(AI145=0,FALSE,IF(COUNTIF(AI$7:AI145,AI145)&gt;1,TRUE,FALSE))</f>
        <v>0</v>
      </c>
      <c r="AK145" s="218">
        <f t="shared" ref="AK145" si="1582">IF($AD145=AK$6,$E143,0)</f>
        <v>0</v>
      </c>
      <c r="AL145" s="218" t="b">
        <f>IF(AK145=0,FALSE,IF(COUNTIF(AK$7:AK145,AK145)&gt;1,TRUE,FALSE))</f>
        <v>0</v>
      </c>
      <c r="AM145" s="218">
        <f t="shared" ref="AM145" si="1583">IF($AD145=AM$6,$E143,0)</f>
        <v>0</v>
      </c>
      <c r="AN145" s="218" t="b">
        <f>IF(AM145=0,FALSE,IF(COUNTIF(AM$7:AM145,AM145)&gt;1,TRUE,FALSE))</f>
        <v>0</v>
      </c>
      <c r="AO145" s="218">
        <f t="shared" ref="AO145" si="1584">IF($AD145=AO$6,$E143,0)</f>
        <v>0</v>
      </c>
      <c r="AP145" s="218" t="b">
        <f>IF(AO145=0,FALSE,IF(COUNTIF(AO$7:AO145,AO145)&gt;1,TRUE,FALSE))</f>
        <v>0</v>
      </c>
      <c r="AQ145" s="218">
        <f t="shared" ref="AQ145" si="1585">IF(COUNTIF(Y145,"*十種競技*")&gt;0,E143,0)</f>
        <v>0</v>
      </c>
      <c r="AR145" s="218" t="b">
        <f>IF(AQ145=0,FALSE,IF(OR(COUNTIF($AI$7:$AI$406,AQ145)+COUNTIF($AQ145:$AQ$406,AQ145)&gt;1,COUNTIF($AK$7:$AK$406,AQ145)+COUNTIF($AQ$7:$AQ$406,AQ145)&gt;1),TRUE,FALSE))</f>
        <v>0</v>
      </c>
      <c r="AT145" s="218" t="b">
        <f t="shared" si="1486"/>
        <v>0</v>
      </c>
      <c r="AU145" s="274"/>
      <c r="AX145" s="274"/>
      <c r="BD145" s="218" t="b">
        <f t="shared" si="1474"/>
        <v>0</v>
      </c>
      <c r="BF145" s="231" t="b">
        <f t="shared" ref="BF145" si="1586">IF(J145="",FALSE,IF(OR(AND(AU143,L145=""),AND(AU143,L145="",OR(M145&lt;&gt;"",N145&lt;&gt;"",O145&lt;&gt;"",P145&lt;&gt;""))),TRUE,FALSE))</f>
        <v>0</v>
      </c>
      <c r="BG145" s="218" t="b">
        <f t="shared" si="1476"/>
        <v>0</v>
      </c>
      <c r="BH145" s="218" t="b">
        <f t="shared" si="1488"/>
        <v>0</v>
      </c>
      <c r="BI145" s="231" t="b">
        <f t="shared" ref="BI145" si="1587">IF(J145="",FALSE,IF(L145=0,FALSE,IF(AND(AU143,NOT(BF145),OR(M145="",N145="",O145="")),TRUE,FALSE)))</f>
        <v>0</v>
      </c>
      <c r="BJ145" s="240" t="b">
        <f t="shared" si="1490"/>
        <v>0</v>
      </c>
      <c r="BK145" s="231" t="b">
        <f>IF(NOT(BJ145),FALSE,IF(AND(競技会設定!$C$5&lt;=BJ145,BJ145&lt;=競技会設定!$C$6),FALSE,TRUE))</f>
        <v>0</v>
      </c>
      <c r="BL145" s="218" t="b">
        <f>IF(J145="",FALSE,IF(L145=0,FALSE,IF(AND(AU143,NOT(BF145),NOT(BI145),P145=""),TRUE,FALSE)))</f>
        <v>0</v>
      </c>
      <c r="BO145" s="274"/>
    </row>
    <row r="146" spans="1:67" ht="18" customHeight="1" thickBot="1">
      <c r="A146" s="419"/>
      <c r="B146" s="395" t="s">
        <v>7051</v>
      </c>
      <c r="C146" s="395"/>
      <c r="D146" s="221"/>
      <c r="E146" s="372"/>
      <c r="F146" s="372"/>
      <c r="G146" s="372"/>
      <c r="H146" s="214"/>
      <c r="I146" s="214" t="s">
        <v>7065</v>
      </c>
      <c r="J146" s="219"/>
      <c r="K146" s="214" t="s">
        <v>7066</v>
      </c>
      <c r="L146" s="219"/>
      <c r="M146" s="258"/>
      <c r="N146" s="259"/>
      <c r="O146" s="260"/>
      <c r="P146" s="219"/>
      <c r="Q146" s="400"/>
      <c r="R146" s="393"/>
      <c r="S146" s="136"/>
      <c r="T146" s="137"/>
      <c r="U146" s="137"/>
      <c r="V146" s="137"/>
      <c r="W146" s="137"/>
      <c r="X146" s="137"/>
      <c r="Y146" s="218">
        <f t="shared" ref="Y146" si="1588">IF(OR(E143="",J146=""),0,J146&amp;E143)</f>
        <v>0</v>
      </c>
      <c r="Z146" s="218">
        <f>IF(Y146=0,0,COUNTIF($Y$7:Y146,Y146))</f>
        <v>0</v>
      </c>
      <c r="AD146" s="218">
        <f>IFERROR(VLOOKUP(J146,競技会設定!$P$2:$S$22,2,0),0)</f>
        <v>0</v>
      </c>
      <c r="AE146" s="218">
        <f t="shared" ref="AE146" si="1589">IF(E143="",0,IF(AD146=0,0,IF(AD146&lt;3,E143&amp;$AE$6,0)))</f>
        <v>0</v>
      </c>
      <c r="AF146" s="218">
        <f>IF(AE146=0,0,E143&amp;COUNTIF($AE$7:AE146,AE146))</f>
        <v>0</v>
      </c>
      <c r="AG146" s="218">
        <f t="shared" ref="AG146" si="1590">IF(E143="",0,IF(AD146=0,0,IF(AD146&gt;=3,E143&amp;$AG$6,0)))</f>
        <v>0</v>
      </c>
      <c r="AH146" s="218">
        <f>IF(AG146=0,0,E143&amp;COUNTIF($AG$7:AG146,AG146))</f>
        <v>0</v>
      </c>
      <c r="AI146" s="218">
        <f t="shared" si="1313"/>
        <v>0</v>
      </c>
      <c r="AJ146" s="218" t="b">
        <f>IF(AI146=0,FALSE,IF(COUNTIF(AI$7:AI146,AI146)&gt;1,TRUE,FALSE))</f>
        <v>0</v>
      </c>
      <c r="AK146" s="218">
        <f t="shared" ref="AK146" si="1591">IF($AD146=AK$6,$E143,0)</f>
        <v>0</v>
      </c>
      <c r="AL146" s="218" t="b">
        <f>IF(AK146=0,FALSE,IF(COUNTIF(AK$7:AK146,AK146)&gt;1,TRUE,FALSE))</f>
        <v>0</v>
      </c>
      <c r="AM146" s="218">
        <f t="shared" ref="AM146" si="1592">IF($AD146=AM$6,$E143,0)</f>
        <v>0</v>
      </c>
      <c r="AN146" s="218" t="b">
        <f>IF(AM146=0,FALSE,IF(COUNTIF(AM$7:AM146,AM146)&gt;1,TRUE,FALSE))</f>
        <v>0</v>
      </c>
      <c r="AO146" s="218">
        <f t="shared" ref="AO146" si="1593">IF($AD146=AO$6,$E143,0)</f>
        <v>0</v>
      </c>
      <c r="AP146" s="218" t="b">
        <f>IF(AO146=0,FALSE,IF(COUNTIF(AO$7:AO146,AO146)&gt;1,TRUE,FALSE))</f>
        <v>0</v>
      </c>
      <c r="AQ146" s="218">
        <f t="shared" ref="AQ146" si="1594">IF(COUNTIF(Y146,"*十種競技*")&gt;0,E143,0)</f>
        <v>0</v>
      </c>
      <c r="AR146" s="218" t="b">
        <f>IF(AQ146=0,FALSE,IF(OR(COUNTIF($AI$7:$AI$406,AQ146)+COUNTIF($AQ146:$AQ$406,AQ146)&gt;1,COUNTIF($AK$7:$AK$406,AQ146)+COUNTIF($AQ$7:$AQ$406,AQ146)&gt;1),TRUE,FALSE))</f>
        <v>0</v>
      </c>
      <c r="AT146" s="218" t="b">
        <f t="shared" si="1486"/>
        <v>0</v>
      </c>
      <c r="AU146" s="274"/>
      <c r="AX146" s="274"/>
      <c r="BD146" s="218" t="b">
        <f t="shared" si="1474"/>
        <v>0</v>
      </c>
      <c r="BF146" s="231" t="b">
        <f t="shared" ref="BF146" si="1595">IF(J146="",FALSE,IF(OR(AND(AU143,L146=""),AND(AU143,L146="",OR(M146&lt;&gt;"",N146&lt;&gt;"",O146&lt;&gt;"",P146&lt;&gt;""))),TRUE,FALSE))</f>
        <v>0</v>
      </c>
      <c r="BG146" s="218" t="b">
        <f t="shared" si="1476"/>
        <v>0</v>
      </c>
      <c r="BH146" s="218" t="b">
        <f t="shared" si="1488"/>
        <v>0</v>
      </c>
      <c r="BI146" s="231" t="b">
        <f t="shared" ref="BI146" si="1596">IF(J146="",FALSE,IF(L146=0,FALSE,IF(AND(AU143,NOT(BF146),OR(M146="",N146="",O146="")),TRUE,FALSE)))</f>
        <v>0</v>
      </c>
      <c r="BJ146" s="240" t="b">
        <f t="shared" si="1490"/>
        <v>0</v>
      </c>
      <c r="BK146" s="231" t="b">
        <f>IF(NOT(BJ146),FALSE,IF(AND(競技会設定!$C$5&lt;=BJ146,BJ146&lt;=競技会設定!$C$6),FALSE,TRUE))</f>
        <v>0</v>
      </c>
      <c r="BL146" s="218" t="b">
        <f>IF(J146="",FALSE,IF(L146=0,FALSE,IF(AND(AU143,NOT(BF146),NOT(BI146),P146=""),TRUE,FALSE)))</f>
        <v>0</v>
      </c>
      <c r="BO146" s="274"/>
    </row>
    <row r="147" spans="1:67" ht="18" customHeight="1" thickTop="1">
      <c r="A147" s="420">
        <v>36</v>
      </c>
      <c r="B147" s="373" t="s">
        <v>7050</v>
      </c>
      <c r="C147" s="375"/>
      <c r="D147" s="138" t="str">
        <f t="shared" ref="D147" si="1597">IF(C147="","",501&amp;TEXT(C147,"000000"))</f>
        <v/>
      </c>
      <c r="E147" s="377" t="str">
        <f>IF(D147="","",(VLOOKUP(D147,男子登録!$A$2:$N$2001,3,0)))</f>
        <v/>
      </c>
      <c r="F147" s="377" t="str">
        <f>IF(D147="","",(VLOOKUP(D147,男子登録!$A$2:$N$2001,4,0)))</f>
        <v/>
      </c>
      <c r="G147" s="138" t="str">
        <f>IF(C147="","",(VLOOKUP(D147,男子登録!$A$2:$N$2001,8,0)))</f>
        <v/>
      </c>
      <c r="H147" s="138">
        <f>IFERROR(VLOOKUP(D147,男子登録!$A$2:$N$2001,11,0),基本情報!$E$5)</f>
        <v>0</v>
      </c>
      <c r="I147" s="138" t="s">
        <v>7059</v>
      </c>
      <c r="J147" s="151"/>
      <c r="K147" s="138" t="s">
        <v>7060</v>
      </c>
      <c r="L147" s="151"/>
      <c r="M147" s="261"/>
      <c r="N147" s="262"/>
      <c r="O147" s="263"/>
      <c r="P147" s="151"/>
      <c r="Q147" s="381"/>
      <c r="R147" s="384"/>
      <c r="S147" s="136">
        <f t="shared" ref="S147" si="1598">IF(OR(E147="",Q147=""),0,E147)</f>
        <v>0</v>
      </c>
      <c r="T147" s="137">
        <f>IF(S147=0,0,COUNTIF($S$7:S147,"*"))</f>
        <v>0</v>
      </c>
      <c r="U147" s="137">
        <f>IF(S147=0,0,COUNTIF($S$7:S147,S147))</f>
        <v>0</v>
      </c>
      <c r="V147" s="137">
        <f t="shared" si="949"/>
        <v>0</v>
      </c>
      <c r="W147" s="137">
        <f>IF(V147=0,0,COUNTIF($V$7:V147,"*"))</f>
        <v>0</v>
      </c>
      <c r="X147" s="137">
        <f>IF(V147=0,0,COUNTIF($V$7:V147,V147))</f>
        <v>0</v>
      </c>
      <c r="Y147" s="218">
        <f t="shared" ref="Y147" si="1599">IF(OR(E147="",J147=""),0,J147&amp;E147)</f>
        <v>0</v>
      </c>
      <c r="Z147" s="218">
        <f>IF(Y147=0,0,COUNTIF($Y$7:Y147,Y147))</f>
        <v>0</v>
      </c>
      <c r="AA147" s="218" t="b">
        <f t="shared" ref="AA147" si="1600">IF(COUNTIF(J147:J150,"十種競技")&gt;0,TRUE,FALSE)</f>
        <v>0</v>
      </c>
      <c r="AB147" s="218">
        <f>IF(E147="",0,IF(AA147,COUNTIF($AA$7:AA147,TRUE),0))</f>
        <v>0</v>
      </c>
      <c r="AC147" s="218">
        <f>IFERROR(VLOOKUP("十種競技",J147:L150,3,0),0)</f>
        <v>0</v>
      </c>
      <c r="AD147" s="218">
        <f>IFERROR(VLOOKUP(J147,競技会設定!$P$2:$S$22,2,0),0)</f>
        <v>0</v>
      </c>
      <c r="AE147" s="218">
        <f t="shared" ref="AE147" si="1601">IF(E147="",0,IF(AD147=0,0,IF(AD147&lt;3,E147&amp;$AE$6,0)))</f>
        <v>0</v>
      </c>
      <c r="AF147" s="218">
        <f>IF(AE147=0,0,E147&amp;COUNTIF($AE$7:AE147,AE147))</f>
        <v>0</v>
      </c>
      <c r="AG147" s="218">
        <f t="shared" ref="AG147" si="1602">IF(E147="",0,IF(AD147=0,0,IF(AD147&gt;=3,E147&amp;$AG$6,0)))</f>
        <v>0</v>
      </c>
      <c r="AH147" s="218">
        <f>IF(AG147=0,0,E147&amp;COUNTIF($AG$7:AG147,AG147))</f>
        <v>0</v>
      </c>
      <c r="AI147" s="218">
        <f t="shared" si="1326"/>
        <v>0</v>
      </c>
      <c r="AJ147" s="218" t="b">
        <f>IF(AI147=0,FALSE,IF(COUNTIF(AI$7:AI147,AI147)&gt;1,TRUE,FALSE))</f>
        <v>0</v>
      </c>
      <c r="AK147" s="218">
        <f t="shared" ref="AK147" si="1603">IF($AD147=AK$6,$E147,0)</f>
        <v>0</v>
      </c>
      <c r="AL147" s="218" t="b">
        <f>IF(AK147=0,FALSE,IF(COUNTIF(AK$7:AK147,AK147)&gt;1,TRUE,FALSE))</f>
        <v>0</v>
      </c>
      <c r="AM147" s="218">
        <f t="shared" ref="AM147" si="1604">IF($AD147=AM$6,$E147,0)</f>
        <v>0</v>
      </c>
      <c r="AN147" s="218" t="b">
        <f>IF(AM147=0,FALSE,IF(COUNTIF(AM$7:AM147,AM147)&gt;1,TRUE,FALSE))</f>
        <v>0</v>
      </c>
      <c r="AO147" s="218">
        <f t="shared" ref="AO147" si="1605">IF($AD147=AO$6,$E147,0)</f>
        <v>0</v>
      </c>
      <c r="AP147" s="218" t="b">
        <f>IF(AO147=0,FALSE,IF(COUNTIF(AO$7:AO147,AO147)&gt;1,TRUE,FALSE))</f>
        <v>0</v>
      </c>
      <c r="AQ147" s="218">
        <f t="shared" ref="AQ147" si="1606">IF(COUNTIF(Y147,"*十種競技*")&gt;0,E147,0)</f>
        <v>0</v>
      </c>
      <c r="AR147" s="218" t="b">
        <f>IF(AQ147=0,FALSE,IF(OR(COUNTIF($AI$7:$AI$406,AQ147)+COUNTIF($AQ147:$AQ$406,AQ147)&gt;1,COUNTIF($AK$7:$AK$406,AQ147)+COUNTIF($AQ$7:$AQ$406,AQ147)&gt;1),TRUE,FALSE))</f>
        <v>0</v>
      </c>
      <c r="AS147" s="218" t="b">
        <f t="shared" ref="AS147" si="1607">IF(AND(C147="",E147&lt;&gt;"",F147&lt;&gt;"",E149&lt;&gt;"",G147&lt;&gt;"",G148&lt;&gt;"",G149&lt;&gt;""),TRUE,FALSE)</f>
        <v>0</v>
      </c>
      <c r="AT147" s="218" t="b">
        <f t="shared" si="1486"/>
        <v>0</v>
      </c>
      <c r="AU147" s="274" t="b">
        <f t="shared" ref="AU147" si="1608">IFERROR(IF(D147&amp;E147&amp;F147&amp;E149&amp;G147&amp;G148&amp;G149&amp;J147&amp;J148&amp;J149&amp;J150&amp;L147&amp;L148&amp;L149&amp;L150&amp;M147&amp;M148&amp;M149&amp;M150&amp;N147&amp;N148&amp;N149&amp;N150&amp;O147&amp;O148&amp;O149&amp;O150&amp;P147&amp;P148&amp;P149&amp;P150&amp;Q147&amp;R147="",FALSE,TRUE),FALSE)</f>
        <v>0</v>
      </c>
      <c r="AV147" s="218" t="b">
        <f t="shared" ref="AV147" si="1609">IF(AS147,FALSE,IF(C147="",AU147,FALSE))</f>
        <v>0</v>
      </c>
      <c r="AW147" s="218" t="b">
        <f>IF(C147="",FALSE,IF(C147&gt;2000,TRUE,FALSE))</f>
        <v>0</v>
      </c>
      <c r="AX147" s="274" t="b">
        <f>IF(H147=0,FALSE,IF(EXACT(基本情報!$E$5,H147)=TRUE,FALSE,TRUE))</f>
        <v>0</v>
      </c>
      <c r="AY147" s="218" t="b">
        <f>IF(C147="",FALSE,IF(ISNA(E147)=TRUE,TRUE,FALSE))</f>
        <v>0</v>
      </c>
      <c r="AZ147" s="274" t="b">
        <f>IFERROR(IF(E147="",FALSE,IF(COUNTIF($E$7:E147,E147)&gt;1,TRUE,FALSE)),FALSE)</f>
        <v>0</v>
      </c>
      <c r="BA147" s="218" t="b">
        <f t="shared" ref="BA147" si="1610">IF(OR(J147&amp;J148&amp;J149&amp;J150&amp;Q147&amp;R147="",AT147,AT148,AT149,AT150),AU147,FALSE)</f>
        <v>0</v>
      </c>
      <c r="BB147" s="218" t="b">
        <f>IF(U147&gt;1,TRUE,FALSE)</f>
        <v>0</v>
      </c>
      <c r="BC147" s="218" t="b">
        <f>IF(X147&gt;1,TRUE,FALSE)</f>
        <v>0</v>
      </c>
      <c r="BD147" s="218" t="b">
        <f t="shared" si="1474"/>
        <v>0</v>
      </c>
      <c r="BF147" s="231" t="b">
        <f t="shared" ref="BF147" si="1611">IF(J147="",FALSE,IF(OR(AND(AU147,L147=""),AND(AU147,L147="",OR(M147&lt;&gt;"",N147&lt;&gt;"",O147&lt;&gt;"",P147&lt;&gt;""))),TRUE,FALSE))</f>
        <v>0</v>
      </c>
      <c r="BG147" s="218" t="b">
        <f t="shared" si="1476"/>
        <v>0</v>
      </c>
      <c r="BH147" s="218" t="b">
        <f t="shared" si="1488"/>
        <v>0</v>
      </c>
      <c r="BI147" s="231" t="b">
        <f t="shared" ref="BI147" si="1612">IF(J147="",FALSE,IF(L147=0,FALSE,IF(AND(AU147,NOT(BF147),OR(M147="",N147="",O147="")),TRUE,FALSE)))</f>
        <v>0</v>
      </c>
      <c r="BJ147" s="240" t="b">
        <f t="shared" si="1490"/>
        <v>0</v>
      </c>
      <c r="BK147" s="231" t="b">
        <f>IF(NOT(BJ147),FALSE,IF(AND(競技会設定!$C$5&lt;=BJ147,BJ147&lt;=競技会設定!$C$6),FALSE,TRUE))</f>
        <v>0</v>
      </c>
      <c r="BL147" s="218" t="b">
        <f>IF(J147="",FALSE,IF(L147=0,FALSE,IF(AND(AU147,NOT(BF147),NOT(BI147),P147=""),TRUE,FALSE)))</f>
        <v>0</v>
      </c>
      <c r="BO147" s="274">
        <f t="shared" ref="BO147" si="1613">IF(AND(AU147,SUM(COUNTIF(AV147:BC147,TRUE),COUNTIF(BF147:BL150,TRUE),COUNTIF(BD147:BD150,TRUE))=0,NOT($BE$7)),1,0)</f>
        <v>0</v>
      </c>
    </row>
    <row r="148" spans="1:67" ht="17.399999999999999" customHeight="1">
      <c r="A148" s="421"/>
      <c r="B148" s="374"/>
      <c r="C148" s="376"/>
      <c r="D148" s="139"/>
      <c r="E148" s="378"/>
      <c r="F148" s="378"/>
      <c r="G148" s="139" t="str">
        <f>IF(C147="","",(VLOOKUP(D147,男子登録!$A$2:$N$2001,13,0)))</f>
        <v/>
      </c>
      <c r="H148" s="139"/>
      <c r="I148" s="139" t="s">
        <v>7061</v>
      </c>
      <c r="J148" s="152"/>
      <c r="K148" s="139" t="s">
        <v>7062</v>
      </c>
      <c r="L148" s="152"/>
      <c r="M148" s="264"/>
      <c r="N148" s="265"/>
      <c r="O148" s="266"/>
      <c r="P148" s="152"/>
      <c r="Q148" s="382"/>
      <c r="R148" s="385"/>
      <c r="S148" s="136"/>
      <c r="T148" s="137"/>
      <c r="U148" s="137"/>
      <c r="V148" s="137"/>
      <c r="W148" s="137"/>
      <c r="X148" s="137"/>
      <c r="Y148" s="218">
        <f t="shared" ref="Y148" si="1614">IF(OR(E147="",J148=""),0,J148&amp;E147)</f>
        <v>0</v>
      </c>
      <c r="Z148" s="218">
        <f>IF(Y148=0,0,COUNTIF($Y$7:Y148,Y148))</f>
        <v>0</v>
      </c>
      <c r="AD148" s="218">
        <f>IFERROR(VLOOKUP(J148,競技会設定!$P$2:$S$22,2,0),0)</f>
        <v>0</v>
      </c>
      <c r="AE148" s="218">
        <f t="shared" ref="AE148" si="1615">IF(E147="",0,IF(AD148=0,0,IF(AD148&lt;3,E147&amp;$AE$6,0)))</f>
        <v>0</v>
      </c>
      <c r="AF148" s="218">
        <f>IF(AE148=0,0,E147&amp;COUNTIF($AE$7:AE148,AE148))</f>
        <v>0</v>
      </c>
      <c r="AG148" s="218">
        <f t="shared" ref="AG148" si="1616">IF(E147="",0,IF(AD148=0,0,IF(AD148&gt;=3,E147&amp;$AG$6,0)))</f>
        <v>0</v>
      </c>
      <c r="AH148" s="218">
        <f>IF(AG148=0,0,E147&amp;COUNTIF($AG$7:AG148,AG148))</f>
        <v>0</v>
      </c>
      <c r="AI148" s="218">
        <f t="shared" si="1341"/>
        <v>0</v>
      </c>
      <c r="AJ148" s="218" t="b">
        <f>IF(AI148=0,FALSE,IF(COUNTIF(AI$7:AI148,AI148)&gt;1,TRUE,FALSE))</f>
        <v>0</v>
      </c>
      <c r="AK148" s="218">
        <f t="shared" ref="AK148" si="1617">IF($AD148=AK$6,$E147,0)</f>
        <v>0</v>
      </c>
      <c r="AL148" s="218" t="b">
        <f>IF(AK148=0,FALSE,IF(COUNTIF(AK$7:AK148,AK148)&gt;1,TRUE,FALSE))</f>
        <v>0</v>
      </c>
      <c r="AM148" s="218">
        <f t="shared" ref="AM148" si="1618">IF($AD148=AM$6,$E147,0)</f>
        <v>0</v>
      </c>
      <c r="AN148" s="218" t="b">
        <f>IF(AM148=0,FALSE,IF(COUNTIF(AM$7:AM148,AM148)&gt;1,TRUE,FALSE))</f>
        <v>0</v>
      </c>
      <c r="AO148" s="218">
        <f t="shared" ref="AO148" si="1619">IF($AD148=AO$6,$E147,0)</f>
        <v>0</v>
      </c>
      <c r="AP148" s="218" t="b">
        <f>IF(AO148=0,FALSE,IF(COUNTIF(AO$7:AO148,AO148)&gt;1,TRUE,FALSE))</f>
        <v>0</v>
      </c>
      <c r="AQ148" s="218">
        <f t="shared" ref="AQ148" si="1620">IF(COUNTIF(Y148,"*十種競技*")&gt;0,E147,0)</f>
        <v>0</v>
      </c>
      <c r="AR148" s="218" t="b">
        <f>IF(AQ148=0,FALSE,IF(OR(COUNTIF($AI$7:$AI$406,AQ148)+COUNTIF($AQ148:$AQ$406,AQ148)&gt;1,COUNTIF($AK$7:$AK$406,AQ148)+COUNTIF($AQ$7:$AQ$406,AQ148)&gt;1),TRUE,FALSE))</f>
        <v>0</v>
      </c>
      <c r="AT148" s="218" t="b">
        <f t="shared" si="1486"/>
        <v>0</v>
      </c>
      <c r="AU148" s="274"/>
      <c r="AX148" s="274"/>
      <c r="BD148" s="218" t="b">
        <f t="shared" si="1474"/>
        <v>0</v>
      </c>
      <c r="BF148" s="231" t="b">
        <f t="shared" ref="BF148" si="1621">IF(J148="",FALSE,IF(OR(AND(AU147,L148=""),AND(AU147,L148="",OR(M148&lt;&gt;"",N148&lt;&gt;"",O148&lt;&gt;"",P148&lt;&gt;""))),TRUE,FALSE))</f>
        <v>0</v>
      </c>
      <c r="BG148" s="218" t="b">
        <f t="shared" si="1476"/>
        <v>0</v>
      </c>
      <c r="BH148" s="218" t="b">
        <f t="shared" si="1488"/>
        <v>0</v>
      </c>
      <c r="BI148" s="231" t="b">
        <f t="shared" ref="BI148" si="1622">IF(J148="",FALSE,IF(L148=0,FALSE,IF(AND(AU147,NOT(BF148),OR(M148="",N148="",O148="")),TRUE,FALSE)))</f>
        <v>0</v>
      </c>
      <c r="BJ148" s="240" t="b">
        <f t="shared" si="1490"/>
        <v>0</v>
      </c>
      <c r="BK148" s="231" t="b">
        <f>IF(NOT(BJ148),FALSE,IF(AND(競技会設定!$C$5&lt;=BJ148,BJ148&lt;=競技会設定!$C$6),FALSE,TRUE))</f>
        <v>0</v>
      </c>
      <c r="BL148" s="218" t="b">
        <f>IF(J148="",FALSE,IF(L148=0,FALSE,IF(AND(AU147,NOT(BF148),NOT(BI148),P148=""),TRUE,FALSE)))</f>
        <v>0</v>
      </c>
      <c r="BO148" s="274"/>
    </row>
    <row r="149" spans="1:67" ht="17.399999999999999" customHeight="1">
      <c r="A149" s="421"/>
      <c r="B149" s="374"/>
      <c r="C149" s="376"/>
      <c r="D149" s="140"/>
      <c r="E149" s="379" t="str">
        <f>IF(C147="","",VLOOKUP(D147,男子登録!$A$2:$O$2001,14,0)&amp;" ("&amp;VLOOKUP(D147,男子登録!$A$2:$O$2001,15,0)&amp;")")</f>
        <v/>
      </c>
      <c r="F149" s="380"/>
      <c r="G149" s="140" t="str">
        <f>IF(C147="","",(VLOOKUP(D147,男子登録!$A$2:$N$2001,9,0)))</f>
        <v/>
      </c>
      <c r="H149" s="140"/>
      <c r="I149" s="140" t="s">
        <v>7063</v>
      </c>
      <c r="J149" s="153"/>
      <c r="K149" s="140" t="s">
        <v>7064</v>
      </c>
      <c r="L149" s="153"/>
      <c r="M149" s="264"/>
      <c r="N149" s="265"/>
      <c r="O149" s="266"/>
      <c r="P149" s="152"/>
      <c r="Q149" s="382"/>
      <c r="R149" s="385"/>
      <c r="S149" s="136"/>
      <c r="T149" s="137"/>
      <c r="U149" s="137"/>
      <c r="V149" s="137"/>
      <c r="W149" s="137"/>
      <c r="X149" s="137"/>
      <c r="Y149" s="218">
        <f t="shared" ref="Y149" si="1623">IF(OR(E147="",J149=""),0,J149&amp;E147)</f>
        <v>0</v>
      </c>
      <c r="Z149" s="218">
        <f>IF(Y149=0,0,COUNTIF($Y$7:Y149,Y149))</f>
        <v>0</v>
      </c>
      <c r="AD149" s="218">
        <f>IFERROR(VLOOKUP(J149,競技会設定!$P$2:$S$22,2,0),0)</f>
        <v>0</v>
      </c>
      <c r="AE149" s="218">
        <f t="shared" ref="AE149" si="1624">IF(E147="",0,IF(AD149=0,0,IF(AD149&lt;3,E147&amp;$AE$6,0)))</f>
        <v>0</v>
      </c>
      <c r="AF149" s="218">
        <f>IF(AE149=0,0,E147&amp;COUNTIF($AE$7:AE149,AE149))</f>
        <v>0</v>
      </c>
      <c r="AG149" s="218">
        <f t="shared" ref="AG149" si="1625">IF(E147="",0,IF(AD149=0,0,IF(AD149&gt;=3,E147&amp;$AG$6,0)))</f>
        <v>0</v>
      </c>
      <c r="AH149" s="218">
        <f>IF(AG149=0,0,E147&amp;COUNTIF($AG$7:AG149,AG149))</f>
        <v>0</v>
      </c>
      <c r="AI149" s="218">
        <f t="shared" si="1351"/>
        <v>0</v>
      </c>
      <c r="AJ149" s="218" t="b">
        <f>IF(AI149=0,FALSE,IF(COUNTIF(AI$7:AI149,AI149)&gt;1,TRUE,FALSE))</f>
        <v>0</v>
      </c>
      <c r="AK149" s="218">
        <f t="shared" ref="AK149" si="1626">IF($AD149=AK$6,$E147,0)</f>
        <v>0</v>
      </c>
      <c r="AL149" s="218" t="b">
        <f>IF(AK149=0,FALSE,IF(COUNTIF(AK$7:AK149,AK149)&gt;1,TRUE,FALSE))</f>
        <v>0</v>
      </c>
      <c r="AM149" s="218">
        <f t="shared" ref="AM149" si="1627">IF($AD149=AM$6,$E147,0)</f>
        <v>0</v>
      </c>
      <c r="AN149" s="218" t="b">
        <f>IF(AM149=0,FALSE,IF(COUNTIF(AM$7:AM149,AM149)&gt;1,TRUE,FALSE))</f>
        <v>0</v>
      </c>
      <c r="AO149" s="218">
        <f t="shared" ref="AO149" si="1628">IF($AD149=AO$6,$E147,0)</f>
        <v>0</v>
      </c>
      <c r="AP149" s="218" t="b">
        <f>IF(AO149=0,FALSE,IF(COUNTIF(AO$7:AO149,AO149)&gt;1,TRUE,FALSE))</f>
        <v>0</v>
      </c>
      <c r="AQ149" s="218">
        <f t="shared" ref="AQ149" si="1629">IF(COUNTIF(Y149,"*十種競技*")&gt;0,E147,0)</f>
        <v>0</v>
      </c>
      <c r="AR149" s="218" t="b">
        <f>IF(AQ149=0,FALSE,IF(OR(COUNTIF($AI$7:$AI$406,AQ149)+COUNTIF($AQ149:$AQ$406,AQ149)&gt;1,COUNTIF($AK$7:$AK$406,AQ149)+COUNTIF($AQ$7:$AQ$406,AQ149)&gt;1),TRUE,FALSE))</f>
        <v>0</v>
      </c>
      <c r="AT149" s="218" t="b">
        <f t="shared" si="1486"/>
        <v>0</v>
      </c>
      <c r="AU149" s="274"/>
      <c r="AX149" s="274"/>
      <c r="BD149" s="218" t="b">
        <f t="shared" si="1474"/>
        <v>0</v>
      </c>
      <c r="BF149" s="231" t="b">
        <f t="shared" ref="BF149" si="1630">IF(J149="",FALSE,IF(OR(AND(AU147,L149=""),AND(AU147,L149="",OR(M149&lt;&gt;"",N149&lt;&gt;"",O149&lt;&gt;"",P149&lt;&gt;""))),TRUE,FALSE))</f>
        <v>0</v>
      </c>
      <c r="BG149" s="218" t="b">
        <f t="shared" si="1476"/>
        <v>0</v>
      </c>
      <c r="BH149" s="218" t="b">
        <f t="shared" si="1488"/>
        <v>0</v>
      </c>
      <c r="BI149" s="231" t="b">
        <f t="shared" ref="BI149" si="1631">IF(J149="",FALSE,IF(L149=0,FALSE,IF(AND(AU147,NOT(BF149),OR(M149="",N149="",O149="")),TRUE,FALSE)))</f>
        <v>0</v>
      </c>
      <c r="BJ149" s="240" t="b">
        <f t="shared" si="1490"/>
        <v>0</v>
      </c>
      <c r="BK149" s="231" t="b">
        <f>IF(NOT(BJ149),FALSE,IF(AND(競技会設定!$C$5&lt;=BJ149,BJ149&lt;=競技会設定!$C$6),FALSE,TRUE))</f>
        <v>0</v>
      </c>
      <c r="BL149" s="218" t="b">
        <f>IF(J149="",FALSE,IF(L149=0,FALSE,IF(AND(AU147,NOT(BF149),NOT(BI149),P149=""),TRUE,FALSE)))</f>
        <v>0</v>
      </c>
      <c r="BO149" s="274"/>
    </row>
    <row r="150" spans="1:67" ht="18" customHeight="1" thickBot="1">
      <c r="A150" s="422"/>
      <c r="B150" s="387" t="s">
        <v>7051</v>
      </c>
      <c r="C150" s="387"/>
      <c r="D150" s="213"/>
      <c r="E150" s="388"/>
      <c r="F150" s="389"/>
      <c r="G150" s="390"/>
      <c r="H150" s="141"/>
      <c r="I150" s="213" t="s">
        <v>7065</v>
      </c>
      <c r="J150" s="154"/>
      <c r="K150" s="213" t="s">
        <v>7066</v>
      </c>
      <c r="L150" s="154"/>
      <c r="M150" s="267"/>
      <c r="N150" s="268"/>
      <c r="O150" s="269"/>
      <c r="P150" s="154"/>
      <c r="Q150" s="383"/>
      <c r="R150" s="386"/>
      <c r="S150" s="136"/>
      <c r="T150" s="137"/>
      <c r="U150" s="137"/>
      <c r="V150" s="137"/>
      <c r="W150" s="137"/>
      <c r="X150" s="137"/>
      <c r="Y150" s="218">
        <f t="shared" ref="Y150" si="1632">IF(OR(E147="",J150=""),0,J150&amp;E147)</f>
        <v>0</v>
      </c>
      <c r="Z150" s="218">
        <f>IF(Y150=0,0,COUNTIF($Y$7:Y150,Y150))</f>
        <v>0</v>
      </c>
      <c r="AD150" s="218">
        <f>IFERROR(VLOOKUP(J150,競技会設定!$P$2:$S$22,2,0),0)</f>
        <v>0</v>
      </c>
      <c r="AE150" s="218">
        <f t="shared" ref="AE150" si="1633">IF(E147="",0,IF(AD150=0,0,IF(AD150&lt;3,E147&amp;$AE$6,0)))</f>
        <v>0</v>
      </c>
      <c r="AF150" s="218">
        <f>IF(AE150=0,0,E147&amp;COUNTIF($AE$7:AE150,AE150))</f>
        <v>0</v>
      </c>
      <c r="AG150" s="218">
        <f t="shared" ref="AG150" si="1634">IF(E147="",0,IF(AD150=0,0,IF(AD150&gt;=3,E147&amp;$AG$6,0)))</f>
        <v>0</v>
      </c>
      <c r="AH150" s="218">
        <f>IF(AG150=0,0,E147&amp;COUNTIF($AG$7:AG150,AG150))</f>
        <v>0</v>
      </c>
      <c r="AI150" s="218">
        <f t="shared" si="1361"/>
        <v>0</v>
      </c>
      <c r="AJ150" s="218" t="b">
        <f>IF(AI150=0,FALSE,IF(COUNTIF(AI$7:AI150,AI150)&gt;1,TRUE,FALSE))</f>
        <v>0</v>
      </c>
      <c r="AK150" s="218">
        <f t="shared" ref="AK150" si="1635">IF($AD150=AK$6,$E147,0)</f>
        <v>0</v>
      </c>
      <c r="AL150" s="218" t="b">
        <f>IF(AK150=0,FALSE,IF(COUNTIF(AK$7:AK150,AK150)&gt;1,TRUE,FALSE))</f>
        <v>0</v>
      </c>
      <c r="AM150" s="218">
        <f t="shared" ref="AM150" si="1636">IF($AD150=AM$6,$E147,0)</f>
        <v>0</v>
      </c>
      <c r="AN150" s="218" t="b">
        <f>IF(AM150=0,FALSE,IF(COUNTIF(AM$7:AM150,AM150)&gt;1,TRUE,FALSE))</f>
        <v>0</v>
      </c>
      <c r="AO150" s="218">
        <f t="shared" ref="AO150" si="1637">IF($AD150=AO$6,$E147,0)</f>
        <v>0</v>
      </c>
      <c r="AP150" s="218" t="b">
        <f>IF(AO150=0,FALSE,IF(COUNTIF(AO$7:AO150,AO150)&gt;1,TRUE,FALSE))</f>
        <v>0</v>
      </c>
      <c r="AQ150" s="218">
        <f t="shared" ref="AQ150" si="1638">IF(COUNTIF(Y150,"*十種競技*")&gt;0,E147,0)</f>
        <v>0</v>
      </c>
      <c r="AR150" s="218" t="b">
        <f>IF(AQ150=0,FALSE,IF(OR(COUNTIF($AI$7:$AI$406,AQ150)+COUNTIF($AQ150:$AQ$406,AQ150)&gt;1,COUNTIF($AK$7:$AK$406,AQ150)+COUNTIF($AQ$7:$AQ$406,AQ150)&gt;1),TRUE,FALSE))</f>
        <v>0</v>
      </c>
      <c r="AT150" s="218" t="b">
        <f t="shared" si="1486"/>
        <v>0</v>
      </c>
      <c r="AU150" s="274"/>
      <c r="AX150" s="274"/>
      <c r="BD150" s="218" t="b">
        <f t="shared" si="1474"/>
        <v>0</v>
      </c>
      <c r="BF150" s="231" t="b">
        <f t="shared" ref="BF150" si="1639">IF(J150="",FALSE,IF(OR(AND(AU147,L150=""),AND(AU147,L150="",OR(M150&lt;&gt;"",N150&lt;&gt;"",O150&lt;&gt;"",P150&lt;&gt;""))),TRUE,FALSE))</f>
        <v>0</v>
      </c>
      <c r="BG150" s="218" t="b">
        <f t="shared" si="1476"/>
        <v>0</v>
      </c>
      <c r="BH150" s="218" t="b">
        <f t="shared" si="1488"/>
        <v>0</v>
      </c>
      <c r="BI150" s="231" t="b">
        <f t="shared" ref="BI150" si="1640">IF(J150="",FALSE,IF(L150=0,FALSE,IF(AND(AU147,NOT(BF150),OR(M150="",N150="",O150="")),TRUE,FALSE)))</f>
        <v>0</v>
      </c>
      <c r="BJ150" s="240" t="b">
        <f t="shared" si="1490"/>
        <v>0</v>
      </c>
      <c r="BK150" s="231" t="b">
        <f>IF(NOT(BJ150),FALSE,IF(AND(競技会設定!$C$5&lt;=BJ150,BJ150&lt;=競技会設定!$C$6),FALSE,TRUE))</f>
        <v>0</v>
      </c>
      <c r="BL150" s="218" t="b">
        <f>IF(J150="",FALSE,IF(L150=0,FALSE,IF(AND(AU147,NOT(BF150),NOT(BI150),P150=""),TRUE,FALSE)))</f>
        <v>0</v>
      </c>
      <c r="BO150" s="274"/>
    </row>
    <row r="151" spans="1:67" ht="18" customHeight="1" thickTop="1">
      <c r="A151" s="417">
        <v>37</v>
      </c>
      <c r="B151" s="401" t="s">
        <v>7050</v>
      </c>
      <c r="C151" s="403"/>
      <c r="D151" s="220" t="str">
        <f t="shared" ref="D151" si="1641">IF(C151="","",501&amp;TEXT(C151,"000000"))</f>
        <v/>
      </c>
      <c r="E151" s="396" t="str">
        <f>IF(D151="","",(VLOOKUP(D151,男子登録!$A$2:$N$2001,3,0)))</f>
        <v/>
      </c>
      <c r="F151" s="396" t="str">
        <f>IF(D151="","",(VLOOKUP(D151,男子登録!$A$2:$N$2001,4,0)))</f>
        <v/>
      </c>
      <c r="G151" s="220" t="str">
        <f>IF(C151="","",(VLOOKUP(D151,男子登録!$A$2:$N$2001,8,0)))</f>
        <v/>
      </c>
      <c r="H151" s="220">
        <f>IFERROR(VLOOKUP(D151,男子登録!$A$2:$N$2001,11,0),基本情報!$E$5)</f>
        <v>0</v>
      </c>
      <c r="I151" s="220" t="s">
        <v>7059</v>
      </c>
      <c r="J151" s="148"/>
      <c r="K151" s="220" t="s">
        <v>7060</v>
      </c>
      <c r="L151" s="148"/>
      <c r="M151" s="252"/>
      <c r="N151" s="253"/>
      <c r="O151" s="254"/>
      <c r="P151" s="148"/>
      <c r="Q151" s="398"/>
      <c r="R151" s="391"/>
      <c r="S151" s="136">
        <f t="shared" ref="S151" si="1642">IF(OR(E151="",Q151=""),0,E151)</f>
        <v>0</v>
      </c>
      <c r="T151" s="137">
        <f>IF(S151=0,0,COUNTIF($S$7:S151,"*"))</f>
        <v>0</v>
      </c>
      <c r="U151" s="137">
        <f>IF(S151=0,0,COUNTIF($S$7:S151,S151))</f>
        <v>0</v>
      </c>
      <c r="V151" s="137">
        <f t="shared" si="949"/>
        <v>0</v>
      </c>
      <c r="W151" s="137">
        <f>IF(V151=0,0,COUNTIF($V$7:V151,"*"))</f>
        <v>0</v>
      </c>
      <c r="X151" s="137">
        <f>IF(V151=0,0,COUNTIF($V$7:V151,V151))</f>
        <v>0</v>
      </c>
      <c r="Y151" s="218">
        <f t="shared" ref="Y151" si="1643">IF(OR(E151="",J151=""),0,J151&amp;E151)</f>
        <v>0</v>
      </c>
      <c r="Z151" s="218">
        <f>IF(Y151=0,0,COUNTIF($Y$7:Y151,Y151))</f>
        <v>0</v>
      </c>
      <c r="AA151" s="218" t="b">
        <f t="shared" ref="AA151" si="1644">IF(COUNTIF(J151:J154,"十種競技")&gt;0,TRUE,FALSE)</f>
        <v>0</v>
      </c>
      <c r="AB151" s="218">
        <f>IF(E151="",0,IF(AA151,COUNTIF($AA$7:AA151,TRUE),0))</f>
        <v>0</v>
      </c>
      <c r="AC151" s="218">
        <f>IFERROR(VLOOKUP("十種競技",J151:L154,3,0),0)</f>
        <v>0</v>
      </c>
      <c r="AD151" s="218">
        <f>IFERROR(VLOOKUP(J151,競技会設定!$P$2:$S$22,2,0),0)</f>
        <v>0</v>
      </c>
      <c r="AE151" s="218">
        <f t="shared" ref="AE151" si="1645">IF(E151="",0,IF(AD151=0,0,IF(AD151&lt;3,E151&amp;$AE$6,0)))</f>
        <v>0</v>
      </c>
      <c r="AF151" s="218">
        <f>IF(AE151=0,0,E151&amp;COUNTIF($AE$7:AE151,AE151))</f>
        <v>0</v>
      </c>
      <c r="AG151" s="218">
        <f t="shared" ref="AG151" si="1646">IF(E151="",0,IF(AD151=0,0,IF(AD151&gt;=3,E151&amp;$AG$6,0)))</f>
        <v>0</v>
      </c>
      <c r="AH151" s="218">
        <f>IF(AG151=0,0,E151&amp;COUNTIF($AG$7:AG151,AG151))</f>
        <v>0</v>
      </c>
      <c r="AI151" s="218">
        <f t="shared" ref="AI151" si="1647">IF(COUNTIF(Y151,"*十種*")&gt;0,0,IF($AD151=AI$6,$E151,0))</f>
        <v>0</v>
      </c>
      <c r="AJ151" s="218" t="b">
        <f>IF(AI151=0,FALSE,IF(COUNTIF(AI$7:AI151,AI151)&gt;1,TRUE,FALSE))</f>
        <v>0</v>
      </c>
      <c r="AK151" s="218">
        <f t="shared" ref="AK151" si="1648">IF($AD151=AK$6,$E151,0)</f>
        <v>0</v>
      </c>
      <c r="AL151" s="218" t="b">
        <f>IF(AK151=0,FALSE,IF(COUNTIF(AK$7:AK151,AK151)&gt;1,TRUE,FALSE))</f>
        <v>0</v>
      </c>
      <c r="AM151" s="218">
        <f t="shared" ref="AM151" si="1649">IF($AD151=AM$6,$E151,0)</f>
        <v>0</v>
      </c>
      <c r="AN151" s="218" t="b">
        <f>IF(AM151=0,FALSE,IF(COUNTIF(AM$7:AM151,AM151)&gt;1,TRUE,FALSE))</f>
        <v>0</v>
      </c>
      <c r="AO151" s="218">
        <f t="shared" ref="AO151" si="1650">IF($AD151=AO$6,$E151,0)</f>
        <v>0</v>
      </c>
      <c r="AP151" s="218" t="b">
        <f>IF(AO151=0,FALSE,IF(COUNTIF(AO$7:AO151,AO151)&gt;1,TRUE,FALSE))</f>
        <v>0</v>
      </c>
      <c r="AQ151" s="218">
        <f t="shared" ref="AQ151" si="1651">IF(COUNTIF(Y151,"*十種競技*")&gt;0,E151,0)</f>
        <v>0</v>
      </c>
      <c r="AR151" s="218" t="b">
        <f>IF(AQ151=0,FALSE,IF(OR(COUNTIF($AI$7:$AI$406,AQ151)+COUNTIF($AQ151:$AQ$406,AQ151)&gt;1,COUNTIF($AK$7:$AK$406,AQ151)+COUNTIF($AQ$7:$AQ$406,AQ151)&gt;1),TRUE,FALSE))</f>
        <v>0</v>
      </c>
      <c r="AS151" s="218" t="b">
        <f t="shared" ref="AS151" si="1652">IF(AND(C151="",E151&lt;&gt;"",F151&lt;&gt;"",E153&lt;&gt;"",G151&lt;&gt;"",G152&lt;&gt;"",G153&lt;&gt;""),TRUE,FALSE)</f>
        <v>0</v>
      </c>
      <c r="AT151" s="218" t="b">
        <f t="shared" si="1486"/>
        <v>0</v>
      </c>
      <c r="AU151" s="274" t="b">
        <f t="shared" ref="AU151" si="1653">IFERROR(IF(D151&amp;E151&amp;F151&amp;E153&amp;G151&amp;G152&amp;G153&amp;J151&amp;J152&amp;J153&amp;J154&amp;L151&amp;L152&amp;L153&amp;L154&amp;M151&amp;M152&amp;M153&amp;M154&amp;N151&amp;N152&amp;N153&amp;N154&amp;O151&amp;O152&amp;O153&amp;O154&amp;P151&amp;P152&amp;P153&amp;P154&amp;Q151&amp;R151="",FALSE,TRUE),FALSE)</f>
        <v>0</v>
      </c>
      <c r="AV151" s="218" t="b">
        <f t="shared" ref="AV151" si="1654">IF(AS151,FALSE,IF(C151="",AU151,FALSE))</f>
        <v>0</v>
      </c>
      <c r="AW151" s="218" t="b">
        <f>IF(C151="",FALSE,IF(C151&gt;2000,TRUE,FALSE))</f>
        <v>0</v>
      </c>
      <c r="AX151" s="274" t="b">
        <f>IF(H151=0,FALSE,IF(EXACT(基本情報!$E$5,H151)=TRUE,FALSE,TRUE))</f>
        <v>0</v>
      </c>
      <c r="AY151" s="218" t="b">
        <f>IF(C151="",FALSE,IF(ISNA(E151)=TRUE,TRUE,FALSE))</f>
        <v>0</v>
      </c>
      <c r="AZ151" s="274" t="b">
        <f>IFERROR(IF(E151="",FALSE,IF(COUNTIF($E$7:E151,E151)&gt;1,TRUE,FALSE)),FALSE)</f>
        <v>0</v>
      </c>
      <c r="BA151" s="218" t="b">
        <f t="shared" ref="BA151" si="1655">IF(OR(J151&amp;J152&amp;J153&amp;J154&amp;Q151&amp;R151="",AT151,AT152,AT153,AT154),AU151,FALSE)</f>
        <v>0</v>
      </c>
      <c r="BB151" s="218" t="b">
        <f>IF(U151&gt;1,TRUE,FALSE)</f>
        <v>0</v>
      </c>
      <c r="BC151" s="218" t="b">
        <f>IF(X151&gt;1,TRUE,FALSE)</f>
        <v>0</v>
      </c>
      <c r="BD151" s="218" t="b">
        <f t="shared" si="1474"/>
        <v>0</v>
      </c>
      <c r="BF151" s="231" t="b">
        <f t="shared" ref="BF151" si="1656">IF(J151="",FALSE,IF(OR(AND(AU151,L151=""),AND(AU151,L151="",OR(M151&lt;&gt;"",N151&lt;&gt;"",O151&lt;&gt;"",P151&lt;&gt;""))),TRUE,FALSE))</f>
        <v>0</v>
      </c>
      <c r="BG151" s="218" t="b">
        <f t="shared" si="1476"/>
        <v>0</v>
      </c>
      <c r="BH151" s="218" t="b">
        <f t="shared" si="1488"/>
        <v>0</v>
      </c>
      <c r="BI151" s="231" t="b">
        <f t="shared" ref="BI151" si="1657">IF(J151="",FALSE,IF(L151=0,FALSE,IF(AND(AU151,NOT(BF151),OR(M151="",N151="",O151="")),TRUE,FALSE)))</f>
        <v>0</v>
      </c>
      <c r="BJ151" s="240" t="b">
        <f t="shared" si="1490"/>
        <v>0</v>
      </c>
      <c r="BK151" s="231" t="b">
        <f>IF(NOT(BJ151),FALSE,IF(AND(競技会設定!$C$5&lt;=BJ151,BJ151&lt;=競技会設定!$C$6),FALSE,TRUE))</f>
        <v>0</v>
      </c>
      <c r="BL151" s="218" t="b">
        <f>IF(J151="",FALSE,IF(L151=0,FALSE,IF(AND(AU151,NOT(BF151),NOT(BI151),P151=""),TRUE,FALSE)))</f>
        <v>0</v>
      </c>
      <c r="BO151" s="274">
        <f t="shared" ref="BO151" si="1658">IF(AND(AU151,SUM(COUNTIF(AV151:BC151,TRUE),COUNTIF(BF151:BL154,TRUE),COUNTIF(BD151:BD154,TRUE))=0,NOT($BE$7)),1,0)</f>
        <v>0</v>
      </c>
    </row>
    <row r="152" spans="1:67" ht="17.399999999999999" customHeight="1">
      <c r="A152" s="418"/>
      <c r="B152" s="402"/>
      <c r="C152" s="404"/>
      <c r="D152" s="221"/>
      <c r="E152" s="397"/>
      <c r="F152" s="397"/>
      <c r="G152" s="221" t="str">
        <f>IF(C151="","",(VLOOKUP(D151,男子登録!$A$2:$N$2001,13,0)))</f>
        <v/>
      </c>
      <c r="H152" s="221"/>
      <c r="I152" s="221" t="s">
        <v>7061</v>
      </c>
      <c r="J152" s="149"/>
      <c r="K152" s="221" t="s">
        <v>7062</v>
      </c>
      <c r="L152" s="149"/>
      <c r="M152" s="255"/>
      <c r="N152" s="256"/>
      <c r="O152" s="257"/>
      <c r="P152" s="149"/>
      <c r="Q152" s="399"/>
      <c r="R152" s="392"/>
      <c r="S152" s="136"/>
      <c r="T152" s="137"/>
      <c r="U152" s="137"/>
      <c r="V152" s="137"/>
      <c r="W152" s="137"/>
      <c r="X152" s="137"/>
      <c r="Y152" s="218">
        <f t="shared" ref="Y152" si="1659">IF(OR(E151="",J152=""),0,J152&amp;E151)</f>
        <v>0</v>
      </c>
      <c r="Z152" s="218">
        <f>IF(Y152=0,0,COUNTIF($Y$7:Y152,Y152))</f>
        <v>0</v>
      </c>
      <c r="AD152" s="218">
        <f>IFERROR(VLOOKUP(J152,競技会設定!$P$2:$S$22,2,0),0)</f>
        <v>0</v>
      </c>
      <c r="AE152" s="218">
        <f t="shared" ref="AE152" si="1660">IF(E151="",0,IF(AD152=0,0,IF(AD152&lt;3,E151&amp;$AE$6,0)))</f>
        <v>0</v>
      </c>
      <c r="AF152" s="218">
        <f>IF(AE152=0,0,E151&amp;COUNTIF($AE$7:AE152,AE152))</f>
        <v>0</v>
      </c>
      <c r="AG152" s="218">
        <f t="shared" ref="AG152" si="1661">IF(E151="",0,IF(AD152=0,0,IF(AD152&gt;=3,E151&amp;$AG$6,0)))</f>
        <v>0</v>
      </c>
      <c r="AH152" s="218">
        <f>IF(AG152=0,0,E151&amp;COUNTIF($AG$7:AG152,AG152))</f>
        <v>0</v>
      </c>
      <c r="AI152" s="218">
        <f t="shared" ref="AI152" si="1662">IF(COUNTIF(Y152,"*十種*")&gt;0,0,IF($AD152=AI$6,$E151,0))</f>
        <v>0</v>
      </c>
      <c r="AJ152" s="218" t="b">
        <f>IF(AI152=0,FALSE,IF(COUNTIF(AI$7:AI152,AI152)&gt;1,TRUE,FALSE))</f>
        <v>0</v>
      </c>
      <c r="AK152" s="218">
        <f t="shared" ref="AK152" si="1663">IF($AD152=AK$6,$E151,0)</f>
        <v>0</v>
      </c>
      <c r="AL152" s="218" t="b">
        <f>IF(AK152=0,FALSE,IF(COUNTIF(AK$7:AK152,AK152)&gt;1,TRUE,FALSE))</f>
        <v>0</v>
      </c>
      <c r="AM152" s="218">
        <f t="shared" ref="AM152" si="1664">IF($AD152=AM$6,$E151,0)</f>
        <v>0</v>
      </c>
      <c r="AN152" s="218" t="b">
        <f>IF(AM152=0,FALSE,IF(COUNTIF(AM$7:AM152,AM152)&gt;1,TRUE,FALSE))</f>
        <v>0</v>
      </c>
      <c r="AO152" s="218">
        <f t="shared" ref="AO152" si="1665">IF($AD152=AO$6,$E151,0)</f>
        <v>0</v>
      </c>
      <c r="AP152" s="218" t="b">
        <f>IF(AO152=0,FALSE,IF(COUNTIF(AO$7:AO152,AO152)&gt;1,TRUE,FALSE))</f>
        <v>0</v>
      </c>
      <c r="AQ152" s="218">
        <f t="shared" ref="AQ152" si="1666">IF(COUNTIF(Y152,"*十種競技*")&gt;0,E151,0)</f>
        <v>0</v>
      </c>
      <c r="AR152" s="218" t="b">
        <f>IF(AQ152=0,FALSE,IF(OR(COUNTIF($AI$7:$AI$406,AQ152)+COUNTIF($AQ152:$AQ$406,AQ152)&gt;1,COUNTIF($AK$7:$AK$406,AQ152)+COUNTIF($AQ$7:$AQ$406,AQ152)&gt;1),TRUE,FALSE))</f>
        <v>0</v>
      </c>
      <c r="AT152" s="218" t="b">
        <f t="shared" si="1486"/>
        <v>0</v>
      </c>
      <c r="AU152" s="274"/>
      <c r="AX152" s="274"/>
      <c r="BD152" s="218" t="b">
        <f t="shared" si="1474"/>
        <v>0</v>
      </c>
      <c r="BF152" s="231" t="b">
        <f t="shared" ref="BF152" si="1667">IF(J152="",FALSE,IF(OR(AND(AU151,L152=""),AND(AU151,L152="",OR(M152&lt;&gt;"",N152&lt;&gt;"",O152&lt;&gt;"",P152&lt;&gt;""))),TRUE,FALSE))</f>
        <v>0</v>
      </c>
      <c r="BG152" s="218" t="b">
        <f t="shared" si="1476"/>
        <v>0</v>
      </c>
      <c r="BH152" s="218" t="b">
        <f t="shared" si="1488"/>
        <v>0</v>
      </c>
      <c r="BI152" s="231" t="b">
        <f t="shared" ref="BI152" si="1668">IF(J152="",FALSE,IF(L152=0,FALSE,IF(AND(AU151,NOT(BF152),OR(M152="",N152="",O152="")),TRUE,FALSE)))</f>
        <v>0</v>
      </c>
      <c r="BJ152" s="240" t="b">
        <f t="shared" si="1490"/>
        <v>0</v>
      </c>
      <c r="BK152" s="231" t="b">
        <f>IF(NOT(BJ152),FALSE,IF(AND(競技会設定!$C$5&lt;=BJ152,BJ152&lt;=競技会設定!$C$6),FALSE,TRUE))</f>
        <v>0</v>
      </c>
      <c r="BL152" s="218" t="b">
        <f>IF(J152="",FALSE,IF(L152=0,FALSE,IF(AND(AU151,NOT(BF152),NOT(BI152),P152=""),TRUE,FALSE)))</f>
        <v>0</v>
      </c>
      <c r="BO152" s="274"/>
    </row>
    <row r="153" spans="1:67" ht="17.399999999999999" customHeight="1">
      <c r="A153" s="418"/>
      <c r="B153" s="402"/>
      <c r="C153" s="404"/>
      <c r="D153" s="221"/>
      <c r="E153" s="394" t="str">
        <f>IF(C151="","",VLOOKUP(D151,男子登録!$A$2:$O$2001,14,0)&amp;" ("&amp;VLOOKUP(D151,男子登録!$A$2:$O$2001,15,0)&amp;")")</f>
        <v/>
      </c>
      <c r="F153" s="394"/>
      <c r="G153" s="222" t="str">
        <f>IF(C151="","",(VLOOKUP(D151,男子登録!$A$2:$N$2001,9,0)))</f>
        <v/>
      </c>
      <c r="H153" s="222"/>
      <c r="I153" s="222" t="s">
        <v>7063</v>
      </c>
      <c r="J153" s="150"/>
      <c r="K153" s="222" t="s">
        <v>7064</v>
      </c>
      <c r="L153" s="150"/>
      <c r="M153" s="255"/>
      <c r="N153" s="256"/>
      <c r="O153" s="257"/>
      <c r="P153" s="149"/>
      <c r="Q153" s="399"/>
      <c r="R153" s="392"/>
      <c r="S153" s="136"/>
      <c r="T153" s="137"/>
      <c r="U153" s="137"/>
      <c r="V153" s="137"/>
      <c r="W153" s="137"/>
      <c r="X153" s="137"/>
      <c r="Y153" s="218">
        <f t="shared" ref="Y153" si="1669">IF(OR(E151="",J153=""),0,J153&amp;E151)</f>
        <v>0</v>
      </c>
      <c r="Z153" s="218">
        <f>IF(Y153=0,0,COUNTIF($Y$7:Y153,Y153))</f>
        <v>0</v>
      </c>
      <c r="AD153" s="218">
        <f>IFERROR(VLOOKUP(J153,競技会設定!$P$2:$S$22,2,0),0)</f>
        <v>0</v>
      </c>
      <c r="AE153" s="218">
        <f t="shared" ref="AE153" si="1670">IF(E151="",0,IF(AD153=0,0,IF(AD153&lt;3,E151&amp;$AE$6,0)))</f>
        <v>0</v>
      </c>
      <c r="AF153" s="218">
        <f>IF(AE153=0,0,E151&amp;COUNTIF($AE$7:AE153,AE153))</f>
        <v>0</v>
      </c>
      <c r="AG153" s="218">
        <f t="shared" ref="AG153" si="1671">IF(E151="",0,IF(AD153=0,0,IF(AD153&gt;=3,E151&amp;$AG$6,0)))</f>
        <v>0</v>
      </c>
      <c r="AH153" s="218">
        <f>IF(AG153=0,0,E151&amp;COUNTIF($AG$7:AG153,AG153))</f>
        <v>0</v>
      </c>
      <c r="AI153" s="218">
        <f t="shared" ref="AI153" si="1672">IF(COUNTIF(Y153,"*十種*")&gt;0,0,IF($AD153=AI$6,$E151,0))</f>
        <v>0</v>
      </c>
      <c r="AJ153" s="218" t="b">
        <f>IF(AI153=0,FALSE,IF(COUNTIF(AI$7:AI153,AI153)&gt;1,TRUE,FALSE))</f>
        <v>0</v>
      </c>
      <c r="AK153" s="218">
        <f t="shared" ref="AK153" si="1673">IF($AD153=AK$6,$E151,0)</f>
        <v>0</v>
      </c>
      <c r="AL153" s="218" t="b">
        <f>IF(AK153=0,FALSE,IF(COUNTIF(AK$7:AK153,AK153)&gt;1,TRUE,FALSE))</f>
        <v>0</v>
      </c>
      <c r="AM153" s="218">
        <f t="shared" ref="AM153" si="1674">IF($AD153=AM$6,$E151,0)</f>
        <v>0</v>
      </c>
      <c r="AN153" s="218" t="b">
        <f>IF(AM153=0,FALSE,IF(COUNTIF(AM$7:AM153,AM153)&gt;1,TRUE,FALSE))</f>
        <v>0</v>
      </c>
      <c r="AO153" s="218">
        <f t="shared" ref="AO153" si="1675">IF($AD153=AO$6,$E151,0)</f>
        <v>0</v>
      </c>
      <c r="AP153" s="218" t="b">
        <f>IF(AO153=0,FALSE,IF(COUNTIF(AO$7:AO153,AO153)&gt;1,TRUE,FALSE))</f>
        <v>0</v>
      </c>
      <c r="AQ153" s="218">
        <f t="shared" ref="AQ153" si="1676">IF(COUNTIF(Y153,"*十種競技*")&gt;0,E151,0)</f>
        <v>0</v>
      </c>
      <c r="AR153" s="218" t="b">
        <f>IF(AQ153=0,FALSE,IF(OR(COUNTIF($AI$7:$AI$406,AQ153)+COUNTIF($AQ153:$AQ$406,AQ153)&gt;1,COUNTIF($AK$7:$AK$406,AQ153)+COUNTIF($AQ$7:$AQ$406,AQ153)&gt;1),TRUE,FALSE))</f>
        <v>0</v>
      </c>
      <c r="AT153" s="218" t="b">
        <f t="shared" si="1486"/>
        <v>0</v>
      </c>
      <c r="AU153" s="274"/>
      <c r="AX153" s="274"/>
      <c r="BD153" s="218" t="b">
        <f t="shared" si="1474"/>
        <v>0</v>
      </c>
      <c r="BF153" s="231" t="b">
        <f t="shared" ref="BF153" si="1677">IF(J153="",FALSE,IF(OR(AND(AU151,L153=""),AND(AU151,L153="",OR(M153&lt;&gt;"",N153&lt;&gt;"",O153&lt;&gt;"",P153&lt;&gt;""))),TRUE,FALSE))</f>
        <v>0</v>
      </c>
      <c r="BG153" s="218" t="b">
        <f t="shared" si="1476"/>
        <v>0</v>
      </c>
      <c r="BH153" s="218" t="b">
        <f t="shared" si="1488"/>
        <v>0</v>
      </c>
      <c r="BI153" s="231" t="b">
        <f t="shared" ref="BI153" si="1678">IF(J153="",FALSE,IF(L153=0,FALSE,IF(AND(AU151,NOT(BF153),OR(M153="",N153="",O153="")),TRUE,FALSE)))</f>
        <v>0</v>
      </c>
      <c r="BJ153" s="240" t="b">
        <f t="shared" si="1490"/>
        <v>0</v>
      </c>
      <c r="BK153" s="231" t="b">
        <f>IF(NOT(BJ153),FALSE,IF(AND(競技会設定!$C$5&lt;=BJ153,BJ153&lt;=競技会設定!$C$6),FALSE,TRUE))</f>
        <v>0</v>
      </c>
      <c r="BL153" s="218" t="b">
        <f>IF(J153="",FALSE,IF(L153=0,FALSE,IF(AND(AU151,NOT(BF153),NOT(BI153),P153=""),TRUE,FALSE)))</f>
        <v>0</v>
      </c>
      <c r="BO153" s="274"/>
    </row>
    <row r="154" spans="1:67" ht="18" customHeight="1" thickBot="1">
      <c r="A154" s="419"/>
      <c r="B154" s="395" t="s">
        <v>7051</v>
      </c>
      <c r="C154" s="395"/>
      <c r="D154" s="221"/>
      <c r="E154" s="372"/>
      <c r="F154" s="372"/>
      <c r="G154" s="372"/>
      <c r="H154" s="214"/>
      <c r="I154" s="214" t="s">
        <v>7065</v>
      </c>
      <c r="J154" s="219"/>
      <c r="K154" s="214" t="s">
        <v>7066</v>
      </c>
      <c r="L154" s="219"/>
      <c r="M154" s="258"/>
      <c r="N154" s="259"/>
      <c r="O154" s="260"/>
      <c r="P154" s="219"/>
      <c r="Q154" s="400"/>
      <c r="R154" s="393"/>
      <c r="S154" s="136"/>
      <c r="T154" s="137"/>
      <c r="U154" s="137"/>
      <c r="V154" s="137"/>
      <c r="W154" s="137"/>
      <c r="X154" s="137"/>
      <c r="Y154" s="218">
        <f t="shared" ref="Y154" si="1679">IF(OR(E151="",J154=""),0,J154&amp;E151)</f>
        <v>0</v>
      </c>
      <c r="Z154" s="218">
        <f>IF(Y154=0,0,COUNTIF($Y$7:Y154,Y154))</f>
        <v>0</v>
      </c>
      <c r="AD154" s="218">
        <f>IFERROR(VLOOKUP(J154,競技会設定!$P$2:$S$22,2,0),0)</f>
        <v>0</v>
      </c>
      <c r="AE154" s="218">
        <f t="shared" ref="AE154" si="1680">IF(E151="",0,IF(AD154=0,0,IF(AD154&lt;3,E151&amp;$AE$6,0)))</f>
        <v>0</v>
      </c>
      <c r="AF154" s="218">
        <f>IF(AE154=0,0,E151&amp;COUNTIF($AE$7:AE154,AE154))</f>
        <v>0</v>
      </c>
      <c r="AG154" s="218">
        <f t="shared" ref="AG154" si="1681">IF(E151="",0,IF(AD154=0,0,IF(AD154&gt;=3,E151&amp;$AG$6,0)))</f>
        <v>0</v>
      </c>
      <c r="AH154" s="218">
        <f>IF(AG154=0,0,E151&amp;COUNTIF($AG$7:AG154,AG154))</f>
        <v>0</v>
      </c>
      <c r="AI154" s="218">
        <f t="shared" ref="AI154" si="1682">IF(COUNTIF(Y154,"*十種*")&gt;0,0,IF($AD154=AI$6,$E151,0))</f>
        <v>0</v>
      </c>
      <c r="AJ154" s="218" t="b">
        <f>IF(AI154=0,FALSE,IF(COUNTIF(AI$7:AI154,AI154)&gt;1,TRUE,FALSE))</f>
        <v>0</v>
      </c>
      <c r="AK154" s="218">
        <f t="shared" ref="AK154" si="1683">IF($AD154=AK$6,$E151,0)</f>
        <v>0</v>
      </c>
      <c r="AL154" s="218" t="b">
        <f>IF(AK154=0,FALSE,IF(COUNTIF(AK$7:AK154,AK154)&gt;1,TRUE,FALSE))</f>
        <v>0</v>
      </c>
      <c r="AM154" s="218">
        <f t="shared" ref="AM154" si="1684">IF($AD154=AM$6,$E151,0)</f>
        <v>0</v>
      </c>
      <c r="AN154" s="218" t="b">
        <f>IF(AM154=0,FALSE,IF(COUNTIF(AM$7:AM154,AM154)&gt;1,TRUE,FALSE))</f>
        <v>0</v>
      </c>
      <c r="AO154" s="218">
        <f t="shared" ref="AO154" si="1685">IF($AD154=AO$6,$E151,0)</f>
        <v>0</v>
      </c>
      <c r="AP154" s="218" t="b">
        <f>IF(AO154=0,FALSE,IF(COUNTIF(AO$7:AO154,AO154)&gt;1,TRUE,FALSE))</f>
        <v>0</v>
      </c>
      <c r="AQ154" s="218">
        <f t="shared" ref="AQ154" si="1686">IF(COUNTIF(Y154,"*十種競技*")&gt;0,E151,0)</f>
        <v>0</v>
      </c>
      <c r="AR154" s="218" t="b">
        <f>IF(AQ154=0,FALSE,IF(OR(COUNTIF($AI$7:$AI$406,AQ154)+COUNTIF($AQ154:$AQ$406,AQ154)&gt;1,COUNTIF($AK$7:$AK$406,AQ154)+COUNTIF($AQ$7:$AQ$406,AQ154)&gt;1),TRUE,FALSE))</f>
        <v>0</v>
      </c>
      <c r="AT154" s="218" t="b">
        <f t="shared" si="1486"/>
        <v>0</v>
      </c>
      <c r="AU154" s="274"/>
      <c r="AX154" s="274"/>
      <c r="BD154" s="218" t="b">
        <f t="shared" si="1474"/>
        <v>0</v>
      </c>
      <c r="BF154" s="231" t="b">
        <f t="shared" ref="BF154" si="1687">IF(J154="",FALSE,IF(OR(AND(AU151,L154=""),AND(AU151,L154="",OR(M154&lt;&gt;"",N154&lt;&gt;"",O154&lt;&gt;"",P154&lt;&gt;""))),TRUE,FALSE))</f>
        <v>0</v>
      </c>
      <c r="BG154" s="218" t="b">
        <f t="shared" si="1476"/>
        <v>0</v>
      </c>
      <c r="BH154" s="218" t="b">
        <f t="shared" si="1488"/>
        <v>0</v>
      </c>
      <c r="BI154" s="231" t="b">
        <f t="shared" ref="BI154" si="1688">IF(J154="",FALSE,IF(L154=0,FALSE,IF(AND(AU151,NOT(BF154),OR(M154="",N154="",O154="")),TRUE,FALSE)))</f>
        <v>0</v>
      </c>
      <c r="BJ154" s="240" t="b">
        <f t="shared" si="1490"/>
        <v>0</v>
      </c>
      <c r="BK154" s="231" t="b">
        <f>IF(NOT(BJ154),FALSE,IF(AND(競技会設定!$C$5&lt;=BJ154,BJ154&lt;=競技会設定!$C$6),FALSE,TRUE))</f>
        <v>0</v>
      </c>
      <c r="BL154" s="218" t="b">
        <f>IF(J154="",FALSE,IF(L154=0,FALSE,IF(AND(AU151,NOT(BF154),NOT(BI154),P154=""),TRUE,FALSE)))</f>
        <v>0</v>
      </c>
      <c r="BO154" s="274"/>
    </row>
    <row r="155" spans="1:67" ht="18" customHeight="1" thickTop="1">
      <c r="A155" s="420">
        <v>38</v>
      </c>
      <c r="B155" s="373" t="s">
        <v>7050</v>
      </c>
      <c r="C155" s="375"/>
      <c r="D155" s="138" t="str">
        <f t="shared" ref="D155" si="1689">IF(C155="","",501&amp;TEXT(C155,"000000"))</f>
        <v/>
      </c>
      <c r="E155" s="377" t="str">
        <f>IF(D155="","",(VLOOKUP(D155,男子登録!$A$2:$N$2001,3,0)))</f>
        <v/>
      </c>
      <c r="F155" s="377" t="str">
        <f>IF(D155="","",(VLOOKUP(D155,男子登録!$A$2:$N$2001,4,0)))</f>
        <v/>
      </c>
      <c r="G155" s="138" t="str">
        <f>IF(C155="","",(VLOOKUP(D155,男子登録!$A$2:$N$2001,8,0)))</f>
        <v/>
      </c>
      <c r="H155" s="138">
        <f>IFERROR(VLOOKUP(D155,男子登録!$A$2:$N$2001,11,0),基本情報!$E$5)</f>
        <v>0</v>
      </c>
      <c r="I155" s="138" t="s">
        <v>7059</v>
      </c>
      <c r="J155" s="151"/>
      <c r="K155" s="138" t="s">
        <v>7060</v>
      </c>
      <c r="L155" s="151"/>
      <c r="M155" s="261"/>
      <c r="N155" s="262"/>
      <c r="O155" s="263"/>
      <c r="P155" s="151"/>
      <c r="Q155" s="381"/>
      <c r="R155" s="384"/>
      <c r="S155" s="136">
        <f t="shared" ref="S155" si="1690">IF(OR(E155="",Q155=""),0,E155)</f>
        <v>0</v>
      </c>
      <c r="T155" s="137">
        <f>IF(S155=0,0,COUNTIF($S$7:S155,"*"))</f>
        <v>0</v>
      </c>
      <c r="U155" s="137">
        <f>IF(S155=0,0,COUNTIF($S$7:S155,S155))</f>
        <v>0</v>
      </c>
      <c r="V155" s="137">
        <f t="shared" ref="V155:V215" si="1691">IF(OR(E155="",R155=""),0,E155&amp;MAX(COUNTIF($AG$7:$AG$406,E155&amp;"nans21v"))+1)</f>
        <v>0</v>
      </c>
      <c r="W155" s="137">
        <f>IF(V155=0,0,COUNTIF($V$7:V155,"*"))</f>
        <v>0</v>
      </c>
      <c r="X155" s="137">
        <f>IF(V155=0,0,COUNTIF($V$7:V155,V155))</f>
        <v>0</v>
      </c>
      <c r="Y155" s="218">
        <f t="shared" ref="Y155" si="1692">IF(OR(E155="",J155=""),0,J155&amp;E155)</f>
        <v>0</v>
      </c>
      <c r="Z155" s="218">
        <f>IF(Y155=0,0,COUNTIF($Y$7:Y155,Y155))</f>
        <v>0</v>
      </c>
      <c r="AA155" s="218" t="b">
        <f t="shared" ref="AA155" si="1693">IF(COUNTIF(J155:J158,"十種競技")&gt;0,TRUE,FALSE)</f>
        <v>0</v>
      </c>
      <c r="AB155" s="218">
        <f>IF(E155="",0,IF(AA155,COUNTIF($AA$7:AA155,TRUE),0))</f>
        <v>0</v>
      </c>
      <c r="AC155" s="218">
        <f>IFERROR(VLOOKUP("十種競技",J155:L158,3,0),0)</f>
        <v>0</v>
      </c>
      <c r="AD155" s="218">
        <f>IFERROR(VLOOKUP(J155,競技会設定!$P$2:$S$22,2,0),0)</f>
        <v>0</v>
      </c>
      <c r="AE155" s="218">
        <f t="shared" ref="AE155" si="1694">IF(E155="",0,IF(AD155=0,0,IF(AD155&lt;3,E155&amp;$AE$6,0)))</f>
        <v>0</v>
      </c>
      <c r="AF155" s="218">
        <f>IF(AE155=0,0,E155&amp;COUNTIF($AE$7:AE155,AE155))</f>
        <v>0</v>
      </c>
      <c r="AG155" s="218">
        <f t="shared" ref="AG155" si="1695">IF(E155="",0,IF(AD155=0,0,IF(AD155&gt;=3,E155&amp;$AG$6,0)))</f>
        <v>0</v>
      </c>
      <c r="AH155" s="218">
        <f>IF(AG155=0,0,E155&amp;COUNTIF($AG$7:AG155,AG155))</f>
        <v>0</v>
      </c>
      <c r="AI155" s="218">
        <f t="shared" si="1134"/>
        <v>0</v>
      </c>
      <c r="AJ155" s="218" t="b">
        <f>IF(AI155=0,FALSE,IF(COUNTIF(AI$7:AI155,AI155)&gt;1,TRUE,FALSE))</f>
        <v>0</v>
      </c>
      <c r="AK155" s="218">
        <f t="shared" ref="AK155" si="1696">IF($AD155=AK$6,$E155,0)</f>
        <v>0</v>
      </c>
      <c r="AL155" s="218" t="b">
        <f>IF(AK155=0,FALSE,IF(COUNTIF(AK$7:AK155,AK155)&gt;1,TRUE,FALSE))</f>
        <v>0</v>
      </c>
      <c r="AM155" s="218">
        <f t="shared" ref="AM155" si="1697">IF($AD155=AM$6,$E155,0)</f>
        <v>0</v>
      </c>
      <c r="AN155" s="218" t="b">
        <f>IF(AM155=0,FALSE,IF(COUNTIF(AM$7:AM155,AM155)&gt;1,TRUE,FALSE))</f>
        <v>0</v>
      </c>
      <c r="AO155" s="218">
        <f t="shared" ref="AO155" si="1698">IF($AD155=AO$6,$E155,0)</f>
        <v>0</v>
      </c>
      <c r="AP155" s="218" t="b">
        <f>IF(AO155=0,FALSE,IF(COUNTIF(AO$7:AO155,AO155)&gt;1,TRUE,FALSE))</f>
        <v>0</v>
      </c>
      <c r="AQ155" s="218">
        <f t="shared" ref="AQ155" si="1699">IF(COUNTIF(Y155,"*十種競技*")&gt;0,E155,0)</f>
        <v>0</v>
      </c>
      <c r="AR155" s="218" t="b">
        <f>IF(AQ155=0,FALSE,IF(OR(COUNTIF($AI$7:$AI$406,AQ155)+COUNTIF($AQ155:$AQ$406,AQ155)&gt;1,COUNTIF($AK$7:$AK$406,AQ155)+COUNTIF($AQ$7:$AQ$406,AQ155)&gt;1),TRUE,FALSE))</f>
        <v>0</v>
      </c>
      <c r="AS155" s="218" t="b">
        <f t="shared" ref="AS155" si="1700">IF(AND(C155="",E155&lt;&gt;"",F155&lt;&gt;"",E157&lt;&gt;"",G155&lt;&gt;"",G156&lt;&gt;"",G157&lt;&gt;""),TRUE,FALSE)</f>
        <v>0</v>
      </c>
      <c r="AT155" s="218" t="b">
        <f t="shared" si="1486"/>
        <v>0</v>
      </c>
      <c r="AU155" s="274" t="b">
        <f t="shared" ref="AU155" si="1701">IFERROR(IF(D155&amp;E155&amp;F155&amp;E157&amp;G155&amp;G156&amp;G157&amp;J155&amp;J156&amp;J157&amp;J158&amp;L155&amp;L156&amp;L157&amp;L158&amp;M155&amp;M156&amp;M157&amp;M158&amp;N155&amp;N156&amp;N157&amp;N158&amp;O155&amp;O156&amp;O157&amp;O158&amp;P155&amp;P156&amp;P157&amp;P158&amp;Q155&amp;R155="",FALSE,TRUE),FALSE)</f>
        <v>0</v>
      </c>
      <c r="AV155" s="218" t="b">
        <f t="shared" ref="AV155" si="1702">IF(AS155,FALSE,IF(C155="",AU155,FALSE))</f>
        <v>0</v>
      </c>
      <c r="AW155" s="218" t="b">
        <f>IF(C155="",FALSE,IF(C155&gt;2000,TRUE,FALSE))</f>
        <v>0</v>
      </c>
      <c r="AX155" s="274" t="b">
        <f>IF(H155=0,FALSE,IF(EXACT(基本情報!$E$5,H155)=TRUE,FALSE,TRUE))</f>
        <v>0</v>
      </c>
      <c r="AY155" s="218" t="b">
        <f>IF(C155="",FALSE,IF(ISNA(E155)=TRUE,TRUE,FALSE))</f>
        <v>0</v>
      </c>
      <c r="AZ155" s="274" t="b">
        <f>IFERROR(IF(E155="",FALSE,IF(COUNTIF($E$7:E155,E155)&gt;1,TRUE,FALSE)),FALSE)</f>
        <v>0</v>
      </c>
      <c r="BA155" s="218" t="b">
        <f t="shared" ref="BA155" si="1703">IF(OR(J155&amp;J156&amp;J157&amp;J158&amp;Q155&amp;R155="",AT155,AT156,AT157,AT158),AU155,FALSE)</f>
        <v>0</v>
      </c>
      <c r="BB155" s="218" t="b">
        <f>IF(U155&gt;1,TRUE,FALSE)</f>
        <v>0</v>
      </c>
      <c r="BC155" s="218" t="b">
        <f>IF(X155&gt;1,TRUE,FALSE)</f>
        <v>0</v>
      </c>
      <c r="BD155" s="218" t="b">
        <f t="shared" si="1474"/>
        <v>0</v>
      </c>
      <c r="BF155" s="231" t="b">
        <f t="shared" ref="BF155" si="1704">IF(J155="",FALSE,IF(OR(AND(AU155,L155=""),AND(AU155,L155="",OR(M155&lt;&gt;"",N155&lt;&gt;"",O155&lt;&gt;"",P155&lt;&gt;""))),TRUE,FALSE))</f>
        <v>0</v>
      </c>
      <c r="BG155" s="218" t="b">
        <f t="shared" si="1476"/>
        <v>0</v>
      </c>
      <c r="BH155" s="218" t="b">
        <f t="shared" si="1488"/>
        <v>0</v>
      </c>
      <c r="BI155" s="231" t="b">
        <f t="shared" ref="BI155" si="1705">IF(J155="",FALSE,IF(L155=0,FALSE,IF(AND(AU155,NOT(BF155),OR(M155="",N155="",O155="")),TRUE,FALSE)))</f>
        <v>0</v>
      </c>
      <c r="BJ155" s="240" t="b">
        <f t="shared" si="1490"/>
        <v>0</v>
      </c>
      <c r="BK155" s="231" t="b">
        <f>IF(NOT(BJ155),FALSE,IF(AND(競技会設定!$C$5&lt;=BJ155,BJ155&lt;=競技会設定!$C$6),FALSE,TRUE))</f>
        <v>0</v>
      </c>
      <c r="BL155" s="218" t="b">
        <f>IF(J155="",FALSE,IF(L155=0,FALSE,IF(AND(AU155,NOT(BF155),NOT(BI155),P155=""),TRUE,FALSE)))</f>
        <v>0</v>
      </c>
      <c r="BO155" s="274">
        <f t="shared" ref="BO155" si="1706">IF(AND(AU155,SUM(COUNTIF(AV155:BC155,TRUE),COUNTIF(BF155:BL158,TRUE),COUNTIF(BD155:BD158,TRUE))=0,NOT($BE$7)),1,0)</f>
        <v>0</v>
      </c>
    </row>
    <row r="156" spans="1:67" ht="17.399999999999999" customHeight="1">
      <c r="A156" s="421"/>
      <c r="B156" s="374"/>
      <c r="C156" s="376"/>
      <c r="D156" s="139"/>
      <c r="E156" s="378"/>
      <c r="F156" s="378"/>
      <c r="G156" s="139" t="str">
        <f>IF(C155="","",(VLOOKUP(D155,男子登録!$A$2:$N$2001,13,0)))</f>
        <v/>
      </c>
      <c r="H156" s="139"/>
      <c r="I156" s="139" t="s">
        <v>7061</v>
      </c>
      <c r="J156" s="152"/>
      <c r="K156" s="139" t="s">
        <v>7062</v>
      </c>
      <c r="L156" s="152"/>
      <c r="M156" s="264"/>
      <c r="N156" s="265"/>
      <c r="O156" s="266"/>
      <c r="P156" s="152"/>
      <c r="Q156" s="382"/>
      <c r="R156" s="385"/>
      <c r="S156" s="136"/>
      <c r="T156" s="137"/>
      <c r="U156" s="137"/>
      <c r="V156" s="137"/>
      <c r="W156" s="137"/>
      <c r="X156" s="137"/>
      <c r="Y156" s="218">
        <f t="shared" ref="Y156" si="1707">IF(OR(E155="",J156=""),0,J156&amp;E155)</f>
        <v>0</v>
      </c>
      <c r="Z156" s="218">
        <f>IF(Y156=0,0,COUNTIF($Y$7:Y156,Y156))</f>
        <v>0</v>
      </c>
      <c r="AD156" s="218">
        <f>IFERROR(VLOOKUP(J156,競技会設定!$P$2:$S$22,2,0),0)</f>
        <v>0</v>
      </c>
      <c r="AE156" s="218">
        <f t="shared" ref="AE156" si="1708">IF(E155="",0,IF(AD156=0,0,IF(AD156&lt;3,E155&amp;$AE$6,0)))</f>
        <v>0</v>
      </c>
      <c r="AF156" s="218">
        <f>IF(AE156=0,0,E155&amp;COUNTIF($AE$7:AE156,AE156))</f>
        <v>0</v>
      </c>
      <c r="AG156" s="218">
        <f t="shared" ref="AG156" si="1709">IF(E155="",0,IF(AD156=0,0,IF(AD156&gt;=3,E155&amp;$AG$6,0)))</f>
        <v>0</v>
      </c>
      <c r="AH156" s="218">
        <f>IF(AG156=0,0,E155&amp;COUNTIF($AG$7:AG156,AG156))</f>
        <v>0</v>
      </c>
      <c r="AI156" s="218">
        <f t="shared" si="1149"/>
        <v>0</v>
      </c>
      <c r="AJ156" s="218" t="b">
        <f>IF(AI156=0,FALSE,IF(COUNTIF(AI$7:AI156,AI156)&gt;1,TRUE,FALSE))</f>
        <v>0</v>
      </c>
      <c r="AK156" s="218">
        <f t="shared" ref="AK156" si="1710">IF($AD156=AK$6,$E155,0)</f>
        <v>0</v>
      </c>
      <c r="AL156" s="218" t="b">
        <f>IF(AK156=0,FALSE,IF(COUNTIF(AK$7:AK156,AK156)&gt;1,TRUE,FALSE))</f>
        <v>0</v>
      </c>
      <c r="AM156" s="218">
        <f t="shared" ref="AM156" si="1711">IF($AD156=AM$6,$E155,0)</f>
        <v>0</v>
      </c>
      <c r="AN156" s="218" t="b">
        <f>IF(AM156=0,FALSE,IF(COUNTIF(AM$7:AM156,AM156)&gt;1,TRUE,FALSE))</f>
        <v>0</v>
      </c>
      <c r="AO156" s="218">
        <f t="shared" ref="AO156" si="1712">IF($AD156=AO$6,$E155,0)</f>
        <v>0</v>
      </c>
      <c r="AP156" s="218" t="b">
        <f>IF(AO156=0,FALSE,IF(COUNTIF(AO$7:AO156,AO156)&gt;1,TRUE,FALSE))</f>
        <v>0</v>
      </c>
      <c r="AQ156" s="218">
        <f t="shared" ref="AQ156" si="1713">IF(COUNTIF(Y156,"*十種競技*")&gt;0,E155,0)</f>
        <v>0</v>
      </c>
      <c r="AR156" s="218" t="b">
        <f>IF(AQ156=0,FALSE,IF(OR(COUNTIF($AI$7:$AI$406,AQ156)+COUNTIF($AQ156:$AQ$406,AQ156)&gt;1,COUNTIF($AK$7:$AK$406,AQ156)+COUNTIF($AQ$7:$AQ$406,AQ156)&gt;1),TRUE,FALSE))</f>
        <v>0</v>
      </c>
      <c r="AT156" s="218" t="b">
        <f t="shared" si="1486"/>
        <v>0</v>
      </c>
      <c r="AU156" s="274"/>
      <c r="AX156" s="274"/>
      <c r="BD156" s="218" t="b">
        <f t="shared" si="1474"/>
        <v>0</v>
      </c>
      <c r="BF156" s="231" t="b">
        <f t="shared" ref="BF156" si="1714">IF(J156="",FALSE,IF(OR(AND(AU155,L156=""),AND(AU155,L156="",OR(M156&lt;&gt;"",N156&lt;&gt;"",O156&lt;&gt;"",P156&lt;&gt;""))),TRUE,FALSE))</f>
        <v>0</v>
      </c>
      <c r="BG156" s="218" t="b">
        <f t="shared" si="1476"/>
        <v>0</v>
      </c>
      <c r="BH156" s="218" t="b">
        <f t="shared" si="1488"/>
        <v>0</v>
      </c>
      <c r="BI156" s="231" t="b">
        <f t="shared" ref="BI156" si="1715">IF(J156="",FALSE,IF(L156=0,FALSE,IF(AND(AU155,NOT(BF156),OR(M156="",N156="",O156="")),TRUE,FALSE)))</f>
        <v>0</v>
      </c>
      <c r="BJ156" s="240" t="b">
        <f t="shared" si="1490"/>
        <v>0</v>
      </c>
      <c r="BK156" s="231" t="b">
        <f>IF(NOT(BJ156),FALSE,IF(AND(競技会設定!$C$5&lt;=BJ156,BJ156&lt;=競技会設定!$C$6),FALSE,TRUE))</f>
        <v>0</v>
      </c>
      <c r="BL156" s="218" t="b">
        <f>IF(J156="",FALSE,IF(L156=0,FALSE,IF(AND(AU155,NOT(BF156),NOT(BI156),P156=""),TRUE,FALSE)))</f>
        <v>0</v>
      </c>
      <c r="BO156" s="274"/>
    </row>
    <row r="157" spans="1:67" ht="17.399999999999999" customHeight="1">
      <c r="A157" s="421"/>
      <c r="B157" s="374"/>
      <c r="C157" s="376"/>
      <c r="D157" s="140"/>
      <c r="E157" s="379" t="str">
        <f>IF(C155="","",VLOOKUP(D155,男子登録!$A$2:$O$2001,14,0)&amp;" ("&amp;VLOOKUP(D155,男子登録!$A$2:$O$2001,15,0)&amp;")")</f>
        <v/>
      </c>
      <c r="F157" s="380"/>
      <c r="G157" s="140" t="str">
        <f>IF(C155="","",(VLOOKUP(D155,男子登録!$A$2:$N$2001,9,0)))</f>
        <v/>
      </c>
      <c r="H157" s="140"/>
      <c r="I157" s="140" t="s">
        <v>7063</v>
      </c>
      <c r="J157" s="153"/>
      <c r="K157" s="140" t="s">
        <v>7064</v>
      </c>
      <c r="L157" s="153"/>
      <c r="M157" s="264"/>
      <c r="N157" s="265"/>
      <c r="O157" s="266"/>
      <c r="P157" s="152"/>
      <c r="Q157" s="382"/>
      <c r="R157" s="385"/>
      <c r="S157" s="136"/>
      <c r="T157" s="137"/>
      <c r="U157" s="137"/>
      <c r="V157" s="137"/>
      <c r="W157" s="137"/>
      <c r="X157" s="137"/>
      <c r="Y157" s="218">
        <f t="shared" ref="Y157" si="1716">IF(OR(E155="",J157=""),0,J157&amp;E155)</f>
        <v>0</v>
      </c>
      <c r="Z157" s="218">
        <f>IF(Y157=0,0,COUNTIF($Y$7:Y157,Y157))</f>
        <v>0</v>
      </c>
      <c r="AD157" s="218">
        <f>IFERROR(VLOOKUP(J157,競技会設定!$P$2:$S$22,2,0),0)</f>
        <v>0</v>
      </c>
      <c r="AE157" s="218">
        <f t="shared" ref="AE157" si="1717">IF(E155="",0,IF(AD157=0,0,IF(AD157&lt;3,E155&amp;$AE$6,0)))</f>
        <v>0</v>
      </c>
      <c r="AF157" s="218">
        <f>IF(AE157=0,0,E155&amp;COUNTIF($AE$7:AE157,AE157))</f>
        <v>0</v>
      </c>
      <c r="AG157" s="218">
        <f t="shared" ref="AG157" si="1718">IF(E155="",0,IF(AD157=0,0,IF(AD157&gt;=3,E155&amp;$AG$6,0)))</f>
        <v>0</v>
      </c>
      <c r="AH157" s="218">
        <f>IF(AG157=0,0,E155&amp;COUNTIF($AG$7:AG157,AG157))</f>
        <v>0</v>
      </c>
      <c r="AI157" s="218">
        <f t="shared" si="1159"/>
        <v>0</v>
      </c>
      <c r="AJ157" s="218" t="b">
        <f>IF(AI157=0,FALSE,IF(COUNTIF(AI$7:AI157,AI157)&gt;1,TRUE,FALSE))</f>
        <v>0</v>
      </c>
      <c r="AK157" s="218">
        <f t="shared" ref="AK157" si="1719">IF($AD157=AK$6,$E155,0)</f>
        <v>0</v>
      </c>
      <c r="AL157" s="218" t="b">
        <f>IF(AK157=0,FALSE,IF(COUNTIF(AK$7:AK157,AK157)&gt;1,TRUE,FALSE))</f>
        <v>0</v>
      </c>
      <c r="AM157" s="218">
        <f t="shared" ref="AM157" si="1720">IF($AD157=AM$6,$E155,0)</f>
        <v>0</v>
      </c>
      <c r="AN157" s="218" t="b">
        <f>IF(AM157=0,FALSE,IF(COUNTIF(AM$7:AM157,AM157)&gt;1,TRUE,FALSE))</f>
        <v>0</v>
      </c>
      <c r="AO157" s="218">
        <f t="shared" ref="AO157" si="1721">IF($AD157=AO$6,$E155,0)</f>
        <v>0</v>
      </c>
      <c r="AP157" s="218" t="b">
        <f>IF(AO157=0,FALSE,IF(COUNTIF(AO$7:AO157,AO157)&gt;1,TRUE,FALSE))</f>
        <v>0</v>
      </c>
      <c r="AQ157" s="218">
        <f t="shared" ref="AQ157" si="1722">IF(COUNTIF(Y157,"*十種競技*")&gt;0,E155,0)</f>
        <v>0</v>
      </c>
      <c r="AR157" s="218" t="b">
        <f>IF(AQ157=0,FALSE,IF(OR(COUNTIF($AI$7:$AI$406,AQ157)+COUNTIF($AQ157:$AQ$406,AQ157)&gt;1,COUNTIF($AK$7:$AK$406,AQ157)+COUNTIF($AQ$7:$AQ$406,AQ157)&gt;1),TRUE,FALSE))</f>
        <v>0</v>
      </c>
      <c r="AT157" s="218" t="b">
        <f t="shared" si="1486"/>
        <v>0</v>
      </c>
      <c r="AU157" s="274"/>
      <c r="AX157" s="274"/>
      <c r="BD157" s="218" t="b">
        <f t="shared" si="1474"/>
        <v>0</v>
      </c>
      <c r="BF157" s="231" t="b">
        <f t="shared" ref="BF157" si="1723">IF(J157="",FALSE,IF(OR(AND(AU155,L157=""),AND(AU155,L157="",OR(M157&lt;&gt;"",N157&lt;&gt;"",O157&lt;&gt;"",P157&lt;&gt;""))),TRUE,FALSE))</f>
        <v>0</v>
      </c>
      <c r="BG157" s="218" t="b">
        <f t="shared" si="1476"/>
        <v>0</v>
      </c>
      <c r="BH157" s="218" t="b">
        <f t="shared" si="1488"/>
        <v>0</v>
      </c>
      <c r="BI157" s="231" t="b">
        <f t="shared" ref="BI157" si="1724">IF(J157="",FALSE,IF(L157=0,FALSE,IF(AND(AU155,NOT(BF157),OR(M157="",N157="",O157="")),TRUE,FALSE)))</f>
        <v>0</v>
      </c>
      <c r="BJ157" s="240" t="b">
        <f t="shared" si="1490"/>
        <v>0</v>
      </c>
      <c r="BK157" s="231" t="b">
        <f>IF(NOT(BJ157),FALSE,IF(AND(競技会設定!$C$5&lt;=BJ157,BJ157&lt;=競技会設定!$C$6),FALSE,TRUE))</f>
        <v>0</v>
      </c>
      <c r="BL157" s="218" t="b">
        <f>IF(J157="",FALSE,IF(L157=0,FALSE,IF(AND(AU155,NOT(BF157),NOT(BI157),P157=""),TRUE,FALSE)))</f>
        <v>0</v>
      </c>
      <c r="BO157" s="274"/>
    </row>
    <row r="158" spans="1:67" ht="18" customHeight="1" thickBot="1">
      <c r="A158" s="422"/>
      <c r="B158" s="387" t="s">
        <v>7051</v>
      </c>
      <c r="C158" s="387"/>
      <c r="D158" s="213"/>
      <c r="E158" s="388"/>
      <c r="F158" s="389"/>
      <c r="G158" s="390"/>
      <c r="H158" s="141"/>
      <c r="I158" s="213" t="s">
        <v>7065</v>
      </c>
      <c r="J158" s="154"/>
      <c r="K158" s="213" t="s">
        <v>7066</v>
      </c>
      <c r="L158" s="154"/>
      <c r="M158" s="267"/>
      <c r="N158" s="268"/>
      <c r="O158" s="269"/>
      <c r="P158" s="154"/>
      <c r="Q158" s="383"/>
      <c r="R158" s="386"/>
      <c r="S158" s="136"/>
      <c r="T158" s="137"/>
      <c r="U158" s="137"/>
      <c r="V158" s="137"/>
      <c r="W158" s="137"/>
      <c r="X158" s="137"/>
      <c r="Y158" s="218">
        <f t="shared" ref="Y158" si="1725">IF(OR(E155="",J158=""),0,J158&amp;E155)</f>
        <v>0</v>
      </c>
      <c r="Z158" s="218">
        <f>IF(Y158=0,0,COUNTIF($Y$7:Y158,Y158))</f>
        <v>0</v>
      </c>
      <c r="AD158" s="218">
        <f>IFERROR(VLOOKUP(J158,競技会設定!$P$2:$S$22,2,0),0)</f>
        <v>0</v>
      </c>
      <c r="AE158" s="218">
        <f t="shared" ref="AE158" si="1726">IF(E155="",0,IF(AD158=0,0,IF(AD158&lt;3,E155&amp;$AE$6,0)))</f>
        <v>0</v>
      </c>
      <c r="AF158" s="218">
        <f>IF(AE158=0,0,E155&amp;COUNTIF($AE$7:AE158,AE158))</f>
        <v>0</v>
      </c>
      <c r="AG158" s="218">
        <f t="shared" ref="AG158" si="1727">IF(E155="",0,IF(AD158=0,0,IF(AD158&gt;=3,E155&amp;$AG$6,0)))</f>
        <v>0</v>
      </c>
      <c r="AH158" s="218">
        <f>IF(AG158=0,0,E155&amp;COUNTIF($AG$7:AG158,AG158))</f>
        <v>0</v>
      </c>
      <c r="AI158" s="218">
        <f t="shared" si="1169"/>
        <v>0</v>
      </c>
      <c r="AJ158" s="218" t="b">
        <f>IF(AI158=0,FALSE,IF(COUNTIF(AI$7:AI158,AI158)&gt;1,TRUE,FALSE))</f>
        <v>0</v>
      </c>
      <c r="AK158" s="218">
        <f t="shared" ref="AK158" si="1728">IF($AD158=AK$6,$E155,0)</f>
        <v>0</v>
      </c>
      <c r="AL158" s="218" t="b">
        <f>IF(AK158=0,FALSE,IF(COUNTIF(AK$7:AK158,AK158)&gt;1,TRUE,FALSE))</f>
        <v>0</v>
      </c>
      <c r="AM158" s="218">
        <f t="shared" ref="AM158" si="1729">IF($AD158=AM$6,$E155,0)</f>
        <v>0</v>
      </c>
      <c r="AN158" s="218" t="b">
        <f>IF(AM158=0,FALSE,IF(COUNTIF(AM$7:AM158,AM158)&gt;1,TRUE,FALSE))</f>
        <v>0</v>
      </c>
      <c r="AO158" s="218">
        <f t="shared" ref="AO158" si="1730">IF($AD158=AO$6,$E155,0)</f>
        <v>0</v>
      </c>
      <c r="AP158" s="218" t="b">
        <f>IF(AO158=0,FALSE,IF(COUNTIF(AO$7:AO158,AO158)&gt;1,TRUE,FALSE))</f>
        <v>0</v>
      </c>
      <c r="AQ158" s="218">
        <f t="shared" ref="AQ158" si="1731">IF(COUNTIF(Y158,"*十種競技*")&gt;0,E155,0)</f>
        <v>0</v>
      </c>
      <c r="AR158" s="218" t="b">
        <f>IF(AQ158=0,FALSE,IF(OR(COUNTIF($AI$7:$AI$406,AQ158)+COUNTIF($AQ158:$AQ$406,AQ158)&gt;1,COUNTIF($AK$7:$AK$406,AQ158)+COUNTIF($AQ$7:$AQ$406,AQ158)&gt;1),TRUE,FALSE))</f>
        <v>0</v>
      </c>
      <c r="AT158" s="218" t="b">
        <f t="shared" si="1486"/>
        <v>0</v>
      </c>
      <c r="AU158" s="274"/>
      <c r="AX158" s="274"/>
      <c r="BD158" s="218" t="b">
        <f t="shared" si="1474"/>
        <v>0</v>
      </c>
      <c r="BF158" s="231" t="b">
        <f t="shared" ref="BF158" si="1732">IF(J158="",FALSE,IF(OR(AND(AU155,L158=""),AND(AU155,L158="",OR(M158&lt;&gt;"",N158&lt;&gt;"",O158&lt;&gt;"",P158&lt;&gt;""))),TRUE,FALSE))</f>
        <v>0</v>
      </c>
      <c r="BG158" s="218" t="b">
        <f t="shared" si="1476"/>
        <v>0</v>
      </c>
      <c r="BH158" s="218" t="b">
        <f t="shared" si="1488"/>
        <v>0</v>
      </c>
      <c r="BI158" s="231" t="b">
        <f t="shared" ref="BI158" si="1733">IF(J158="",FALSE,IF(L158=0,FALSE,IF(AND(AU155,NOT(BF158),OR(M158="",N158="",O158="")),TRUE,FALSE)))</f>
        <v>0</v>
      </c>
      <c r="BJ158" s="240" t="b">
        <f t="shared" si="1490"/>
        <v>0</v>
      </c>
      <c r="BK158" s="231" t="b">
        <f>IF(NOT(BJ158),FALSE,IF(AND(競技会設定!$C$5&lt;=BJ158,BJ158&lt;=競技会設定!$C$6),FALSE,TRUE))</f>
        <v>0</v>
      </c>
      <c r="BL158" s="218" t="b">
        <f>IF(J158="",FALSE,IF(L158=0,FALSE,IF(AND(AU155,NOT(BF158),NOT(BI158),P158=""),TRUE,FALSE)))</f>
        <v>0</v>
      </c>
      <c r="BO158" s="274"/>
    </row>
    <row r="159" spans="1:67" ht="18" customHeight="1" thickTop="1">
      <c r="A159" s="417">
        <v>39</v>
      </c>
      <c r="B159" s="401" t="s">
        <v>7050</v>
      </c>
      <c r="C159" s="403"/>
      <c r="D159" s="220" t="str">
        <f t="shared" ref="D159" si="1734">IF(C159="","",501&amp;TEXT(C159,"000000"))</f>
        <v/>
      </c>
      <c r="E159" s="396" t="str">
        <f>IF(D159="","",(VLOOKUP(D159,男子登録!$A$2:$N$2001,3,0)))</f>
        <v/>
      </c>
      <c r="F159" s="396" t="str">
        <f>IF(D159="","",(VLOOKUP(D159,男子登録!$A$2:$N$2001,4,0)))</f>
        <v/>
      </c>
      <c r="G159" s="220" t="str">
        <f>IF(C159="","",(VLOOKUP(D159,男子登録!$A$2:$N$2001,8,0)))</f>
        <v/>
      </c>
      <c r="H159" s="220">
        <f>IFERROR(VLOOKUP(D159,男子登録!$A$2:$N$2001,11,0),基本情報!$E$5)</f>
        <v>0</v>
      </c>
      <c r="I159" s="220" t="s">
        <v>7059</v>
      </c>
      <c r="J159" s="148"/>
      <c r="K159" s="220" t="s">
        <v>7060</v>
      </c>
      <c r="L159" s="148"/>
      <c r="M159" s="252"/>
      <c r="N159" s="253"/>
      <c r="O159" s="254"/>
      <c r="P159" s="148"/>
      <c r="Q159" s="398"/>
      <c r="R159" s="391"/>
      <c r="S159" s="136">
        <f t="shared" ref="S159" si="1735">IF(OR(E159="",Q159=""),0,E159)</f>
        <v>0</v>
      </c>
      <c r="T159" s="137">
        <f>IF(S159=0,0,COUNTIF($S$7:S159,"*"))</f>
        <v>0</v>
      </c>
      <c r="U159" s="137">
        <f>IF(S159=0,0,COUNTIF($S$7:S159,S159))</f>
        <v>0</v>
      </c>
      <c r="V159" s="137">
        <f t="shared" si="1691"/>
        <v>0</v>
      </c>
      <c r="W159" s="137">
        <f>IF(V159=0,0,COUNTIF($V$7:V159,"*"))</f>
        <v>0</v>
      </c>
      <c r="X159" s="137">
        <f>IF(V159=0,0,COUNTIF($V$7:V159,V159))</f>
        <v>0</v>
      </c>
      <c r="Y159" s="218">
        <f t="shared" ref="Y159" si="1736">IF(OR(E159="",J159=""),0,J159&amp;E159)</f>
        <v>0</v>
      </c>
      <c r="Z159" s="218">
        <f>IF(Y159=0,0,COUNTIF($Y$7:Y159,Y159))</f>
        <v>0</v>
      </c>
      <c r="AA159" s="218" t="b">
        <f t="shared" ref="AA159" si="1737">IF(COUNTIF(J159:J162,"十種競技")&gt;0,TRUE,FALSE)</f>
        <v>0</v>
      </c>
      <c r="AB159" s="218">
        <f>IF(E159="",0,IF(AA159,COUNTIF($AA$7:AA159,TRUE),0))</f>
        <v>0</v>
      </c>
      <c r="AC159" s="218">
        <f>IFERROR(VLOOKUP("十種競技",J159:L162,3,0),0)</f>
        <v>0</v>
      </c>
      <c r="AD159" s="218">
        <f>IFERROR(VLOOKUP(J159,競技会設定!$P$2:$S$22,2,0),0)</f>
        <v>0</v>
      </c>
      <c r="AE159" s="218">
        <f t="shared" ref="AE159" si="1738">IF(E159="",0,IF(AD159=0,0,IF(AD159&lt;3,E159&amp;$AE$6,0)))</f>
        <v>0</v>
      </c>
      <c r="AF159" s="218">
        <f>IF(AE159=0,0,E159&amp;COUNTIF($AE$7:AE159,AE159))</f>
        <v>0</v>
      </c>
      <c r="AG159" s="218">
        <f t="shared" ref="AG159" si="1739">IF(E159="",0,IF(AD159=0,0,IF(AD159&gt;=3,E159&amp;$AG$6,0)))</f>
        <v>0</v>
      </c>
      <c r="AH159" s="218">
        <f>IF(AG159=0,0,E159&amp;COUNTIF($AG$7:AG159,AG159))</f>
        <v>0</v>
      </c>
      <c r="AI159" s="218">
        <f t="shared" si="1182"/>
        <v>0</v>
      </c>
      <c r="AJ159" s="218" t="b">
        <f>IF(AI159=0,FALSE,IF(COUNTIF(AI$7:AI159,AI159)&gt;1,TRUE,FALSE))</f>
        <v>0</v>
      </c>
      <c r="AK159" s="218">
        <f t="shared" ref="AK159" si="1740">IF($AD159=AK$6,$E159,0)</f>
        <v>0</v>
      </c>
      <c r="AL159" s="218" t="b">
        <f>IF(AK159=0,FALSE,IF(COUNTIF(AK$7:AK159,AK159)&gt;1,TRUE,FALSE))</f>
        <v>0</v>
      </c>
      <c r="AM159" s="218">
        <f t="shared" ref="AM159" si="1741">IF($AD159=AM$6,$E159,0)</f>
        <v>0</v>
      </c>
      <c r="AN159" s="218" t="b">
        <f>IF(AM159=0,FALSE,IF(COUNTIF(AM$7:AM159,AM159)&gt;1,TRUE,FALSE))</f>
        <v>0</v>
      </c>
      <c r="AO159" s="218">
        <f t="shared" ref="AO159" si="1742">IF($AD159=AO$6,$E159,0)</f>
        <v>0</v>
      </c>
      <c r="AP159" s="218" t="b">
        <f>IF(AO159=0,FALSE,IF(COUNTIF(AO$7:AO159,AO159)&gt;1,TRUE,FALSE))</f>
        <v>0</v>
      </c>
      <c r="AQ159" s="218">
        <f t="shared" ref="AQ159" si="1743">IF(COUNTIF(Y159,"*十種競技*")&gt;0,E159,0)</f>
        <v>0</v>
      </c>
      <c r="AR159" s="218" t="b">
        <f>IF(AQ159=0,FALSE,IF(OR(COUNTIF($AI$7:$AI$406,AQ159)+COUNTIF($AQ159:$AQ$406,AQ159)&gt;1,COUNTIF($AK$7:$AK$406,AQ159)+COUNTIF($AQ$7:$AQ$406,AQ159)&gt;1),TRUE,FALSE))</f>
        <v>0</v>
      </c>
      <c r="AS159" s="218" t="b">
        <f t="shared" ref="AS159" si="1744">IF(AND(C159="",E159&lt;&gt;"",F159&lt;&gt;"",E161&lt;&gt;"",G159&lt;&gt;"",G160&lt;&gt;"",G161&lt;&gt;""),TRUE,FALSE)</f>
        <v>0</v>
      </c>
      <c r="AT159" s="218" t="b">
        <f t="shared" si="1486"/>
        <v>0</v>
      </c>
      <c r="AU159" s="274" t="b">
        <f t="shared" ref="AU159" si="1745">IFERROR(IF(D159&amp;E159&amp;F159&amp;E161&amp;G159&amp;G160&amp;G161&amp;J159&amp;J160&amp;J161&amp;J162&amp;L159&amp;L160&amp;L161&amp;L162&amp;M159&amp;M160&amp;M161&amp;M162&amp;N159&amp;N160&amp;N161&amp;N162&amp;O159&amp;O160&amp;O161&amp;O162&amp;P159&amp;P160&amp;P161&amp;P162&amp;Q159&amp;R159="",FALSE,TRUE),FALSE)</f>
        <v>0</v>
      </c>
      <c r="AV159" s="218" t="b">
        <f t="shared" ref="AV159" si="1746">IF(AS159,FALSE,IF(C159="",AU159,FALSE))</f>
        <v>0</v>
      </c>
      <c r="AW159" s="218" t="b">
        <f>IF(C159="",FALSE,IF(C159&gt;2000,TRUE,FALSE))</f>
        <v>0</v>
      </c>
      <c r="AX159" s="274" t="b">
        <f>IF(H159=0,FALSE,IF(EXACT(基本情報!$E$5,H159)=TRUE,FALSE,TRUE))</f>
        <v>0</v>
      </c>
      <c r="AY159" s="218" t="b">
        <f>IF(C159="",FALSE,IF(ISNA(E159)=TRUE,TRUE,FALSE))</f>
        <v>0</v>
      </c>
      <c r="AZ159" s="274" t="b">
        <f>IFERROR(IF(E159="",FALSE,IF(COUNTIF($E$7:E159,E159)&gt;1,TRUE,FALSE)),FALSE)</f>
        <v>0</v>
      </c>
      <c r="BA159" s="218" t="b">
        <f t="shared" ref="BA159" si="1747">IF(OR(J159&amp;J160&amp;J161&amp;J162&amp;Q159&amp;R159="",AT159,AT160,AT161,AT162),AU159,FALSE)</f>
        <v>0</v>
      </c>
      <c r="BB159" s="218" t="b">
        <f>IF(U159&gt;1,TRUE,FALSE)</f>
        <v>0</v>
      </c>
      <c r="BC159" s="218" t="b">
        <f>IF(X159&gt;1,TRUE,FALSE)</f>
        <v>0</v>
      </c>
      <c r="BD159" s="218" t="b">
        <f t="shared" si="1474"/>
        <v>0</v>
      </c>
      <c r="BF159" s="231" t="b">
        <f t="shared" ref="BF159" si="1748">IF(J159="",FALSE,IF(OR(AND(AU159,L159=""),AND(AU159,L159="",OR(M159&lt;&gt;"",N159&lt;&gt;"",O159&lt;&gt;"",P159&lt;&gt;""))),TRUE,FALSE))</f>
        <v>0</v>
      </c>
      <c r="BG159" s="218" t="b">
        <f t="shared" si="1476"/>
        <v>0</v>
      </c>
      <c r="BH159" s="218" t="b">
        <f t="shared" si="1488"/>
        <v>0</v>
      </c>
      <c r="BI159" s="231" t="b">
        <f t="shared" ref="BI159" si="1749">IF(J159="",FALSE,IF(L159=0,FALSE,IF(AND(AU159,NOT(BF159),OR(M159="",N159="",O159="")),TRUE,FALSE)))</f>
        <v>0</v>
      </c>
      <c r="BJ159" s="240" t="b">
        <f t="shared" si="1490"/>
        <v>0</v>
      </c>
      <c r="BK159" s="231" t="b">
        <f>IF(NOT(BJ159),FALSE,IF(AND(競技会設定!$C$5&lt;=BJ159,BJ159&lt;=競技会設定!$C$6),FALSE,TRUE))</f>
        <v>0</v>
      </c>
      <c r="BL159" s="218" t="b">
        <f>IF(J159="",FALSE,IF(L159=0,FALSE,IF(AND(AU159,NOT(BF159),NOT(BI159),P159=""),TRUE,FALSE)))</f>
        <v>0</v>
      </c>
      <c r="BO159" s="274">
        <f t="shared" ref="BO159" si="1750">IF(AND(AU159,SUM(COUNTIF(AV159:BC159,TRUE),COUNTIF(BF159:BL162,TRUE),COUNTIF(BD159:BD162,TRUE))=0,NOT($BE$7)),1,0)</f>
        <v>0</v>
      </c>
    </row>
    <row r="160" spans="1:67" ht="17.399999999999999" customHeight="1">
      <c r="A160" s="418"/>
      <c r="B160" s="402"/>
      <c r="C160" s="404"/>
      <c r="D160" s="221"/>
      <c r="E160" s="397"/>
      <c r="F160" s="397"/>
      <c r="G160" s="221" t="str">
        <f>IF(C159="","",(VLOOKUP(D159,男子登録!$A$2:$N$2001,13,0)))</f>
        <v/>
      </c>
      <c r="H160" s="221"/>
      <c r="I160" s="221" t="s">
        <v>7061</v>
      </c>
      <c r="J160" s="149"/>
      <c r="K160" s="221" t="s">
        <v>7062</v>
      </c>
      <c r="L160" s="149"/>
      <c r="M160" s="255"/>
      <c r="N160" s="256"/>
      <c r="O160" s="257"/>
      <c r="P160" s="149"/>
      <c r="Q160" s="399"/>
      <c r="R160" s="392"/>
      <c r="S160" s="136"/>
      <c r="T160" s="137"/>
      <c r="U160" s="137"/>
      <c r="V160" s="137"/>
      <c r="W160" s="137"/>
      <c r="X160" s="137"/>
      <c r="Y160" s="218">
        <f t="shared" ref="Y160" si="1751">IF(OR(E159="",J160=""),0,J160&amp;E159)</f>
        <v>0</v>
      </c>
      <c r="Z160" s="218">
        <f>IF(Y160=0,0,COUNTIF($Y$7:Y160,Y160))</f>
        <v>0</v>
      </c>
      <c r="AD160" s="218">
        <f>IFERROR(VLOOKUP(J160,競技会設定!$P$2:$S$22,2,0),0)</f>
        <v>0</v>
      </c>
      <c r="AE160" s="218">
        <f t="shared" ref="AE160" si="1752">IF(E159="",0,IF(AD160=0,0,IF(AD160&lt;3,E159&amp;$AE$6,0)))</f>
        <v>0</v>
      </c>
      <c r="AF160" s="218">
        <f>IF(AE160=0,0,E159&amp;COUNTIF($AE$7:AE160,AE160))</f>
        <v>0</v>
      </c>
      <c r="AG160" s="218">
        <f t="shared" ref="AG160" si="1753">IF(E159="",0,IF(AD160=0,0,IF(AD160&gt;=3,E159&amp;$AG$6,0)))</f>
        <v>0</v>
      </c>
      <c r="AH160" s="218">
        <f>IF(AG160=0,0,E159&amp;COUNTIF($AG$7:AG160,AG160))</f>
        <v>0</v>
      </c>
      <c r="AI160" s="218">
        <f t="shared" si="1197"/>
        <v>0</v>
      </c>
      <c r="AJ160" s="218" t="b">
        <f>IF(AI160=0,FALSE,IF(COUNTIF(AI$7:AI160,AI160)&gt;1,TRUE,FALSE))</f>
        <v>0</v>
      </c>
      <c r="AK160" s="218">
        <f t="shared" ref="AK160" si="1754">IF($AD160=AK$6,$E159,0)</f>
        <v>0</v>
      </c>
      <c r="AL160" s="218" t="b">
        <f>IF(AK160=0,FALSE,IF(COUNTIF(AK$7:AK160,AK160)&gt;1,TRUE,FALSE))</f>
        <v>0</v>
      </c>
      <c r="AM160" s="218">
        <f t="shared" ref="AM160" si="1755">IF($AD160=AM$6,$E159,0)</f>
        <v>0</v>
      </c>
      <c r="AN160" s="218" t="b">
        <f>IF(AM160=0,FALSE,IF(COUNTIF(AM$7:AM160,AM160)&gt;1,TRUE,FALSE))</f>
        <v>0</v>
      </c>
      <c r="AO160" s="218">
        <f t="shared" ref="AO160" si="1756">IF($AD160=AO$6,$E159,0)</f>
        <v>0</v>
      </c>
      <c r="AP160" s="218" t="b">
        <f>IF(AO160=0,FALSE,IF(COUNTIF(AO$7:AO160,AO160)&gt;1,TRUE,FALSE))</f>
        <v>0</v>
      </c>
      <c r="AQ160" s="218">
        <f t="shared" ref="AQ160" si="1757">IF(COUNTIF(Y160,"*十種競技*")&gt;0,E159,0)</f>
        <v>0</v>
      </c>
      <c r="AR160" s="218" t="b">
        <f>IF(AQ160=0,FALSE,IF(OR(COUNTIF($AI$7:$AI$406,AQ160)+COUNTIF($AQ160:$AQ$406,AQ160)&gt;1,COUNTIF($AK$7:$AK$406,AQ160)+COUNTIF($AQ$7:$AQ$406,AQ160)&gt;1),TRUE,FALSE))</f>
        <v>0</v>
      </c>
      <c r="AT160" s="218" t="b">
        <f t="shared" si="1486"/>
        <v>0</v>
      </c>
      <c r="AU160" s="274"/>
      <c r="AX160" s="274"/>
      <c r="BD160" s="218" t="b">
        <f t="shared" si="1474"/>
        <v>0</v>
      </c>
      <c r="BF160" s="231" t="b">
        <f t="shared" ref="BF160" si="1758">IF(J160="",FALSE,IF(OR(AND(AU159,L160=""),AND(AU159,L160="",OR(M160&lt;&gt;"",N160&lt;&gt;"",O160&lt;&gt;"",P160&lt;&gt;""))),TRUE,FALSE))</f>
        <v>0</v>
      </c>
      <c r="BG160" s="218" t="b">
        <f t="shared" si="1476"/>
        <v>0</v>
      </c>
      <c r="BH160" s="218" t="b">
        <f t="shared" si="1488"/>
        <v>0</v>
      </c>
      <c r="BI160" s="231" t="b">
        <f t="shared" ref="BI160" si="1759">IF(J160="",FALSE,IF(L160=0,FALSE,IF(AND(AU159,NOT(BF160),OR(M160="",N160="",O160="")),TRUE,FALSE)))</f>
        <v>0</v>
      </c>
      <c r="BJ160" s="240" t="b">
        <f t="shared" si="1490"/>
        <v>0</v>
      </c>
      <c r="BK160" s="231" t="b">
        <f>IF(NOT(BJ160),FALSE,IF(AND(競技会設定!$C$5&lt;=BJ160,BJ160&lt;=競技会設定!$C$6),FALSE,TRUE))</f>
        <v>0</v>
      </c>
      <c r="BL160" s="218" t="b">
        <f>IF(J160="",FALSE,IF(L160=0,FALSE,IF(AND(AU159,NOT(BF160),NOT(BI160),P160=""),TRUE,FALSE)))</f>
        <v>0</v>
      </c>
      <c r="BO160" s="274"/>
    </row>
    <row r="161" spans="1:67" ht="17.399999999999999" customHeight="1">
      <c r="A161" s="418"/>
      <c r="B161" s="402"/>
      <c r="C161" s="404"/>
      <c r="D161" s="221"/>
      <c r="E161" s="394" t="str">
        <f>IF(C159="","",VLOOKUP(D159,男子登録!$A$2:$O$2001,14,0)&amp;" ("&amp;VLOOKUP(D159,男子登録!$A$2:$O$2001,15,0)&amp;")")</f>
        <v/>
      </c>
      <c r="F161" s="394"/>
      <c r="G161" s="222" t="str">
        <f>IF(C159="","",(VLOOKUP(D159,男子登録!$A$2:$N$2001,9,0)))</f>
        <v/>
      </c>
      <c r="H161" s="222"/>
      <c r="I161" s="222" t="s">
        <v>7063</v>
      </c>
      <c r="J161" s="150"/>
      <c r="K161" s="222" t="s">
        <v>7064</v>
      </c>
      <c r="L161" s="150"/>
      <c r="M161" s="255"/>
      <c r="N161" s="256"/>
      <c r="O161" s="257"/>
      <c r="P161" s="149"/>
      <c r="Q161" s="399"/>
      <c r="R161" s="392"/>
      <c r="S161" s="136"/>
      <c r="T161" s="137"/>
      <c r="U161" s="137"/>
      <c r="V161" s="137"/>
      <c r="W161" s="137"/>
      <c r="X161" s="137"/>
      <c r="Y161" s="218">
        <f t="shared" ref="Y161" si="1760">IF(OR(E159="",J161=""),0,J161&amp;E159)</f>
        <v>0</v>
      </c>
      <c r="Z161" s="218">
        <f>IF(Y161=0,0,COUNTIF($Y$7:Y161,Y161))</f>
        <v>0</v>
      </c>
      <c r="AD161" s="218">
        <f>IFERROR(VLOOKUP(J161,競技会設定!$P$2:$S$22,2,0),0)</f>
        <v>0</v>
      </c>
      <c r="AE161" s="218">
        <f t="shared" ref="AE161" si="1761">IF(E159="",0,IF(AD161=0,0,IF(AD161&lt;3,E159&amp;$AE$6,0)))</f>
        <v>0</v>
      </c>
      <c r="AF161" s="218">
        <f>IF(AE161=0,0,E159&amp;COUNTIF($AE$7:AE161,AE161))</f>
        <v>0</v>
      </c>
      <c r="AG161" s="218">
        <f t="shared" ref="AG161" si="1762">IF(E159="",0,IF(AD161=0,0,IF(AD161&gt;=3,E159&amp;$AG$6,0)))</f>
        <v>0</v>
      </c>
      <c r="AH161" s="218">
        <f>IF(AG161=0,0,E159&amp;COUNTIF($AG$7:AG161,AG161))</f>
        <v>0</v>
      </c>
      <c r="AI161" s="218">
        <f t="shared" si="1207"/>
        <v>0</v>
      </c>
      <c r="AJ161" s="218" t="b">
        <f>IF(AI161=0,FALSE,IF(COUNTIF(AI$7:AI161,AI161)&gt;1,TRUE,FALSE))</f>
        <v>0</v>
      </c>
      <c r="AK161" s="218">
        <f t="shared" ref="AK161" si="1763">IF($AD161=AK$6,$E159,0)</f>
        <v>0</v>
      </c>
      <c r="AL161" s="218" t="b">
        <f>IF(AK161=0,FALSE,IF(COUNTIF(AK$7:AK161,AK161)&gt;1,TRUE,FALSE))</f>
        <v>0</v>
      </c>
      <c r="AM161" s="218">
        <f t="shared" ref="AM161" si="1764">IF($AD161=AM$6,$E159,0)</f>
        <v>0</v>
      </c>
      <c r="AN161" s="218" t="b">
        <f>IF(AM161=0,FALSE,IF(COUNTIF(AM$7:AM161,AM161)&gt;1,TRUE,FALSE))</f>
        <v>0</v>
      </c>
      <c r="AO161" s="218">
        <f t="shared" ref="AO161" si="1765">IF($AD161=AO$6,$E159,0)</f>
        <v>0</v>
      </c>
      <c r="AP161" s="218" t="b">
        <f>IF(AO161=0,FALSE,IF(COUNTIF(AO$7:AO161,AO161)&gt;1,TRUE,FALSE))</f>
        <v>0</v>
      </c>
      <c r="AQ161" s="218">
        <f t="shared" ref="AQ161" si="1766">IF(COUNTIF(Y161,"*十種競技*")&gt;0,E159,0)</f>
        <v>0</v>
      </c>
      <c r="AR161" s="218" t="b">
        <f>IF(AQ161=0,FALSE,IF(OR(COUNTIF($AI$7:$AI$406,AQ161)+COUNTIF($AQ161:$AQ$406,AQ161)&gt;1,COUNTIF($AK$7:$AK$406,AQ161)+COUNTIF($AQ$7:$AQ$406,AQ161)&gt;1),TRUE,FALSE))</f>
        <v>0</v>
      </c>
      <c r="AT161" s="218" t="b">
        <f t="shared" si="1486"/>
        <v>0</v>
      </c>
      <c r="AU161" s="274"/>
      <c r="AX161" s="274"/>
      <c r="BD161" s="218" t="b">
        <f t="shared" si="1474"/>
        <v>0</v>
      </c>
      <c r="BF161" s="231" t="b">
        <f t="shared" ref="BF161" si="1767">IF(J161="",FALSE,IF(OR(AND(AU159,L161=""),AND(AU159,L161="",OR(M161&lt;&gt;"",N161&lt;&gt;"",O161&lt;&gt;"",P161&lt;&gt;""))),TRUE,FALSE))</f>
        <v>0</v>
      </c>
      <c r="BG161" s="218" t="b">
        <f t="shared" si="1476"/>
        <v>0</v>
      </c>
      <c r="BH161" s="218" t="b">
        <f t="shared" si="1488"/>
        <v>0</v>
      </c>
      <c r="BI161" s="231" t="b">
        <f t="shared" ref="BI161" si="1768">IF(J161="",FALSE,IF(L161=0,FALSE,IF(AND(AU159,NOT(BF161),OR(M161="",N161="",O161="")),TRUE,FALSE)))</f>
        <v>0</v>
      </c>
      <c r="BJ161" s="240" t="b">
        <f t="shared" si="1490"/>
        <v>0</v>
      </c>
      <c r="BK161" s="231" t="b">
        <f>IF(NOT(BJ161),FALSE,IF(AND(競技会設定!$C$5&lt;=BJ161,BJ161&lt;=競技会設定!$C$6),FALSE,TRUE))</f>
        <v>0</v>
      </c>
      <c r="BL161" s="218" t="b">
        <f>IF(J161="",FALSE,IF(L161=0,FALSE,IF(AND(AU159,NOT(BF161),NOT(BI161),P161=""),TRUE,FALSE)))</f>
        <v>0</v>
      </c>
      <c r="BO161" s="274"/>
    </row>
    <row r="162" spans="1:67" ht="18" customHeight="1" thickBot="1">
      <c r="A162" s="419"/>
      <c r="B162" s="395" t="s">
        <v>7051</v>
      </c>
      <c r="C162" s="395"/>
      <c r="D162" s="221"/>
      <c r="E162" s="372"/>
      <c r="F162" s="372"/>
      <c r="G162" s="372"/>
      <c r="H162" s="214"/>
      <c r="I162" s="214" t="s">
        <v>7065</v>
      </c>
      <c r="J162" s="219"/>
      <c r="K162" s="214" t="s">
        <v>7066</v>
      </c>
      <c r="L162" s="219"/>
      <c r="M162" s="258"/>
      <c r="N162" s="259"/>
      <c r="O162" s="260"/>
      <c r="P162" s="219"/>
      <c r="Q162" s="400"/>
      <c r="R162" s="393"/>
      <c r="S162" s="136"/>
      <c r="T162" s="137"/>
      <c r="U162" s="137"/>
      <c r="V162" s="137"/>
      <c r="W162" s="137"/>
      <c r="X162" s="137"/>
      <c r="Y162" s="218">
        <f t="shared" ref="Y162" si="1769">IF(OR(E159="",J162=""),0,J162&amp;E159)</f>
        <v>0</v>
      </c>
      <c r="Z162" s="218">
        <f>IF(Y162=0,0,COUNTIF($Y$7:Y162,Y162))</f>
        <v>0</v>
      </c>
      <c r="AD162" s="218">
        <f>IFERROR(VLOOKUP(J162,競技会設定!$P$2:$S$22,2,0),0)</f>
        <v>0</v>
      </c>
      <c r="AE162" s="218">
        <f t="shared" ref="AE162" si="1770">IF(E159="",0,IF(AD162=0,0,IF(AD162&lt;3,E159&amp;$AE$6,0)))</f>
        <v>0</v>
      </c>
      <c r="AF162" s="218">
        <f>IF(AE162=0,0,E159&amp;COUNTIF($AE$7:AE162,AE162))</f>
        <v>0</v>
      </c>
      <c r="AG162" s="218">
        <f t="shared" ref="AG162" si="1771">IF(E159="",0,IF(AD162=0,0,IF(AD162&gt;=3,E159&amp;$AG$6,0)))</f>
        <v>0</v>
      </c>
      <c r="AH162" s="218">
        <f>IF(AG162=0,0,E159&amp;COUNTIF($AG$7:AG162,AG162))</f>
        <v>0</v>
      </c>
      <c r="AI162" s="218">
        <f t="shared" si="1217"/>
        <v>0</v>
      </c>
      <c r="AJ162" s="218" t="b">
        <f>IF(AI162=0,FALSE,IF(COUNTIF(AI$7:AI162,AI162)&gt;1,TRUE,FALSE))</f>
        <v>0</v>
      </c>
      <c r="AK162" s="218">
        <f t="shared" ref="AK162" si="1772">IF($AD162=AK$6,$E159,0)</f>
        <v>0</v>
      </c>
      <c r="AL162" s="218" t="b">
        <f>IF(AK162=0,FALSE,IF(COUNTIF(AK$7:AK162,AK162)&gt;1,TRUE,FALSE))</f>
        <v>0</v>
      </c>
      <c r="AM162" s="218">
        <f t="shared" ref="AM162" si="1773">IF($AD162=AM$6,$E159,0)</f>
        <v>0</v>
      </c>
      <c r="AN162" s="218" t="b">
        <f>IF(AM162=0,FALSE,IF(COUNTIF(AM$7:AM162,AM162)&gt;1,TRUE,FALSE))</f>
        <v>0</v>
      </c>
      <c r="AO162" s="218">
        <f t="shared" ref="AO162" si="1774">IF($AD162=AO$6,$E159,0)</f>
        <v>0</v>
      </c>
      <c r="AP162" s="218" t="b">
        <f>IF(AO162=0,FALSE,IF(COUNTIF(AO$7:AO162,AO162)&gt;1,TRUE,FALSE))</f>
        <v>0</v>
      </c>
      <c r="AQ162" s="218">
        <f t="shared" ref="AQ162" si="1775">IF(COUNTIF(Y162,"*十種競技*")&gt;0,E159,0)</f>
        <v>0</v>
      </c>
      <c r="AR162" s="218" t="b">
        <f>IF(AQ162=0,FALSE,IF(OR(COUNTIF($AI$7:$AI$406,AQ162)+COUNTIF($AQ162:$AQ$406,AQ162)&gt;1,COUNTIF($AK$7:$AK$406,AQ162)+COUNTIF($AQ$7:$AQ$406,AQ162)&gt;1),TRUE,FALSE))</f>
        <v>0</v>
      </c>
      <c r="AT162" s="218" t="b">
        <f t="shared" si="1486"/>
        <v>0</v>
      </c>
      <c r="AU162" s="274"/>
      <c r="AX162" s="274"/>
      <c r="BD162" s="218" t="b">
        <f t="shared" si="1474"/>
        <v>0</v>
      </c>
      <c r="BF162" s="231" t="b">
        <f t="shared" ref="BF162" si="1776">IF(J162="",FALSE,IF(OR(AND(AU159,L162=""),AND(AU159,L162="",OR(M162&lt;&gt;"",N162&lt;&gt;"",O162&lt;&gt;"",P162&lt;&gt;""))),TRUE,FALSE))</f>
        <v>0</v>
      </c>
      <c r="BG162" s="218" t="b">
        <f t="shared" si="1476"/>
        <v>0</v>
      </c>
      <c r="BH162" s="218" t="b">
        <f t="shared" si="1488"/>
        <v>0</v>
      </c>
      <c r="BI162" s="231" t="b">
        <f t="shared" ref="BI162" si="1777">IF(J162="",FALSE,IF(L162=0,FALSE,IF(AND(AU159,NOT(BF162),OR(M162="",N162="",O162="")),TRUE,FALSE)))</f>
        <v>0</v>
      </c>
      <c r="BJ162" s="240" t="b">
        <f t="shared" si="1490"/>
        <v>0</v>
      </c>
      <c r="BK162" s="231" t="b">
        <f>IF(NOT(BJ162),FALSE,IF(AND(競技会設定!$C$5&lt;=BJ162,BJ162&lt;=競技会設定!$C$6),FALSE,TRUE))</f>
        <v>0</v>
      </c>
      <c r="BL162" s="218" t="b">
        <f>IF(J162="",FALSE,IF(L162=0,FALSE,IF(AND(AU159,NOT(BF162),NOT(BI162),P162=""),TRUE,FALSE)))</f>
        <v>0</v>
      </c>
      <c r="BO162" s="274"/>
    </row>
    <row r="163" spans="1:67" ht="18" customHeight="1" thickTop="1">
      <c r="A163" s="420">
        <v>40</v>
      </c>
      <c r="B163" s="373" t="s">
        <v>7050</v>
      </c>
      <c r="C163" s="375"/>
      <c r="D163" s="138" t="str">
        <f t="shared" ref="D163" si="1778">IF(C163="","",501&amp;TEXT(C163,"000000"))</f>
        <v/>
      </c>
      <c r="E163" s="377" t="str">
        <f>IF(D163="","",(VLOOKUP(D163,男子登録!$A$2:$N$2001,3,0)))</f>
        <v/>
      </c>
      <c r="F163" s="377" t="str">
        <f>IF(D163="","",(VLOOKUP(D163,男子登録!$A$2:$N$2001,4,0)))</f>
        <v/>
      </c>
      <c r="G163" s="138" t="str">
        <f>IF(C163="","",(VLOOKUP(D163,男子登録!$A$2:$N$2001,8,0)))</f>
        <v/>
      </c>
      <c r="H163" s="138">
        <f>IFERROR(VLOOKUP(D163,男子登録!$A$2:$N$2001,11,0),基本情報!$E$5)</f>
        <v>0</v>
      </c>
      <c r="I163" s="138" t="s">
        <v>7059</v>
      </c>
      <c r="J163" s="151"/>
      <c r="K163" s="138" t="s">
        <v>7060</v>
      </c>
      <c r="L163" s="151"/>
      <c r="M163" s="261"/>
      <c r="N163" s="262"/>
      <c r="O163" s="263"/>
      <c r="P163" s="151"/>
      <c r="Q163" s="381"/>
      <c r="R163" s="384"/>
      <c r="S163" s="136">
        <f t="shared" ref="S163" si="1779">IF(OR(E163="",Q163=""),0,E163)</f>
        <v>0</v>
      </c>
      <c r="T163" s="137">
        <f>IF(S163=0,0,COUNTIF($S$7:S163,"*"))</f>
        <v>0</v>
      </c>
      <c r="U163" s="137">
        <f>IF(S163=0,0,COUNTIF($S$7:S163,S163))</f>
        <v>0</v>
      </c>
      <c r="V163" s="137">
        <f t="shared" si="1691"/>
        <v>0</v>
      </c>
      <c r="W163" s="137">
        <f>IF(V163=0,0,COUNTIF($V$7:V163,"*"))</f>
        <v>0</v>
      </c>
      <c r="X163" s="137">
        <f>IF(V163=0,0,COUNTIF($V$7:V163,V163))</f>
        <v>0</v>
      </c>
      <c r="Y163" s="218">
        <f t="shared" ref="Y163" si="1780">IF(OR(E163="",J163=""),0,J163&amp;E163)</f>
        <v>0</v>
      </c>
      <c r="Z163" s="218">
        <f>IF(Y163=0,0,COUNTIF($Y$7:Y163,Y163))</f>
        <v>0</v>
      </c>
      <c r="AA163" s="218" t="b">
        <f t="shared" ref="AA163" si="1781">IF(COUNTIF(J163:J166,"十種競技")&gt;0,TRUE,FALSE)</f>
        <v>0</v>
      </c>
      <c r="AB163" s="218">
        <f>IF(E163="",0,IF(AA163,COUNTIF($AA$7:AA163,TRUE),0))</f>
        <v>0</v>
      </c>
      <c r="AC163" s="218">
        <f>IFERROR(VLOOKUP("十種競技",J163:L166,3,0),0)</f>
        <v>0</v>
      </c>
      <c r="AD163" s="218">
        <f>IFERROR(VLOOKUP(J163,競技会設定!$P$2:$S$22,2,0),0)</f>
        <v>0</v>
      </c>
      <c r="AE163" s="218">
        <f t="shared" ref="AE163" si="1782">IF(E163="",0,IF(AD163=0,0,IF(AD163&lt;3,E163&amp;$AE$6,0)))</f>
        <v>0</v>
      </c>
      <c r="AF163" s="218">
        <f>IF(AE163=0,0,E163&amp;COUNTIF($AE$7:AE163,AE163))</f>
        <v>0</v>
      </c>
      <c r="AG163" s="218">
        <f t="shared" ref="AG163" si="1783">IF(E163="",0,IF(AD163=0,0,IF(AD163&gt;=3,E163&amp;$AG$6,0)))</f>
        <v>0</v>
      </c>
      <c r="AH163" s="218">
        <f>IF(AG163=0,0,E163&amp;COUNTIF($AG$7:AG163,AG163))</f>
        <v>0</v>
      </c>
      <c r="AI163" s="218">
        <f t="shared" si="1230"/>
        <v>0</v>
      </c>
      <c r="AJ163" s="218" t="b">
        <f>IF(AI163=0,FALSE,IF(COUNTIF(AI$7:AI163,AI163)&gt;1,TRUE,FALSE))</f>
        <v>0</v>
      </c>
      <c r="AK163" s="218">
        <f t="shared" ref="AK163" si="1784">IF($AD163=AK$6,$E163,0)</f>
        <v>0</v>
      </c>
      <c r="AL163" s="218" t="b">
        <f>IF(AK163=0,FALSE,IF(COUNTIF(AK$7:AK163,AK163)&gt;1,TRUE,FALSE))</f>
        <v>0</v>
      </c>
      <c r="AM163" s="218">
        <f t="shared" ref="AM163" si="1785">IF($AD163=AM$6,$E163,0)</f>
        <v>0</v>
      </c>
      <c r="AN163" s="218" t="b">
        <f>IF(AM163=0,FALSE,IF(COUNTIF(AM$7:AM163,AM163)&gt;1,TRUE,FALSE))</f>
        <v>0</v>
      </c>
      <c r="AO163" s="218">
        <f t="shared" ref="AO163" si="1786">IF($AD163=AO$6,$E163,0)</f>
        <v>0</v>
      </c>
      <c r="AP163" s="218" t="b">
        <f>IF(AO163=0,FALSE,IF(COUNTIF(AO$7:AO163,AO163)&gt;1,TRUE,FALSE))</f>
        <v>0</v>
      </c>
      <c r="AQ163" s="218">
        <f t="shared" ref="AQ163" si="1787">IF(COUNTIF(Y163,"*十種競技*")&gt;0,E163,0)</f>
        <v>0</v>
      </c>
      <c r="AR163" s="218" t="b">
        <f>IF(AQ163=0,FALSE,IF(OR(COUNTIF($AI$7:$AI$406,AQ163)+COUNTIF($AQ163:$AQ$406,AQ163)&gt;1,COUNTIF($AK$7:$AK$406,AQ163)+COUNTIF($AQ$7:$AQ$406,AQ163)&gt;1),TRUE,FALSE))</f>
        <v>0</v>
      </c>
      <c r="AS163" s="218" t="b">
        <f t="shared" ref="AS163" si="1788">IF(AND(C163="",E163&lt;&gt;"",F163&lt;&gt;"",E165&lt;&gt;"",G163&lt;&gt;"",G164&lt;&gt;"",G165&lt;&gt;""),TRUE,FALSE)</f>
        <v>0</v>
      </c>
      <c r="AT163" s="218" t="b">
        <f t="shared" si="1486"/>
        <v>0</v>
      </c>
      <c r="AU163" s="274" t="b">
        <f t="shared" ref="AU163" si="1789">IFERROR(IF(D163&amp;E163&amp;F163&amp;E165&amp;G163&amp;G164&amp;G165&amp;J163&amp;J164&amp;J165&amp;J166&amp;L163&amp;L164&amp;L165&amp;L166&amp;M163&amp;M164&amp;M165&amp;M166&amp;N163&amp;N164&amp;N165&amp;N166&amp;O163&amp;O164&amp;O165&amp;O166&amp;P163&amp;P164&amp;P165&amp;P166&amp;Q163&amp;R163="",FALSE,TRUE),FALSE)</f>
        <v>0</v>
      </c>
      <c r="AV163" s="218" t="b">
        <f t="shared" ref="AV163" si="1790">IF(AS163,FALSE,IF(C163="",AU163,FALSE))</f>
        <v>0</v>
      </c>
      <c r="AW163" s="218" t="b">
        <f>IF(C163="",FALSE,IF(C163&gt;2000,TRUE,FALSE))</f>
        <v>0</v>
      </c>
      <c r="AX163" s="274" t="b">
        <f>IF(H163=0,FALSE,IF(EXACT(基本情報!$E$5,H163)=TRUE,FALSE,TRUE))</f>
        <v>0</v>
      </c>
      <c r="AY163" s="218" t="b">
        <f>IF(C163="",FALSE,IF(ISNA(E163)=TRUE,TRUE,FALSE))</f>
        <v>0</v>
      </c>
      <c r="AZ163" s="274" t="b">
        <f>IFERROR(IF(E163="",FALSE,IF(COUNTIF($E$7:E163,E163)&gt;1,TRUE,FALSE)),FALSE)</f>
        <v>0</v>
      </c>
      <c r="BA163" s="218" t="b">
        <f t="shared" ref="BA163" si="1791">IF(OR(J163&amp;J164&amp;J165&amp;J166&amp;Q163&amp;R163="",AT163,AT164,AT165,AT166),AU163,FALSE)</f>
        <v>0</v>
      </c>
      <c r="BB163" s="218" t="b">
        <f>IF(U163&gt;1,TRUE,FALSE)</f>
        <v>0</v>
      </c>
      <c r="BC163" s="218" t="b">
        <f>IF(X163&gt;1,TRUE,FALSE)</f>
        <v>0</v>
      </c>
      <c r="BD163" s="218" t="b">
        <f t="shared" si="1474"/>
        <v>0</v>
      </c>
      <c r="BF163" s="231" t="b">
        <f t="shared" ref="BF163" si="1792">IF(J163="",FALSE,IF(OR(AND(AU163,L163=""),AND(AU163,L163="",OR(M163&lt;&gt;"",N163&lt;&gt;"",O163&lt;&gt;"",P163&lt;&gt;""))),TRUE,FALSE))</f>
        <v>0</v>
      </c>
      <c r="BG163" s="218" t="b">
        <f t="shared" si="1476"/>
        <v>0</v>
      </c>
      <c r="BH163" s="218" t="b">
        <f t="shared" si="1488"/>
        <v>0</v>
      </c>
      <c r="BI163" s="231" t="b">
        <f t="shared" ref="BI163" si="1793">IF(J163="",FALSE,IF(L163=0,FALSE,IF(AND(AU163,NOT(BF163),OR(M163="",N163="",O163="")),TRUE,FALSE)))</f>
        <v>0</v>
      </c>
      <c r="BJ163" s="240" t="b">
        <f t="shared" si="1490"/>
        <v>0</v>
      </c>
      <c r="BK163" s="231" t="b">
        <f>IF(NOT(BJ163),FALSE,IF(AND(競技会設定!$C$5&lt;=BJ163,BJ163&lt;=競技会設定!$C$6),FALSE,TRUE))</f>
        <v>0</v>
      </c>
      <c r="BL163" s="218" t="b">
        <f>IF(J163="",FALSE,IF(L163=0,FALSE,IF(AND(AU163,NOT(BF163),NOT(BI163),P163=""),TRUE,FALSE)))</f>
        <v>0</v>
      </c>
      <c r="BO163" s="274">
        <f t="shared" ref="BO163" si="1794">IF(AND(AU163,SUM(COUNTIF(AV163:BC163,TRUE),COUNTIF(BF163:BL166,TRUE),COUNTIF(BD163:BD166,TRUE))=0,NOT($BE$7)),1,0)</f>
        <v>0</v>
      </c>
    </row>
    <row r="164" spans="1:67" ht="17.399999999999999" customHeight="1">
      <c r="A164" s="421"/>
      <c r="B164" s="374"/>
      <c r="C164" s="376"/>
      <c r="D164" s="139"/>
      <c r="E164" s="378"/>
      <c r="F164" s="378"/>
      <c r="G164" s="139" t="str">
        <f>IF(C163="","",(VLOOKUP(D163,男子登録!$A$2:$N$2001,13,0)))</f>
        <v/>
      </c>
      <c r="H164" s="139"/>
      <c r="I164" s="139" t="s">
        <v>7061</v>
      </c>
      <c r="J164" s="152"/>
      <c r="K164" s="139" t="s">
        <v>7062</v>
      </c>
      <c r="L164" s="152"/>
      <c r="M164" s="264"/>
      <c r="N164" s="265"/>
      <c r="O164" s="266"/>
      <c r="P164" s="152"/>
      <c r="Q164" s="382"/>
      <c r="R164" s="385"/>
      <c r="S164" s="136"/>
      <c r="T164" s="137"/>
      <c r="U164" s="137"/>
      <c r="V164" s="137"/>
      <c r="W164" s="137"/>
      <c r="X164" s="137"/>
      <c r="Y164" s="218">
        <f t="shared" ref="Y164" si="1795">IF(OR(E163="",J164=""),0,J164&amp;E163)</f>
        <v>0</v>
      </c>
      <c r="Z164" s="218">
        <f>IF(Y164=0,0,COUNTIF($Y$7:Y164,Y164))</f>
        <v>0</v>
      </c>
      <c r="AD164" s="218">
        <f>IFERROR(VLOOKUP(J164,競技会設定!$P$2:$S$22,2,0),0)</f>
        <v>0</v>
      </c>
      <c r="AE164" s="218">
        <f t="shared" ref="AE164" si="1796">IF(E163="",0,IF(AD164=0,0,IF(AD164&lt;3,E163&amp;$AE$6,0)))</f>
        <v>0</v>
      </c>
      <c r="AF164" s="218">
        <f>IF(AE164=0,0,E163&amp;COUNTIF($AE$7:AE164,AE164))</f>
        <v>0</v>
      </c>
      <c r="AG164" s="218">
        <f t="shared" ref="AG164" si="1797">IF(E163="",0,IF(AD164=0,0,IF(AD164&gt;=3,E163&amp;$AG$6,0)))</f>
        <v>0</v>
      </c>
      <c r="AH164" s="218">
        <f>IF(AG164=0,0,E163&amp;COUNTIF($AG$7:AG164,AG164))</f>
        <v>0</v>
      </c>
      <c r="AI164" s="218">
        <f t="shared" si="1245"/>
        <v>0</v>
      </c>
      <c r="AJ164" s="218" t="b">
        <f>IF(AI164=0,FALSE,IF(COUNTIF(AI$7:AI164,AI164)&gt;1,TRUE,FALSE))</f>
        <v>0</v>
      </c>
      <c r="AK164" s="218">
        <f t="shared" ref="AK164" si="1798">IF($AD164=AK$6,$E163,0)</f>
        <v>0</v>
      </c>
      <c r="AL164" s="218" t="b">
        <f>IF(AK164=0,FALSE,IF(COUNTIF(AK$7:AK164,AK164)&gt;1,TRUE,FALSE))</f>
        <v>0</v>
      </c>
      <c r="AM164" s="218">
        <f t="shared" ref="AM164" si="1799">IF($AD164=AM$6,$E163,0)</f>
        <v>0</v>
      </c>
      <c r="AN164" s="218" t="b">
        <f>IF(AM164=0,FALSE,IF(COUNTIF(AM$7:AM164,AM164)&gt;1,TRUE,FALSE))</f>
        <v>0</v>
      </c>
      <c r="AO164" s="218">
        <f t="shared" ref="AO164" si="1800">IF($AD164=AO$6,$E163,0)</f>
        <v>0</v>
      </c>
      <c r="AP164" s="218" t="b">
        <f>IF(AO164=0,FALSE,IF(COUNTIF(AO$7:AO164,AO164)&gt;1,TRUE,FALSE))</f>
        <v>0</v>
      </c>
      <c r="AQ164" s="218">
        <f t="shared" ref="AQ164" si="1801">IF(COUNTIF(Y164,"*十種競技*")&gt;0,E163,0)</f>
        <v>0</v>
      </c>
      <c r="AR164" s="218" t="b">
        <f>IF(AQ164=0,FALSE,IF(OR(COUNTIF($AI$7:$AI$406,AQ164)+COUNTIF($AQ164:$AQ$406,AQ164)&gt;1,COUNTIF($AK$7:$AK$406,AQ164)+COUNTIF($AQ$7:$AQ$406,AQ164)&gt;1),TRUE,FALSE))</f>
        <v>0</v>
      </c>
      <c r="AT164" s="218" t="b">
        <f t="shared" si="1486"/>
        <v>0</v>
      </c>
      <c r="AU164" s="274"/>
      <c r="AX164" s="274"/>
      <c r="BD164" s="218" t="b">
        <f t="shared" si="1474"/>
        <v>0</v>
      </c>
      <c r="BF164" s="231" t="b">
        <f t="shared" ref="BF164" si="1802">IF(J164="",FALSE,IF(OR(AND(AU163,L164=""),AND(AU163,L164="",OR(M164&lt;&gt;"",N164&lt;&gt;"",O164&lt;&gt;"",P164&lt;&gt;""))),TRUE,FALSE))</f>
        <v>0</v>
      </c>
      <c r="BG164" s="218" t="b">
        <f t="shared" si="1476"/>
        <v>0</v>
      </c>
      <c r="BH164" s="218" t="b">
        <f t="shared" si="1488"/>
        <v>0</v>
      </c>
      <c r="BI164" s="231" t="b">
        <f t="shared" ref="BI164" si="1803">IF(J164="",FALSE,IF(L164=0,FALSE,IF(AND(AU163,NOT(BF164),OR(M164="",N164="",O164="")),TRUE,FALSE)))</f>
        <v>0</v>
      </c>
      <c r="BJ164" s="240" t="b">
        <f t="shared" si="1490"/>
        <v>0</v>
      </c>
      <c r="BK164" s="231" t="b">
        <f>IF(NOT(BJ164),FALSE,IF(AND(競技会設定!$C$5&lt;=BJ164,BJ164&lt;=競技会設定!$C$6),FALSE,TRUE))</f>
        <v>0</v>
      </c>
      <c r="BL164" s="218" t="b">
        <f>IF(J164="",FALSE,IF(L164=0,FALSE,IF(AND(AU163,NOT(BF164),NOT(BI164),P164=""),TRUE,FALSE)))</f>
        <v>0</v>
      </c>
      <c r="BO164" s="274"/>
    </row>
    <row r="165" spans="1:67" ht="17.399999999999999" customHeight="1">
      <c r="A165" s="421"/>
      <c r="B165" s="374"/>
      <c r="C165" s="376"/>
      <c r="D165" s="140"/>
      <c r="E165" s="379" t="str">
        <f>IF(C163="","",VLOOKUP(D163,男子登録!$A$2:$O$2001,14,0)&amp;" ("&amp;VLOOKUP(D163,男子登録!$A$2:$O$2001,15,0)&amp;")")</f>
        <v/>
      </c>
      <c r="F165" s="380"/>
      <c r="G165" s="140" t="str">
        <f>IF(C163="","",(VLOOKUP(D163,男子登録!$A$2:$N$2001,9,0)))</f>
        <v/>
      </c>
      <c r="H165" s="140"/>
      <c r="I165" s="140" t="s">
        <v>7063</v>
      </c>
      <c r="J165" s="153"/>
      <c r="K165" s="140" t="s">
        <v>7064</v>
      </c>
      <c r="L165" s="153"/>
      <c r="M165" s="264"/>
      <c r="N165" s="265"/>
      <c r="O165" s="266"/>
      <c r="P165" s="152"/>
      <c r="Q165" s="382"/>
      <c r="R165" s="385"/>
      <c r="S165" s="136"/>
      <c r="T165" s="137"/>
      <c r="U165" s="137"/>
      <c r="V165" s="137"/>
      <c r="W165" s="137"/>
      <c r="X165" s="137"/>
      <c r="Y165" s="218">
        <f t="shared" ref="Y165" si="1804">IF(OR(E163="",J165=""),0,J165&amp;E163)</f>
        <v>0</v>
      </c>
      <c r="Z165" s="218">
        <f>IF(Y165=0,0,COUNTIF($Y$7:Y165,Y165))</f>
        <v>0</v>
      </c>
      <c r="AD165" s="218">
        <f>IFERROR(VLOOKUP(J165,競技会設定!$P$2:$S$22,2,0),0)</f>
        <v>0</v>
      </c>
      <c r="AE165" s="218">
        <f t="shared" ref="AE165" si="1805">IF(E163="",0,IF(AD165=0,0,IF(AD165&lt;3,E163&amp;$AE$6,0)))</f>
        <v>0</v>
      </c>
      <c r="AF165" s="218">
        <f>IF(AE165=0,0,E163&amp;COUNTIF($AE$7:AE165,AE165))</f>
        <v>0</v>
      </c>
      <c r="AG165" s="218">
        <f t="shared" ref="AG165" si="1806">IF(E163="",0,IF(AD165=0,0,IF(AD165&gt;=3,E163&amp;$AG$6,0)))</f>
        <v>0</v>
      </c>
      <c r="AH165" s="218">
        <f>IF(AG165=0,0,E163&amp;COUNTIF($AG$7:AG165,AG165))</f>
        <v>0</v>
      </c>
      <c r="AI165" s="218">
        <f t="shared" si="1255"/>
        <v>0</v>
      </c>
      <c r="AJ165" s="218" t="b">
        <f>IF(AI165=0,FALSE,IF(COUNTIF(AI$7:AI165,AI165)&gt;1,TRUE,FALSE))</f>
        <v>0</v>
      </c>
      <c r="AK165" s="218">
        <f t="shared" ref="AK165" si="1807">IF($AD165=AK$6,$E163,0)</f>
        <v>0</v>
      </c>
      <c r="AL165" s="218" t="b">
        <f>IF(AK165=0,FALSE,IF(COUNTIF(AK$7:AK165,AK165)&gt;1,TRUE,FALSE))</f>
        <v>0</v>
      </c>
      <c r="AM165" s="218">
        <f t="shared" ref="AM165" si="1808">IF($AD165=AM$6,$E163,0)</f>
        <v>0</v>
      </c>
      <c r="AN165" s="218" t="b">
        <f>IF(AM165=0,FALSE,IF(COUNTIF(AM$7:AM165,AM165)&gt;1,TRUE,FALSE))</f>
        <v>0</v>
      </c>
      <c r="AO165" s="218">
        <f t="shared" ref="AO165" si="1809">IF($AD165=AO$6,$E163,0)</f>
        <v>0</v>
      </c>
      <c r="AP165" s="218" t="b">
        <f>IF(AO165=0,FALSE,IF(COUNTIF(AO$7:AO165,AO165)&gt;1,TRUE,FALSE))</f>
        <v>0</v>
      </c>
      <c r="AQ165" s="218">
        <f t="shared" ref="AQ165" si="1810">IF(COUNTIF(Y165,"*十種競技*")&gt;0,E163,0)</f>
        <v>0</v>
      </c>
      <c r="AR165" s="218" t="b">
        <f>IF(AQ165=0,FALSE,IF(OR(COUNTIF($AI$7:$AI$406,AQ165)+COUNTIF($AQ165:$AQ$406,AQ165)&gt;1,COUNTIF($AK$7:$AK$406,AQ165)+COUNTIF($AQ$7:$AQ$406,AQ165)&gt;1),TRUE,FALSE))</f>
        <v>0</v>
      </c>
      <c r="AT165" s="218" t="b">
        <f t="shared" si="1486"/>
        <v>0</v>
      </c>
      <c r="AU165" s="274"/>
      <c r="AX165" s="274"/>
      <c r="BD165" s="218" t="b">
        <f t="shared" si="1474"/>
        <v>0</v>
      </c>
      <c r="BF165" s="231" t="b">
        <f t="shared" ref="BF165" si="1811">IF(J165="",FALSE,IF(OR(AND(AU163,L165=""),AND(AU163,L165="",OR(M165&lt;&gt;"",N165&lt;&gt;"",O165&lt;&gt;"",P165&lt;&gt;""))),TRUE,FALSE))</f>
        <v>0</v>
      </c>
      <c r="BG165" s="218" t="b">
        <f t="shared" si="1476"/>
        <v>0</v>
      </c>
      <c r="BH165" s="218" t="b">
        <f t="shared" si="1488"/>
        <v>0</v>
      </c>
      <c r="BI165" s="231" t="b">
        <f t="shared" ref="BI165" si="1812">IF(J165="",FALSE,IF(L165=0,FALSE,IF(AND(AU163,NOT(BF165),OR(M165="",N165="",O165="")),TRUE,FALSE)))</f>
        <v>0</v>
      </c>
      <c r="BJ165" s="240" t="b">
        <f t="shared" si="1490"/>
        <v>0</v>
      </c>
      <c r="BK165" s="231" t="b">
        <f>IF(NOT(BJ165),FALSE,IF(AND(競技会設定!$C$5&lt;=BJ165,BJ165&lt;=競技会設定!$C$6),FALSE,TRUE))</f>
        <v>0</v>
      </c>
      <c r="BL165" s="218" t="b">
        <f>IF(J165="",FALSE,IF(L165=0,FALSE,IF(AND(AU163,NOT(BF165),NOT(BI165),P165=""),TRUE,FALSE)))</f>
        <v>0</v>
      </c>
      <c r="BO165" s="274"/>
    </row>
    <row r="166" spans="1:67" ht="18" customHeight="1" thickBot="1">
      <c r="A166" s="422"/>
      <c r="B166" s="387" t="s">
        <v>7051</v>
      </c>
      <c r="C166" s="387"/>
      <c r="D166" s="213"/>
      <c r="E166" s="388"/>
      <c r="F166" s="389"/>
      <c r="G166" s="390"/>
      <c r="H166" s="141"/>
      <c r="I166" s="213" t="s">
        <v>7065</v>
      </c>
      <c r="J166" s="154"/>
      <c r="K166" s="213" t="s">
        <v>7066</v>
      </c>
      <c r="L166" s="154"/>
      <c r="M166" s="267"/>
      <c r="N166" s="268"/>
      <c r="O166" s="269"/>
      <c r="P166" s="154"/>
      <c r="Q166" s="383"/>
      <c r="R166" s="386"/>
      <c r="S166" s="136"/>
      <c r="T166" s="137"/>
      <c r="U166" s="137"/>
      <c r="V166" s="137"/>
      <c r="W166" s="137"/>
      <c r="X166" s="137"/>
      <c r="Y166" s="218">
        <f t="shared" ref="Y166" si="1813">IF(OR(E163="",J166=""),0,J166&amp;E163)</f>
        <v>0</v>
      </c>
      <c r="Z166" s="218">
        <f>IF(Y166=0,0,COUNTIF($Y$7:Y166,Y166))</f>
        <v>0</v>
      </c>
      <c r="AD166" s="218">
        <f>IFERROR(VLOOKUP(J166,競技会設定!$P$2:$S$22,2,0),0)</f>
        <v>0</v>
      </c>
      <c r="AE166" s="218">
        <f t="shared" ref="AE166" si="1814">IF(E163="",0,IF(AD166=0,0,IF(AD166&lt;3,E163&amp;$AE$6,0)))</f>
        <v>0</v>
      </c>
      <c r="AF166" s="218">
        <f>IF(AE166=0,0,E163&amp;COUNTIF($AE$7:AE166,AE166))</f>
        <v>0</v>
      </c>
      <c r="AG166" s="218">
        <f t="shared" ref="AG166" si="1815">IF(E163="",0,IF(AD166=0,0,IF(AD166&gt;=3,E163&amp;$AG$6,0)))</f>
        <v>0</v>
      </c>
      <c r="AH166" s="218">
        <f>IF(AG166=0,0,E163&amp;COUNTIF($AG$7:AG166,AG166))</f>
        <v>0</v>
      </c>
      <c r="AI166" s="218">
        <f t="shared" si="1265"/>
        <v>0</v>
      </c>
      <c r="AJ166" s="218" t="b">
        <f>IF(AI166=0,FALSE,IF(COUNTIF(AI$7:AI166,AI166)&gt;1,TRUE,FALSE))</f>
        <v>0</v>
      </c>
      <c r="AK166" s="218">
        <f t="shared" ref="AK166" si="1816">IF($AD166=AK$6,$E163,0)</f>
        <v>0</v>
      </c>
      <c r="AL166" s="218" t="b">
        <f>IF(AK166=0,FALSE,IF(COUNTIF(AK$7:AK166,AK166)&gt;1,TRUE,FALSE))</f>
        <v>0</v>
      </c>
      <c r="AM166" s="218">
        <f t="shared" ref="AM166" si="1817">IF($AD166=AM$6,$E163,0)</f>
        <v>0</v>
      </c>
      <c r="AN166" s="218" t="b">
        <f>IF(AM166=0,FALSE,IF(COUNTIF(AM$7:AM166,AM166)&gt;1,TRUE,FALSE))</f>
        <v>0</v>
      </c>
      <c r="AO166" s="218">
        <f t="shared" ref="AO166" si="1818">IF($AD166=AO$6,$E163,0)</f>
        <v>0</v>
      </c>
      <c r="AP166" s="218" t="b">
        <f>IF(AO166=0,FALSE,IF(COUNTIF(AO$7:AO166,AO166)&gt;1,TRUE,FALSE))</f>
        <v>0</v>
      </c>
      <c r="AQ166" s="218">
        <f t="shared" ref="AQ166" si="1819">IF(COUNTIF(Y166,"*十種競技*")&gt;0,E163,0)</f>
        <v>0</v>
      </c>
      <c r="AR166" s="218" t="b">
        <f>IF(AQ166=0,FALSE,IF(OR(COUNTIF($AI$7:$AI$406,AQ166)+COUNTIF($AQ166:$AQ$406,AQ166)&gt;1,COUNTIF($AK$7:$AK$406,AQ166)+COUNTIF($AQ$7:$AQ$406,AQ166)&gt;1),TRUE,FALSE))</f>
        <v>0</v>
      </c>
      <c r="AT166" s="218" t="b">
        <f t="shared" si="1486"/>
        <v>0</v>
      </c>
      <c r="AU166" s="274"/>
      <c r="AX166" s="274"/>
      <c r="BD166" s="218" t="b">
        <f t="shared" si="1474"/>
        <v>0</v>
      </c>
      <c r="BF166" s="231" t="b">
        <f t="shared" ref="BF166" si="1820">IF(J166="",FALSE,IF(OR(AND(AU163,L166=""),AND(AU163,L166="",OR(M166&lt;&gt;"",N166&lt;&gt;"",O166&lt;&gt;"",P166&lt;&gt;""))),TRUE,FALSE))</f>
        <v>0</v>
      </c>
      <c r="BG166" s="218" t="b">
        <f t="shared" si="1476"/>
        <v>0</v>
      </c>
      <c r="BH166" s="218" t="b">
        <f t="shared" si="1488"/>
        <v>0</v>
      </c>
      <c r="BI166" s="231" t="b">
        <f t="shared" ref="BI166" si="1821">IF(J166="",FALSE,IF(L166=0,FALSE,IF(AND(AU163,NOT(BF166),OR(M166="",N166="",O166="")),TRUE,FALSE)))</f>
        <v>0</v>
      </c>
      <c r="BJ166" s="240" t="b">
        <f t="shared" si="1490"/>
        <v>0</v>
      </c>
      <c r="BK166" s="231" t="b">
        <f>IF(NOT(BJ166),FALSE,IF(AND(競技会設定!$C$5&lt;=BJ166,BJ166&lt;=競技会設定!$C$6),FALSE,TRUE))</f>
        <v>0</v>
      </c>
      <c r="BL166" s="218" t="b">
        <f>IF(J166="",FALSE,IF(L166=0,FALSE,IF(AND(AU163,NOT(BF166),NOT(BI166),P166=""),TRUE,FALSE)))</f>
        <v>0</v>
      </c>
      <c r="BO166" s="274"/>
    </row>
    <row r="167" spans="1:67" ht="18" customHeight="1" thickTop="1">
      <c r="A167" s="417">
        <v>41</v>
      </c>
      <c r="B167" s="401" t="s">
        <v>7050</v>
      </c>
      <c r="C167" s="403"/>
      <c r="D167" s="220" t="str">
        <f t="shared" ref="D167" si="1822">IF(C167="","",501&amp;TEXT(C167,"000000"))</f>
        <v/>
      </c>
      <c r="E167" s="396" t="str">
        <f>IF(D167="","",(VLOOKUP(D167,男子登録!$A$2:$N$2001,3,0)))</f>
        <v/>
      </c>
      <c r="F167" s="396" t="str">
        <f>IF(D167="","",(VLOOKUP(D167,男子登録!$A$2:$N$2001,4,0)))</f>
        <v/>
      </c>
      <c r="G167" s="220" t="str">
        <f>IF(C167="","",(VLOOKUP(D167,男子登録!$A$2:$N$2001,8,0)))</f>
        <v/>
      </c>
      <c r="H167" s="220">
        <f>IFERROR(VLOOKUP(D167,男子登録!$A$2:$N$2001,11,0),基本情報!$E$5)</f>
        <v>0</v>
      </c>
      <c r="I167" s="220" t="s">
        <v>7059</v>
      </c>
      <c r="J167" s="148"/>
      <c r="K167" s="220" t="s">
        <v>7060</v>
      </c>
      <c r="L167" s="148"/>
      <c r="M167" s="252"/>
      <c r="N167" s="253"/>
      <c r="O167" s="254"/>
      <c r="P167" s="148"/>
      <c r="Q167" s="398"/>
      <c r="R167" s="391"/>
      <c r="S167" s="136">
        <f t="shared" ref="S167" si="1823">IF(OR(E167="",Q167=""),0,E167)</f>
        <v>0</v>
      </c>
      <c r="T167" s="137">
        <f>IF(S167=0,0,COUNTIF($S$7:S167,"*"))</f>
        <v>0</v>
      </c>
      <c r="U167" s="137">
        <f>IF(S167=0,0,COUNTIF($S$7:S167,S167))</f>
        <v>0</v>
      </c>
      <c r="V167" s="137">
        <f t="shared" si="1691"/>
        <v>0</v>
      </c>
      <c r="W167" s="137">
        <f>IF(V167=0,0,COUNTIF($V$7:V167,"*"))</f>
        <v>0</v>
      </c>
      <c r="X167" s="137">
        <f>IF(V167=0,0,COUNTIF($V$7:V167,V167))</f>
        <v>0</v>
      </c>
      <c r="Y167" s="218">
        <f t="shared" ref="Y167" si="1824">IF(OR(E167="",J167=""),0,J167&amp;E167)</f>
        <v>0</v>
      </c>
      <c r="Z167" s="218">
        <f>IF(Y167=0,0,COUNTIF($Y$7:Y167,Y167))</f>
        <v>0</v>
      </c>
      <c r="AA167" s="218" t="b">
        <f t="shared" ref="AA167" si="1825">IF(COUNTIF(J167:J170,"十種競技")&gt;0,TRUE,FALSE)</f>
        <v>0</v>
      </c>
      <c r="AB167" s="218">
        <f>IF(E167="",0,IF(AA167,COUNTIF($AA$7:AA167,TRUE),0))</f>
        <v>0</v>
      </c>
      <c r="AC167" s="218">
        <f>IFERROR(VLOOKUP("十種競技",J167:L170,3,0),0)</f>
        <v>0</v>
      </c>
      <c r="AD167" s="218">
        <f>IFERROR(VLOOKUP(J167,競技会設定!$P$2:$S$22,2,0),0)</f>
        <v>0</v>
      </c>
      <c r="AE167" s="218">
        <f t="shared" ref="AE167" si="1826">IF(E167="",0,IF(AD167=0,0,IF(AD167&lt;3,E167&amp;$AE$6,0)))</f>
        <v>0</v>
      </c>
      <c r="AF167" s="218">
        <f>IF(AE167=0,0,E167&amp;COUNTIF($AE$7:AE167,AE167))</f>
        <v>0</v>
      </c>
      <c r="AG167" s="218">
        <f t="shared" ref="AG167" si="1827">IF(E167="",0,IF(AD167=0,0,IF(AD167&gt;=3,E167&amp;$AG$6,0)))</f>
        <v>0</v>
      </c>
      <c r="AH167" s="218">
        <f>IF(AG167=0,0,E167&amp;COUNTIF($AG$7:AG167,AG167))</f>
        <v>0</v>
      </c>
      <c r="AI167" s="218">
        <f t="shared" si="1278"/>
        <v>0</v>
      </c>
      <c r="AJ167" s="218" t="b">
        <f>IF(AI167=0,FALSE,IF(COUNTIF(AI$7:AI167,AI167)&gt;1,TRUE,FALSE))</f>
        <v>0</v>
      </c>
      <c r="AK167" s="218">
        <f t="shared" ref="AK167" si="1828">IF($AD167=AK$6,$E167,0)</f>
        <v>0</v>
      </c>
      <c r="AL167" s="218" t="b">
        <f>IF(AK167=0,FALSE,IF(COUNTIF(AK$7:AK167,AK167)&gt;1,TRUE,FALSE))</f>
        <v>0</v>
      </c>
      <c r="AM167" s="218">
        <f t="shared" ref="AM167" si="1829">IF($AD167=AM$6,$E167,0)</f>
        <v>0</v>
      </c>
      <c r="AN167" s="218" t="b">
        <f>IF(AM167=0,FALSE,IF(COUNTIF(AM$7:AM167,AM167)&gt;1,TRUE,FALSE))</f>
        <v>0</v>
      </c>
      <c r="AO167" s="218">
        <f t="shared" ref="AO167" si="1830">IF($AD167=AO$6,$E167,0)</f>
        <v>0</v>
      </c>
      <c r="AP167" s="218" t="b">
        <f>IF(AO167=0,FALSE,IF(COUNTIF(AO$7:AO167,AO167)&gt;1,TRUE,FALSE))</f>
        <v>0</v>
      </c>
      <c r="AQ167" s="218">
        <f t="shared" ref="AQ167" si="1831">IF(COUNTIF(Y167,"*十種競技*")&gt;0,E167,0)</f>
        <v>0</v>
      </c>
      <c r="AR167" s="218" t="b">
        <f>IF(AQ167=0,FALSE,IF(OR(COUNTIF($AI$7:$AI$406,AQ167)+COUNTIF($AQ167:$AQ$406,AQ167)&gt;1,COUNTIF($AK$7:$AK$406,AQ167)+COUNTIF($AQ$7:$AQ$406,AQ167)&gt;1),TRUE,FALSE))</f>
        <v>0</v>
      </c>
      <c r="AS167" s="218" t="b">
        <f t="shared" ref="AS167" si="1832">IF(AND(C167="",E167&lt;&gt;"",F167&lt;&gt;"",E169&lt;&gt;"",G167&lt;&gt;"",G168&lt;&gt;"",G169&lt;&gt;""),TRUE,FALSE)</f>
        <v>0</v>
      </c>
      <c r="AT167" s="218" t="b">
        <f t="shared" si="1486"/>
        <v>0</v>
      </c>
      <c r="AU167" s="274" t="b">
        <f t="shared" ref="AU167" si="1833">IFERROR(IF(D167&amp;E167&amp;F167&amp;E169&amp;G167&amp;G168&amp;G169&amp;J167&amp;J168&amp;J169&amp;J170&amp;L167&amp;L168&amp;L169&amp;L170&amp;M167&amp;M168&amp;M169&amp;M170&amp;N167&amp;N168&amp;N169&amp;N170&amp;O167&amp;O168&amp;O169&amp;O170&amp;P167&amp;P168&amp;P169&amp;P170&amp;Q167&amp;R167="",FALSE,TRUE),FALSE)</f>
        <v>0</v>
      </c>
      <c r="AV167" s="218" t="b">
        <f t="shared" ref="AV167" si="1834">IF(AS167,FALSE,IF(C167="",AU167,FALSE))</f>
        <v>0</v>
      </c>
      <c r="AW167" s="218" t="b">
        <f>IF(C167="",FALSE,IF(C167&gt;2000,TRUE,FALSE))</f>
        <v>0</v>
      </c>
      <c r="AX167" s="274" t="b">
        <f>IF(H167=0,FALSE,IF(EXACT(基本情報!$E$5,H167)=TRUE,FALSE,TRUE))</f>
        <v>0</v>
      </c>
      <c r="AY167" s="218" t="b">
        <f>IF(C167="",FALSE,IF(ISNA(E167)=TRUE,TRUE,FALSE))</f>
        <v>0</v>
      </c>
      <c r="AZ167" s="274" t="b">
        <f>IFERROR(IF(E167="",FALSE,IF(COUNTIF($E$7:E167,E167)&gt;1,TRUE,FALSE)),FALSE)</f>
        <v>0</v>
      </c>
      <c r="BA167" s="218" t="b">
        <f t="shared" ref="BA167" si="1835">IF(OR(J167&amp;J168&amp;J169&amp;J170&amp;Q167&amp;R167="",AT167,AT168,AT169,AT170),AU167,FALSE)</f>
        <v>0</v>
      </c>
      <c r="BB167" s="218" t="b">
        <f>IF(U167&gt;1,TRUE,FALSE)</f>
        <v>0</v>
      </c>
      <c r="BC167" s="218" t="b">
        <f>IF(X167&gt;1,TRUE,FALSE)</f>
        <v>0</v>
      </c>
      <c r="BD167" s="218" t="b">
        <f t="shared" si="1474"/>
        <v>0</v>
      </c>
      <c r="BF167" s="231" t="b">
        <f t="shared" ref="BF167" si="1836">IF(J167="",FALSE,IF(OR(AND(AU167,L167=""),AND(AU167,L167="",OR(M167&lt;&gt;"",N167&lt;&gt;"",O167&lt;&gt;"",P167&lt;&gt;""))),TRUE,FALSE))</f>
        <v>0</v>
      </c>
      <c r="BG167" s="218" t="b">
        <f t="shared" si="1476"/>
        <v>0</v>
      </c>
      <c r="BH167" s="218" t="b">
        <f t="shared" si="1488"/>
        <v>0</v>
      </c>
      <c r="BI167" s="231" t="b">
        <f t="shared" ref="BI167" si="1837">IF(J167="",FALSE,IF(L167=0,FALSE,IF(AND(AU167,NOT(BF167),OR(M167="",N167="",O167="")),TRUE,FALSE)))</f>
        <v>0</v>
      </c>
      <c r="BJ167" s="240" t="b">
        <f t="shared" si="1490"/>
        <v>0</v>
      </c>
      <c r="BK167" s="231" t="b">
        <f>IF(NOT(BJ167),FALSE,IF(AND(競技会設定!$C$5&lt;=BJ167,BJ167&lt;=競技会設定!$C$6),FALSE,TRUE))</f>
        <v>0</v>
      </c>
      <c r="BL167" s="218" t="b">
        <f>IF(J167="",FALSE,IF(L167=0,FALSE,IF(AND(AU167,NOT(BF167),NOT(BI167),P167=""),TRUE,FALSE)))</f>
        <v>0</v>
      </c>
      <c r="BO167" s="274">
        <f t="shared" ref="BO167" si="1838">IF(AND(AU167,SUM(COUNTIF(AV167:BC167,TRUE),COUNTIF(BF167:BL170,TRUE),COUNTIF(BD167:BD170,TRUE))=0,NOT($BE$7)),1,0)</f>
        <v>0</v>
      </c>
    </row>
    <row r="168" spans="1:67" ht="17.399999999999999" customHeight="1">
      <c r="A168" s="418"/>
      <c r="B168" s="402"/>
      <c r="C168" s="404"/>
      <c r="D168" s="221"/>
      <c r="E168" s="397"/>
      <c r="F168" s="397"/>
      <c r="G168" s="221" t="str">
        <f>IF(C167="","",(VLOOKUP(D167,男子登録!$A$2:$N$2001,13,0)))</f>
        <v/>
      </c>
      <c r="H168" s="221"/>
      <c r="I168" s="221" t="s">
        <v>7061</v>
      </c>
      <c r="J168" s="149"/>
      <c r="K168" s="221" t="s">
        <v>7062</v>
      </c>
      <c r="L168" s="149"/>
      <c r="M168" s="255"/>
      <c r="N168" s="256"/>
      <c r="O168" s="257"/>
      <c r="P168" s="149"/>
      <c r="Q168" s="399"/>
      <c r="R168" s="392"/>
      <c r="S168" s="136"/>
      <c r="T168" s="137"/>
      <c r="U168" s="137"/>
      <c r="V168" s="137"/>
      <c r="W168" s="137"/>
      <c r="X168" s="137"/>
      <c r="Y168" s="218">
        <f t="shared" ref="Y168" si="1839">IF(OR(E167="",J168=""),0,J168&amp;E167)</f>
        <v>0</v>
      </c>
      <c r="Z168" s="218">
        <f>IF(Y168=0,0,COUNTIF($Y$7:Y168,Y168))</f>
        <v>0</v>
      </c>
      <c r="AD168" s="218">
        <f>IFERROR(VLOOKUP(J168,競技会設定!$P$2:$S$22,2,0),0)</f>
        <v>0</v>
      </c>
      <c r="AE168" s="218">
        <f t="shared" ref="AE168" si="1840">IF(E167="",0,IF(AD168=0,0,IF(AD168&lt;3,E167&amp;$AE$6,0)))</f>
        <v>0</v>
      </c>
      <c r="AF168" s="218">
        <f>IF(AE168=0,0,E167&amp;COUNTIF($AE$7:AE168,AE168))</f>
        <v>0</v>
      </c>
      <c r="AG168" s="218">
        <f t="shared" ref="AG168" si="1841">IF(E167="",0,IF(AD168=0,0,IF(AD168&gt;=3,E167&amp;$AG$6,0)))</f>
        <v>0</v>
      </c>
      <c r="AH168" s="218">
        <f>IF(AG168=0,0,E167&amp;COUNTIF($AG$7:AG168,AG168))</f>
        <v>0</v>
      </c>
      <c r="AI168" s="218">
        <f t="shared" si="1293"/>
        <v>0</v>
      </c>
      <c r="AJ168" s="218" t="b">
        <f>IF(AI168=0,FALSE,IF(COUNTIF(AI$7:AI168,AI168)&gt;1,TRUE,FALSE))</f>
        <v>0</v>
      </c>
      <c r="AK168" s="218">
        <f t="shared" ref="AK168" si="1842">IF($AD168=AK$6,$E167,0)</f>
        <v>0</v>
      </c>
      <c r="AL168" s="218" t="b">
        <f>IF(AK168=0,FALSE,IF(COUNTIF(AK$7:AK168,AK168)&gt;1,TRUE,FALSE))</f>
        <v>0</v>
      </c>
      <c r="AM168" s="218">
        <f t="shared" ref="AM168" si="1843">IF($AD168=AM$6,$E167,0)</f>
        <v>0</v>
      </c>
      <c r="AN168" s="218" t="b">
        <f>IF(AM168=0,FALSE,IF(COUNTIF(AM$7:AM168,AM168)&gt;1,TRUE,FALSE))</f>
        <v>0</v>
      </c>
      <c r="AO168" s="218">
        <f t="shared" ref="AO168" si="1844">IF($AD168=AO$6,$E167,0)</f>
        <v>0</v>
      </c>
      <c r="AP168" s="218" t="b">
        <f>IF(AO168=0,FALSE,IF(COUNTIF(AO$7:AO168,AO168)&gt;1,TRUE,FALSE))</f>
        <v>0</v>
      </c>
      <c r="AQ168" s="218">
        <f t="shared" ref="AQ168" si="1845">IF(COUNTIF(Y168,"*十種競技*")&gt;0,E167,0)</f>
        <v>0</v>
      </c>
      <c r="AR168" s="218" t="b">
        <f>IF(AQ168=0,FALSE,IF(OR(COUNTIF($AI$7:$AI$406,AQ168)+COUNTIF($AQ168:$AQ$406,AQ168)&gt;1,COUNTIF($AK$7:$AK$406,AQ168)+COUNTIF($AQ$7:$AQ$406,AQ168)&gt;1),TRUE,FALSE))</f>
        <v>0</v>
      </c>
      <c r="AT168" s="218" t="b">
        <f t="shared" si="1486"/>
        <v>0</v>
      </c>
      <c r="AU168" s="274"/>
      <c r="AX168" s="274"/>
      <c r="BD168" s="218" t="b">
        <f t="shared" si="1474"/>
        <v>0</v>
      </c>
      <c r="BF168" s="231" t="b">
        <f t="shared" ref="BF168" si="1846">IF(J168="",FALSE,IF(OR(AND(AU167,L168=""),AND(AU167,L168="",OR(M168&lt;&gt;"",N168&lt;&gt;"",O168&lt;&gt;"",P168&lt;&gt;""))),TRUE,FALSE))</f>
        <v>0</v>
      </c>
      <c r="BG168" s="218" t="b">
        <f t="shared" si="1476"/>
        <v>0</v>
      </c>
      <c r="BH168" s="218" t="b">
        <f t="shared" si="1488"/>
        <v>0</v>
      </c>
      <c r="BI168" s="231" t="b">
        <f t="shared" ref="BI168" si="1847">IF(J168="",FALSE,IF(L168=0,FALSE,IF(AND(AU167,NOT(BF168),OR(M168="",N168="",O168="")),TRUE,FALSE)))</f>
        <v>0</v>
      </c>
      <c r="BJ168" s="240" t="b">
        <f t="shared" si="1490"/>
        <v>0</v>
      </c>
      <c r="BK168" s="231" t="b">
        <f>IF(NOT(BJ168),FALSE,IF(AND(競技会設定!$C$5&lt;=BJ168,BJ168&lt;=競技会設定!$C$6),FALSE,TRUE))</f>
        <v>0</v>
      </c>
      <c r="BL168" s="218" t="b">
        <f>IF(J168="",FALSE,IF(L168=0,FALSE,IF(AND(AU167,NOT(BF168),NOT(BI168),P168=""),TRUE,FALSE)))</f>
        <v>0</v>
      </c>
      <c r="BO168" s="274"/>
    </row>
    <row r="169" spans="1:67" ht="17.399999999999999" customHeight="1">
      <c r="A169" s="418"/>
      <c r="B169" s="402"/>
      <c r="C169" s="404"/>
      <c r="D169" s="221"/>
      <c r="E169" s="394" t="str">
        <f>IF(C167="","",VLOOKUP(D167,男子登録!$A$2:$O$2001,14,0)&amp;" ("&amp;VLOOKUP(D167,男子登録!$A$2:$O$2001,15,0)&amp;")")</f>
        <v/>
      </c>
      <c r="F169" s="394"/>
      <c r="G169" s="222" t="str">
        <f>IF(C167="","",(VLOOKUP(D167,男子登録!$A$2:$N$2001,9,0)))</f>
        <v/>
      </c>
      <c r="H169" s="222"/>
      <c r="I169" s="222" t="s">
        <v>7063</v>
      </c>
      <c r="J169" s="150"/>
      <c r="K169" s="222" t="s">
        <v>7064</v>
      </c>
      <c r="L169" s="150"/>
      <c r="M169" s="255"/>
      <c r="N169" s="256"/>
      <c r="O169" s="257"/>
      <c r="P169" s="149"/>
      <c r="Q169" s="399"/>
      <c r="R169" s="392"/>
      <c r="S169" s="136"/>
      <c r="T169" s="137"/>
      <c r="U169" s="137"/>
      <c r="V169" s="137"/>
      <c r="W169" s="137"/>
      <c r="X169" s="137"/>
      <c r="Y169" s="218">
        <f t="shared" ref="Y169" si="1848">IF(OR(E167="",J169=""),0,J169&amp;E167)</f>
        <v>0</v>
      </c>
      <c r="Z169" s="218">
        <f>IF(Y169=0,0,COUNTIF($Y$7:Y169,Y169))</f>
        <v>0</v>
      </c>
      <c r="AD169" s="218">
        <f>IFERROR(VLOOKUP(J169,競技会設定!$P$2:$S$22,2,0),0)</f>
        <v>0</v>
      </c>
      <c r="AE169" s="218">
        <f t="shared" ref="AE169" si="1849">IF(E167="",0,IF(AD169=0,0,IF(AD169&lt;3,E167&amp;$AE$6,0)))</f>
        <v>0</v>
      </c>
      <c r="AF169" s="218">
        <f>IF(AE169=0,0,E167&amp;COUNTIF($AE$7:AE169,AE169))</f>
        <v>0</v>
      </c>
      <c r="AG169" s="218">
        <f t="shared" ref="AG169" si="1850">IF(E167="",0,IF(AD169=0,0,IF(AD169&gt;=3,E167&amp;$AG$6,0)))</f>
        <v>0</v>
      </c>
      <c r="AH169" s="218">
        <f>IF(AG169=0,0,E167&amp;COUNTIF($AG$7:AG169,AG169))</f>
        <v>0</v>
      </c>
      <c r="AI169" s="218">
        <f t="shared" si="1303"/>
        <v>0</v>
      </c>
      <c r="AJ169" s="218" t="b">
        <f>IF(AI169=0,FALSE,IF(COUNTIF(AI$7:AI169,AI169)&gt;1,TRUE,FALSE))</f>
        <v>0</v>
      </c>
      <c r="AK169" s="218">
        <f t="shared" ref="AK169" si="1851">IF($AD169=AK$6,$E167,0)</f>
        <v>0</v>
      </c>
      <c r="AL169" s="218" t="b">
        <f>IF(AK169=0,FALSE,IF(COUNTIF(AK$7:AK169,AK169)&gt;1,TRUE,FALSE))</f>
        <v>0</v>
      </c>
      <c r="AM169" s="218">
        <f t="shared" ref="AM169" si="1852">IF($AD169=AM$6,$E167,0)</f>
        <v>0</v>
      </c>
      <c r="AN169" s="218" t="b">
        <f>IF(AM169=0,FALSE,IF(COUNTIF(AM$7:AM169,AM169)&gt;1,TRUE,FALSE))</f>
        <v>0</v>
      </c>
      <c r="AO169" s="218">
        <f t="shared" ref="AO169" si="1853">IF($AD169=AO$6,$E167,0)</f>
        <v>0</v>
      </c>
      <c r="AP169" s="218" t="b">
        <f>IF(AO169=0,FALSE,IF(COUNTIF(AO$7:AO169,AO169)&gt;1,TRUE,FALSE))</f>
        <v>0</v>
      </c>
      <c r="AQ169" s="218">
        <f t="shared" ref="AQ169" si="1854">IF(COUNTIF(Y169,"*十種競技*")&gt;0,E167,0)</f>
        <v>0</v>
      </c>
      <c r="AR169" s="218" t="b">
        <f>IF(AQ169=0,FALSE,IF(OR(COUNTIF($AI$7:$AI$406,AQ169)+COUNTIF($AQ169:$AQ$406,AQ169)&gt;1,COUNTIF($AK$7:$AK$406,AQ169)+COUNTIF($AQ$7:$AQ$406,AQ169)&gt;1),TRUE,FALSE))</f>
        <v>0</v>
      </c>
      <c r="AT169" s="218" t="b">
        <f t="shared" si="1486"/>
        <v>0</v>
      </c>
      <c r="AU169" s="274"/>
      <c r="AX169" s="274"/>
      <c r="BD169" s="218" t="b">
        <f t="shared" si="1474"/>
        <v>0</v>
      </c>
      <c r="BF169" s="231" t="b">
        <f t="shared" ref="BF169" si="1855">IF(J169="",FALSE,IF(OR(AND(AU167,L169=""),AND(AU167,L169="",OR(M169&lt;&gt;"",N169&lt;&gt;"",O169&lt;&gt;"",P169&lt;&gt;""))),TRUE,FALSE))</f>
        <v>0</v>
      </c>
      <c r="BG169" s="218" t="b">
        <f t="shared" si="1476"/>
        <v>0</v>
      </c>
      <c r="BH169" s="218" t="b">
        <f t="shared" si="1488"/>
        <v>0</v>
      </c>
      <c r="BI169" s="231" t="b">
        <f t="shared" ref="BI169" si="1856">IF(J169="",FALSE,IF(L169=0,FALSE,IF(AND(AU167,NOT(BF169),OR(M169="",N169="",O169="")),TRUE,FALSE)))</f>
        <v>0</v>
      </c>
      <c r="BJ169" s="240" t="b">
        <f t="shared" si="1490"/>
        <v>0</v>
      </c>
      <c r="BK169" s="231" t="b">
        <f>IF(NOT(BJ169),FALSE,IF(AND(競技会設定!$C$5&lt;=BJ169,BJ169&lt;=競技会設定!$C$6),FALSE,TRUE))</f>
        <v>0</v>
      </c>
      <c r="BL169" s="218" t="b">
        <f>IF(J169="",FALSE,IF(L169=0,FALSE,IF(AND(AU167,NOT(BF169),NOT(BI169),P169=""),TRUE,FALSE)))</f>
        <v>0</v>
      </c>
      <c r="BO169" s="274"/>
    </row>
    <row r="170" spans="1:67" ht="18" customHeight="1" thickBot="1">
      <c r="A170" s="419"/>
      <c r="B170" s="395" t="s">
        <v>7051</v>
      </c>
      <c r="C170" s="395"/>
      <c r="D170" s="221"/>
      <c r="E170" s="372"/>
      <c r="F170" s="372"/>
      <c r="G170" s="372"/>
      <c r="H170" s="214"/>
      <c r="I170" s="214" t="s">
        <v>7065</v>
      </c>
      <c r="J170" s="219"/>
      <c r="K170" s="214" t="s">
        <v>7066</v>
      </c>
      <c r="L170" s="219"/>
      <c r="M170" s="258"/>
      <c r="N170" s="259"/>
      <c r="O170" s="260"/>
      <c r="P170" s="219"/>
      <c r="Q170" s="400"/>
      <c r="R170" s="393"/>
      <c r="S170" s="136"/>
      <c r="T170" s="137"/>
      <c r="U170" s="137"/>
      <c r="V170" s="137"/>
      <c r="W170" s="137"/>
      <c r="X170" s="137"/>
      <c r="Y170" s="218">
        <f t="shared" ref="Y170" si="1857">IF(OR(E167="",J170=""),0,J170&amp;E167)</f>
        <v>0</v>
      </c>
      <c r="Z170" s="218">
        <f>IF(Y170=0,0,COUNTIF($Y$7:Y170,Y170))</f>
        <v>0</v>
      </c>
      <c r="AD170" s="218">
        <f>IFERROR(VLOOKUP(J170,競技会設定!$P$2:$S$22,2,0),0)</f>
        <v>0</v>
      </c>
      <c r="AE170" s="218">
        <f t="shared" ref="AE170" si="1858">IF(E167="",0,IF(AD170=0,0,IF(AD170&lt;3,E167&amp;$AE$6,0)))</f>
        <v>0</v>
      </c>
      <c r="AF170" s="218">
        <f>IF(AE170=0,0,E167&amp;COUNTIF($AE$7:AE170,AE170))</f>
        <v>0</v>
      </c>
      <c r="AG170" s="218">
        <f t="shared" ref="AG170" si="1859">IF(E167="",0,IF(AD170=0,0,IF(AD170&gt;=3,E167&amp;$AG$6,0)))</f>
        <v>0</v>
      </c>
      <c r="AH170" s="218">
        <f>IF(AG170=0,0,E167&amp;COUNTIF($AG$7:AG170,AG170))</f>
        <v>0</v>
      </c>
      <c r="AI170" s="218">
        <f t="shared" si="1313"/>
        <v>0</v>
      </c>
      <c r="AJ170" s="218" t="b">
        <f>IF(AI170=0,FALSE,IF(COUNTIF(AI$7:AI170,AI170)&gt;1,TRUE,FALSE))</f>
        <v>0</v>
      </c>
      <c r="AK170" s="218">
        <f t="shared" ref="AK170" si="1860">IF($AD170=AK$6,$E167,0)</f>
        <v>0</v>
      </c>
      <c r="AL170" s="218" t="b">
        <f>IF(AK170=0,FALSE,IF(COUNTIF(AK$7:AK170,AK170)&gt;1,TRUE,FALSE))</f>
        <v>0</v>
      </c>
      <c r="AM170" s="218">
        <f t="shared" ref="AM170" si="1861">IF($AD170=AM$6,$E167,0)</f>
        <v>0</v>
      </c>
      <c r="AN170" s="218" t="b">
        <f>IF(AM170=0,FALSE,IF(COUNTIF(AM$7:AM170,AM170)&gt;1,TRUE,FALSE))</f>
        <v>0</v>
      </c>
      <c r="AO170" s="218">
        <f t="shared" ref="AO170" si="1862">IF($AD170=AO$6,$E167,0)</f>
        <v>0</v>
      </c>
      <c r="AP170" s="218" t="b">
        <f>IF(AO170=0,FALSE,IF(COUNTIF(AO$7:AO170,AO170)&gt;1,TRUE,FALSE))</f>
        <v>0</v>
      </c>
      <c r="AQ170" s="218">
        <f t="shared" ref="AQ170" si="1863">IF(COUNTIF(Y170,"*十種競技*")&gt;0,E167,0)</f>
        <v>0</v>
      </c>
      <c r="AR170" s="218" t="b">
        <f>IF(AQ170=0,FALSE,IF(OR(COUNTIF($AI$7:$AI$406,AQ170)+COUNTIF($AQ170:$AQ$406,AQ170)&gt;1,COUNTIF($AK$7:$AK$406,AQ170)+COUNTIF($AQ$7:$AQ$406,AQ170)&gt;1),TRUE,FALSE))</f>
        <v>0</v>
      </c>
      <c r="AT170" s="218" t="b">
        <f t="shared" si="1486"/>
        <v>0</v>
      </c>
      <c r="AU170" s="274"/>
      <c r="AX170" s="274"/>
      <c r="BD170" s="218" t="b">
        <f t="shared" si="1474"/>
        <v>0</v>
      </c>
      <c r="BF170" s="231" t="b">
        <f t="shared" ref="BF170" si="1864">IF(J170="",FALSE,IF(OR(AND(AU167,L170=""),AND(AU167,L170="",OR(M170&lt;&gt;"",N170&lt;&gt;"",O170&lt;&gt;"",P170&lt;&gt;""))),TRUE,FALSE))</f>
        <v>0</v>
      </c>
      <c r="BG170" s="218" t="b">
        <f t="shared" si="1476"/>
        <v>0</v>
      </c>
      <c r="BH170" s="218" t="b">
        <f t="shared" si="1488"/>
        <v>0</v>
      </c>
      <c r="BI170" s="231" t="b">
        <f t="shared" ref="BI170" si="1865">IF(J170="",FALSE,IF(L170=0,FALSE,IF(AND(AU167,NOT(BF170),OR(M170="",N170="",O170="")),TRUE,FALSE)))</f>
        <v>0</v>
      </c>
      <c r="BJ170" s="240" t="b">
        <f t="shared" si="1490"/>
        <v>0</v>
      </c>
      <c r="BK170" s="231" t="b">
        <f>IF(NOT(BJ170),FALSE,IF(AND(競技会設定!$C$5&lt;=BJ170,BJ170&lt;=競技会設定!$C$6),FALSE,TRUE))</f>
        <v>0</v>
      </c>
      <c r="BL170" s="218" t="b">
        <f>IF(J170="",FALSE,IF(L170=0,FALSE,IF(AND(AU167,NOT(BF170),NOT(BI170),P170=""),TRUE,FALSE)))</f>
        <v>0</v>
      </c>
      <c r="BO170" s="274"/>
    </row>
    <row r="171" spans="1:67" ht="18" customHeight="1" thickTop="1">
      <c r="A171" s="420">
        <v>42</v>
      </c>
      <c r="B171" s="373" t="s">
        <v>7050</v>
      </c>
      <c r="C171" s="375"/>
      <c r="D171" s="138" t="str">
        <f t="shared" ref="D171" si="1866">IF(C171="","",501&amp;TEXT(C171,"000000"))</f>
        <v/>
      </c>
      <c r="E171" s="377" t="str">
        <f>IF(D171="","",(VLOOKUP(D171,男子登録!$A$2:$N$2001,3,0)))</f>
        <v/>
      </c>
      <c r="F171" s="377" t="str">
        <f>IF(D171="","",(VLOOKUP(D171,男子登録!$A$2:$N$2001,4,0)))</f>
        <v/>
      </c>
      <c r="G171" s="138" t="str">
        <f>IF(C171="","",(VLOOKUP(D171,男子登録!$A$2:$N$2001,8,0)))</f>
        <v/>
      </c>
      <c r="H171" s="138">
        <f>IFERROR(VLOOKUP(D171,男子登録!$A$2:$N$2001,11,0),基本情報!$E$5)</f>
        <v>0</v>
      </c>
      <c r="I171" s="138" t="s">
        <v>7059</v>
      </c>
      <c r="J171" s="151"/>
      <c r="K171" s="138" t="s">
        <v>7060</v>
      </c>
      <c r="L171" s="151"/>
      <c r="M171" s="261"/>
      <c r="N171" s="262"/>
      <c r="O171" s="263"/>
      <c r="P171" s="151"/>
      <c r="Q171" s="381"/>
      <c r="R171" s="384"/>
      <c r="S171" s="136">
        <f t="shared" ref="S171" si="1867">IF(OR(E171="",Q171=""),0,E171)</f>
        <v>0</v>
      </c>
      <c r="T171" s="137">
        <f>IF(S171=0,0,COUNTIF($S$7:S171,"*"))</f>
        <v>0</v>
      </c>
      <c r="U171" s="137">
        <f>IF(S171=0,0,COUNTIF($S$7:S171,S171))</f>
        <v>0</v>
      </c>
      <c r="V171" s="137">
        <f t="shared" si="1691"/>
        <v>0</v>
      </c>
      <c r="W171" s="137">
        <f>IF(V171=0,0,COUNTIF($V$7:V171,"*"))</f>
        <v>0</v>
      </c>
      <c r="X171" s="137">
        <f>IF(V171=0,0,COUNTIF($V$7:V171,V171))</f>
        <v>0</v>
      </c>
      <c r="Y171" s="218">
        <f t="shared" ref="Y171" si="1868">IF(OR(E171="",J171=""),0,J171&amp;E171)</f>
        <v>0</v>
      </c>
      <c r="Z171" s="218">
        <f>IF(Y171=0,0,COUNTIF($Y$7:Y171,Y171))</f>
        <v>0</v>
      </c>
      <c r="AA171" s="218" t="b">
        <f t="shared" ref="AA171" si="1869">IF(COUNTIF(J171:J174,"十種競技")&gt;0,TRUE,FALSE)</f>
        <v>0</v>
      </c>
      <c r="AB171" s="218">
        <f>IF(E171="",0,IF(AA171,COUNTIF($AA$7:AA171,TRUE),0))</f>
        <v>0</v>
      </c>
      <c r="AC171" s="218">
        <f>IFERROR(VLOOKUP("十種競技",J171:L174,3,0),0)</f>
        <v>0</v>
      </c>
      <c r="AD171" s="218">
        <f>IFERROR(VLOOKUP(J171,競技会設定!$P$2:$S$22,2,0),0)</f>
        <v>0</v>
      </c>
      <c r="AE171" s="218">
        <f t="shared" ref="AE171" si="1870">IF(E171="",0,IF(AD171=0,0,IF(AD171&lt;3,E171&amp;$AE$6,0)))</f>
        <v>0</v>
      </c>
      <c r="AF171" s="218">
        <f>IF(AE171=0,0,E171&amp;COUNTIF($AE$7:AE171,AE171))</f>
        <v>0</v>
      </c>
      <c r="AG171" s="218">
        <f t="shared" ref="AG171" si="1871">IF(E171="",0,IF(AD171=0,0,IF(AD171&gt;=3,E171&amp;$AG$6,0)))</f>
        <v>0</v>
      </c>
      <c r="AH171" s="218">
        <f>IF(AG171=0,0,E171&amp;COUNTIF($AG$7:AG171,AG171))</f>
        <v>0</v>
      </c>
      <c r="AI171" s="218">
        <f t="shared" si="1326"/>
        <v>0</v>
      </c>
      <c r="AJ171" s="218" t="b">
        <f>IF(AI171=0,FALSE,IF(COUNTIF(AI$7:AI171,AI171)&gt;1,TRUE,FALSE))</f>
        <v>0</v>
      </c>
      <c r="AK171" s="218">
        <f t="shared" ref="AK171" si="1872">IF($AD171=AK$6,$E171,0)</f>
        <v>0</v>
      </c>
      <c r="AL171" s="218" t="b">
        <f>IF(AK171=0,FALSE,IF(COUNTIF(AK$7:AK171,AK171)&gt;1,TRUE,FALSE))</f>
        <v>0</v>
      </c>
      <c r="AM171" s="218">
        <f t="shared" ref="AM171" si="1873">IF($AD171=AM$6,$E171,0)</f>
        <v>0</v>
      </c>
      <c r="AN171" s="218" t="b">
        <f>IF(AM171=0,FALSE,IF(COUNTIF(AM$7:AM171,AM171)&gt;1,TRUE,FALSE))</f>
        <v>0</v>
      </c>
      <c r="AO171" s="218">
        <f t="shared" ref="AO171" si="1874">IF($AD171=AO$6,$E171,0)</f>
        <v>0</v>
      </c>
      <c r="AP171" s="218" t="b">
        <f>IF(AO171=0,FALSE,IF(COUNTIF(AO$7:AO171,AO171)&gt;1,TRUE,FALSE))</f>
        <v>0</v>
      </c>
      <c r="AQ171" s="218">
        <f t="shared" ref="AQ171" si="1875">IF(COUNTIF(Y171,"*十種競技*")&gt;0,E171,0)</f>
        <v>0</v>
      </c>
      <c r="AR171" s="218" t="b">
        <f>IF(AQ171=0,FALSE,IF(OR(COUNTIF($AI$7:$AI$406,AQ171)+COUNTIF($AQ171:$AQ$406,AQ171)&gt;1,COUNTIF($AK$7:$AK$406,AQ171)+COUNTIF($AQ$7:$AQ$406,AQ171)&gt;1),TRUE,FALSE))</f>
        <v>0</v>
      </c>
      <c r="AS171" s="218" t="b">
        <f t="shared" ref="AS171" si="1876">IF(AND(C171="",E171&lt;&gt;"",F171&lt;&gt;"",E173&lt;&gt;"",G171&lt;&gt;"",G172&lt;&gt;"",G173&lt;&gt;""),TRUE,FALSE)</f>
        <v>0</v>
      </c>
      <c r="AT171" s="218" t="b">
        <f t="shared" si="1486"/>
        <v>0</v>
      </c>
      <c r="AU171" s="274" t="b">
        <f t="shared" ref="AU171" si="1877">IFERROR(IF(D171&amp;E171&amp;F171&amp;E173&amp;G171&amp;G172&amp;G173&amp;J171&amp;J172&amp;J173&amp;J174&amp;L171&amp;L172&amp;L173&amp;L174&amp;M171&amp;M172&amp;M173&amp;M174&amp;N171&amp;N172&amp;N173&amp;N174&amp;O171&amp;O172&amp;O173&amp;O174&amp;P171&amp;P172&amp;P173&amp;P174&amp;Q171&amp;R171="",FALSE,TRUE),FALSE)</f>
        <v>0</v>
      </c>
      <c r="AV171" s="218" t="b">
        <f t="shared" ref="AV171" si="1878">IF(AS171,FALSE,IF(C171="",AU171,FALSE))</f>
        <v>0</v>
      </c>
      <c r="AW171" s="218" t="b">
        <f>IF(C171="",FALSE,IF(C171&gt;2000,TRUE,FALSE))</f>
        <v>0</v>
      </c>
      <c r="AX171" s="274" t="b">
        <f>IF(H171=0,FALSE,IF(EXACT(基本情報!$E$5,H171)=TRUE,FALSE,TRUE))</f>
        <v>0</v>
      </c>
      <c r="AY171" s="218" t="b">
        <f>IF(C171="",FALSE,IF(ISNA(E171)=TRUE,TRUE,FALSE))</f>
        <v>0</v>
      </c>
      <c r="AZ171" s="274" t="b">
        <f>IFERROR(IF(E171="",FALSE,IF(COUNTIF($E$7:E171,E171)&gt;1,TRUE,FALSE)),FALSE)</f>
        <v>0</v>
      </c>
      <c r="BA171" s="218" t="b">
        <f t="shared" ref="BA171" si="1879">IF(OR(J171&amp;J172&amp;J173&amp;J174&amp;Q171&amp;R171="",AT171,AT172,AT173,AT174),AU171,FALSE)</f>
        <v>0</v>
      </c>
      <c r="BB171" s="218" t="b">
        <f>IF(U171&gt;1,TRUE,FALSE)</f>
        <v>0</v>
      </c>
      <c r="BC171" s="218" t="b">
        <f>IF(X171&gt;1,TRUE,FALSE)</f>
        <v>0</v>
      </c>
      <c r="BD171" s="218" t="b">
        <f t="shared" si="1474"/>
        <v>0</v>
      </c>
      <c r="BF171" s="231" t="b">
        <f t="shared" ref="BF171" si="1880">IF(J171="",FALSE,IF(OR(AND(AU171,L171=""),AND(AU171,L171="",OR(M171&lt;&gt;"",N171&lt;&gt;"",O171&lt;&gt;"",P171&lt;&gt;""))),TRUE,FALSE))</f>
        <v>0</v>
      </c>
      <c r="BG171" s="218" t="b">
        <f t="shared" si="1476"/>
        <v>0</v>
      </c>
      <c r="BH171" s="218" t="b">
        <f t="shared" si="1488"/>
        <v>0</v>
      </c>
      <c r="BI171" s="231" t="b">
        <f t="shared" ref="BI171" si="1881">IF(J171="",FALSE,IF(L171=0,FALSE,IF(AND(AU171,NOT(BF171),OR(M171="",N171="",O171="")),TRUE,FALSE)))</f>
        <v>0</v>
      </c>
      <c r="BJ171" s="240" t="b">
        <f t="shared" si="1490"/>
        <v>0</v>
      </c>
      <c r="BK171" s="231" t="b">
        <f>IF(NOT(BJ171),FALSE,IF(AND(競技会設定!$C$5&lt;=BJ171,BJ171&lt;=競技会設定!$C$6),FALSE,TRUE))</f>
        <v>0</v>
      </c>
      <c r="BL171" s="218" t="b">
        <f>IF(J171="",FALSE,IF(L171=0,FALSE,IF(AND(AU171,NOT(BF171),NOT(BI171),P171=""),TRUE,FALSE)))</f>
        <v>0</v>
      </c>
      <c r="BO171" s="274">
        <f t="shared" ref="BO171" si="1882">IF(AND(AU171,SUM(COUNTIF(AV171:BC171,TRUE),COUNTIF(BF171:BL174,TRUE),COUNTIF(BD171:BD174,TRUE))=0,NOT($BE$7)),1,0)</f>
        <v>0</v>
      </c>
    </row>
    <row r="172" spans="1:67" ht="17.399999999999999" customHeight="1">
      <c r="A172" s="421"/>
      <c r="B172" s="374"/>
      <c r="C172" s="376"/>
      <c r="D172" s="139"/>
      <c r="E172" s="378"/>
      <c r="F172" s="378"/>
      <c r="G172" s="139" t="str">
        <f>IF(C171="","",(VLOOKUP(D171,男子登録!$A$2:$N$2001,13,0)))</f>
        <v/>
      </c>
      <c r="H172" s="139"/>
      <c r="I172" s="139" t="s">
        <v>7061</v>
      </c>
      <c r="J172" s="152"/>
      <c r="K172" s="139" t="s">
        <v>7062</v>
      </c>
      <c r="L172" s="152"/>
      <c r="M172" s="264"/>
      <c r="N172" s="265"/>
      <c r="O172" s="266"/>
      <c r="P172" s="152"/>
      <c r="Q172" s="382"/>
      <c r="R172" s="385"/>
      <c r="S172" s="136"/>
      <c r="T172" s="137"/>
      <c r="U172" s="137"/>
      <c r="V172" s="137"/>
      <c r="W172" s="137"/>
      <c r="X172" s="137"/>
      <c r="Y172" s="218">
        <f t="shared" ref="Y172" si="1883">IF(OR(E171="",J172=""),0,J172&amp;E171)</f>
        <v>0</v>
      </c>
      <c r="Z172" s="218">
        <f>IF(Y172=0,0,COUNTIF($Y$7:Y172,Y172))</f>
        <v>0</v>
      </c>
      <c r="AD172" s="218">
        <f>IFERROR(VLOOKUP(J172,競技会設定!$P$2:$S$22,2,0),0)</f>
        <v>0</v>
      </c>
      <c r="AE172" s="218">
        <f t="shared" ref="AE172" si="1884">IF(E171="",0,IF(AD172=0,0,IF(AD172&lt;3,E171&amp;$AE$6,0)))</f>
        <v>0</v>
      </c>
      <c r="AF172" s="218">
        <f>IF(AE172=0,0,E171&amp;COUNTIF($AE$7:AE172,AE172))</f>
        <v>0</v>
      </c>
      <c r="AG172" s="218">
        <f t="shared" ref="AG172" si="1885">IF(E171="",0,IF(AD172=0,0,IF(AD172&gt;=3,E171&amp;$AG$6,0)))</f>
        <v>0</v>
      </c>
      <c r="AH172" s="218">
        <f>IF(AG172=0,0,E171&amp;COUNTIF($AG$7:AG172,AG172))</f>
        <v>0</v>
      </c>
      <c r="AI172" s="218">
        <f t="shared" si="1341"/>
        <v>0</v>
      </c>
      <c r="AJ172" s="218" t="b">
        <f>IF(AI172=0,FALSE,IF(COUNTIF(AI$7:AI172,AI172)&gt;1,TRUE,FALSE))</f>
        <v>0</v>
      </c>
      <c r="AK172" s="218">
        <f t="shared" ref="AK172" si="1886">IF($AD172=AK$6,$E171,0)</f>
        <v>0</v>
      </c>
      <c r="AL172" s="218" t="b">
        <f>IF(AK172=0,FALSE,IF(COUNTIF(AK$7:AK172,AK172)&gt;1,TRUE,FALSE))</f>
        <v>0</v>
      </c>
      <c r="AM172" s="218">
        <f t="shared" ref="AM172" si="1887">IF($AD172=AM$6,$E171,0)</f>
        <v>0</v>
      </c>
      <c r="AN172" s="218" t="b">
        <f>IF(AM172=0,FALSE,IF(COUNTIF(AM$7:AM172,AM172)&gt;1,TRUE,FALSE))</f>
        <v>0</v>
      </c>
      <c r="AO172" s="218">
        <f t="shared" ref="AO172" si="1888">IF($AD172=AO$6,$E171,0)</f>
        <v>0</v>
      </c>
      <c r="AP172" s="218" t="b">
        <f>IF(AO172=0,FALSE,IF(COUNTIF(AO$7:AO172,AO172)&gt;1,TRUE,FALSE))</f>
        <v>0</v>
      </c>
      <c r="AQ172" s="218">
        <f t="shared" ref="AQ172" si="1889">IF(COUNTIF(Y172,"*十種競技*")&gt;0,E171,0)</f>
        <v>0</v>
      </c>
      <c r="AR172" s="218" t="b">
        <f>IF(AQ172=0,FALSE,IF(OR(COUNTIF($AI$7:$AI$406,AQ172)+COUNTIF($AQ172:$AQ$406,AQ172)&gt;1,COUNTIF($AK$7:$AK$406,AQ172)+COUNTIF($AQ$7:$AQ$406,AQ172)&gt;1),TRUE,FALSE))</f>
        <v>0</v>
      </c>
      <c r="AT172" s="218" t="b">
        <f t="shared" si="1486"/>
        <v>0</v>
      </c>
      <c r="AU172" s="274"/>
      <c r="AX172" s="274"/>
      <c r="BD172" s="218" t="b">
        <f t="shared" si="1474"/>
        <v>0</v>
      </c>
      <c r="BF172" s="231" t="b">
        <f t="shared" ref="BF172" si="1890">IF(J172="",FALSE,IF(OR(AND(AU171,L172=""),AND(AU171,L172="",OR(M172&lt;&gt;"",N172&lt;&gt;"",O172&lt;&gt;"",P172&lt;&gt;""))),TRUE,FALSE))</f>
        <v>0</v>
      </c>
      <c r="BG172" s="218" t="b">
        <f t="shared" si="1476"/>
        <v>0</v>
      </c>
      <c r="BH172" s="218" t="b">
        <f t="shared" si="1488"/>
        <v>0</v>
      </c>
      <c r="BI172" s="231" t="b">
        <f t="shared" ref="BI172" si="1891">IF(J172="",FALSE,IF(L172=0,FALSE,IF(AND(AU171,NOT(BF172),OR(M172="",N172="",O172="")),TRUE,FALSE)))</f>
        <v>0</v>
      </c>
      <c r="BJ172" s="240" t="b">
        <f t="shared" si="1490"/>
        <v>0</v>
      </c>
      <c r="BK172" s="231" t="b">
        <f>IF(NOT(BJ172),FALSE,IF(AND(競技会設定!$C$5&lt;=BJ172,BJ172&lt;=競技会設定!$C$6),FALSE,TRUE))</f>
        <v>0</v>
      </c>
      <c r="BL172" s="218" t="b">
        <f>IF(J172="",FALSE,IF(L172=0,FALSE,IF(AND(AU171,NOT(BF172),NOT(BI172),P172=""),TRUE,FALSE)))</f>
        <v>0</v>
      </c>
      <c r="BO172" s="274"/>
    </row>
    <row r="173" spans="1:67" ht="17.399999999999999" customHeight="1">
      <c r="A173" s="421"/>
      <c r="B173" s="374"/>
      <c r="C173" s="376"/>
      <c r="D173" s="140"/>
      <c r="E173" s="379" t="str">
        <f>IF(C171="","",VLOOKUP(D171,男子登録!$A$2:$O$2001,14,0)&amp;" ("&amp;VLOOKUP(D171,男子登録!$A$2:$O$2001,15,0)&amp;")")</f>
        <v/>
      </c>
      <c r="F173" s="380"/>
      <c r="G173" s="140" t="str">
        <f>IF(C171="","",(VLOOKUP(D171,男子登録!$A$2:$N$2001,9,0)))</f>
        <v/>
      </c>
      <c r="H173" s="140"/>
      <c r="I173" s="140" t="s">
        <v>7063</v>
      </c>
      <c r="J173" s="153"/>
      <c r="K173" s="140" t="s">
        <v>7064</v>
      </c>
      <c r="L173" s="153"/>
      <c r="M173" s="264"/>
      <c r="N173" s="265"/>
      <c r="O173" s="266"/>
      <c r="P173" s="152"/>
      <c r="Q173" s="382"/>
      <c r="R173" s="385"/>
      <c r="S173" s="136"/>
      <c r="T173" s="137"/>
      <c r="U173" s="137"/>
      <c r="V173" s="137"/>
      <c r="W173" s="137"/>
      <c r="X173" s="137"/>
      <c r="Y173" s="218">
        <f t="shared" ref="Y173" si="1892">IF(OR(E171="",J173=""),0,J173&amp;E171)</f>
        <v>0</v>
      </c>
      <c r="Z173" s="218">
        <f>IF(Y173=0,0,COUNTIF($Y$7:Y173,Y173))</f>
        <v>0</v>
      </c>
      <c r="AD173" s="218">
        <f>IFERROR(VLOOKUP(J173,競技会設定!$P$2:$S$22,2,0),0)</f>
        <v>0</v>
      </c>
      <c r="AE173" s="218">
        <f t="shared" ref="AE173" si="1893">IF(E171="",0,IF(AD173=0,0,IF(AD173&lt;3,E171&amp;$AE$6,0)))</f>
        <v>0</v>
      </c>
      <c r="AF173" s="218">
        <f>IF(AE173=0,0,E171&amp;COUNTIF($AE$7:AE173,AE173))</f>
        <v>0</v>
      </c>
      <c r="AG173" s="218">
        <f t="shared" ref="AG173" si="1894">IF(E171="",0,IF(AD173=0,0,IF(AD173&gt;=3,E171&amp;$AG$6,0)))</f>
        <v>0</v>
      </c>
      <c r="AH173" s="218">
        <f>IF(AG173=0,0,E171&amp;COUNTIF($AG$7:AG173,AG173))</f>
        <v>0</v>
      </c>
      <c r="AI173" s="218">
        <f t="shared" si="1351"/>
        <v>0</v>
      </c>
      <c r="AJ173" s="218" t="b">
        <f>IF(AI173=0,FALSE,IF(COUNTIF(AI$7:AI173,AI173)&gt;1,TRUE,FALSE))</f>
        <v>0</v>
      </c>
      <c r="AK173" s="218">
        <f t="shared" ref="AK173" si="1895">IF($AD173=AK$6,$E171,0)</f>
        <v>0</v>
      </c>
      <c r="AL173" s="218" t="b">
        <f>IF(AK173=0,FALSE,IF(COUNTIF(AK$7:AK173,AK173)&gt;1,TRUE,FALSE))</f>
        <v>0</v>
      </c>
      <c r="AM173" s="218">
        <f t="shared" ref="AM173" si="1896">IF($AD173=AM$6,$E171,0)</f>
        <v>0</v>
      </c>
      <c r="AN173" s="218" t="b">
        <f>IF(AM173=0,FALSE,IF(COUNTIF(AM$7:AM173,AM173)&gt;1,TRUE,FALSE))</f>
        <v>0</v>
      </c>
      <c r="AO173" s="218">
        <f t="shared" ref="AO173" si="1897">IF($AD173=AO$6,$E171,0)</f>
        <v>0</v>
      </c>
      <c r="AP173" s="218" t="b">
        <f>IF(AO173=0,FALSE,IF(COUNTIF(AO$7:AO173,AO173)&gt;1,TRUE,FALSE))</f>
        <v>0</v>
      </c>
      <c r="AQ173" s="218">
        <f t="shared" ref="AQ173" si="1898">IF(COUNTIF(Y173,"*十種競技*")&gt;0,E171,0)</f>
        <v>0</v>
      </c>
      <c r="AR173" s="218" t="b">
        <f>IF(AQ173=0,FALSE,IF(OR(COUNTIF($AI$7:$AI$406,AQ173)+COUNTIF($AQ173:$AQ$406,AQ173)&gt;1,COUNTIF($AK$7:$AK$406,AQ173)+COUNTIF($AQ$7:$AQ$406,AQ173)&gt;1),TRUE,FALSE))</f>
        <v>0</v>
      </c>
      <c r="AT173" s="218" t="b">
        <f t="shared" si="1486"/>
        <v>0</v>
      </c>
      <c r="AU173" s="274"/>
      <c r="AX173" s="274"/>
      <c r="BD173" s="218" t="b">
        <f t="shared" si="1474"/>
        <v>0</v>
      </c>
      <c r="BF173" s="231" t="b">
        <f t="shared" ref="BF173" si="1899">IF(J173="",FALSE,IF(OR(AND(AU171,L173=""),AND(AU171,L173="",OR(M173&lt;&gt;"",N173&lt;&gt;"",O173&lt;&gt;"",P173&lt;&gt;""))),TRUE,FALSE))</f>
        <v>0</v>
      </c>
      <c r="BG173" s="218" t="b">
        <f t="shared" si="1476"/>
        <v>0</v>
      </c>
      <c r="BH173" s="218" t="b">
        <f t="shared" si="1488"/>
        <v>0</v>
      </c>
      <c r="BI173" s="231" t="b">
        <f t="shared" ref="BI173" si="1900">IF(J173="",FALSE,IF(L173=0,FALSE,IF(AND(AU171,NOT(BF173),OR(M173="",N173="",O173="")),TRUE,FALSE)))</f>
        <v>0</v>
      </c>
      <c r="BJ173" s="240" t="b">
        <f t="shared" si="1490"/>
        <v>0</v>
      </c>
      <c r="BK173" s="231" t="b">
        <f>IF(NOT(BJ173),FALSE,IF(AND(競技会設定!$C$5&lt;=BJ173,BJ173&lt;=競技会設定!$C$6),FALSE,TRUE))</f>
        <v>0</v>
      </c>
      <c r="BL173" s="218" t="b">
        <f>IF(J173="",FALSE,IF(L173=0,FALSE,IF(AND(AU171,NOT(BF173),NOT(BI173),P173=""),TRUE,FALSE)))</f>
        <v>0</v>
      </c>
      <c r="BO173" s="274"/>
    </row>
    <row r="174" spans="1:67" ht="18" customHeight="1" thickBot="1">
      <c r="A174" s="422"/>
      <c r="B174" s="387" t="s">
        <v>7051</v>
      </c>
      <c r="C174" s="387"/>
      <c r="D174" s="213"/>
      <c r="E174" s="388"/>
      <c r="F174" s="389"/>
      <c r="G174" s="390"/>
      <c r="H174" s="141"/>
      <c r="I174" s="213" t="s">
        <v>7065</v>
      </c>
      <c r="J174" s="154"/>
      <c r="K174" s="213" t="s">
        <v>7066</v>
      </c>
      <c r="L174" s="154"/>
      <c r="M174" s="267"/>
      <c r="N174" s="268"/>
      <c r="O174" s="269"/>
      <c r="P174" s="154"/>
      <c r="Q174" s="383"/>
      <c r="R174" s="386"/>
      <c r="S174" s="136"/>
      <c r="T174" s="137"/>
      <c r="U174" s="137"/>
      <c r="V174" s="137"/>
      <c r="W174" s="137"/>
      <c r="X174" s="137"/>
      <c r="Y174" s="218">
        <f t="shared" ref="Y174" si="1901">IF(OR(E171="",J174=""),0,J174&amp;E171)</f>
        <v>0</v>
      </c>
      <c r="Z174" s="218">
        <f>IF(Y174=0,0,COUNTIF($Y$7:Y174,Y174))</f>
        <v>0</v>
      </c>
      <c r="AD174" s="218">
        <f>IFERROR(VLOOKUP(J174,競技会設定!$P$2:$S$22,2,0),0)</f>
        <v>0</v>
      </c>
      <c r="AE174" s="218">
        <f t="shared" ref="AE174" si="1902">IF(E171="",0,IF(AD174=0,0,IF(AD174&lt;3,E171&amp;$AE$6,0)))</f>
        <v>0</v>
      </c>
      <c r="AF174" s="218">
        <f>IF(AE174=0,0,E171&amp;COUNTIF($AE$7:AE174,AE174))</f>
        <v>0</v>
      </c>
      <c r="AG174" s="218">
        <f t="shared" ref="AG174" si="1903">IF(E171="",0,IF(AD174=0,0,IF(AD174&gt;=3,E171&amp;$AG$6,0)))</f>
        <v>0</v>
      </c>
      <c r="AH174" s="218">
        <f>IF(AG174=0,0,E171&amp;COUNTIF($AG$7:AG174,AG174))</f>
        <v>0</v>
      </c>
      <c r="AI174" s="218">
        <f t="shared" si="1361"/>
        <v>0</v>
      </c>
      <c r="AJ174" s="218" t="b">
        <f>IF(AI174=0,FALSE,IF(COUNTIF(AI$7:AI174,AI174)&gt;1,TRUE,FALSE))</f>
        <v>0</v>
      </c>
      <c r="AK174" s="218">
        <f t="shared" ref="AK174" si="1904">IF($AD174=AK$6,$E171,0)</f>
        <v>0</v>
      </c>
      <c r="AL174" s="218" t="b">
        <f>IF(AK174=0,FALSE,IF(COUNTIF(AK$7:AK174,AK174)&gt;1,TRUE,FALSE))</f>
        <v>0</v>
      </c>
      <c r="AM174" s="218">
        <f t="shared" ref="AM174" si="1905">IF($AD174=AM$6,$E171,0)</f>
        <v>0</v>
      </c>
      <c r="AN174" s="218" t="b">
        <f>IF(AM174=0,FALSE,IF(COUNTIF(AM$7:AM174,AM174)&gt;1,TRUE,FALSE))</f>
        <v>0</v>
      </c>
      <c r="AO174" s="218">
        <f t="shared" ref="AO174" si="1906">IF($AD174=AO$6,$E171,0)</f>
        <v>0</v>
      </c>
      <c r="AP174" s="218" t="b">
        <f>IF(AO174=0,FALSE,IF(COUNTIF(AO$7:AO174,AO174)&gt;1,TRUE,FALSE))</f>
        <v>0</v>
      </c>
      <c r="AQ174" s="218">
        <f t="shared" ref="AQ174" si="1907">IF(COUNTIF(Y174,"*十種競技*")&gt;0,E171,0)</f>
        <v>0</v>
      </c>
      <c r="AR174" s="218" t="b">
        <f>IF(AQ174=0,FALSE,IF(OR(COUNTIF($AI$7:$AI$406,AQ174)+COUNTIF($AQ174:$AQ$406,AQ174)&gt;1,COUNTIF($AK$7:$AK$406,AQ174)+COUNTIF($AQ$7:$AQ$406,AQ174)&gt;1),TRUE,FALSE))</f>
        <v>0</v>
      </c>
      <c r="AT174" s="218" t="b">
        <f t="shared" si="1486"/>
        <v>0</v>
      </c>
      <c r="AU174" s="274"/>
      <c r="AX174" s="274"/>
      <c r="BD174" s="218" t="b">
        <f t="shared" si="1474"/>
        <v>0</v>
      </c>
      <c r="BF174" s="231" t="b">
        <f t="shared" ref="BF174" si="1908">IF(J174="",FALSE,IF(OR(AND(AU171,L174=""),AND(AU171,L174="",OR(M174&lt;&gt;"",N174&lt;&gt;"",O174&lt;&gt;"",P174&lt;&gt;""))),TRUE,FALSE))</f>
        <v>0</v>
      </c>
      <c r="BG174" s="218" t="b">
        <f t="shared" si="1476"/>
        <v>0</v>
      </c>
      <c r="BH174" s="218" t="b">
        <f t="shared" si="1488"/>
        <v>0</v>
      </c>
      <c r="BI174" s="231" t="b">
        <f t="shared" ref="BI174" si="1909">IF(J174="",FALSE,IF(L174=0,FALSE,IF(AND(AU171,NOT(BF174),OR(M174="",N174="",O174="")),TRUE,FALSE)))</f>
        <v>0</v>
      </c>
      <c r="BJ174" s="240" t="b">
        <f t="shared" si="1490"/>
        <v>0</v>
      </c>
      <c r="BK174" s="231" t="b">
        <f>IF(NOT(BJ174),FALSE,IF(AND(競技会設定!$C$5&lt;=BJ174,BJ174&lt;=競技会設定!$C$6),FALSE,TRUE))</f>
        <v>0</v>
      </c>
      <c r="BL174" s="218" t="b">
        <f>IF(J174="",FALSE,IF(L174=0,FALSE,IF(AND(AU171,NOT(BF174),NOT(BI174),P174=""),TRUE,FALSE)))</f>
        <v>0</v>
      </c>
      <c r="BO174" s="274"/>
    </row>
    <row r="175" spans="1:67" ht="18" customHeight="1" thickTop="1">
      <c r="A175" s="417">
        <v>43</v>
      </c>
      <c r="B175" s="401" t="s">
        <v>7050</v>
      </c>
      <c r="C175" s="403"/>
      <c r="D175" s="220" t="str">
        <f t="shared" ref="D175" si="1910">IF(C175="","",501&amp;TEXT(C175,"000000"))</f>
        <v/>
      </c>
      <c r="E175" s="396" t="str">
        <f>IF(D175="","",(VLOOKUP(D175,男子登録!$A$2:$N$2001,3,0)))</f>
        <v/>
      </c>
      <c r="F175" s="396" t="str">
        <f>IF(D175="","",(VLOOKUP(D175,男子登録!$A$2:$N$2001,4,0)))</f>
        <v/>
      </c>
      <c r="G175" s="220" t="str">
        <f>IF(C175="","",(VLOOKUP(D175,男子登録!$A$2:$N$2001,8,0)))</f>
        <v/>
      </c>
      <c r="H175" s="220">
        <f>IFERROR(VLOOKUP(D175,男子登録!$A$2:$N$2001,11,0),基本情報!$E$5)</f>
        <v>0</v>
      </c>
      <c r="I175" s="220" t="s">
        <v>7059</v>
      </c>
      <c r="J175" s="148"/>
      <c r="K175" s="220" t="s">
        <v>7060</v>
      </c>
      <c r="L175" s="148"/>
      <c r="M175" s="252"/>
      <c r="N175" s="253"/>
      <c r="O175" s="254"/>
      <c r="P175" s="148"/>
      <c r="Q175" s="398"/>
      <c r="R175" s="391"/>
      <c r="S175" s="136">
        <f t="shared" ref="S175" si="1911">IF(OR(E175="",Q175=""),0,E175)</f>
        <v>0</v>
      </c>
      <c r="T175" s="137">
        <f>IF(S175=0,0,COUNTIF($S$7:S175,"*"))</f>
        <v>0</v>
      </c>
      <c r="U175" s="137">
        <f>IF(S175=0,0,COUNTIF($S$7:S175,S175))</f>
        <v>0</v>
      </c>
      <c r="V175" s="137">
        <f t="shared" si="1691"/>
        <v>0</v>
      </c>
      <c r="W175" s="137">
        <f>IF(V175=0,0,COUNTIF($V$7:V175,"*"))</f>
        <v>0</v>
      </c>
      <c r="X175" s="137">
        <f>IF(V175=0,0,COUNTIF($V$7:V175,V175))</f>
        <v>0</v>
      </c>
      <c r="Y175" s="218">
        <f t="shared" ref="Y175" si="1912">IF(OR(E175="",J175=""),0,J175&amp;E175)</f>
        <v>0</v>
      </c>
      <c r="Z175" s="218">
        <f>IF(Y175=0,0,COUNTIF($Y$7:Y175,Y175))</f>
        <v>0</v>
      </c>
      <c r="AA175" s="218" t="b">
        <f t="shared" ref="AA175" si="1913">IF(COUNTIF(J175:J178,"十種競技")&gt;0,TRUE,FALSE)</f>
        <v>0</v>
      </c>
      <c r="AB175" s="218">
        <f>IF(E175="",0,IF(AA175,COUNTIF($AA$7:AA175,TRUE),0))</f>
        <v>0</v>
      </c>
      <c r="AC175" s="218">
        <f>IFERROR(VLOOKUP("十種競技",J175:L178,3,0),0)</f>
        <v>0</v>
      </c>
      <c r="AD175" s="218">
        <f>IFERROR(VLOOKUP(J175,競技会設定!$P$2:$S$22,2,0),0)</f>
        <v>0</v>
      </c>
      <c r="AE175" s="218">
        <f t="shared" ref="AE175" si="1914">IF(E175="",0,IF(AD175=0,0,IF(AD175&lt;3,E175&amp;$AE$6,0)))</f>
        <v>0</v>
      </c>
      <c r="AF175" s="218">
        <f>IF(AE175=0,0,E175&amp;COUNTIF($AE$7:AE175,AE175))</f>
        <v>0</v>
      </c>
      <c r="AG175" s="218">
        <f t="shared" ref="AG175" si="1915">IF(E175="",0,IF(AD175=0,0,IF(AD175&gt;=3,E175&amp;$AG$6,0)))</f>
        <v>0</v>
      </c>
      <c r="AH175" s="218">
        <f>IF(AG175=0,0,E175&amp;COUNTIF($AG$7:AG175,AG175))</f>
        <v>0</v>
      </c>
      <c r="AI175" s="218">
        <f t="shared" ref="AI175" si="1916">IF(COUNTIF(Y175,"*十種*")&gt;0,0,IF($AD175=AI$6,$E175,0))</f>
        <v>0</v>
      </c>
      <c r="AJ175" s="218" t="b">
        <f>IF(AI175=0,FALSE,IF(COUNTIF(AI$7:AI175,AI175)&gt;1,TRUE,FALSE))</f>
        <v>0</v>
      </c>
      <c r="AK175" s="218">
        <f t="shared" ref="AK175" si="1917">IF($AD175=AK$6,$E175,0)</f>
        <v>0</v>
      </c>
      <c r="AL175" s="218" t="b">
        <f>IF(AK175=0,FALSE,IF(COUNTIF(AK$7:AK175,AK175)&gt;1,TRUE,FALSE))</f>
        <v>0</v>
      </c>
      <c r="AM175" s="218">
        <f t="shared" ref="AM175" si="1918">IF($AD175=AM$6,$E175,0)</f>
        <v>0</v>
      </c>
      <c r="AN175" s="218" t="b">
        <f>IF(AM175=0,FALSE,IF(COUNTIF(AM$7:AM175,AM175)&gt;1,TRUE,FALSE))</f>
        <v>0</v>
      </c>
      <c r="AO175" s="218">
        <f t="shared" ref="AO175" si="1919">IF($AD175=AO$6,$E175,0)</f>
        <v>0</v>
      </c>
      <c r="AP175" s="218" t="b">
        <f>IF(AO175=0,FALSE,IF(COUNTIF(AO$7:AO175,AO175)&gt;1,TRUE,FALSE))</f>
        <v>0</v>
      </c>
      <c r="AQ175" s="218">
        <f t="shared" ref="AQ175" si="1920">IF(COUNTIF(Y175,"*十種競技*")&gt;0,E175,0)</f>
        <v>0</v>
      </c>
      <c r="AR175" s="218" t="b">
        <f>IF(AQ175=0,FALSE,IF(OR(COUNTIF($AI$7:$AI$406,AQ175)+COUNTIF($AQ175:$AQ$406,AQ175)&gt;1,COUNTIF($AK$7:$AK$406,AQ175)+COUNTIF($AQ$7:$AQ$406,AQ175)&gt;1),TRUE,FALSE))</f>
        <v>0</v>
      </c>
      <c r="AS175" s="218" t="b">
        <f t="shared" ref="AS175" si="1921">IF(AND(C175="",E175&lt;&gt;"",F175&lt;&gt;"",E177&lt;&gt;"",G175&lt;&gt;"",G176&lt;&gt;"",G177&lt;&gt;""),TRUE,FALSE)</f>
        <v>0</v>
      </c>
      <c r="AT175" s="218" t="b">
        <f t="shared" si="1486"/>
        <v>0</v>
      </c>
      <c r="AU175" s="274" t="b">
        <f t="shared" ref="AU175" si="1922">IFERROR(IF(D175&amp;E175&amp;F175&amp;E177&amp;G175&amp;G176&amp;G177&amp;J175&amp;J176&amp;J177&amp;J178&amp;L175&amp;L176&amp;L177&amp;L178&amp;M175&amp;M176&amp;M177&amp;M178&amp;N175&amp;N176&amp;N177&amp;N178&amp;O175&amp;O176&amp;O177&amp;O178&amp;P175&amp;P176&amp;P177&amp;P178&amp;Q175&amp;R175="",FALSE,TRUE),FALSE)</f>
        <v>0</v>
      </c>
      <c r="AV175" s="218" t="b">
        <f t="shared" ref="AV175" si="1923">IF(AS175,FALSE,IF(C175="",AU175,FALSE))</f>
        <v>0</v>
      </c>
      <c r="AW175" s="218" t="b">
        <f>IF(C175="",FALSE,IF(C175&gt;2000,TRUE,FALSE))</f>
        <v>0</v>
      </c>
      <c r="AX175" s="274" t="b">
        <f>IF(H175=0,FALSE,IF(EXACT(基本情報!$E$5,H175)=TRUE,FALSE,TRUE))</f>
        <v>0</v>
      </c>
      <c r="AY175" s="218" t="b">
        <f>IF(C175="",FALSE,IF(ISNA(E175)=TRUE,TRUE,FALSE))</f>
        <v>0</v>
      </c>
      <c r="AZ175" s="274" t="b">
        <f>IFERROR(IF(E175="",FALSE,IF(COUNTIF($E$7:E175,E175)&gt;1,TRUE,FALSE)),FALSE)</f>
        <v>0</v>
      </c>
      <c r="BA175" s="218" t="b">
        <f t="shared" ref="BA175" si="1924">IF(OR(J175&amp;J176&amp;J177&amp;J178&amp;Q175&amp;R175="",AT175,AT176,AT177,AT178),AU175,FALSE)</f>
        <v>0</v>
      </c>
      <c r="BB175" s="218" t="b">
        <f>IF(U175&gt;1,TRUE,FALSE)</f>
        <v>0</v>
      </c>
      <c r="BC175" s="218" t="b">
        <f>IF(X175&gt;1,TRUE,FALSE)</f>
        <v>0</v>
      </c>
      <c r="BD175" s="218" t="b">
        <f t="shared" si="1474"/>
        <v>0</v>
      </c>
      <c r="BF175" s="231" t="b">
        <f t="shared" ref="BF175" si="1925">IF(J175="",FALSE,IF(OR(AND(AU175,L175=""),AND(AU175,L175="",OR(M175&lt;&gt;"",N175&lt;&gt;"",O175&lt;&gt;"",P175&lt;&gt;""))),TRUE,FALSE))</f>
        <v>0</v>
      </c>
      <c r="BG175" s="218" t="b">
        <f t="shared" si="1476"/>
        <v>0</v>
      </c>
      <c r="BH175" s="218" t="b">
        <f t="shared" si="1488"/>
        <v>0</v>
      </c>
      <c r="BI175" s="231" t="b">
        <f t="shared" ref="BI175" si="1926">IF(J175="",FALSE,IF(L175=0,FALSE,IF(AND(AU175,NOT(BF175),OR(M175="",N175="",O175="")),TRUE,FALSE)))</f>
        <v>0</v>
      </c>
      <c r="BJ175" s="240" t="b">
        <f t="shared" si="1490"/>
        <v>0</v>
      </c>
      <c r="BK175" s="231" t="b">
        <f>IF(NOT(BJ175),FALSE,IF(AND(競技会設定!$C$5&lt;=BJ175,BJ175&lt;=競技会設定!$C$6),FALSE,TRUE))</f>
        <v>0</v>
      </c>
      <c r="BL175" s="218" t="b">
        <f>IF(J175="",FALSE,IF(L175=0,FALSE,IF(AND(AU175,NOT(BF175),NOT(BI175),P175=""),TRUE,FALSE)))</f>
        <v>0</v>
      </c>
      <c r="BO175" s="274">
        <f t="shared" ref="BO175" si="1927">IF(AND(AU175,SUM(COUNTIF(AV175:BC175,TRUE),COUNTIF(BF175:BL178,TRUE),COUNTIF(BD175:BD178,TRUE))=0,NOT($BE$7)),1,0)</f>
        <v>0</v>
      </c>
    </row>
    <row r="176" spans="1:67" ht="17.399999999999999" customHeight="1">
      <c r="A176" s="418"/>
      <c r="B176" s="402"/>
      <c r="C176" s="404"/>
      <c r="D176" s="221"/>
      <c r="E176" s="397"/>
      <c r="F176" s="397"/>
      <c r="G176" s="221" t="str">
        <f>IF(C175="","",(VLOOKUP(D175,男子登録!$A$2:$N$2001,13,0)))</f>
        <v/>
      </c>
      <c r="H176" s="221"/>
      <c r="I176" s="221" t="s">
        <v>7061</v>
      </c>
      <c r="J176" s="149"/>
      <c r="K176" s="221" t="s">
        <v>7062</v>
      </c>
      <c r="L176" s="149"/>
      <c r="M176" s="255"/>
      <c r="N176" s="256"/>
      <c r="O176" s="257"/>
      <c r="P176" s="149"/>
      <c r="Q176" s="399"/>
      <c r="R176" s="392"/>
      <c r="S176" s="136"/>
      <c r="T176" s="137"/>
      <c r="U176" s="137"/>
      <c r="V176" s="137"/>
      <c r="W176" s="137"/>
      <c r="X176" s="137"/>
      <c r="Y176" s="218">
        <f t="shared" ref="Y176" si="1928">IF(OR(E175="",J176=""),0,J176&amp;E175)</f>
        <v>0</v>
      </c>
      <c r="Z176" s="218">
        <f>IF(Y176=0,0,COUNTIF($Y$7:Y176,Y176))</f>
        <v>0</v>
      </c>
      <c r="AD176" s="218">
        <f>IFERROR(VLOOKUP(J176,競技会設定!$P$2:$S$22,2,0),0)</f>
        <v>0</v>
      </c>
      <c r="AE176" s="218">
        <f t="shared" ref="AE176" si="1929">IF(E175="",0,IF(AD176=0,0,IF(AD176&lt;3,E175&amp;$AE$6,0)))</f>
        <v>0</v>
      </c>
      <c r="AF176" s="218">
        <f>IF(AE176=0,0,E175&amp;COUNTIF($AE$7:AE176,AE176))</f>
        <v>0</v>
      </c>
      <c r="AG176" s="218">
        <f t="shared" ref="AG176" si="1930">IF(E175="",0,IF(AD176=0,0,IF(AD176&gt;=3,E175&amp;$AG$6,0)))</f>
        <v>0</v>
      </c>
      <c r="AH176" s="218">
        <f>IF(AG176=0,0,E175&amp;COUNTIF($AG$7:AG176,AG176))</f>
        <v>0</v>
      </c>
      <c r="AI176" s="218">
        <f t="shared" ref="AI176" si="1931">IF(COUNTIF(Y176,"*十種*")&gt;0,0,IF($AD176=AI$6,$E175,0))</f>
        <v>0</v>
      </c>
      <c r="AJ176" s="218" t="b">
        <f>IF(AI176=0,FALSE,IF(COUNTIF(AI$7:AI176,AI176)&gt;1,TRUE,FALSE))</f>
        <v>0</v>
      </c>
      <c r="AK176" s="218">
        <f t="shared" ref="AK176" si="1932">IF($AD176=AK$6,$E175,0)</f>
        <v>0</v>
      </c>
      <c r="AL176" s="218" t="b">
        <f>IF(AK176=0,FALSE,IF(COUNTIF(AK$7:AK176,AK176)&gt;1,TRUE,FALSE))</f>
        <v>0</v>
      </c>
      <c r="AM176" s="218">
        <f t="shared" ref="AM176" si="1933">IF($AD176=AM$6,$E175,0)</f>
        <v>0</v>
      </c>
      <c r="AN176" s="218" t="b">
        <f>IF(AM176=0,FALSE,IF(COUNTIF(AM$7:AM176,AM176)&gt;1,TRUE,FALSE))</f>
        <v>0</v>
      </c>
      <c r="AO176" s="218">
        <f t="shared" ref="AO176" si="1934">IF($AD176=AO$6,$E175,0)</f>
        <v>0</v>
      </c>
      <c r="AP176" s="218" t="b">
        <f>IF(AO176=0,FALSE,IF(COUNTIF(AO$7:AO176,AO176)&gt;1,TRUE,FALSE))</f>
        <v>0</v>
      </c>
      <c r="AQ176" s="218">
        <f t="shared" ref="AQ176" si="1935">IF(COUNTIF(Y176,"*十種競技*")&gt;0,E175,0)</f>
        <v>0</v>
      </c>
      <c r="AR176" s="218" t="b">
        <f>IF(AQ176=0,FALSE,IF(OR(COUNTIF($AI$7:$AI$406,AQ176)+COUNTIF($AQ176:$AQ$406,AQ176)&gt;1,COUNTIF($AK$7:$AK$406,AQ176)+COUNTIF($AQ$7:$AQ$406,AQ176)&gt;1),TRUE,FALSE))</f>
        <v>0</v>
      </c>
      <c r="AT176" s="218" t="b">
        <f t="shared" si="1486"/>
        <v>0</v>
      </c>
      <c r="AU176" s="274"/>
      <c r="AX176" s="274"/>
      <c r="BD176" s="218" t="b">
        <f t="shared" si="1474"/>
        <v>0</v>
      </c>
      <c r="BF176" s="231" t="b">
        <f t="shared" ref="BF176" si="1936">IF(J176="",FALSE,IF(OR(AND(AU175,L176=""),AND(AU175,L176="",OR(M176&lt;&gt;"",N176&lt;&gt;"",O176&lt;&gt;"",P176&lt;&gt;""))),TRUE,FALSE))</f>
        <v>0</v>
      </c>
      <c r="BG176" s="218" t="b">
        <f t="shared" si="1476"/>
        <v>0</v>
      </c>
      <c r="BH176" s="218" t="b">
        <f t="shared" si="1488"/>
        <v>0</v>
      </c>
      <c r="BI176" s="231" t="b">
        <f t="shared" ref="BI176" si="1937">IF(J176="",FALSE,IF(L176=0,FALSE,IF(AND(AU175,NOT(BF176),OR(M176="",N176="",O176="")),TRUE,FALSE)))</f>
        <v>0</v>
      </c>
      <c r="BJ176" s="240" t="b">
        <f t="shared" si="1490"/>
        <v>0</v>
      </c>
      <c r="BK176" s="231" t="b">
        <f>IF(NOT(BJ176),FALSE,IF(AND(競技会設定!$C$5&lt;=BJ176,BJ176&lt;=競技会設定!$C$6),FALSE,TRUE))</f>
        <v>0</v>
      </c>
      <c r="BL176" s="218" t="b">
        <f>IF(J176="",FALSE,IF(L176=0,FALSE,IF(AND(AU175,NOT(BF176),NOT(BI176),P176=""),TRUE,FALSE)))</f>
        <v>0</v>
      </c>
      <c r="BO176" s="274"/>
    </row>
    <row r="177" spans="1:67" ht="17.399999999999999" customHeight="1">
      <c r="A177" s="418"/>
      <c r="B177" s="402"/>
      <c r="C177" s="404"/>
      <c r="D177" s="221"/>
      <c r="E177" s="394" t="str">
        <f>IF(C175="","",VLOOKUP(D175,男子登録!$A$2:$O$2001,14,0)&amp;" ("&amp;VLOOKUP(D175,男子登録!$A$2:$O$2001,15,0)&amp;")")</f>
        <v/>
      </c>
      <c r="F177" s="394"/>
      <c r="G177" s="222" t="str">
        <f>IF(C175="","",(VLOOKUP(D175,男子登録!$A$2:$N$2001,9,0)))</f>
        <v/>
      </c>
      <c r="H177" s="222"/>
      <c r="I177" s="222" t="s">
        <v>7063</v>
      </c>
      <c r="J177" s="150"/>
      <c r="K177" s="222" t="s">
        <v>7064</v>
      </c>
      <c r="L177" s="150"/>
      <c r="M177" s="255"/>
      <c r="N177" s="256"/>
      <c r="O177" s="257"/>
      <c r="P177" s="149"/>
      <c r="Q177" s="399"/>
      <c r="R177" s="392"/>
      <c r="S177" s="136"/>
      <c r="T177" s="137"/>
      <c r="U177" s="137"/>
      <c r="V177" s="137"/>
      <c r="W177" s="137"/>
      <c r="X177" s="137"/>
      <c r="Y177" s="218">
        <f t="shared" ref="Y177" si="1938">IF(OR(E175="",J177=""),0,J177&amp;E175)</f>
        <v>0</v>
      </c>
      <c r="Z177" s="218">
        <f>IF(Y177=0,0,COUNTIF($Y$7:Y177,Y177))</f>
        <v>0</v>
      </c>
      <c r="AD177" s="218">
        <f>IFERROR(VLOOKUP(J177,競技会設定!$P$2:$S$22,2,0),0)</f>
        <v>0</v>
      </c>
      <c r="AE177" s="218">
        <f t="shared" ref="AE177" si="1939">IF(E175="",0,IF(AD177=0,0,IF(AD177&lt;3,E175&amp;$AE$6,0)))</f>
        <v>0</v>
      </c>
      <c r="AF177" s="218">
        <f>IF(AE177=0,0,E175&amp;COUNTIF($AE$7:AE177,AE177))</f>
        <v>0</v>
      </c>
      <c r="AG177" s="218">
        <f t="shared" ref="AG177" si="1940">IF(E175="",0,IF(AD177=0,0,IF(AD177&gt;=3,E175&amp;$AG$6,0)))</f>
        <v>0</v>
      </c>
      <c r="AH177" s="218">
        <f>IF(AG177=0,0,E175&amp;COUNTIF($AG$7:AG177,AG177))</f>
        <v>0</v>
      </c>
      <c r="AI177" s="218">
        <f t="shared" ref="AI177" si="1941">IF(COUNTIF(Y177,"*十種*")&gt;0,0,IF($AD177=AI$6,$E175,0))</f>
        <v>0</v>
      </c>
      <c r="AJ177" s="218" t="b">
        <f>IF(AI177=0,FALSE,IF(COUNTIF(AI$7:AI177,AI177)&gt;1,TRUE,FALSE))</f>
        <v>0</v>
      </c>
      <c r="AK177" s="218">
        <f t="shared" ref="AK177" si="1942">IF($AD177=AK$6,$E175,0)</f>
        <v>0</v>
      </c>
      <c r="AL177" s="218" t="b">
        <f>IF(AK177=0,FALSE,IF(COUNTIF(AK$7:AK177,AK177)&gt;1,TRUE,FALSE))</f>
        <v>0</v>
      </c>
      <c r="AM177" s="218">
        <f t="shared" ref="AM177" si="1943">IF($AD177=AM$6,$E175,0)</f>
        <v>0</v>
      </c>
      <c r="AN177" s="218" t="b">
        <f>IF(AM177=0,FALSE,IF(COUNTIF(AM$7:AM177,AM177)&gt;1,TRUE,FALSE))</f>
        <v>0</v>
      </c>
      <c r="AO177" s="218">
        <f t="shared" ref="AO177" si="1944">IF($AD177=AO$6,$E175,0)</f>
        <v>0</v>
      </c>
      <c r="AP177" s="218" t="b">
        <f>IF(AO177=0,FALSE,IF(COUNTIF(AO$7:AO177,AO177)&gt;1,TRUE,FALSE))</f>
        <v>0</v>
      </c>
      <c r="AQ177" s="218">
        <f t="shared" ref="AQ177" si="1945">IF(COUNTIF(Y177,"*十種競技*")&gt;0,E175,0)</f>
        <v>0</v>
      </c>
      <c r="AR177" s="218" t="b">
        <f>IF(AQ177=0,FALSE,IF(OR(COUNTIF($AI$7:$AI$406,AQ177)+COUNTIF($AQ177:$AQ$406,AQ177)&gt;1,COUNTIF($AK$7:$AK$406,AQ177)+COUNTIF($AQ$7:$AQ$406,AQ177)&gt;1),TRUE,FALSE))</f>
        <v>0</v>
      </c>
      <c r="AT177" s="218" t="b">
        <f t="shared" si="1486"/>
        <v>0</v>
      </c>
      <c r="AU177" s="274"/>
      <c r="AX177" s="274"/>
      <c r="BD177" s="218" t="b">
        <f t="shared" si="1474"/>
        <v>0</v>
      </c>
      <c r="BF177" s="231" t="b">
        <f t="shared" ref="BF177" si="1946">IF(J177="",FALSE,IF(OR(AND(AU175,L177=""),AND(AU175,L177="",OR(M177&lt;&gt;"",N177&lt;&gt;"",O177&lt;&gt;"",P177&lt;&gt;""))),TRUE,FALSE))</f>
        <v>0</v>
      </c>
      <c r="BG177" s="218" t="b">
        <f t="shared" si="1476"/>
        <v>0</v>
      </c>
      <c r="BH177" s="218" t="b">
        <f t="shared" si="1488"/>
        <v>0</v>
      </c>
      <c r="BI177" s="231" t="b">
        <f t="shared" ref="BI177" si="1947">IF(J177="",FALSE,IF(L177=0,FALSE,IF(AND(AU175,NOT(BF177),OR(M177="",N177="",O177="")),TRUE,FALSE)))</f>
        <v>0</v>
      </c>
      <c r="BJ177" s="240" t="b">
        <f t="shared" si="1490"/>
        <v>0</v>
      </c>
      <c r="BK177" s="231" t="b">
        <f>IF(NOT(BJ177),FALSE,IF(AND(競技会設定!$C$5&lt;=BJ177,BJ177&lt;=競技会設定!$C$6),FALSE,TRUE))</f>
        <v>0</v>
      </c>
      <c r="BL177" s="218" t="b">
        <f>IF(J177="",FALSE,IF(L177=0,FALSE,IF(AND(AU175,NOT(BF177),NOT(BI177),P177=""),TRUE,FALSE)))</f>
        <v>0</v>
      </c>
      <c r="BO177" s="274"/>
    </row>
    <row r="178" spans="1:67" ht="18" customHeight="1" thickBot="1">
      <c r="A178" s="419"/>
      <c r="B178" s="395" t="s">
        <v>7051</v>
      </c>
      <c r="C178" s="395"/>
      <c r="D178" s="221"/>
      <c r="E178" s="372"/>
      <c r="F178" s="372"/>
      <c r="G178" s="372"/>
      <c r="H178" s="214"/>
      <c r="I178" s="214" t="s">
        <v>7065</v>
      </c>
      <c r="J178" s="219"/>
      <c r="K178" s="214" t="s">
        <v>7066</v>
      </c>
      <c r="L178" s="219"/>
      <c r="M178" s="258"/>
      <c r="N178" s="259"/>
      <c r="O178" s="260"/>
      <c r="P178" s="219"/>
      <c r="Q178" s="400"/>
      <c r="R178" s="393"/>
      <c r="S178" s="136"/>
      <c r="T178" s="137"/>
      <c r="U178" s="137"/>
      <c r="V178" s="137"/>
      <c r="W178" s="137"/>
      <c r="X178" s="137"/>
      <c r="Y178" s="218">
        <f t="shared" ref="Y178" si="1948">IF(OR(E175="",J178=""),0,J178&amp;E175)</f>
        <v>0</v>
      </c>
      <c r="Z178" s="218">
        <f>IF(Y178=0,0,COUNTIF($Y$7:Y178,Y178))</f>
        <v>0</v>
      </c>
      <c r="AD178" s="218">
        <f>IFERROR(VLOOKUP(J178,競技会設定!$P$2:$S$22,2,0),0)</f>
        <v>0</v>
      </c>
      <c r="AE178" s="218">
        <f t="shared" ref="AE178" si="1949">IF(E175="",0,IF(AD178=0,0,IF(AD178&lt;3,E175&amp;$AE$6,0)))</f>
        <v>0</v>
      </c>
      <c r="AF178" s="218">
        <f>IF(AE178=0,0,E175&amp;COUNTIF($AE$7:AE178,AE178))</f>
        <v>0</v>
      </c>
      <c r="AG178" s="218">
        <f t="shared" ref="AG178" si="1950">IF(E175="",0,IF(AD178=0,0,IF(AD178&gt;=3,E175&amp;$AG$6,0)))</f>
        <v>0</v>
      </c>
      <c r="AH178" s="218">
        <f>IF(AG178=0,0,E175&amp;COUNTIF($AG$7:AG178,AG178))</f>
        <v>0</v>
      </c>
      <c r="AI178" s="218">
        <f t="shared" ref="AI178" si="1951">IF(COUNTIF(Y178,"*十種*")&gt;0,0,IF($AD178=AI$6,$E175,0))</f>
        <v>0</v>
      </c>
      <c r="AJ178" s="218" t="b">
        <f>IF(AI178=0,FALSE,IF(COUNTIF(AI$7:AI178,AI178)&gt;1,TRUE,FALSE))</f>
        <v>0</v>
      </c>
      <c r="AK178" s="218">
        <f t="shared" ref="AK178" si="1952">IF($AD178=AK$6,$E175,0)</f>
        <v>0</v>
      </c>
      <c r="AL178" s="218" t="b">
        <f>IF(AK178=0,FALSE,IF(COUNTIF(AK$7:AK178,AK178)&gt;1,TRUE,FALSE))</f>
        <v>0</v>
      </c>
      <c r="AM178" s="218">
        <f t="shared" ref="AM178" si="1953">IF($AD178=AM$6,$E175,0)</f>
        <v>0</v>
      </c>
      <c r="AN178" s="218" t="b">
        <f>IF(AM178=0,FALSE,IF(COUNTIF(AM$7:AM178,AM178)&gt;1,TRUE,FALSE))</f>
        <v>0</v>
      </c>
      <c r="AO178" s="218">
        <f t="shared" ref="AO178" si="1954">IF($AD178=AO$6,$E175,0)</f>
        <v>0</v>
      </c>
      <c r="AP178" s="218" t="b">
        <f>IF(AO178=0,FALSE,IF(COUNTIF(AO$7:AO178,AO178)&gt;1,TRUE,FALSE))</f>
        <v>0</v>
      </c>
      <c r="AQ178" s="218">
        <f t="shared" ref="AQ178" si="1955">IF(COUNTIF(Y178,"*十種競技*")&gt;0,E175,0)</f>
        <v>0</v>
      </c>
      <c r="AR178" s="218" t="b">
        <f>IF(AQ178=0,FALSE,IF(OR(COUNTIF($AI$7:$AI$406,AQ178)+COUNTIF($AQ178:$AQ$406,AQ178)&gt;1,COUNTIF($AK$7:$AK$406,AQ178)+COUNTIF($AQ$7:$AQ$406,AQ178)&gt;1),TRUE,FALSE))</f>
        <v>0</v>
      </c>
      <c r="AT178" s="218" t="b">
        <f t="shared" si="1486"/>
        <v>0</v>
      </c>
      <c r="AU178" s="274"/>
      <c r="AX178" s="274"/>
      <c r="BD178" s="218" t="b">
        <f t="shared" si="1474"/>
        <v>0</v>
      </c>
      <c r="BF178" s="231" t="b">
        <f t="shared" ref="BF178" si="1956">IF(J178="",FALSE,IF(OR(AND(AU175,L178=""),AND(AU175,L178="",OR(M178&lt;&gt;"",N178&lt;&gt;"",O178&lt;&gt;"",P178&lt;&gt;""))),TRUE,FALSE))</f>
        <v>0</v>
      </c>
      <c r="BG178" s="218" t="b">
        <f t="shared" si="1476"/>
        <v>0</v>
      </c>
      <c r="BH178" s="218" t="b">
        <f t="shared" si="1488"/>
        <v>0</v>
      </c>
      <c r="BI178" s="231" t="b">
        <f t="shared" ref="BI178" si="1957">IF(J178="",FALSE,IF(L178=0,FALSE,IF(AND(AU175,NOT(BF178),OR(M178="",N178="",O178="")),TRUE,FALSE)))</f>
        <v>0</v>
      </c>
      <c r="BJ178" s="240" t="b">
        <f t="shared" si="1490"/>
        <v>0</v>
      </c>
      <c r="BK178" s="231" t="b">
        <f>IF(NOT(BJ178),FALSE,IF(AND(競技会設定!$C$5&lt;=BJ178,BJ178&lt;=競技会設定!$C$6),FALSE,TRUE))</f>
        <v>0</v>
      </c>
      <c r="BL178" s="218" t="b">
        <f>IF(J178="",FALSE,IF(L178=0,FALSE,IF(AND(AU175,NOT(BF178),NOT(BI178),P178=""),TRUE,FALSE)))</f>
        <v>0</v>
      </c>
      <c r="BO178" s="274"/>
    </row>
    <row r="179" spans="1:67" ht="18" customHeight="1" thickTop="1">
      <c r="A179" s="420">
        <v>44</v>
      </c>
      <c r="B179" s="373" t="s">
        <v>7050</v>
      </c>
      <c r="C179" s="375"/>
      <c r="D179" s="138" t="str">
        <f t="shared" ref="D179" si="1958">IF(C179="","",501&amp;TEXT(C179,"000000"))</f>
        <v/>
      </c>
      <c r="E179" s="377" t="str">
        <f>IF(D179="","",(VLOOKUP(D179,男子登録!$A$2:$N$2001,3,0)))</f>
        <v/>
      </c>
      <c r="F179" s="377" t="str">
        <f>IF(D179="","",(VLOOKUP(D179,男子登録!$A$2:$N$2001,4,0)))</f>
        <v/>
      </c>
      <c r="G179" s="138" t="str">
        <f>IF(C179="","",(VLOOKUP(D179,男子登録!$A$2:$N$2001,8,0)))</f>
        <v/>
      </c>
      <c r="H179" s="138">
        <f>IFERROR(VLOOKUP(D179,男子登録!$A$2:$N$2001,11,0),基本情報!$E$5)</f>
        <v>0</v>
      </c>
      <c r="I179" s="138" t="s">
        <v>7059</v>
      </c>
      <c r="J179" s="151"/>
      <c r="K179" s="138" t="s">
        <v>7060</v>
      </c>
      <c r="L179" s="151"/>
      <c r="M179" s="261"/>
      <c r="N179" s="262"/>
      <c r="O179" s="263"/>
      <c r="P179" s="151"/>
      <c r="Q179" s="381"/>
      <c r="R179" s="384"/>
      <c r="S179" s="136">
        <f t="shared" ref="S179" si="1959">IF(OR(E179="",Q179=""),0,E179)</f>
        <v>0</v>
      </c>
      <c r="T179" s="137">
        <f>IF(S179=0,0,COUNTIF($S$7:S179,"*"))</f>
        <v>0</v>
      </c>
      <c r="U179" s="137">
        <f>IF(S179=0,0,COUNTIF($S$7:S179,S179))</f>
        <v>0</v>
      </c>
      <c r="V179" s="137">
        <f t="shared" si="1691"/>
        <v>0</v>
      </c>
      <c r="W179" s="137">
        <f>IF(V179=0,0,COUNTIF($V$7:V179,"*"))</f>
        <v>0</v>
      </c>
      <c r="X179" s="137">
        <f>IF(V179=0,0,COUNTIF($V$7:V179,V179))</f>
        <v>0</v>
      </c>
      <c r="Y179" s="218">
        <f t="shared" ref="Y179" si="1960">IF(OR(E179="",J179=""),0,J179&amp;E179)</f>
        <v>0</v>
      </c>
      <c r="Z179" s="218">
        <f>IF(Y179=0,0,COUNTIF($Y$7:Y179,Y179))</f>
        <v>0</v>
      </c>
      <c r="AA179" s="218" t="b">
        <f t="shared" ref="AA179" si="1961">IF(COUNTIF(J179:J182,"十種競技")&gt;0,TRUE,FALSE)</f>
        <v>0</v>
      </c>
      <c r="AB179" s="218">
        <f>IF(E179="",0,IF(AA179,COUNTIF($AA$7:AA179,TRUE),0))</f>
        <v>0</v>
      </c>
      <c r="AC179" s="218">
        <f>IFERROR(VLOOKUP("十種競技",J179:L182,3,0),0)</f>
        <v>0</v>
      </c>
      <c r="AD179" s="218">
        <f>IFERROR(VLOOKUP(J179,競技会設定!$P$2:$S$22,2,0),0)</f>
        <v>0</v>
      </c>
      <c r="AE179" s="218">
        <f t="shared" ref="AE179" si="1962">IF(E179="",0,IF(AD179=0,0,IF(AD179&lt;3,E179&amp;$AE$6,0)))</f>
        <v>0</v>
      </c>
      <c r="AF179" s="218">
        <f>IF(AE179=0,0,E179&amp;COUNTIF($AE$7:AE179,AE179))</f>
        <v>0</v>
      </c>
      <c r="AG179" s="218">
        <f t="shared" ref="AG179" si="1963">IF(E179="",0,IF(AD179=0,0,IF(AD179&gt;=3,E179&amp;$AG$6,0)))</f>
        <v>0</v>
      </c>
      <c r="AH179" s="218">
        <f>IF(AG179=0,0,E179&amp;COUNTIF($AG$7:AG179,AG179))</f>
        <v>0</v>
      </c>
      <c r="AI179" s="218">
        <f t="shared" ref="AI179:AI227" si="1964">IF(COUNTIF(Y179,"*十種*")&gt;0,0,IF($AD179=AI$6,$E179,0))</f>
        <v>0</v>
      </c>
      <c r="AJ179" s="218" t="b">
        <f>IF(AI179=0,FALSE,IF(COUNTIF(AI$7:AI179,AI179)&gt;1,TRUE,FALSE))</f>
        <v>0</v>
      </c>
      <c r="AK179" s="218">
        <f t="shared" ref="AK179" si="1965">IF($AD179=AK$6,$E179,0)</f>
        <v>0</v>
      </c>
      <c r="AL179" s="218" t="b">
        <f>IF(AK179=0,FALSE,IF(COUNTIF(AK$7:AK179,AK179)&gt;1,TRUE,FALSE))</f>
        <v>0</v>
      </c>
      <c r="AM179" s="218">
        <f t="shared" ref="AM179" si="1966">IF($AD179=AM$6,$E179,0)</f>
        <v>0</v>
      </c>
      <c r="AN179" s="218" t="b">
        <f>IF(AM179=0,FALSE,IF(COUNTIF(AM$7:AM179,AM179)&gt;1,TRUE,FALSE))</f>
        <v>0</v>
      </c>
      <c r="AO179" s="218">
        <f t="shared" ref="AO179" si="1967">IF($AD179=AO$6,$E179,0)</f>
        <v>0</v>
      </c>
      <c r="AP179" s="218" t="b">
        <f>IF(AO179=0,FALSE,IF(COUNTIF(AO$7:AO179,AO179)&gt;1,TRUE,FALSE))</f>
        <v>0</v>
      </c>
      <c r="AQ179" s="218">
        <f t="shared" ref="AQ179" si="1968">IF(COUNTIF(Y179,"*十種競技*")&gt;0,E179,0)</f>
        <v>0</v>
      </c>
      <c r="AR179" s="218" t="b">
        <f>IF(AQ179=0,FALSE,IF(OR(COUNTIF($AI$7:$AI$406,AQ179)+COUNTIF($AQ179:$AQ$406,AQ179)&gt;1,COUNTIF($AK$7:$AK$406,AQ179)+COUNTIF($AQ$7:$AQ$406,AQ179)&gt;1),TRUE,FALSE))</f>
        <v>0</v>
      </c>
      <c r="AS179" s="218" t="b">
        <f t="shared" ref="AS179" si="1969">IF(AND(C179="",E179&lt;&gt;"",F179&lt;&gt;"",E181&lt;&gt;"",G179&lt;&gt;"",G180&lt;&gt;"",G181&lt;&gt;""),TRUE,FALSE)</f>
        <v>0</v>
      </c>
      <c r="AT179" s="218" t="b">
        <f t="shared" si="1486"/>
        <v>0</v>
      </c>
      <c r="AU179" s="274" t="b">
        <f t="shared" ref="AU179" si="1970">IFERROR(IF(D179&amp;E179&amp;F179&amp;E181&amp;G179&amp;G180&amp;G181&amp;J179&amp;J180&amp;J181&amp;J182&amp;L179&amp;L180&amp;L181&amp;L182&amp;M179&amp;M180&amp;M181&amp;M182&amp;N179&amp;N180&amp;N181&amp;N182&amp;O179&amp;O180&amp;O181&amp;O182&amp;P179&amp;P180&amp;P181&amp;P182&amp;Q179&amp;R179="",FALSE,TRUE),FALSE)</f>
        <v>0</v>
      </c>
      <c r="AV179" s="218" t="b">
        <f t="shared" ref="AV179" si="1971">IF(AS179,FALSE,IF(C179="",AU179,FALSE))</f>
        <v>0</v>
      </c>
      <c r="AW179" s="218" t="b">
        <f>IF(C179="",FALSE,IF(C179&gt;2000,TRUE,FALSE))</f>
        <v>0</v>
      </c>
      <c r="AX179" s="274" t="b">
        <f>IF(H179=0,FALSE,IF(EXACT(基本情報!$E$5,H179)=TRUE,FALSE,TRUE))</f>
        <v>0</v>
      </c>
      <c r="AY179" s="218" t="b">
        <f>IF(C179="",FALSE,IF(ISNA(E179)=TRUE,TRUE,FALSE))</f>
        <v>0</v>
      </c>
      <c r="AZ179" s="274" t="b">
        <f>IFERROR(IF(E179="",FALSE,IF(COUNTIF($E$7:E179,E179)&gt;1,TRUE,FALSE)),FALSE)</f>
        <v>0</v>
      </c>
      <c r="BA179" s="218" t="b">
        <f t="shared" ref="BA179" si="1972">IF(OR(J179&amp;J180&amp;J181&amp;J182&amp;Q179&amp;R179="",AT179,AT180,AT181,AT182),AU179,FALSE)</f>
        <v>0</v>
      </c>
      <c r="BB179" s="218" t="b">
        <f>IF(U179&gt;1,TRUE,FALSE)</f>
        <v>0</v>
      </c>
      <c r="BC179" s="218" t="b">
        <f>IF(X179&gt;1,TRUE,FALSE)</f>
        <v>0</v>
      </c>
      <c r="BD179" s="218" t="b">
        <f t="shared" si="1474"/>
        <v>0</v>
      </c>
      <c r="BF179" s="231" t="b">
        <f t="shared" ref="BF179" si="1973">IF(J179="",FALSE,IF(OR(AND(AU179,L179=""),AND(AU179,L179="",OR(M179&lt;&gt;"",N179&lt;&gt;"",O179&lt;&gt;"",P179&lt;&gt;""))),TRUE,FALSE))</f>
        <v>0</v>
      </c>
      <c r="BG179" s="218" t="b">
        <f t="shared" si="1476"/>
        <v>0</v>
      </c>
      <c r="BH179" s="218" t="b">
        <f t="shared" si="1488"/>
        <v>0</v>
      </c>
      <c r="BI179" s="231" t="b">
        <f t="shared" ref="BI179" si="1974">IF(J179="",FALSE,IF(L179=0,FALSE,IF(AND(AU179,NOT(BF179),OR(M179="",N179="",O179="")),TRUE,FALSE)))</f>
        <v>0</v>
      </c>
      <c r="BJ179" s="240" t="b">
        <f t="shared" si="1490"/>
        <v>0</v>
      </c>
      <c r="BK179" s="231" t="b">
        <f>IF(NOT(BJ179),FALSE,IF(AND(競技会設定!$C$5&lt;=BJ179,BJ179&lt;=競技会設定!$C$6),FALSE,TRUE))</f>
        <v>0</v>
      </c>
      <c r="BL179" s="218" t="b">
        <f>IF(J179="",FALSE,IF(L179=0,FALSE,IF(AND(AU179,NOT(BF179),NOT(BI179),P179=""),TRUE,FALSE)))</f>
        <v>0</v>
      </c>
      <c r="BO179" s="274">
        <f t="shared" ref="BO179" si="1975">IF(AND(AU179,SUM(COUNTIF(AV179:BC179,TRUE),COUNTIF(BF179:BL182,TRUE),COUNTIF(BD179:BD182,TRUE))=0,NOT($BE$7)),1,0)</f>
        <v>0</v>
      </c>
    </row>
    <row r="180" spans="1:67" ht="17.399999999999999" customHeight="1">
      <c r="A180" s="421"/>
      <c r="B180" s="374"/>
      <c r="C180" s="376"/>
      <c r="D180" s="139"/>
      <c r="E180" s="378"/>
      <c r="F180" s="378"/>
      <c r="G180" s="139" t="str">
        <f>IF(C179="","",(VLOOKUP(D179,男子登録!$A$2:$N$2001,13,0)))</f>
        <v/>
      </c>
      <c r="H180" s="139"/>
      <c r="I180" s="139" t="s">
        <v>7061</v>
      </c>
      <c r="J180" s="152"/>
      <c r="K180" s="139" t="s">
        <v>7062</v>
      </c>
      <c r="L180" s="152"/>
      <c r="M180" s="264"/>
      <c r="N180" s="265"/>
      <c r="O180" s="266"/>
      <c r="P180" s="152"/>
      <c r="Q180" s="382"/>
      <c r="R180" s="385"/>
      <c r="S180" s="136"/>
      <c r="T180" s="137"/>
      <c r="U180" s="137"/>
      <c r="V180" s="137"/>
      <c r="W180" s="137"/>
      <c r="X180" s="137"/>
      <c r="Y180" s="218">
        <f t="shared" ref="Y180" si="1976">IF(OR(E179="",J180=""),0,J180&amp;E179)</f>
        <v>0</v>
      </c>
      <c r="Z180" s="218">
        <f>IF(Y180=0,0,COUNTIF($Y$7:Y180,Y180))</f>
        <v>0</v>
      </c>
      <c r="AD180" s="218">
        <f>IFERROR(VLOOKUP(J180,競技会設定!$P$2:$S$22,2,0),0)</f>
        <v>0</v>
      </c>
      <c r="AE180" s="218">
        <f t="shared" ref="AE180" si="1977">IF(E179="",0,IF(AD180=0,0,IF(AD180&lt;3,E179&amp;$AE$6,0)))</f>
        <v>0</v>
      </c>
      <c r="AF180" s="218">
        <f>IF(AE180=0,0,E179&amp;COUNTIF($AE$7:AE180,AE180))</f>
        <v>0</v>
      </c>
      <c r="AG180" s="218">
        <f t="shared" ref="AG180" si="1978">IF(E179="",0,IF(AD180=0,0,IF(AD180&gt;=3,E179&amp;$AG$6,0)))</f>
        <v>0</v>
      </c>
      <c r="AH180" s="218">
        <f>IF(AG180=0,0,E179&amp;COUNTIF($AG$7:AG180,AG180))</f>
        <v>0</v>
      </c>
      <c r="AI180" s="218">
        <f t="shared" ref="AI180:AI228" si="1979">IF(COUNTIF(Y180,"*十種*")&gt;0,0,IF($AD180=AI$6,$E179,0))</f>
        <v>0</v>
      </c>
      <c r="AJ180" s="218" t="b">
        <f>IF(AI180=0,FALSE,IF(COUNTIF(AI$7:AI180,AI180)&gt;1,TRUE,FALSE))</f>
        <v>0</v>
      </c>
      <c r="AK180" s="218">
        <f t="shared" ref="AK180" si="1980">IF($AD180=AK$6,$E179,0)</f>
        <v>0</v>
      </c>
      <c r="AL180" s="218" t="b">
        <f>IF(AK180=0,FALSE,IF(COUNTIF(AK$7:AK180,AK180)&gt;1,TRUE,FALSE))</f>
        <v>0</v>
      </c>
      <c r="AM180" s="218">
        <f t="shared" ref="AM180" si="1981">IF($AD180=AM$6,$E179,0)</f>
        <v>0</v>
      </c>
      <c r="AN180" s="218" t="b">
        <f>IF(AM180=0,FALSE,IF(COUNTIF(AM$7:AM180,AM180)&gt;1,TRUE,FALSE))</f>
        <v>0</v>
      </c>
      <c r="AO180" s="218">
        <f t="shared" ref="AO180" si="1982">IF($AD180=AO$6,$E179,0)</f>
        <v>0</v>
      </c>
      <c r="AP180" s="218" t="b">
        <f>IF(AO180=0,FALSE,IF(COUNTIF(AO$7:AO180,AO180)&gt;1,TRUE,FALSE))</f>
        <v>0</v>
      </c>
      <c r="AQ180" s="218">
        <f t="shared" ref="AQ180" si="1983">IF(COUNTIF(Y180,"*十種競技*")&gt;0,E179,0)</f>
        <v>0</v>
      </c>
      <c r="AR180" s="218" t="b">
        <f>IF(AQ180=0,FALSE,IF(OR(COUNTIF($AI$7:$AI$406,AQ180)+COUNTIF($AQ180:$AQ$406,AQ180)&gt;1,COUNTIF($AK$7:$AK$406,AQ180)+COUNTIF($AQ$7:$AQ$406,AQ180)&gt;1),TRUE,FALSE))</f>
        <v>0</v>
      </c>
      <c r="AT180" s="218" t="b">
        <f t="shared" si="1486"/>
        <v>0</v>
      </c>
      <c r="AU180" s="274"/>
      <c r="AX180" s="274"/>
      <c r="BD180" s="218" t="b">
        <f t="shared" si="1474"/>
        <v>0</v>
      </c>
      <c r="BF180" s="231" t="b">
        <f t="shared" ref="BF180" si="1984">IF(J180="",FALSE,IF(OR(AND(AU179,L180=""),AND(AU179,L180="",OR(M180&lt;&gt;"",N180&lt;&gt;"",O180&lt;&gt;"",P180&lt;&gt;""))),TRUE,FALSE))</f>
        <v>0</v>
      </c>
      <c r="BG180" s="218" t="b">
        <f t="shared" si="1476"/>
        <v>0</v>
      </c>
      <c r="BH180" s="218" t="b">
        <f t="shared" si="1488"/>
        <v>0</v>
      </c>
      <c r="BI180" s="231" t="b">
        <f t="shared" ref="BI180" si="1985">IF(J180="",FALSE,IF(L180=0,FALSE,IF(AND(AU179,NOT(BF180),OR(M180="",N180="",O180="")),TRUE,FALSE)))</f>
        <v>0</v>
      </c>
      <c r="BJ180" s="240" t="b">
        <f t="shared" si="1490"/>
        <v>0</v>
      </c>
      <c r="BK180" s="231" t="b">
        <f>IF(NOT(BJ180),FALSE,IF(AND(競技会設定!$C$5&lt;=BJ180,BJ180&lt;=競技会設定!$C$6),FALSE,TRUE))</f>
        <v>0</v>
      </c>
      <c r="BL180" s="218" t="b">
        <f>IF(J180="",FALSE,IF(L180=0,FALSE,IF(AND(AU179,NOT(BF180),NOT(BI180),P180=""),TRUE,FALSE)))</f>
        <v>0</v>
      </c>
      <c r="BO180" s="274"/>
    </row>
    <row r="181" spans="1:67" ht="17.399999999999999" customHeight="1">
      <c r="A181" s="421"/>
      <c r="B181" s="374"/>
      <c r="C181" s="376"/>
      <c r="D181" s="140"/>
      <c r="E181" s="379" t="str">
        <f>IF(C179="","",VLOOKUP(D179,男子登録!$A$2:$O$2001,14,0)&amp;" ("&amp;VLOOKUP(D179,男子登録!$A$2:$O$2001,15,0)&amp;")")</f>
        <v/>
      </c>
      <c r="F181" s="380"/>
      <c r="G181" s="140" t="str">
        <f>IF(C179="","",(VLOOKUP(D179,男子登録!$A$2:$N$2001,9,0)))</f>
        <v/>
      </c>
      <c r="H181" s="140"/>
      <c r="I181" s="140" t="s">
        <v>7063</v>
      </c>
      <c r="J181" s="153"/>
      <c r="K181" s="140" t="s">
        <v>7064</v>
      </c>
      <c r="L181" s="153"/>
      <c r="M181" s="264"/>
      <c r="N181" s="265"/>
      <c r="O181" s="266"/>
      <c r="P181" s="152"/>
      <c r="Q181" s="382"/>
      <c r="R181" s="385"/>
      <c r="S181" s="136"/>
      <c r="T181" s="137"/>
      <c r="U181" s="137"/>
      <c r="V181" s="137"/>
      <c r="W181" s="137"/>
      <c r="X181" s="137"/>
      <c r="Y181" s="218">
        <f t="shared" ref="Y181" si="1986">IF(OR(E179="",J181=""),0,J181&amp;E179)</f>
        <v>0</v>
      </c>
      <c r="Z181" s="218">
        <f>IF(Y181=0,0,COUNTIF($Y$7:Y181,Y181))</f>
        <v>0</v>
      </c>
      <c r="AD181" s="218">
        <f>IFERROR(VLOOKUP(J181,競技会設定!$P$2:$S$22,2,0),0)</f>
        <v>0</v>
      </c>
      <c r="AE181" s="218">
        <f t="shared" ref="AE181" si="1987">IF(E179="",0,IF(AD181=0,0,IF(AD181&lt;3,E179&amp;$AE$6,0)))</f>
        <v>0</v>
      </c>
      <c r="AF181" s="218">
        <f>IF(AE181=0,0,E179&amp;COUNTIF($AE$7:AE181,AE181))</f>
        <v>0</v>
      </c>
      <c r="AG181" s="218">
        <f t="shared" ref="AG181" si="1988">IF(E179="",0,IF(AD181=0,0,IF(AD181&gt;=3,E179&amp;$AG$6,0)))</f>
        <v>0</v>
      </c>
      <c r="AH181" s="218">
        <f>IF(AG181=0,0,E179&amp;COUNTIF($AG$7:AG181,AG181))</f>
        <v>0</v>
      </c>
      <c r="AI181" s="218">
        <f t="shared" ref="AI181:AI229" si="1989">IF(COUNTIF(Y181,"*十種*")&gt;0,0,IF($AD181=AI$6,$E179,0))</f>
        <v>0</v>
      </c>
      <c r="AJ181" s="218" t="b">
        <f>IF(AI181=0,FALSE,IF(COUNTIF(AI$7:AI181,AI181)&gt;1,TRUE,FALSE))</f>
        <v>0</v>
      </c>
      <c r="AK181" s="218">
        <f t="shared" ref="AK181" si="1990">IF($AD181=AK$6,$E179,0)</f>
        <v>0</v>
      </c>
      <c r="AL181" s="218" t="b">
        <f>IF(AK181=0,FALSE,IF(COUNTIF(AK$7:AK181,AK181)&gt;1,TRUE,FALSE))</f>
        <v>0</v>
      </c>
      <c r="AM181" s="218">
        <f t="shared" ref="AM181" si="1991">IF($AD181=AM$6,$E179,0)</f>
        <v>0</v>
      </c>
      <c r="AN181" s="218" t="b">
        <f>IF(AM181=0,FALSE,IF(COUNTIF(AM$7:AM181,AM181)&gt;1,TRUE,FALSE))</f>
        <v>0</v>
      </c>
      <c r="AO181" s="218">
        <f t="shared" ref="AO181" si="1992">IF($AD181=AO$6,$E179,0)</f>
        <v>0</v>
      </c>
      <c r="AP181" s="218" t="b">
        <f>IF(AO181=0,FALSE,IF(COUNTIF(AO$7:AO181,AO181)&gt;1,TRUE,FALSE))</f>
        <v>0</v>
      </c>
      <c r="AQ181" s="218">
        <f t="shared" ref="AQ181" si="1993">IF(COUNTIF(Y181,"*十種競技*")&gt;0,E179,0)</f>
        <v>0</v>
      </c>
      <c r="AR181" s="218" t="b">
        <f>IF(AQ181=0,FALSE,IF(OR(COUNTIF($AI$7:$AI$406,AQ181)+COUNTIF($AQ181:$AQ$406,AQ181)&gt;1,COUNTIF($AK$7:$AK$406,AQ181)+COUNTIF($AQ$7:$AQ$406,AQ181)&gt;1),TRUE,FALSE))</f>
        <v>0</v>
      </c>
      <c r="AT181" s="218" t="b">
        <f t="shared" si="1486"/>
        <v>0</v>
      </c>
      <c r="AU181" s="274"/>
      <c r="AX181" s="274"/>
      <c r="BD181" s="218" t="b">
        <f t="shared" si="1474"/>
        <v>0</v>
      </c>
      <c r="BF181" s="231" t="b">
        <f t="shared" ref="BF181" si="1994">IF(J181="",FALSE,IF(OR(AND(AU179,L181=""),AND(AU179,L181="",OR(M181&lt;&gt;"",N181&lt;&gt;"",O181&lt;&gt;"",P181&lt;&gt;""))),TRUE,FALSE))</f>
        <v>0</v>
      </c>
      <c r="BG181" s="218" t="b">
        <f t="shared" si="1476"/>
        <v>0</v>
      </c>
      <c r="BH181" s="218" t="b">
        <f t="shared" si="1488"/>
        <v>0</v>
      </c>
      <c r="BI181" s="231" t="b">
        <f t="shared" ref="BI181" si="1995">IF(J181="",FALSE,IF(L181=0,FALSE,IF(AND(AU179,NOT(BF181),OR(M181="",N181="",O181="")),TRUE,FALSE)))</f>
        <v>0</v>
      </c>
      <c r="BJ181" s="240" t="b">
        <f t="shared" si="1490"/>
        <v>0</v>
      </c>
      <c r="BK181" s="231" t="b">
        <f>IF(NOT(BJ181),FALSE,IF(AND(競技会設定!$C$5&lt;=BJ181,BJ181&lt;=競技会設定!$C$6),FALSE,TRUE))</f>
        <v>0</v>
      </c>
      <c r="BL181" s="218" t="b">
        <f>IF(J181="",FALSE,IF(L181=0,FALSE,IF(AND(AU179,NOT(BF181),NOT(BI181),P181=""),TRUE,FALSE)))</f>
        <v>0</v>
      </c>
      <c r="BO181" s="274"/>
    </row>
    <row r="182" spans="1:67" ht="18" customHeight="1" thickBot="1">
      <c r="A182" s="422"/>
      <c r="B182" s="387" t="s">
        <v>7051</v>
      </c>
      <c r="C182" s="387"/>
      <c r="D182" s="213"/>
      <c r="E182" s="388"/>
      <c r="F182" s="389"/>
      <c r="G182" s="390"/>
      <c r="H182" s="141"/>
      <c r="I182" s="213" t="s">
        <v>7065</v>
      </c>
      <c r="J182" s="154"/>
      <c r="K182" s="213" t="s">
        <v>7066</v>
      </c>
      <c r="L182" s="154"/>
      <c r="M182" s="267"/>
      <c r="N182" s="268"/>
      <c r="O182" s="269"/>
      <c r="P182" s="154"/>
      <c r="Q182" s="383"/>
      <c r="R182" s="386"/>
      <c r="S182" s="136"/>
      <c r="T182" s="137"/>
      <c r="U182" s="137"/>
      <c r="V182" s="137"/>
      <c r="W182" s="137"/>
      <c r="X182" s="137"/>
      <c r="Y182" s="218">
        <f t="shared" ref="Y182" si="1996">IF(OR(E179="",J182=""),0,J182&amp;E179)</f>
        <v>0</v>
      </c>
      <c r="Z182" s="218">
        <f>IF(Y182=0,0,COUNTIF($Y$7:Y182,Y182))</f>
        <v>0</v>
      </c>
      <c r="AD182" s="218">
        <f>IFERROR(VLOOKUP(J182,競技会設定!$P$2:$S$22,2,0),0)</f>
        <v>0</v>
      </c>
      <c r="AE182" s="218">
        <f t="shared" ref="AE182" si="1997">IF(E179="",0,IF(AD182=0,0,IF(AD182&lt;3,E179&amp;$AE$6,0)))</f>
        <v>0</v>
      </c>
      <c r="AF182" s="218">
        <f>IF(AE182=0,0,E179&amp;COUNTIF($AE$7:AE182,AE182))</f>
        <v>0</v>
      </c>
      <c r="AG182" s="218">
        <f t="shared" ref="AG182" si="1998">IF(E179="",0,IF(AD182=0,0,IF(AD182&gt;=3,E179&amp;$AG$6,0)))</f>
        <v>0</v>
      </c>
      <c r="AH182" s="218">
        <f>IF(AG182=0,0,E179&amp;COUNTIF($AG$7:AG182,AG182))</f>
        <v>0</v>
      </c>
      <c r="AI182" s="218">
        <f t="shared" ref="AI182:AI230" si="1999">IF(COUNTIF(Y182,"*十種*")&gt;0,0,IF($AD182=AI$6,$E179,0))</f>
        <v>0</v>
      </c>
      <c r="AJ182" s="218" t="b">
        <f>IF(AI182=0,FALSE,IF(COUNTIF(AI$7:AI182,AI182)&gt;1,TRUE,FALSE))</f>
        <v>0</v>
      </c>
      <c r="AK182" s="218">
        <f t="shared" ref="AK182" si="2000">IF($AD182=AK$6,$E179,0)</f>
        <v>0</v>
      </c>
      <c r="AL182" s="218" t="b">
        <f>IF(AK182=0,FALSE,IF(COUNTIF(AK$7:AK182,AK182)&gt;1,TRUE,FALSE))</f>
        <v>0</v>
      </c>
      <c r="AM182" s="218">
        <f t="shared" ref="AM182" si="2001">IF($AD182=AM$6,$E179,0)</f>
        <v>0</v>
      </c>
      <c r="AN182" s="218" t="b">
        <f>IF(AM182=0,FALSE,IF(COUNTIF(AM$7:AM182,AM182)&gt;1,TRUE,FALSE))</f>
        <v>0</v>
      </c>
      <c r="AO182" s="218">
        <f t="shared" ref="AO182" si="2002">IF($AD182=AO$6,$E179,0)</f>
        <v>0</v>
      </c>
      <c r="AP182" s="218" t="b">
        <f>IF(AO182=0,FALSE,IF(COUNTIF(AO$7:AO182,AO182)&gt;1,TRUE,FALSE))</f>
        <v>0</v>
      </c>
      <c r="AQ182" s="218">
        <f t="shared" ref="AQ182" si="2003">IF(COUNTIF(Y182,"*十種競技*")&gt;0,E179,0)</f>
        <v>0</v>
      </c>
      <c r="AR182" s="218" t="b">
        <f>IF(AQ182=0,FALSE,IF(OR(COUNTIF($AI$7:$AI$406,AQ182)+COUNTIF($AQ182:$AQ$406,AQ182)&gt;1,COUNTIF($AK$7:$AK$406,AQ182)+COUNTIF($AQ$7:$AQ$406,AQ182)&gt;1),TRUE,FALSE))</f>
        <v>0</v>
      </c>
      <c r="AT182" s="218" t="b">
        <f t="shared" si="1486"/>
        <v>0</v>
      </c>
      <c r="AU182" s="274"/>
      <c r="AX182" s="274"/>
      <c r="BD182" s="218" t="b">
        <f t="shared" si="1474"/>
        <v>0</v>
      </c>
      <c r="BF182" s="231" t="b">
        <f t="shared" ref="BF182" si="2004">IF(J182="",FALSE,IF(OR(AND(AU179,L182=""),AND(AU179,L182="",OR(M182&lt;&gt;"",N182&lt;&gt;"",O182&lt;&gt;"",P182&lt;&gt;""))),TRUE,FALSE))</f>
        <v>0</v>
      </c>
      <c r="BG182" s="218" t="b">
        <f t="shared" si="1476"/>
        <v>0</v>
      </c>
      <c r="BH182" s="218" t="b">
        <f t="shared" si="1488"/>
        <v>0</v>
      </c>
      <c r="BI182" s="231" t="b">
        <f t="shared" ref="BI182" si="2005">IF(J182="",FALSE,IF(L182=0,FALSE,IF(AND(AU179,NOT(BF182),OR(M182="",N182="",O182="")),TRUE,FALSE)))</f>
        <v>0</v>
      </c>
      <c r="BJ182" s="240" t="b">
        <f t="shared" si="1490"/>
        <v>0</v>
      </c>
      <c r="BK182" s="231" t="b">
        <f>IF(NOT(BJ182),FALSE,IF(AND(競技会設定!$C$5&lt;=BJ182,BJ182&lt;=競技会設定!$C$6),FALSE,TRUE))</f>
        <v>0</v>
      </c>
      <c r="BL182" s="218" t="b">
        <f>IF(J182="",FALSE,IF(L182=0,FALSE,IF(AND(AU179,NOT(BF182),NOT(BI182),P182=""),TRUE,FALSE)))</f>
        <v>0</v>
      </c>
      <c r="BO182" s="274"/>
    </row>
    <row r="183" spans="1:67" ht="18" customHeight="1" thickTop="1">
      <c r="A183" s="417">
        <v>45</v>
      </c>
      <c r="B183" s="401" t="s">
        <v>7050</v>
      </c>
      <c r="C183" s="403"/>
      <c r="D183" s="220" t="str">
        <f t="shared" ref="D183" si="2006">IF(C183="","",501&amp;TEXT(C183,"000000"))</f>
        <v/>
      </c>
      <c r="E183" s="396" t="str">
        <f>IF(D183="","",(VLOOKUP(D183,男子登録!$A$2:$N$2001,3,0)))</f>
        <v/>
      </c>
      <c r="F183" s="396" t="str">
        <f>IF(D183="","",(VLOOKUP(D183,男子登録!$A$2:$N$2001,4,0)))</f>
        <v/>
      </c>
      <c r="G183" s="220" t="str">
        <f>IF(C183="","",(VLOOKUP(D183,男子登録!$A$2:$N$2001,8,0)))</f>
        <v/>
      </c>
      <c r="H183" s="220">
        <f>IFERROR(VLOOKUP(D183,男子登録!$A$2:$N$2001,11,0),基本情報!$E$5)</f>
        <v>0</v>
      </c>
      <c r="I183" s="220" t="s">
        <v>7059</v>
      </c>
      <c r="J183" s="148"/>
      <c r="K183" s="220" t="s">
        <v>7060</v>
      </c>
      <c r="L183" s="148"/>
      <c r="M183" s="252"/>
      <c r="N183" s="253"/>
      <c r="O183" s="254"/>
      <c r="P183" s="148"/>
      <c r="Q183" s="398"/>
      <c r="R183" s="391"/>
      <c r="S183" s="136">
        <f t="shared" ref="S183" si="2007">IF(OR(E183="",Q183=""),0,E183)</f>
        <v>0</v>
      </c>
      <c r="T183" s="137">
        <f>IF(S183=0,0,COUNTIF($S$7:S183,"*"))</f>
        <v>0</v>
      </c>
      <c r="U183" s="137">
        <f>IF(S183=0,0,COUNTIF($S$7:S183,S183))</f>
        <v>0</v>
      </c>
      <c r="V183" s="137">
        <f t="shared" si="1691"/>
        <v>0</v>
      </c>
      <c r="W183" s="137">
        <f>IF(V183=0,0,COUNTIF($V$7:V183,"*"))</f>
        <v>0</v>
      </c>
      <c r="X183" s="137">
        <f>IF(V183=0,0,COUNTIF($V$7:V183,V183))</f>
        <v>0</v>
      </c>
      <c r="Y183" s="218">
        <f t="shared" ref="Y183" si="2008">IF(OR(E183="",J183=""),0,J183&amp;E183)</f>
        <v>0</v>
      </c>
      <c r="Z183" s="218">
        <f>IF(Y183=0,0,COUNTIF($Y$7:Y183,Y183))</f>
        <v>0</v>
      </c>
      <c r="AA183" s="218" t="b">
        <f t="shared" ref="AA183" si="2009">IF(COUNTIF(J183:J186,"十種競技")&gt;0,TRUE,FALSE)</f>
        <v>0</v>
      </c>
      <c r="AB183" s="218">
        <f>IF(E183="",0,IF(AA183,COUNTIF($AA$7:AA183,TRUE),0))</f>
        <v>0</v>
      </c>
      <c r="AC183" s="218">
        <f>IFERROR(VLOOKUP("十種競技",J183:L186,3,0),0)</f>
        <v>0</v>
      </c>
      <c r="AD183" s="218">
        <f>IFERROR(VLOOKUP(J183,競技会設定!$P$2:$S$22,2,0),0)</f>
        <v>0</v>
      </c>
      <c r="AE183" s="218">
        <f t="shared" ref="AE183" si="2010">IF(E183="",0,IF(AD183=0,0,IF(AD183&lt;3,E183&amp;$AE$6,0)))</f>
        <v>0</v>
      </c>
      <c r="AF183" s="218">
        <f>IF(AE183=0,0,E183&amp;COUNTIF($AE$7:AE183,AE183))</f>
        <v>0</v>
      </c>
      <c r="AG183" s="218">
        <f t="shared" ref="AG183" si="2011">IF(E183="",0,IF(AD183=0,0,IF(AD183&gt;=3,E183&amp;$AG$6,0)))</f>
        <v>0</v>
      </c>
      <c r="AH183" s="218">
        <f>IF(AG183=0,0,E183&amp;COUNTIF($AG$7:AG183,AG183))</f>
        <v>0</v>
      </c>
      <c r="AI183" s="218">
        <f t="shared" ref="AI183:AI231" si="2012">IF(COUNTIF(Y183,"*十種*")&gt;0,0,IF($AD183=AI$6,$E183,0))</f>
        <v>0</v>
      </c>
      <c r="AJ183" s="218" t="b">
        <f>IF(AI183=0,FALSE,IF(COUNTIF(AI$7:AI183,AI183)&gt;1,TRUE,FALSE))</f>
        <v>0</v>
      </c>
      <c r="AK183" s="218">
        <f t="shared" ref="AK183" si="2013">IF($AD183=AK$6,$E183,0)</f>
        <v>0</v>
      </c>
      <c r="AL183" s="218" t="b">
        <f>IF(AK183=0,FALSE,IF(COUNTIF(AK$7:AK183,AK183)&gt;1,TRUE,FALSE))</f>
        <v>0</v>
      </c>
      <c r="AM183" s="218">
        <f t="shared" ref="AM183" si="2014">IF($AD183=AM$6,$E183,0)</f>
        <v>0</v>
      </c>
      <c r="AN183" s="218" t="b">
        <f>IF(AM183=0,FALSE,IF(COUNTIF(AM$7:AM183,AM183)&gt;1,TRUE,FALSE))</f>
        <v>0</v>
      </c>
      <c r="AO183" s="218">
        <f t="shared" ref="AO183" si="2015">IF($AD183=AO$6,$E183,0)</f>
        <v>0</v>
      </c>
      <c r="AP183" s="218" t="b">
        <f>IF(AO183=0,FALSE,IF(COUNTIF(AO$7:AO183,AO183)&gt;1,TRUE,FALSE))</f>
        <v>0</v>
      </c>
      <c r="AQ183" s="218">
        <f t="shared" ref="AQ183" si="2016">IF(COUNTIF(Y183,"*十種競技*")&gt;0,E183,0)</f>
        <v>0</v>
      </c>
      <c r="AR183" s="218" t="b">
        <f>IF(AQ183=0,FALSE,IF(OR(COUNTIF($AI$7:$AI$406,AQ183)+COUNTIF($AQ183:$AQ$406,AQ183)&gt;1,COUNTIF($AK$7:$AK$406,AQ183)+COUNTIF($AQ$7:$AQ$406,AQ183)&gt;1),TRUE,FALSE))</f>
        <v>0</v>
      </c>
      <c r="AS183" s="218" t="b">
        <f t="shared" ref="AS183" si="2017">IF(AND(C183="",E183&lt;&gt;"",F183&lt;&gt;"",E185&lt;&gt;"",G183&lt;&gt;"",G184&lt;&gt;"",G185&lt;&gt;""),TRUE,FALSE)</f>
        <v>0</v>
      </c>
      <c r="AT183" s="218" t="b">
        <f t="shared" si="1486"/>
        <v>0</v>
      </c>
      <c r="AU183" s="274" t="b">
        <f t="shared" ref="AU183" si="2018">IFERROR(IF(D183&amp;E183&amp;F183&amp;E185&amp;G183&amp;G184&amp;G185&amp;J183&amp;J184&amp;J185&amp;J186&amp;L183&amp;L184&amp;L185&amp;L186&amp;M183&amp;M184&amp;M185&amp;M186&amp;N183&amp;N184&amp;N185&amp;N186&amp;O183&amp;O184&amp;O185&amp;O186&amp;P183&amp;P184&amp;P185&amp;P186&amp;Q183&amp;R183="",FALSE,TRUE),FALSE)</f>
        <v>0</v>
      </c>
      <c r="AV183" s="218" t="b">
        <f t="shared" ref="AV183" si="2019">IF(AS183,FALSE,IF(C183="",AU183,FALSE))</f>
        <v>0</v>
      </c>
      <c r="AW183" s="218" t="b">
        <f>IF(C183="",FALSE,IF(C183&gt;2000,TRUE,FALSE))</f>
        <v>0</v>
      </c>
      <c r="AX183" s="274" t="b">
        <f>IF(H183=0,FALSE,IF(EXACT(基本情報!$E$5,H183)=TRUE,FALSE,TRUE))</f>
        <v>0</v>
      </c>
      <c r="AY183" s="218" t="b">
        <f>IF(C183="",FALSE,IF(ISNA(E183)=TRUE,TRUE,FALSE))</f>
        <v>0</v>
      </c>
      <c r="AZ183" s="274" t="b">
        <f>IFERROR(IF(E183="",FALSE,IF(COUNTIF($E$7:E183,E183)&gt;1,TRUE,FALSE)),FALSE)</f>
        <v>0</v>
      </c>
      <c r="BA183" s="218" t="b">
        <f t="shared" ref="BA183" si="2020">IF(OR(J183&amp;J184&amp;J185&amp;J186&amp;Q183&amp;R183="",AT183,AT184,AT185,AT186),AU183,FALSE)</f>
        <v>0</v>
      </c>
      <c r="BB183" s="218" t="b">
        <f>IF(U183&gt;1,TRUE,FALSE)</f>
        <v>0</v>
      </c>
      <c r="BC183" s="218" t="b">
        <f>IF(X183&gt;1,TRUE,FALSE)</f>
        <v>0</v>
      </c>
      <c r="BD183" s="218" t="b">
        <f t="shared" si="1474"/>
        <v>0</v>
      </c>
      <c r="BF183" s="231" t="b">
        <f t="shared" ref="BF183" si="2021">IF(J183="",FALSE,IF(OR(AND(AU183,L183=""),AND(AU183,L183="",OR(M183&lt;&gt;"",N183&lt;&gt;"",O183&lt;&gt;"",P183&lt;&gt;""))),TRUE,FALSE))</f>
        <v>0</v>
      </c>
      <c r="BG183" s="218" t="b">
        <f t="shared" si="1476"/>
        <v>0</v>
      </c>
      <c r="BH183" s="218" t="b">
        <f t="shared" si="1488"/>
        <v>0</v>
      </c>
      <c r="BI183" s="231" t="b">
        <f t="shared" ref="BI183" si="2022">IF(J183="",FALSE,IF(L183=0,FALSE,IF(AND(AU183,NOT(BF183),OR(M183="",N183="",O183="")),TRUE,FALSE)))</f>
        <v>0</v>
      </c>
      <c r="BJ183" s="240" t="b">
        <f t="shared" si="1490"/>
        <v>0</v>
      </c>
      <c r="BK183" s="231" t="b">
        <f>IF(NOT(BJ183),FALSE,IF(AND(競技会設定!$C$5&lt;=BJ183,BJ183&lt;=競技会設定!$C$6),FALSE,TRUE))</f>
        <v>0</v>
      </c>
      <c r="BL183" s="218" t="b">
        <f>IF(J183="",FALSE,IF(L183=0,FALSE,IF(AND(AU183,NOT(BF183),NOT(BI183),P183=""),TRUE,FALSE)))</f>
        <v>0</v>
      </c>
      <c r="BO183" s="274">
        <f t="shared" ref="BO183" si="2023">IF(AND(AU183,SUM(COUNTIF(AV183:BC183,TRUE),COUNTIF(BF183:BL186,TRUE),COUNTIF(BD183:BD186,TRUE))=0,NOT($BE$7)),1,0)</f>
        <v>0</v>
      </c>
    </row>
    <row r="184" spans="1:67" ht="17.399999999999999" customHeight="1">
      <c r="A184" s="418"/>
      <c r="B184" s="402"/>
      <c r="C184" s="404"/>
      <c r="D184" s="221"/>
      <c r="E184" s="397"/>
      <c r="F184" s="397"/>
      <c r="G184" s="221" t="str">
        <f>IF(C183="","",(VLOOKUP(D183,男子登録!$A$2:$N$2001,13,0)))</f>
        <v/>
      </c>
      <c r="H184" s="221"/>
      <c r="I184" s="221" t="s">
        <v>7061</v>
      </c>
      <c r="J184" s="149"/>
      <c r="K184" s="221" t="s">
        <v>7062</v>
      </c>
      <c r="L184" s="149"/>
      <c r="M184" s="255"/>
      <c r="N184" s="256"/>
      <c r="O184" s="257"/>
      <c r="P184" s="149"/>
      <c r="Q184" s="399"/>
      <c r="R184" s="392"/>
      <c r="S184" s="136"/>
      <c r="T184" s="137"/>
      <c r="U184" s="137"/>
      <c r="V184" s="137"/>
      <c r="W184" s="137"/>
      <c r="X184" s="137"/>
      <c r="Y184" s="218">
        <f t="shared" ref="Y184" si="2024">IF(OR(E183="",J184=""),0,J184&amp;E183)</f>
        <v>0</v>
      </c>
      <c r="Z184" s="218">
        <f>IF(Y184=0,0,COUNTIF($Y$7:Y184,Y184))</f>
        <v>0</v>
      </c>
      <c r="AD184" s="218">
        <f>IFERROR(VLOOKUP(J184,競技会設定!$P$2:$S$22,2,0),0)</f>
        <v>0</v>
      </c>
      <c r="AE184" s="218">
        <f t="shared" ref="AE184" si="2025">IF(E183="",0,IF(AD184=0,0,IF(AD184&lt;3,E183&amp;$AE$6,0)))</f>
        <v>0</v>
      </c>
      <c r="AF184" s="218">
        <f>IF(AE184=0,0,E183&amp;COUNTIF($AE$7:AE184,AE184))</f>
        <v>0</v>
      </c>
      <c r="AG184" s="218">
        <f t="shared" ref="AG184" si="2026">IF(E183="",0,IF(AD184=0,0,IF(AD184&gt;=3,E183&amp;$AG$6,0)))</f>
        <v>0</v>
      </c>
      <c r="AH184" s="218">
        <f>IF(AG184=0,0,E183&amp;COUNTIF($AG$7:AG184,AG184))</f>
        <v>0</v>
      </c>
      <c r="AI184" s="218">
        <f t="shared" ref="AI184:AI232" si="2027">IF(COUNTIF(Y184,"*十種*")&gt;0,0,IF($AD184=AI$6,$E183,0))</f>
        <v>0</v>
      </c>
      <c r="AJ184" s="218" t="b">
        <f>IF(AI184=0,FALSE,IF(COUNTIF(AI$7:AI184,AI184)&gt;1,TRUE,FALSE))</f>
        <v>0</v>
      </c>
      <c r="AK184" s="218">
        <f t="shared" ref="AK184" si="2028">IF($AD184=AK$6,$E183,0)</f>
        <v>0</v>
      </c>
      <c r="AL184" s="218" t="b">
        <f>IF(AK184=0,FALSE,IF(COUNTIF(AK$7:AK184,AK184)&gt;1,TRUE,FALSE))</f>
        <v>0</v>
      </c>
      <c r="AM184" s="218">
        <f t="shared" ref="AM184" si="2029">IF($AD184=AM$6,$E183,0)</f>
        <v>0</v>
      </c>
      <c r="AN184" s="218" t="b">
        <f>IF(AM184=0,FALSE,IF(COUNTIF(AM$7:AM184,AM184)&gt;1,TRUE,FALSE))</f>
        <v>0</v>
      </c>
      <c r="AO184" s="218">
        <f t="shared" ref="AO184" si="2030">IF($AD184=AO$6,$E183,0)</f>
        <v>0</v>
      </c>
      <c r="AP184" s="218" t="b">
        <f>IF(AO184=0,FALSE,IF(COUNTIF(AO$7:AO184,AO184)&gt;1,TRUE,FALSE))</f>
        <v>0</v>
      </c>
      <c r="AQ184" s="218">
        <f t="shared" ref="AQ184" si="2031">IF(COUNTIF(Y184,"*十種競技*")&gt;0,E183,0)</f>
        <v>0</v>
      </c>
      <c r="AR184" s="218" t="b">
        <f>IF(AQ184=0,FALSE,IF(OR(COUNTIF($AI$7:$AI$406,AQ184)+COUNTIF($AQ184:$AQ$406,AQ184)&gt;1,COUNTIF($AK$7:$AK$406,AQ184)+COUNTIF($AQ$7:$AQ$406,AQ184)&gt;1),TRUE,FALSE))</f>
        <v>0</v>
      </c>
      <c r="AT184" s="218" t="b">
        <f t="shared" si="1486"/>
        <v>0</v>
      </c>
      <c r="AU184" s="274"/>
      <c r="AX184" s="274"/>
      <c r="BD184" s="218" t="b">
        <f t="shared" si="1474"/>
        <v>0</v>
      </c>
      <c r="BF184" s="231" t="b">
        <f t="shared" ref="BF184" si="2032">IF(J184="",FALSE,IF(OR(AND(AU183,L184=""),AND(AU183,L184="",OR(M184&lt;&gt;"",N184&lt;&gt;"",O184&lt;&gt;"",P184&lt;&gt;""))),TRUE,FALSE))</f>
        <v>0</v>
      </c>
      <c r="BG184" s="218" t="b">
        <f t="shared" si="1476"/>
        <v>0</v>
      </c>
      <c r="BH184" s="218" t="b">
        <f t="shared" si="1488"/>
        <v>0</v>
      </c>
      <c r="BI184" s="231" t="b">
        <f t="shared" ref="BI184" si="2033">IF(J184="",FALSE,IF(L184=0,FALSE,IF(AND(AU183,NOT(BF184),OR(M184="",N184="",O184="")),TRUE,FALSE)))</f>
        <v>0</v>
      </c>
      <c r="BJ184" s="240" t="b">
        <f t="shared" si="1490"/>
        <v>0</v>
      </c>
      <c r="BK184" s="231" t="b">
        <f>IF(NOT(BJ184),FALSE,IF(AND(競技会設定!$C$5&lt;=BJ184,BJ184&lt;=競技会設定!$C$6),FALSE,TRUE))</f>
        <v>0</v>
      </c>
      <c r="BL184" s="218" t="b">
        <f>IF(J184="",FALSE,IF(L184=0,FALSE,IF(AND(AU183,NOT(BF184),NOT(BI184),P184=""),TRUE,FALSE)))</f>
        <v>0</v>
      </c>
      <c r="BO184" s="274"/>
    </row>
    <row r="185" spans="1:67" ht="17.399999999999999" customHeight="1">
      <c r="A185" s="418"/>
      <c r="B185" s="402"/>
      <c r="C185" s="404"/>
      <c r="D185" s="221"/>
      <c r="E185" s="394" t="str">
        <f>IF(C183="","",VLOOKUP(D183,男子登録!$A$2:$O$2001,14,0)&amp;" ("&amp;VLOOKUP(D183,男子登録!$A$2:$O$2001,15,0)&amp;")")</f>
        <v/>
      </c>
      <c r="F185" s="394"/>
      <c r="G185" s="222" t="str">
        <f>IF(C183="","",(VLOOKUP(D183,男子登録!$A$2:$N$2001,9,0)))</f>
        <v/>
      </c>
      <c r="H185" s="222"/>
      <c r="I185" s="222" t="s">
        <v>7063</v>
      </c>
      <c r="J185" s="150"/>
      <c r="K185" s="222" t="s">
        <v>7064</v>
      </c>
      <c r="L185" s="150"/>
      <c r="M185" s="255"/>
      <c r="N185" s="256"/>
      <c r="O185" s="257"/>
      <c r="P185" s="149"/>
      <c r="Q185" s="399"/>
      <c r="R185" s="392"/>
      <c r="S185" s="136"/>
      <c r="T185" s="137"/>
      <c r="U185" s="137"/>
      <c r="V185" s="137"/>
      <c r="W185" s="137"/>
      <c r="X185" s="137"/>
      <c r="Y185" s="218">
        <f t="shared" ref="Y185" si="2034">IF(OR(E183="",J185=""),0,J185&amp;E183)</f>
        <v>0</v>
      </c>
      <c r="Z185" s="218">
        <f>IF(Y185=0,0,COUNTIF($Y$7:Y185,Y185))</f>
        <v>0</v>
      </c>
      <c r="AD185" s="218">
        <f>IFERROR(VLOOKUP(J185,競技会設定!$P$2:$S$22,2,0),0)</f>
        <v>0</v>
      </c>
      <c r="AE185" s="218">
        <f t="shared" ref="AE185" si="2035">IF(E183="",0,IF(AD185=0,0,IF(AD185&lt;3,E183&amp;$AE$6,0)))</f>
        <v>0</v>
      </c>
      <c r="AF185" s="218">
        <f>IF(AE185=0,0,E183&amp;COUNTIF($AE$7:AE185,AE185))</f>
        <v>0</v>
      </c>
      <c r="AG185" s="218">
        <f t="shared" ref="AG185" si="2036">IF(E183="",0,IF(AD185=0,0,IF(AD185&gt;=3,E183&amp;$AG$6,0)))</f>
        <v>0</v>
      </c>
      <c r="AH185" s="218">
        <f>IF(AG185=0,0,E183&amp;COUNTIF($AG$7:AG185,AG185))</f>
        <v>0</v>
      </c>
      <c r="AI185" s="218">
        <f t="shared" ref="AI185:AI233" si="2037">IF(COUNTIF(Y185,"*十種*")&gt;0,0,IF($AD185=AI$6,$E183,0))</f>
        <v>0</v>
      </c>
      <c r="AJ185" s="218" t="b">
        <f>IF(AI185=0,FALSE,IF(COUNTIF(AI$7:AI185,AI185)&gt;1,TRUE,FALSE))</f>
        <v>0</v>
      </c>
      <c r="AK185" s="218">
        <f t="shared" ref="AK185" si="2038">IF($AD185=AK$6,$E183,0)</f>
        <v>0</v>
      </c>
      <c r="AL185" s="218" t="b">
        <f>IF(AK185=0,FALSE,IF(COUNTIF(AK$7:AK185,AK185)&gt;1,TRUE,FALSE))</f>
        <v>0</v>
      </c>
      <c r="AM185" s="218">
        <f t="shared" ref="AM185" si="2039">IF($AD185=AM$6,$E183,0)</f>
        <v>0</v>
      </c>
      <c r="AN185" s="218" t="b">
        <f>IF(AM185=0,FALSE,IF(COUNTIF(AM$7:AM185,AM185)&gt;1,TRUE,FALSE))</f>
        <v>0</v>
      </c>
      <c r="AO185" s="218">
        <f t="shared" ref="AO185" si="2040">IF($AD185=AO$6,$E183,0)</f>
        <v>0</v>
      </c>
      <c r="AP185" s="218" t="b">
        <f>IF(AO185=0,FALSE,IF(COUNTIF(AO$7:AO185,AO185)&gt;1,TRUE,FALSE))</f>
        <v>0</v>
      </c>
      <c r="AQ185" s="218">
        <f t="shared" ref="AQ185" si="2041">IF(COUNTIF(Y185,"*十種競技*")&gt;0,E183,0)</f>
        <v>0</v>
      </c>
      <c r="AR185" s="218" t="b">
        <f>IF(AQ185=0,FALSE,IF(OR(COUNTIF($AI$7:$AI$406,AQ185)+COUNTIF($AQ185:$AQ$406,AQ185)&gt;1,COUNTIF($AK$7:$AK$406,AQ185)+COUNTIF($AQ$7:$AQ$406,AQ185)&gt;1),TRUE,FALSE))</f>
        <v>0</v>
      </c>
      <c r="AT185" s="218" t="b">
        <f t="shared" si="1486"/>
        <v>0</v>
      </c>
      <c r="AU185" s="274"/>
      <c r="AX185" s="274"/>
      <c r="BD185" s="218" t="b">
        <f t="shared" si="1474"/>
        <v>0</v>
      </c>
      <c r="BF185" s="231" t="b">
        <f t="shared" ref="BF185" si="2042">IF(J185="",FALSE,IF(OR(AND(AU183,L185=""),AND(AU183,L185="",OR(M185&lt;&gt;"",N185&lt;&gt;"",O185&lt;&gt;"",P185&lt;&gt;""))),TRUE,FALSE))</f>
        <v>0</v>
      </c>
      <c r="BG185" s="218" t="b">
        <f t="shared" si="1476"/>
        <v>0</v>
      </c>
      <c r="BH185" s="218" t="b">
        <f t="shared" si="1488"/>
        <v>0</v>
      </c>
      <c r="BI185" s="231" t="b">
        <f t="shared" ref="BI185" si="2043">IF(J185="",FALSE,IF(L185=0,FALSE,IF(AND(AU183,NOT(BF185),OR(M185="",N185="",O185="")),TRUE,FALSE)))</f>
        <v>0</v>
      </c>
      <c r="BJ185" s="240" t="b">
        <f t="shared" si="1490"/>
        <v>0</v>
      </c>
      <c r="BK185" s="231" t="b">
        <f>IF(NOT(BJ185),FALSE,IF(AND(競技会設定!$C$5&lt;=BJ185,BJ185&lt;=競技会設定!$C$6),FALSE,TRUE))</f>
        <v>0</v>
      </c>
      <c r="BL185" s="218" t="b">
        <f>IF(J185="",FALSE,IF(L185=0,FALSE,IF(AND(AU183,NOT(BF185),NOT(BI185),P185=""),TRUE,FALSE)))</f>
        <v>0</v>
      </c>
      <c r="BO185" s="274"/>
    </row>
    <row r="186" spans="1:67" ht="18" customHeight="1" thickBot="1">
      <c r="A186" s="419"/>
      <c r="B186" s="395" t="s">
        <v>7051</v>
      </c>
      <c r="C186" s="395"/>
      <c r="D186" s="221"/>
      <c r="E186" s="372"/>
      <c r="F186" s="372"/>
      <c r="G186" s="372"/>
      <c r="H186" s="214"/>
      <c r="I186" s="214" t="s">
        <v>7065</v>
      </c>
      <c r="J186" s="219"/>
      <c r="K186" s="214" t="s">
        <v>7066</v>
      </c>
      <c r="L186" s="219"/>
      <c r="M186" s="258"/>
      <c r="N186" s="259"/>
      <c r="O186" s="260"/>
      <c r="P186" s="219"/>
      <c r="Q186" s="400"/>
      <c r="R186" s="393"/>
      <c r="S186" s="136"/>
      <c r="T186" s="137"/>
      <c r="U186" s="137"/>
      <c r="V186" s="137"/>
      <c r="W186" s="137"/>
      <c r="X186" s="137"/>
      <c r="Y186" s="218">
        <f t="shared" ref="Y186" si="2044">IF(OR(E183="",J186=""),0,J186&amp;E183)</f>
        <v>0</v>
      </c>
      <c r="Z186" s="218">
        <f>IF(Y186=0,0,COUNTIF($Y$7:Y186,Y186))</f>
        <v>0</v>
      </c>
      <c r="AD186" s="218">
        <f>IFERROR(VLOOKUP(J186,競技会設定!$P$2:$S$22,2,0),0)</f>
        <v>0</v>
      </c>
      <c r="AE186" s="218">
        <f t="shared" ref="AE186" si="2045">IF(E183="",0,IF(AD186=0,0,IF(AD186&lt;3,E183&amp;$AE$6,0)))</f>
        <v>0</v>
      </c>
      <c r="AF186" s="218">
        <f>IF(AE186=0,0,E183&amp;COUNTIF($AE$7:AE186,AE186))</f>
        <v>0</v>
      </c>
      <c r="AG186" s="218">
        <f t="shared" ref="AG186" si="2046">IF(E183="",0,IF(AD186=0,0,IF(AD186&gt;=3,E183&amp;$AG$6,0)))</f>
        <v>0</v>
      </c>
      <c r="AH186" s="218">
        <f>IF(AG186=0,0,E183&amp;COUNTIF($AG$7:AG186,AG186))</f>
        <v>0</v>
      </c>
      <c r="AI186" s="218">
        <f t="shared" ref="AI186:AI234" si="2047">IF(COUNTIF(Y186,"*十種*")&gt;0,0,IF($AD186=AI$6,$E183,0))</f>
        <v>0</v>
      </c>
      <c r="AJ186" s="218" t="b">
        <f>IF(AI186=0,FALSE,IF(COUNTIF(AI$7:AI186,AI186)&gt;1,TRUE,FALSE))</f>
        <v>0</v>
      </c>
      <c r="AK186" s="218">
        <f t="shared" ref="AK186" si="2048">IF($AD186=AK$6,$E183,0)</f>
        <v>0</v>
      </c>
      <c r="AL186" s="218" t="b">
        <f>IF(AK186=0,FALSE,IF(COUNTIF(AK$7:AK186,AK186)&gt;1,TRUE,FALSE))</f>
        <v>0</v>
      </c>
      <c r="AM186" s="218">
        <f t="shared" ref="AM186" si="2049">IF($AD186=AM$6,$E183,0)</f>
        <v>0</v>
      </c>
      <c r="AN186" s="218" t="b">
        <f>IF(AM186=0,FALSE,IF(COUNTIF(AM$7:AM186,AM186)&gt;1,TRUE,FALSE))</f>
        <v>0</v>
      </c>
      <c r="AO186" s="218">
        <f t="shared" ref="AO186" si="2050">IF($AD186=AO$6,$E183,0)</f>
        <v>0</v>
      </c>
      <c r="AP186" s="218" t="b">
        <f>IF(AO186=0,FALSE,IF(COUNTIF(AO$7:AO186,AO186)&gt;1,TRUE,FALSE))</f>
        <v>0</v>
      </c>
      <c r="AQ186" s="218">
        <f t="shared" ref="AQ186" si="2051">IF(COUNTIF(Y186,"*十種競技*")&gt;0,E183,0)</f>
        <v>0</v>
      </c>
      <c r="AR186" s="218" t="b">
        <f>IF(AQ186=0,FALSE,IF(OR(COUNTIF($AI$7:$AI$406,AQ186)+COUNTIF($AQ186:$AQ$406,AQ186)&gt;1,COUNTIF($AK$7:$AK$406,AQ186)+COUNTIF($AQ$7:$AQ$406,AQ186)&gt;1),TRUE,FALSE))</f>
        <v>0</v>
      </c>
      <c r="AT186" s="218" t="b">
        <f t="shared" si="1486"/>
        <v>0</v>
      </c>
      <c r="AU186" s="274"/>
      <c r="AX186" s="274"/>
      <c r="BD186" s="218" t="b">
        <f t="shared" si="1474"/>
        <v>0</v>
      </c>
      <c r="BF186" s="231" t="b">
        <f t="shared" ref="BF186" si="2052">IF(J186="",FALSE,IF(OR(AND(AU183,L186=""),AND(AU183,L186="",OR(M186&lt;&gt;"",N186&lt;&gt;"",O186&lt;&gt;"",P186&lt;&gt;""))),TRUE,FALSE))</f>
        <v>0</v>
      </c>
      <c r="BG186" s="218" t="b">
        <f t="shared" si="1476"/>
        <v>0</v>
      </c>
      <c r="BH186" s="218" t="b">
        <f t="shared" si="1488"/>
        <v>0</v>
      </c>
      <c r="BI186" s="231" t="b">
        <f t="shared" ref="BI186" si="2053">IF(J186="",FALSE,IF(L186=0,FALSE,IF(AND(AU183,NOT(BF186),OR(M186="",N186="",O186="")),TRUE,FALSE)))</f>
        <v>0</v>
      </c>
      <c r="BJ186" s="240" t="b">
        <f t="shared" si="1490"/>
        <v>0</v>
      </c>
      <c r="BK186" s="231" t="b">
        <f>IF(NOT(BJ186),FALSE,IF(AND(競技会設定!$C$5&lt;=BJ186,BJ186&lt;=競技会設定!$C$6),FALSE,TRUE))</f>
        <v>0</v>
      </c>
      <c r="BL186" s="218" t="b">
        <f>IF(J186="",FALSE,IF(L186=0,FALSE,IF(AND(AU183,NOT(BF186),NOT(BI186),P186=""),TRUE,FALSE)))</f>
        <v>0</v>
      </c>
      <c r="BO186" s="274"/>
    </row>
    <row r="187" spans="1:67" ht="18" customHeight="1" thickTop="1">
      <c r="A187" s="420">
        <v>46</v>
      </c>
      <c r="B187" s="373" t="s">
        <v>7050</v>
      </c>
      <c r="C187" s="375"/>
      <c r="D187" s="138" t="str">
        <f t="shared" ref="D187" si="2054">IF(C187="","",501&amp;TEXT(C187,"000000"))</f>
        <v/>
      </c>
      <c r="E187" s="377" t="str">
        <f>IF(D187="","",(VLOOKUP(D187,男子登録!$A$2:$N$2001,3,0)))</f>
        <v/>
      </c>
      <c r="F187" s="377" t="str">
        <f>IF(D187="","",(VLOOKUP(D187,男子登録!$A$2:$N$2001,4,0)))</f>
        <v/>
      </c>
      <c r="G187" s="138" t="str">
        <f>IF(C187="","",(VLOOKUP(D187,男子登録!$A$2:$N$2001,8,0)))</f>
        <v/>
      </c>
      <c r="H187" s="138">
        <f>IFERROR(VLOOKUP(D187,男子登録!$A$2:$N$2001,11,0),基本情報!$E$5)</f>
        <v>0</v>
      </c>
      <c r="I187" s="138" t="s">
        <v>7059</v>
      </c>
      <c r="J187" s="151"/>
      <c r="K187" s="138" t="s">
        <v>7060</v>
      </c>
      <c r="L187" s="151"/>
      <c r="M187" s="261"/>
      <c r="N187" s="262"/>
      <c r="O187" s="263"/>
      <c r="P187" s="151"/>
      <c r="Q187" s="381"/>
      <c r="R187" s="384"/>
      <c r="S187" s="136">
        <f t="shared" ref="S187" si="2055">IF(OR(E187="",Q187=""),0,E187)</f>
        <v>0</v>
      </c>
      <c r="T187" s="137">
        <f>IF(S187=0,0,COUNTIF($S$7:S187,"*"))</f>
        <v>0</v>
      </c>
      <c r="U187" s="137">
        <f>IF(S187=0,0,COUNTIF($S$7:S187,S187))</f>
        <v>0</v>
      </c>
      <c r="V187" s="137">
        <f t="shared" si="1691"/>
        <v>0</v>
      </c>
      <c r="W187" s="137">
        <f>IF(V187=0,0,COUNTIF($V$7:V187,"*"))</f>
        <v>0</v>
      </c>
      <c r="X187" s="137">
        <f>IF(V187=0,0,COUNTIF($V$7:V187,V187))</f>
        <v>0</v>
      </c>
      <c r="Y187" s="218">
        <f t="shared" ref="Y187" si="2056">IF(OR(E187="",J187=""),0,J187&amp;E187)</f>
        <v>0</v>
      </c>
      <c r="Z187" s="218">
        <f>IF(Y187=0,0,COUNTIF($Y$7:Y187,Y187))</f>
        <v>0</v>
      </c>
      <c r="AA187" s="218" t="b">
        <f t="shared" ref="AA187" si="2057">IF(COUNTIF(J187:J190,"十種競技")&gt;0,TRUE,FALSE)</f>
        <v>0</v>
      </c>
      <c r="AB187" s="218">
        <f>IF(E187="",0,IF(AA187,COUNTIF($AA$7:AA187,TRUE),0))</f>
        <v>0</v>
      </c>
      <c r="AC187" s="218">
        <f>IFERROR(VLOOKUP("十種競技",J187:L190,3,0),0)</f>
        <v>0</v>
      </c>
      <c r="AD187" s="218">
        <f>IFERROR(VLOOKUP(J187,競技会設定!$P$2:$S$22,2,0),0)</f>
        <v>0</v>
      </c>
      <c r="AE187" s="218">
        <f t="shared" ref="AE187" si="2058">IF(E187="",0,IF(AD187=0,0,IF(AD187&lt;3,E187&amp;$AE$6,0)))</f>
        <v>0</v>
      </c>
      <c r="AF187" s="218">
        <f>IF(AE187=0,0,E187&amp;COUNTIF($AE$7:AE187,AE187))</f>
        <v>0</v>
      </c>
      <c r="AG187" s="218">
        <f t="shared" ref="AG187" si="2059">IF(E187="",0,IF(AD187=0,0,IF(AD187&gt;=3,E187&amp;$AG$6,0)))</f>
        <v>0</v>
      </c>
      <c r="AH187" s="218">
        <f>IF(AG187=0,0,E187&amp;COUNTIF($AG$7:AG187,AG187))</f>
        <v>0</v>
      </c>
      <c r="AI187" s="218">
        <f t="shared" ref="AI187:AI235" si="2060">IF(COUNTIF(Y187,"*十種*")&gt;0,0,IF($AD187=AI$6,$E187,0))</f>
        <v>0</v>
      </c>
      <c r="AJ187" s="218" t="b">
        <f>IF(AI187=0,FALSE,IF(COUNTIF(AI$7:AI187,AI187)&gt;1,TRUE,FALSE))</f>
        <v>0</v>
      </c>
      <c r="AK187" s="218">
        <f t="shared" ref="AK187" si="2061">IF($AD187=AK$6,$E187,0)</f>
        <v>0</v>
      </c>
      <c r="AL187" s="218" t="b">
        <f>IF(AK187=0,FALSE,IF(COUNTIF(AK$7:AK187,AK187)&gt;1,TRUE,FALSE))</f>
        <v>0</v>
      </c>
      <c r="AM187" s="218">
        <f t="shared" ref="AM187" si="2062">IF($AD187=AM$6,$E187,0)</f>
        <v>0</v>
      </c>
      <c r="AN187" s="218" t="b">
        <f>IF(AM187=0,FALSE,IF(COUNTIF(AM$7:AM187,AM187)&gt;1,TRUE,FALSE))</f>
        <v>0</v>
      </c>
      <c r="AO187" s="218">
        <f t="shared" ref="AO187" si="2063">IF($AD187=AO$6,$E187,0)</f>
        <v>0</v>
      </c>
      <c r="AP187" s="218" t="b">
        <f>IF(AO187=0,FALSE,IF(COUNTIF(AO$7:AO187,AO187)&gt;1,TRUE,FALSE))</f>
        <v>0</v>
      </c>
      <c r="AQ187" s="218">
        <f t="shared" ref="AQ187" si="2064">IF(COUNTIF(Y187,"*十種競技*")&gt;0,E187,0)</f>
        <v>0</v>
      </c>
      <c r="AR187" s="218" t="b">
        <f>IF(AQ187=0,FALSE,IF(OR(COUNTIF($AI$7:$AI$406,AQ187)+COUNTIF($AQ187:$AQ$406,AQ187)&gt;1,COUNTIF($AK$7:$AK$406,AQ187)+COUNTIF($AQ$7:$AQ$406,AQ187)&gt;1),TRUE,FALSE))</f>
        <v>0</v>
      </c>
      <c r="AS187" s="218" t="b">
        <f t="shared" ref="AS187" si="2065">IF(AND(C187="",E187&lt;&gt;"",F187&lt;&gt;"",E189&lt;&gt;"",G187&lt;&gt;"",G188&lt;&gt;"",G189&lt;&gt;""),TRUE,FALSE)</f>
        <v>0</v>
      </c>
      <c r="AT187" s="218" t="b">
        <f t="shared" si="1486"/>
        <v>0</v>
      </c>
      <c r="AU187" s="274" t="b">
        <f t="shared" ref="AU187" si="2066">IFERROR(IF(D187&amp;E187&amp;F187&amp;E189&amp;G187&amp;G188&amp;G189&amp;J187&amp;J188&amp;J189&amp;J190&amp;L187&amp;L188&amp;L189&amp;L190&amp;M187&amp;M188&amp;M189&amp;M190&amp;N187&amp;N188&amp;N189&amp;N190&amp;O187&amp;O188&amp;O189&amp;O190&amp;P187&amp;P188&amp;P189&amp;P190&amp;Q187&amp;R187="",FALSE,TRUE),FALSE)</f>
        <v>0</v>
      </c>
      <c r="AV187" s="218" t="b">
        <f t="shared" ref="AV187" si="2067">IF(AS187,FALSE,IF(C187="",AU187,FALSE))</f>
        <v>0</v>
      </c>
      <c r="AW187" s="218" t="b">
        <f>IF(C187="",FALSE,IF(C187&gt;2000,TRUE,FALSE))</f>
        <v>0</v>
      </c>
      <c r="AX187" s="274" t="b">
        <f>IF(H187=0,FALSE,IF(EXACT(基本情報!$E$5,H187)=TRUE,FALSE,TRUE))</f>
        <v>0</v>
      </c>
      <c r="AY187" s="218" t="b">
        <f>IF(C187="",FALSE,IF(ISNA(E187)=TRUE,TRUE,FALSE))</f>
        <v>0</v>
      </c>
      <c r="AZ187" s="274" t="b">
        <f>IFERROR(IF(E187="",FALSE,IF(COUNTIF($E$7:E187,E187)&gt;1,TRUE,FALSE)),FALSE)</f>
        <v>0</v>
      </c>
      <c r="BA187" s="218" t="b">
        <f t="shared" ref="BA187" si="2068">IF(OR(J187&amp;J188&amp;J189&amp;J190&amp;Q187&amp;R187="",AT187,AT188,AT189,AT190),AU187,FALSE)</f>
        <v>0</v>
      </c>
      <c r="BB187" s="218" t="b">
        <f>IF(U187&gt;1,TRUE,FALSE)</f>
        <v>0</v>
      </c>
      <c r="BC187" s="218" t="b">
        <f>IF(X187&gt;1,TRUE,FALSE)</f>
        <v>0</v>
      </c>
      <c r="BD187" s="218" t="b">
        <f t="shared" si="1474"/>
        <v>0</v>
      </c>
      <c r="BF187" s="231" t="b">
        <f t="shared" ref="BF187" si="2069">IF(J187="",FALSE,IF(OR(AND(AU187,L187=""),AND(AU187,L187="",OR(M187&lt;&gt;"",N187&lt;&gt;"",O187&lt;&gt;"",P187&lt;&gt;""))),TRUE,FALSE))</f>
        <v>0</v>
      </c>
      <c r="BG187" s="218" t="b">
        <f t="shared" si="1476"/>
        <v>0</v>
      </c>
      <c r="BH187" s="218" t="b">
        <f t="shared" si="1488"/>
        <v>0</v>
      </c>
      <c r="BI187" s="231" t="b">
        <f t="shared" ref="BI187" si="2070">IF(J187="",FALSE,IF(L187=0,FALSE,IF(AND(AU187,NOT(BF187),OR(M187="",N187="",O187="")),TRUE,FALSE)))</f>
        <v>0</v>
      </c>
      <c r="BJ187" s="240" t="b">
        <f t="shared" si="1490"/>
        <v>0</v>
      </c>
      <c r="BK187" s="231" t="b">
        <f>IF(NOT(BJ187),FALSE,IF(AND(競技会設定!$C$5&lt;=BJ187,BJ187&lt;=競技会設定!$C$6),FALSE,TRUE))</f>
        <v>0</v>
      </c>
      <c r="BL187" s="218" t="b">
        <f>IF(J187="",FALSE,IF(L187=0,FALSE,IF(AND(AU187,NOT(BF187),NOT(BI187),P187=""),TRUE,FALSE)))</f>
        <v>0</v>
      </c>
      <c r="BO187" s="274">
        <f t="shared" ref="BO187" si="2071">IF(AND(AU187,SUM(COUNTIF(AV187:BC187,TRUE),COUNTIF(BF187:BL190,TRUE),COUNTIF(BD187:BD190,TRUE))=0,NOT($BE$7)),1,0)</f>
        <v>0</v>
      </c>
    </row>
    <row r="188" spans="1:67" ht="17.399999999999999" customHeight="1">
      <c r="A188" s="421"/>
      <c r="B188" s="374"/>
      <c r="C188" s="376"/>
      <c r="D188" s="139"/>
      <c r="E188" s="378"/>
      <c r="F188" s="378"/>
      <c r="G188" s="139" t="str">
        <f>IF(C187="","",(VLOOKUP(D187,男子登録!$A$2:$N$2001,13,0)))</f>
        <v/>
      </c>
      <c r="H188" s="139"/>
      <c r="I188" s="139" t="s">
        <v>7061</v>
      </c>
      <c r="J188" s="152"/>
      <c r="K188" s="139" t="s">
        <v>7062</v>
      </c>
      <c r="L188" s="152"/>
      <c r="M188" s="264"/>
      <c r="N188" s="265"/>
      <c r="O188" s="266"/>
      <c r="P188" s="152"/>
      <c r="Q188" s="382"/>
      <c r="R188" s="385"/>
      <c r="S188" s="136"/>
      <c r="T188" s="137"/>
      <c r="U188" s="137"/>
      <c r="V188" s="137"/>
      <c r="W188" s="137"/>
      <c r="X188" s="137"/>
      <c r="Y188" s="218">
        <f t="shared" ref="Y188" si="2072">IF(OR(E187="",J188=""),0,J188&amp;E187)</f>
        <v>0</v>
      </c>
      <c r="Z188" s="218">
        <f>IF(Y188=0,0,COUNTIF($Y$7:Y188,Y188))</f>
        <v>0</v>
      </c>
      <c r="AD188" s="218">
        <f>IFERROR(VLOOKUP(J188,競技会設定!$P$2:$S$22,2,0),0)</f>
        <v>0</v>
      </c>
      <c r="AE188" s="218">
        <f t="shared" ref="AE188" si="2073">IF(E187="",0,IF(AD188=0,0,IF(AD188&lt;3,E187&amp;$AE$6,0)))</f>
        <v>0</v>
      </c>
      <c r="AF188" s="218">
        <f>IF(AE188=0,0,E187&amp;COUNTIF($AE$7:AE188,AE188))</f>
        <v>0</v>
      </c>
      <c r="AG188" s="218">
        <f t="shared" ref="AG188" si="2074">IF(E187="",0,IF(AD188=0,0,IF(AD188&gt;=3,E187&amp;$AG$6,0)))</f>
        <v>0</v>
      </c>
      <c r="AH188" s="218">
        <f>IF(AG188=0,0,E187&amp;COUNTIF($AG$7:AG188,AG188))</f>
        <v>0</v>
      </c>
      <c r="AI188" s="218">
        <f t="shared" ref="AI188:AI236" si="2075">IF(COUNTIF(Y188,"*十種*")&gt;0,0,IF($AD188=AI$6,$E187,0))</f>
        <v>0</v>
      </c>
      <c r="AJ188" s="218" t="b">
        <f>IF(AI188=0,FALSE,IF(COUNTIF(AI$7:AI188,AI188)&gt;1,TRUE,FALSE))</f>
        <v>0</v>
      </c>
      <c r="AK188" s="218">
        <f t="shared" ref="AK188" si="2076">IF($AD188=AK$6,$E187,0)</f>
        <v>0</v>
      </c>
      <c r="AL188" s="218" t="b">
        <f>IF(AK188=0,FALSE,IF(COUNTIF(AK$7:AK188,AK188)&gt;1,TRUE,FALSE))</f>
        <v>0</v>
      </c>
      <c r="AM188" s="218">
        <f t="shared" ref="AM188" si="2077">IF($AD188=AM$6,$E187,0)</f>
        <v>0</v>
      </c>
      <c r="AN188" s="218" t="b">
        <f>IF(AM188=0,FALSE,IF(COUNTIF(AM$7:AM188,AM188)&gt;1,TRUE,FALSE))</f>
        <v>0</v>
      </c>
      <c r="AO188" s="218">
        <f t="shared" ref="AO188" si="2078">IF($AD188=AO$6,$E187,0)</f>
        <v>0</v>
      </c>
      <c r="AP188" s="218" t="b">
        <f>IF(AO188=0,FALSE,IF(COUNTIF(AO$7:AO188,AO188)&gt;1,TRUE,FALSE))</f>
        <v>0</v>
      </c>
      <c r="AQ188" s="218">
        <f t="shared" ref="AQ188" si="2079">IF(COUNTIF(Y188,"*十種競技*")&gt;0,E187,0)</f>
        <v>0</v>
      </c>
      <c r="AR188" s="218" t="b">
        <f>IF(AQ188=0,FALSE,IF(OR(COUNTIF($AI$7:$AI$406,AQ188)+COUNTIF($AQ188:$AQ$406,AQ188)&gt;1,COUNTIF($AK$7:$AK$406,AQ188)+COUNTIF($AQ$7:$AQ$406,AQ188)&gt;1),TRUE,FALSE))</f>
        <v>0</v>
      </c>
      <c r="AT188" s="218" t="b">
        <f t="shared" si="1486"/>
        <v>0</v>
      </c>
      <c r="AU188" s="274"/>
      <c r="AX188" s="274"/>
      <c r="BD188" s="218" t="b">
        <f t="shared" si="1474"/>
        <v>0</v>
      </c>
      <c r="BF188" s="231" t="b">
        <f t="shared" ref="BF188" si="2080">IF(J188="",FALSE,IF(OR(AND(AU187,L188=""),AND(AU187,L188="",OR(M188&lt;&gt;"",N188&lt;&gt;"",O188&lt;&gt;"",P188&lt;&gt;""))),TRUE,FALSE))</f>
        <v>0</v>
      </c>
      <c r="BG188" s="218" t="b">
        <f t="shared" si="1476"/>
        <v>0</v>
      </c>
      <c r="BH188" s="218" t="b">
        <f t="shared" si="1488"/>
        <v>0</v>
      </c>
      <c r="BI188" s="231" t="b">
        <f t="shared" ref="BI188" si="2081">IF(J188="",FALSE,IF(L188=0,FALSE,IF(AND(AU187,NOT(BF188),OR(M188="",N188="",O188="")),TRUE,FALSE)))</f>
        <v>0</v>
      </c>
      <c r="BJ188" s="240" t="b">
        <f t="shared" si="1490"/>
        <v>0</v>
      </c>
      <c r="BK188" s="231" t="b">
        <f>IF(NOT(BJ188),FALSE,IF(AND(競技会設定!$C$5&lt;=BJ188,BJ188&lt;=競技会設定!$C$6),FALSE,TRUE))</f>
        <v>0</v>
      </c>
      <c r="BL188" s="218" t="b">
        <f>IF(J188="",FALSE,IF(L188=0,FALSE,IF(AND(AU187,NOT(BF188),NOT(BI188),P188=""),TRUE,FALSE)))</f>
        <v>0</v>
      </c>
      <c r="BO188" s="274"/>
    </row>
    <row r="189" spans="1:67" ht="17.399999999999999" customHeight="1">
      <c r="A189" s="421"/>
      <c r="B189" s="374"/>
      <c r="C189" s="376"/>
      <c r="D189" s="140"/>
      <c r="E189" s="379" t="str">
        <f>IF(C187="","",VLOOKUP(D187,男子登録!$A$2:$O$2001,14,0)&amp;" ("&amp;VLOOKUP(D187,男子登録!$A$2:$O$2001,15,0)&amp;")")</f>
        <v/>
      </c>
      <c r="F189" s="380"/>
      <c r="G189" s="140" t="str">
        <f>IF(C187="","",(VLOOKUP(D187,男子登録!$A$2:$N$2001,9,0)))</f>
        <v/>
      </c>
      <c r="H189" s="140"/>
      <c r="I189" s="140" t="s">
        <v>7063</v>
      </c>
      <c r="J189" s="153"/>
      <c r="K189" s="140" t="s">
        <v>7064</v>
      </c>
      <c r="L189" s="153"/>
      <c r="M189" s="264"/>
      <c r="N189" s="265"/>
      <c r="O189" s="266"/>
      <c r="P189" s="152"/>
      <c r="Q189" s="382"/>
      <c r="R189" s="385"/>
      <c r="S189" s="136"/>
      <c r="T189" s="137"/>
      <c r="U189" s="137"/>
      <c r="V189" s="137"/>
      <c r="W189" s="137"/>
      <c r="X189" s="137"/>
      <c r="Y189" s="218">
        <f t="shared" ref="Y189" si="2082">IF(OR(E187="",J189=""),0,J189&amp;E187)</f>
        <v>0</v>
      </c>
      <c r="Z189" s="218">
        <f>IF(Y189=0,0,COUNTIF($Y$7:Y189,Y189))</f>
        <v>0</v>
      </c>
      <c r="AD189" s="218">
        <f>IFERROR(VLOOKUP(J189,競技会設定!$P$2:$S$22,2,0),0)</f>
        <v>0</v>
      </c>
      <c r="AE189" s="218">
        <f t="shared" ref="AE189" si="2083">IF(E187="",0,IF(AD189=0,0,IF(AD189&lt;3,E187&amp;$AE$6,0)))</f>
        <v>0</v>
      </c>
      <c r="AF189" s="218">
        <f>IF(AE189=0,0,E187&amp;COUNTIF($AE$7:AE189,AE189))</f>
        <v>0</v>
      </c>
      <c r="AG189" s="218">
        <f t="shared" ref="AG189" si="2084">IF(E187="",0,IF(AD189=0,0,IF(AD189&gt;=3,E187&amp;$AG$6,0)))</f>
        <v>0</v>
      </c>
      <c r="AH189" s="218">
        <f>IF(AG189=0,0,E187&amp;COUNTIF($AG$7:AG189,AG189))</f>
        <v>0</v>
      </c>
      <c r="AI189" s="218">
        <f t="shared" ref="AI189:AI237" si="2085">IF(COUNTIF(Y189,"*十種*")&gt;0,0,IF($AD189=AI$6,$E187,0))</f>
        <v>0</v>
      </c>
      <c r="AJ189" s="218" t="b">
        <f>IF(AI189=0,FALSE,IF(COUNTIF(AI$7:AI189,AI189)&gt;1,TRUE,FALSE))</f>
        <v>0</v>
      </c>
      <c r="AK189" s="218">
        <f t="shared" ref="AK189" si="2086">IF($AD189=AK$6,$E187,0)</f>
        <v>0</v>
      </c>
      <c r="AL189" s="218" t="b">
        <f>IF(AK189=0,FALSE,IF(COUNTIF(AK$7:AK189,AK189)&gt;1,TRUE,FALSE))</f>
        <v>0</v>
      </c>
      <c r="AM189" s="218">
        <f t="shared" ref="AM189" si="2087">IF($AD189=AM$6,$E187,0)</f>
        <v>0</v>
      </c>
      <c r="AN189" s="218" t="b">
        <f>IF(AM189=0,FALSE,IF(COUNTIF(AM$7:AM189,AM189)&gt;1,TRUE,FALSE))</f>
        <v>0</v>
      </c>
      <c r="AO189" s="218">
        <f t="shared" ref="AO189" si="2088">IF($AD189=AO$6,$E187,0)</f>
        <v>0</v>
      </c>
      <c r="AP189" s="218" t="b">
        <f>IF(AO189=0,FALSE,IF(COUNTIF(AO$7:AO189,AO189)&gt;1,TRUE,FALSE))</f>
        <v>0</v>
      </c>
      <c r="AQ189" s="218">
        <f t="shared" ref="AQ189" si="2089">IF(COUNTIF(Y189,"*十種競技*")&gt;0,E187,0)</f>
        <v>0</v>
      </c>
      <c r="AR189" s="218" t="b">
        <f>IF(AQ189=0,FALSE,IF(OR(COUNTIF($AI$7:$AI$406,AQ189)+COUNTIF($AQ189:$AQ$406,AQ189)&gt;1,COUNTIF($AK$7:$AK$406,AQ189)+COUNTIF($AQ$7:$AQ$406,AQ189)&gt;1),TRUE,FALSE))</f>
        <v>0</v>
      </c>
      <c r="AT189" s="218" t="b">
        <f t="shared" si="1486"/>
        <v>0</v>
      </c>
      <c r="AU189" s="274"/>
      <c r="AX189" s="274"/>
      <c r="BD189" s="218" t="b">
        <f t="shared" si="1474"/>
        <v>0</v>
      </c>
      <c r="BF189" s="231" t="b">
        <f t="shared" ref="BF189" si="2090">IF(J189="",FALSE,IF(OR(AND(AU187,L189=""),AND(AU187,L189="",OR(M189&lt;&gt;"",N189&lt;&gt;"",O189&lt;&gt;"",P189&lt;&gt;""))),TRUE,FALSE))</f>
        <v>0</v>
      </c>
      <c r="BG189" s="218" t="b">
        <f t="shared" si="1476"/>
        <v>0</v>
      </c>
      <c r="BH189" s="218" t="b">
        <f t="shared" si="1488"/>
        <v>0</v>
      </c>
      <c r="BI189" s="231" t="b">
        <f t="shared" ref="BI189" si="2091">IF(J189="",FALSE,IF(L189=0,FALSE,IF(AND(AU187,NOT(BF189),OR(M189="",N189="",O189="")),TRUE,FALSE)))</f>
        <v>0</v>
      </c>
      <c r="BJ189" s="240" t="b">
        <f t="shared" si="1490"/>
        <v>0</v>
      </c>
      <c r="BK189" s="231" t="b">
        <f>IF(NOT(BJ189),FALSE,IF(AND(競技会設定!$C$5&lt;=BJ189,BJ189&lt;=競技会設定!$C$6),FALSE,TRUE))</f>
        <v>0</v>
      </c>
      <c r="BL189" s="218" t="b">
        <f>IF(J189="",FALSE,IF(L189=0,FALSE,IF(AND(AU187,NOT(BF189),NOT(BI189),P189=""),TRUE,FALSE)))</f>
        <v>0</v>
      </c>
      <c r="BO189" s="274"/>
    </row>
    <row r="190" spans="1:67" ht="18" customHeight="1" thickBot="1">
      <c r="A190" s="422"/>
      <c r="B190" s="387" t="s">
        <v>7051</v>
      </c>
      <c r="C190" s="387"/>
      <c r="D190" s="213"/>
      <c r="E190" s="388"/>
      <c r="F190" s="389"/>
      <c r="G190" s="390"/>
      <c r="H190" s="141"/>
      <c r="I190" s="213" t="s">
        <v>7065</v>
      </c>
      <c r="J190" s="154"/>
      <c r="K190" s="213" t="s">
        <v>7066</v>
      </c>
      <c r="L190" s="154"/>
      <c r="M190" s="267"/>
      <c r="N190" s="268"/>
      <c r="O190" s="269"/>
      <c r="P190" s="154"/>
      <c r="Q190" s="383"/>
      <c r="R190" s="386"/>
      <c r="S190" s="136"/>
      <c r="T190" s="137"/>
      <c r="U190" s="137"/>
      <c r="V190" s="137"/>
      <c r="W190" s="137"/>
      <c r="X190" s="137"/>
      <c r="Y190" s="218">
        <f t="shared" ref="Y190" si="2092">IF(OR(E187="",J190=""),0,J190&amp;E187)</f>
        <v>0</v>
      </c>
      <c r="Z190" s="218">
        <f>IF(Y190=0,0,COUNTIF($Y$7:Y190,Y190))</f>
        <v>0</v>
      </c>
      <c r="AD190" s="218">
        <f>IFERROR(VLOOKUP(J190,競技会設定!$P$2:$S$22,2,0),0)</f>
        <v>0</v>
      </c>
      <c r="AE190" s="218">
        <f t="shared" ref="AE190" si="2093">IF(E187="",0,IF(AD190=0,0,IF(AD190&lt;3,E187&amp;$AE$6,0)))</f>
        <v>0</v>
      </c>
      <c r="AF190" s="218">
        <f>IF(AE190=0,0,E187&amp;COUNTIF($AE$7:AE190,AE190))</f>
        <v>0</v>
      </c>
      <c r="AG190" s="218">
        <f t="shared" ref="AG190" si="2094">IF(E187="",0,IF(AD190=0,0,IF(AD190&gt;=3,E187&amp;$AG$6,0)))</f>
        <v>0</v>
      </c>
      <c r="AH190" s="218">
        <f>IF(AG190=0,0,E187&amp;COUNTIF($AG$7:AG190,AG190))</f>
        <v>0</v>
      </c>
      <c r="AI190" s="218">
        <f t="shared" ref="AI190:AI238" si="2095">IF(COUNTIF(Y190,"*十種*")&gt;0,0,IF($AD190=AI$6,$E187,0))</f>
        <v>0</v>
      </c>
      <c r="AJ190" s="218" t="b">
        <f>IF(AI190=0,FALSE,IF(COUNTIF(AI$7:AI190,AI190)&gt;1,TRUE,FALSE))</f>
        <v>0</v>
      </c>
      <c r="AK190" s="218">
        <f t="shared" ref="AK190" si="2096">IF($AD190=AK$6,$E187,0)</f>
        <v>0</v>
      </c>
      <c r="AL190" s="218" t="b">
        <f>IF(AK190=0,FALSE,IF(COUNTIF(AK$7:AK190,AK190)&gt;1,TRUE,FALSE))</f>
        <v>0</v>
      </c>
      <c r="AM190" s="218">
        <f t="shared" ref="AM190" si="2097">IF($AD190=AM$6,$E187,0)</f>
        <v>0</v>
      </c>
      <c r="AN190" s="218" t="b">
        <f>IF(AM190=0,FALSE,IF(COUNTIF(AM$7:AM190,AM190)&gt;1,TRUE,FALSE))</f>
        <v>0</v>
      </c>
      <c r="AO190" s="218">
        <f t="shared" ref="AO190" si="2098">IF($AD190=AO$6,$E187,0)</f>
        <v>0</v>
      </c>
      <c r="AP190" s="218" t="b">
        <f>IF(AO190=0,FALSE,IF(COUNTIF(AO$7:AO190,AO190)&gt;1,TRUE,FALSE))</f>
        <v>0</v>
      </c>
      <c r="AQ190" s="218">
        <f t="shared" ref="AQ190" si="2099">IF(COUNTIF(Y190,"*十種競技*")&gt;0,E187,0)</f>
        <v>0</v>
      </c>
      <c r="AR190" s="218" t="b">
        <f>IF(AQ190=0,FALSE,IF(OR(COUNTIF($AI$7:$AI$406,AQ190)+COUNTIF($AQ190:$AQ$406,AQ190)&gt;1,COUNTIF($AK$7:$AK$406,AQ190)+COUNTIF($AQ$7:$AQ$406,AQ190)&gt;1),TRUE,FALSE))</f>
        <v>0</v>
      </c>
      <c r="AT190" s="218" t="b">
        <f t="shared" si="1486"/>
        <v>0</v>
      </c>
      <c r="AU190" s="274"/>
      <c r="AX190" s="274"/>
      <c r="BD190" s="218" t="b">
        <f t="shared" si="1474"/>
        <v>0</v>
      </c>
      <c r="BF190" s="231" t="b">
        <f t="shared" ref="BF190" si="2100">IF(J190="",FALSE,IF(OR(AND(AU187,L190=""),AND(AU187,L190="",OR(M190&lt;&gt;"",N190&lt;&gt;"",O190&lt;&gt;"",P190&lt;&gt;""))),TRUE,FALSE))</f>
        <v>0</v>
      </c>
      <c r="BG190" s="218" t="b">
        <f t="shared" si="1476"/>
        <v>0</v>
      </c>
      <c r="BH190" s="218" t="b">
        <f t="shared" si="1488"/>
        <v>0</v>
      </c>
      <c r="BI190" s="231" t="b">
        <f t="shared" ref="BI190" si="2101">IF(J190="",FALSE,IF(L190=0,FALSE,IF(AND(AU187,NOT(BF190),OR(M190="",N190="",O190="")),TRUE,FALSE)))</f>
        <v>0</v>
      </c>
      <c r="BJ190" s="240" t="b">
        <f t="shared" si="1490"/>
        <v>0</v>
      </c>
      <c r="BK190" s="231" t="b">
        <f>IF(NOT(BJ190),FALSE,IF(AND(競技会設定!$C$5&lt;=BJ190,BJ190&lt;=競技会設定!$C$6),FALSE,TRUE))</f>
        <v>0</v>
      </c>
      <c r="BL190" s="218" t="b">
        <f>IF(J190="",FALSE,IF(L190=0,FALSE,IF(AND(AU187,NOT(BF190),NOT(BI190),P190=""),TRUE,FALSE)))</f>
        <v>0</v>
      </c>
      <c r="BO190" s="274"/>
    </row>
    <row r="191" spans="1:67" ht="18" customHeight="1" thickTop="1">
      <c r="A191" s="417">
        <v>47</v>
      </c>
      <c r="B191" s="401" t="s">
        <v>7050</v>
      </c>
      <c r="C191" s="403"/>
      <c r="D191" s="220" t="str">
        <f t="shared" ref="D191" si="2102">IF(C191="","",501&amp;TEXT(C191,"000000"))</f>
        <v/>
      </c>
      <c r="E191" s="396" t="str">
        <f>IF(D191="","",(VLOOKUP(D191,男子登録!$A$2:$N$2001,3,0)))</f>
        <v/>
      </c>
      <c r="F191" s="396" t="str">
        <f>IF(D191="","",(VLOOKUP(D191,男子登録!$A$2:$N$2001,4,0)))</f>
        <v/>
      </c>
      <c r="G191" s="220" t="str">
        <f>IF(C191="","",(VLOOKUP(D191,男子登録!$A$2:$N$2001,8,0)))</f>
        <v/>
      </c>
      <c r="H191" s="220">
        <f>IFERROR(VLOOKUP(D191,男子登録!$A$2:$N$2001,11,0),基本情報!$E$5)</f>
        <v>0</v>
      </c>
      <c r="I191" s="220" t="s">
        <v>7059</v>
      </c>
      <c r="J191" s="148"/>
      <c r="K191" s="220" t="s">
        <v>7060</v>
      </c>
      <c r="L191" s="148"/>
      <c r="M191" s="252"/>
      <c r="N191" s="253"/>
      <c r="O191" s="254"/>
      <c r="P191" s="148"/>
      <c r="Q191" s="398"/>
      <c r="R191" s="391"/>
      <c r="S191" s="136">
        <f t="shared" ref="S191" si="2103">IF(OR(E191="",Q191=""),0,E191)</f>
        <v>0</v>
      </c>
      <c r="T191" s="137">
        <f>IF(S191=0,0,COUNTIF($S$7:S191,"*"))</f>
        <v>0</v>
      </c>
      <c r="U191" s="137">
        <f>IF(S191=0,0,COUNTIF($S$7:S191,S191))</f>
        <v>0</v>
      </c>
      <c r="V191" s="137">
        <f t="shared" si="1691"/>
        <v>0</v>
      </c>
      <c r="W191" s="137">
        <f>IF(V191=0,0,COUNTIF($V$7:V191,"*"))</f>
        <v>0</v>
      </c>
      <c r="X191" s="137">
        <f>IF(V191=0,0,COUNTIF($V$7:V191,V191))</f>
        <v>0</v>
      </c>
      <c r="Y191" s="218">
        <f t="shared" ref="Y191" si="2104">IF(OR(E191="",J191=""),0,J191&amp;E191)</f>
        <v>0</v>
      </c>
      <c r="Z191" s="218">
        <f>IF(Y191=0,0,COUNTIF($Y$7:Y191,Y191))</f>
        <v>0</v>
      </c>
      <c r="AA191" s="218" t="b">
        <f t="shared" ref="AA191" si="2105">IF(COUNTIF(J191:J194,"十種競技")&gt;0,TRUE,FALSE)</f>
        <v>0</v>
      </c>
      <c r="AB191" s="218">
        <f>IF(E191="",0,IF(AA191,COUNTIF($AA$7:AA191,TRUE),0))</f>
        <v>0</v>
      </c>
      <c r="AC191" s="218">
        <f>IFERROR(VLOOKUP("十種競技",J191:L194,3,0),0)</f>
        <v>0</v>
      </c>
      <c r="AD191" s="218">
        <f>IFERROR(VLOOKUP(J191,競技会設定!$P$2:$S$22,2,0),0)</f>
        <v>0</v>
      </c>
      <c r="AE191" s="218">
        <f t="shared" ref="AE191" si="2106">IF(E191="",0,IF(AD191=0,0,IF(AD191&lt;3,E191&amp;$AE$6,0)))</f>
        <v>0</v>
      </c>
      <c r="AF191" s="218">
        <f>IF(AE191=0,0,E191&amp;COUNTIF($AE$7:AE191,AE191))</f>
        <v>0</v>
      </c>
      <c r="AG191" s="218">
        <f t="shared" ref="AG191" si="2107">IF(E191="",0,IF(AD191=0,0,IF(AD191&gt;=3,E191&amp;$AG$6,0)))</f>
        <v>0</v>
      </c>
      <c r="AH191" s="218">
        <f>IF(AG191=0,0,E191&amp;COUNTIF($AG$7:AG191,AG191))</f>
        <v>0</v>
      </c>
      <c r="AI191" s="218">
        <f t="shared" ref="AI191:AI239" si="2108">IF(COUNTIF(Y191,"*十種*")&gt;0,0,IF($AD191=AI$6,$E191,0))</f>
        <v>0</v>
      </c>
      <c r="AJ191" s="218" t="b">
        <f>IF(AI191=0,FALSE,IF(COUNTIF(AI$7:AI191,AI191)&gt;1,TRUE,FALSE))</f>
        <v>0</v>
      </c>
      <c r="AK191" s="218">
        <f t="shared" ref="AK191" si="2109">IF($AD191=AK$6,$E191,0)</f>
        <v>0</v>
      </c>
      <c r="AL191" s="218" t="b">
        <f>IF(AK191=0,FALSE,IF(COUNTIF(AK$7:AK191,AK191)&gt;1,TRUE,FALSE))</f>
        <v>0</v>
      </c>
      <c r="AM191" s="218">
        <f t="shared" ref="AM191" si="2110">IF($AD191=AM$6,$E191,0)</f>
        <v>0</v>
      </c>
      <c r="AN191" s="218" t="b">
        <f>IF(AM191=0,FALSE,IF(COUNTIF(AM$7:AM191,AM191)&gt;1,TRUE,FALSE))</f>
        <v>0</v>
      </c>
      <c r="AO191" s="218">
        <f t="shared" ref="AO191" si="2111">IF($AD191=AO$6,$E191,0)</f>
        <v>0</v>
      </c>
      <c r="AP191" s="218" t="b">
        <f>IF(AO191=0,FALSE,IF(COUNTIF(AO$7:AO191,AO191)&gt;1,TRUE,FALSE))</f>
        <v>0</v>
      </c>
      <c r="AQ191" s="218">
        <f t="shared" ref="AQ191" si="2112">IF(COUNTIF(Y191,"*十種競技*")&gt;0,E191,0)</f>
        <v>0</v>
      </c>
      <c r="AR191" s="218" t="b">
        <f>IF(AQ191=0,FALSE,IF(OR(COUNTIF($AI$7:$AI$406,AQ191)+COUNTIF($AQ191:$AQ$406,AQ191)&gt;1,COUNTIF($AK$7:$AK$406,AQ191)+COUNTIF($AQ$7:$AQ$406,AQ191)&gt;1),TRUE,FALSE))</f>
        <v>0</v>
      </c>
      <c r="AS191" s="218" t="b">
        <f t="shared" ref="AS191" si="2113">IF(AND(C191="",E191&lt;&gt;"",F191&lt;&gt;"",E193&lt;&gt;"",G191&lt;&gt;"",G192&lt;&gt;"",G193&lt;&gt;""),TRUE,FALSE)</f>
        <v>0</v>
      </c>
      <c r="AT191" s="218" t="b">
        <f t="shared" si="1486"/>
        <v>0</v>
      </c>
      <c r="AU191" s="274" t="b">
        <f t="shared" ref="AU191" si="2114">IFERROR(IF(D191&amp;E191&amp;F191&amp;E193&amp;G191&amp;G192&amp;G193&amp;J191&amp;J192&amp;J193&amp;J194&amp;L191&amp;L192&amp;L193&amp;L194&amp;M191&amp;M192&amp;M193&amp;M194&amp;N191&amp;N192&amp;N193&amp;N194&amp;O191&amp;O192&amp;O193&amp;O194&amp;P191&amp;P192&amp;P193&amp;P194&amp;Q191&amp;R191="",FALSE,TRUE),FALSE)</f>
        <v>0</v>
      </c>
      <c r="AV191" s="218" t="b">
        <f t="shared" ref="AV191" si="2115">IF(AS191,FALSE,IF(C191="",AU191,FALSE))</f>
        <v>0</v>
      </c>
      <c r="AW191" s="218" t="b">
        <f>IF(C191="",FALSE,IF(C191&gt;2000,TRUE,FALSE))</f>
        <v>0</v>
      </c>
      <c r="AX191" s="274" t="b">
        <f>IF(H191=0,FALSE,IF(EXACT(基本情報!$E$5,H191)=TRUE,FALSE,TRUE))</f>
        <v>0</v>
      </c>
      <c r="AY191" s="218" t="b">
        <f>IF(C191="",FALSE,IF(ISNA(E191)=TRUE,TRUE,FALSE))</f>
        <v>0</v>
      </c>
      <c r="AZ191" s="274" t="b">
        <f>IFERROR(IF(E191="",FALSE,IF(COUNTIF($E$7:E191,E191)&gt;1,TRUE,FALSE)),FALSE)</f>
        <v>0</v>
      </c>
      <c r="BA191" s="218" t="b">
        <f t="shared" ref="BA191" si="2116">IF(OR(J191&amp;J192&amp;J193&amp;J194&amp;Q191&amp;R191="",AT191,AT192,AT193,AT194),AU191,FALSE)</f>
        <v>0</v>
      </c>
      <c r="BB191" s="218" t="b">
        <f>IF(U191&gt;1,TRUE,FALSE)</f>
        <v>0</v>
      </c>
      <c r="BC191" s="218" t="b">
        <f>IF(X191&gt;1,TRUE,FALSE)</f>
        <v>0</v>
      </c>
      <c r="BD191" s="218" t="b">
        <f t="shared" si="1474"/>
        <v>0</v>
      </c>
      <c r="BF191" s="231" t="b">
        <f t="shared" ref="BF191" si="2117">IF(J191="",FALSE,IF(OR(AND(AU191,L191=""),AND(AU191,L191="",OR(M191&lt;&gt;"",N191&lt;&gt;"",O191&lt;&gt;"",P191&lt;&gt;""))),TRUE,FALSE))</f>
        <v>0</v>
      </c>
      <c r="BG191" s="218" t="b">
        <f t="shared" si="1476"/>
        <v>0</v>
      </c>
      <c r="BH191" s="218" t="b">
        <f t="shared" si="1488"/>
        <v>0</v>
      </c>
      <c r="BI191" s="231" t="b">
        <f t="shared" ref="BI191" si="2118">IF(J191="",FALSE,IF(L191=0,FALSE,IF(AND(AU191,NOT(BF191),OR(M191="",N191="",O191="")),TRUE,FALSE)))</f>
        <v>0</v>
      </c>
      <c r="BJ191" s="240" t="b">
        <f t="shared" si="1490"/>
        <v>0</v>
      </c>
      <c r="BK191" s="231" t="b">
        <f>IF(NOT(BJ191),FALSE,IF(AND(競技会設定!$C$5&lt;=BJ191,BJ191&lt;=競技会設定!$C$6),FALSE,TRUE))</f>
        <v>0</v>
      </c>
      <c r="BL191" s="218" t="b">
        <f>IF(J191="",FALSE,IF(L191=0,FALSE,IF(AND(AU191,NOT(BF191),NOT(BI191),P191=""),TRUE,FALSE)))</f>
        <v>0</v>
      </c>
      <c r="BO191" s="274">
        <f t="shared" ref="BO191" si="2119">IF(AND(AU191,SUM(COUNTIF(AV191:BC191,TRUE),COUNTIF(BF191:BL194,TRUE),COUNTIF(BD191:BD194,TRUE))=0,NOT($BE$7)),1,0)</f>
        <v>0</v>
      </c>
    </row>
    <row r="192" spans="1:67" ht="17.399999999999999" customHeight="1">
      <c r="A192" s="418"/>
      <c r="B192" s="402"/>
      <c r="C192" s="404"/>
      <c r="D192" s="221"/>
      <c r="E192" s="397"/>
      <c r="F192" s="397"/>
      <c r="G192" s="221" t="str">
        <f>IF(C191="","",(VLOOKUP(D191,男子登録!$A$2:$N$2001,13,0)))</f>
        <v/>
      </c>
      <c r="H192" s="221"/>
      <c r="I192" s="221" t="s">
        <v>7061</v>
      </c>
      <c r="J192" s="149"/>
      <c r="K192" s="221" t="s">
        <v>7062</v>
      </c>
      <c r="L192" s="149"/>
      <c r="M192" s="255"/>
      <c r="N192" s="256"/>
      <c r="O192" s="257"/>
      <c r="P192" s="149"/>
      <c r="Q192" s="399"/>
      <c r="R192" s="392"/>
      <c r="S192" s="136"/>
      <c r="T192" s="137"/>
      <c r="U192" s="137"/>
      <c r="V192" s="137"/>
      <c r="W192" s="137"/>
      <c r="X192" s="137"/>
      <c r="Y192" s="218">
        <f t="shared" ref="Y192" si="2120">IF(OR(E191="",J192=""),0,J192&amp;E191)</f>
        <v>0</v>
      </c>
      <c r="Z192" s="218">
        <f>IF(Y192=0,0,COUNTIF($Y$7:Y192,Y192))</f>
        <v>0</v>
      </c>
      <c r="AD192" s="218">
        <f>IFERROR(VLOOKUP(J192,競技会設定!$P$2:$S$22,2,0),0)</f>
        <v>0</v>
      </c>
      <c r="AE192" s="218">
        <f t="shared" ref="AE192" si="2121">IF(E191="",0,IF(AD192=0,0,IF(AD192&lt;3,E191&amp;$AE$6,0)))</f>
        <v>0</v>
      </c>
      <c r="AF192" s="218">
        <f>IF(AE192=0,0,E191&amp;COUNTIF($AE$7:AE192,AE192))</f>
        <v>0</v>
      </c>
      <c r="AG192" s="218">
        <f t="shared" ref="AG192" si="2122">IF(E191="",0,IF(AD192=0,0,IF(AD192&gt;=3,E191&amp;$AG$6,0)))</f>
        <v>0</v>
      </c>
      <c r="AH192" s="218">
        <f>IF(AG192=0,0,E191&amp;COUNTIF($AG$7:AG192,AG192))</f>
        <v>0</v>
      </c>
      <c r="AI192" s="218">
        <f t="shared" ref="AI192:AI240" si="2123">IF(COUNTIF(Y192,"*十種*")&gt;0,0,IF($AD192=AI$6,$E191,0))</f>
        <v>0</v>
      </c>
      <c r="AJ192" s="218" t="b">
        <f>IF(AI192=0,FALSE,IF(COUNTIF(AI$7:AI192,AI192)&gt;1,TRUE,FALSE))</f>
        <v>0</v>
      </c>
      <c r="AK192" s="218">
        <f t="shared" ref="AK192" si="2124">IF($AD192=AK$6,$E191,0)</f>
        <v>0</v>
      </c>
      <c r="AL192" s="218" t="b">
        <f>IF(AK192=0,FALSE,IF(COUNTIF(AK$7:AK192,AK192)&gt;1,TRUE,FALSE))</f>
        <v>0</v>
      </c>
      <c r="AM192" s="218">
        <f t="shared" ref="AM192" si="2125">IF($AD192=AM$6,$E191,0)</f>
        <v>0</v>
      </c>
      <c r="AN192" s="218" t="b">
        <f>IF(AM192=0,FALSE,IF(COUNTIF(AM$7:AM192,AM192)&gt;1,TRUE,FALSE))</f>
        <v>0</v>
      </c>
      <c r="AO192" s="218">
        <f t="shared" ref="AO192" si="2126">IF($AD192=AO$6,$E191,0)</f>
        <v>0</v>
      </c>
      <c r="AP192" s="218" t="b">
        <f>IF(AO192=0,FALSE,IF(COUNTIF(AO$7:AO192,AO192)&gt;1,TRUE,FALSE))</f>
        <v>0</v>
      </c>
      <c r="AQ192" s="218">
        <f t="shared" ref="AQ192" si="2127">IF(COUNTIF(Y192,"*十種競技*")&gt;0,E191,0)</f>
        <v>0</v>
      </c>
      <c r="AR192" s="218" t="b">
        <f>IF(AQ192=0,FALSE,IF(OR(COUNTIF($AI$7:$AI$406,AQ192)+COUNTIF($AQ192:$AQ$406,AQ192)&gt;1,COUNTIF($AK$7:$AK$406,AQ192)+COUNTIF($AQ$7:$AQ$406,AQ192)&gt;1),TRUE,FALSE))</f>
        <v>0</v>
      </c>
      <c r="AT192" s="218" t="b">
        <f t="shared" si="1486"/>
        <v>0</v>
      </c>
      <c r="AU192" s="274"/>
      <c r="AX192" s="274"/>
      <c r="BD192" s="218" t="b">
        <f t="shared" si="1474"/>
        <v>0</v>
      </c>
      <c r="BF192" s="231" t="b">
        <f t="shared" ref="BF192" si="2128">IF(J192="",FALSE,IF(OR(AND(AU191,L192=""),AND(AU191,L192="",OR(M192&lt;&gt;"",N192&lt;&gt;"",O192&lt;&gt;"",P192&lt;&gt;""))),TRUE,FALSE))</f>
        <v>0</v>
      </c>
      <c r="BG192" s="218" t="b">
        <f t="shared" si="1476"/>
        <v>0</v>
      </c>
      <c r="BH192" s="218" t="b">
        <f t="shared" si="1488"/>
        <v>0</v>
      </c>
      <c r="BI192" s="231" t="b">
        <f t="shared" ref="BI192" si="2129">IF(J192="",FALSE,IF(L192=0,FALSE,IF(AND(AU191,NOT(BF192),OR(M192="",N192="",O192="")),TRUE,FALSE)))</f>
        <v>0</v>
      </c>
      <c r="BJ192" s="240" t="b">
        <f t="shared" si="1490"/>
        <v>0</v>
      </c>
      <c r="BK192" s="231" t="b">
        <f>IF(NOT(BJ192),FALSE,IF(AND(競技会設定!$C$5&lt;=BJ192,BJ192&lt;=競技会設定!$C$6),FALSE,TRUE))</f>
        <v>0</v>
      </c>
      <c r="BL192" s="218" t="b">
        <f>IF(J192="",FALSE,IF(L192=0,FALSE,IF(AND(AU191,NOT(BF192),NOT(BI192),P192=""),TRUE,FALSE)))</f>
        <v>0</v>
      </c>
      <c r="BO192" s="274"/>
    </row>
    <row r="193" spans="1:67" ht="17.399999999999999" customHeight="1">
      <c r="A193" s="418"/>
      <c r="B193" s="402"/>
      <c r="C193" s="404"/>
      <c r="D193" s="221"/>
      <c r="E193" s="394" t="str">
        <f>IF(C191="","",VLOOKUP(D191,男子登録!$A$2:$O$2001,14,0)&amp;" ("&amp;VLOOKUP(D191,男子登録!$A$2:$O$2001,15,0)&amp;")")</f>
        <v/>
      </c>
      <c r="F193" s="394"/>
      <c r="G193" s="222" t="str">
        <f>IF(C191="","",(VLOOKUP(D191,男子登録!$A$2:$N$2001,9,0)))</f>
        <v/>
      </c>
      <c r="H193" s="222"/>
      <c r="I193" s="222" t="s">
        <v>7063</v>
      </c>
      <c r="J193" s="150"/>
      <c r="K193" s="222" t="s">
        <v>7064</v>
      </c>
      <c r="L193" s="150"/>
      <c r="M193" s="255"/>
      <c r="N193" s="256"/>
      <c r="O193" s="257"/>
      <c r="P193" s="149"/>
      <c r="Q193" s="399"/>
      <c r="R193" s="392"/>
      <c r="S193" s="136"/>
      <c r="T193" s="137"/>
      <c r="U193" s="137"/>
      <c r="V193" s="137"/>
      <c r="W193" s="137"/>
      <c r="X193" s="137"/>
      <c r="Y193" s="218">
        <f t="shared" ref="Y193" si="2130">IF(OR(E191="",J193=""),0,J193&amp;E191)</f>
        <v>0</v>
      </c>
      <c r="Z193" s="218">
        <f>IF(Y193=0,0,COUNTIF($Y$7:Y193,Y193))</f>
        <v>0</v>
      </c>
      <c r="AD193" s="218">
        <f>IFERROR(VLOOKUP(J193,競技会設定!$P$2:$S$22,2,0),0)</f>
        <v>0</v>
      </c>
      <c r="AE193" s="218">
        <f t="shared" ref="AE193" si="2131">IF(E191="",0,IF(AD193=0,0,IF(AD193&lt;3,E191&amp;$AE$6,0)))</f>
        <v>0</v>
      </c>
      <c r="AF193" s="218">
        <f>IF(AE193=0,0,E191&amp;COUNTIF($AE$7:AE193,AE193))</f>
        <v>0</v>
      </c>
      <c r="AG193" s="218">
        <f t="shared" ref="AG193" si="2132">IF(E191="",0,IF(AD193=0,0,IF(AD193&gt;=3,E191&amp;$AG$6,0)))</f>
        <v>0</v>
      </c>
      <c r="AH193" s="218">
        <f>IF(AG193=0,0,E191&amp;COUNTIF($AG$7:AG193,AG193))</f>
        <v>0</v>
      </c>
      <c r="AI193" s="218">
        <f t="shared" ref="AI193:AI241" si="2133">IF(COUNTIF(Y193,"*十種*")&gt;0,0,IF($AD193=AI$6,$E191,0))</f>
        <v>0</v>
      </c>
      <c r="AJ193" s="218" t="b">
        <f>IF(AI193=0,FALSE,IF(COUNTIF(AI$7:AI193,AI193)&gt;1,TRUE,FALSE))</f>
        <v>0</v>
      </c>
      <c r="AK193" s="218">
        <f t="shared" ref="AK193" si="2134">IF($AD193=AK$6,$E191,0)</f>
        <v>0</v>
      </c>
      <c r="AL193" s="218" t="b">
        <f>IF(AK193=0,FALSE,IF(COUNTIF(AK$7:AK193,AK193)&gt;1,TRUE,FALSE))</f>
        <v>0</v>
      </c>
      <c r="AM193" s="218">
        <f t="shared" ref="AM193" si="2135">IF($AD193=AM$6,$E191,0)</f>
        <v>0</v>
      </c>
      <c r="AN193" s="218" t="b">
        <f>IF(AM193=0,FALSE,IF(COUNTIF(AM$7:AM193,AM193)&gt;1,TRUE,FALSE))</f>
        <v>0</v>
      </c>
      <c r="AO193" s="218">
        <f t="shared" ref="AO193" si="2136">IF($AD193=AO$6,$E191,0)</f>
        <v>0</v>
      </c>
      <c r="AP193" s="218" t="b">
        <f>IF(AO193=0,FALSE,IF(COUNTIF(AO$7:AO193,AO193)&gt;1,TRUE,FALSE))</f>
        <v>0</v>
      </c>
      <c r="AQ193" s="218">
        <f t="shared" ref="AQ193" si="2137">IF(COUNTIF(Y193,"*十種競技*")&gt;0,E191,0)</f>
        <v>0</v>
      </c>
      <c r="AR193" s="218" t="b">
        <f>IF(AQ193=0,FALSE,IF(OR(COUNTIF($AI$7:$AI$406,AQ193)+COUNTIF($AQ193:$AQ$406,AQ193)&gt;1,COUNTIF($AK$7:$AK$406,AQ193)+COUNTIF($AQ$7:$AQ$406,AQ193)&gt;1),TRUE,FALSE))</f>
        <v>0</v>
      </c>
      <c r="AT193" s="218" t="b">
        <f t="shared" si="1486"/>
        <v>0</v>
      </c>
      <c r="AU193" s="274"/>
      <c r="AX193" s="274"/>
      <c r="BD193" s="218" t="b">
        <f t="shared" si="1474"/>
        <v>0</v>
      </c>
      <c r="BF193" s="231" t="b">
        <f t="shared" ref="BF193" si="2138">IF(J193="",FALSE,IF(OR(AND(AU191,L193=""),AND(AU191,L193="",OR(M193&lt;&gt;"",N193&lt;&gt;"",O193&lt;&gt;"",P193&lt;&gt;""))),TRUE,FALSE))</f>
        <v>0</v>
      </c>
      <c r="BG193" s="218" t="b">
        <f t="shared" si="1476"/>
        <v>0</v>
      </c>
      <c r="BH193" s="218" t="b">
        <f t="shared" si="1488"/>
        <v>0</v>
      </c>
      <c r="BI193" s="231" t="b">
        <f t="shared" ref="BI193" si="2139">IF(J193="",FALSE,IF(L193=0,FALSE,IF(AND(AU191,NOT(BF193),OR(M193="",N193="",O193="")),TRUE,FALSE)))</f>
        <v>0</v>
      </c>
      <c r="BJ193" s="240" t="b">
        <f t="shared" si="1490"/>
        <v>0</v>
      </c>
      <c r="BK193" s="231" t="b">
        <f>IF(NOT(BJ193),FALSE,IF(AND(競技会設定!$C$5&lt;=BJ193,BJ193&lt;=競技会設定!$C$6),FALSE,TRUE))</f>
        <v>0</v>
      </c>
      <c r="BL193" s="218" t="b">
        <f>IF(J193="",FALSE,IF(L193=0,FALSE,IF(AND(AU191,NOT(BF193),NOT(BI193),P193=""),TRUE,FALSE)))</f>
        <v>0</v>
      </c>
      <c r="BO193" s="274"/>
    </row>
    <row r="194" spans="1:67" ht="18" customHeight="1" thickBot="1">
      <c r="A194" s="419"/>
      <c r="B194" s="395" t="s">
        <v>7051</v>
      </c>
      <c r="C194" s="395"/>
      <c r="D194" s="221"/>
      <c r="E194" s="372"/>
      <c r="F194" s="372"/>
      <c r="G194" s="372"/>
      <c r="H194" s="214"/>
      <c r="I194" s="214" t="s">
        <v>7065</v>
      </c>
      <c r="J194" s="219"/>
      <c r="K194" s="214" t="s">
        <v>7066</v>
      </c>
      <c r="L194" s="219"/>
      <c r="M194" s="258"/>
      <c r="N194" s="259"/>
      <c r="O194" s="260"/>
      <c r="P194" s="219"/>
      <c r="Q194" s="400"/>
      <c r="R194" s="393"/>
      <c r="S194" s="136"/>
      <c r="T194" s="137"/>
      <c r="U194" s="137"/>
      <c r="V194" s="137"/>
      <c r="W194" s="137"/>
      <c r="X194" s="137"/>
      <c r="Y194" s="218">
        <f t="shared" ref="Y194" si="2140">IF(OR(E191="",J194=""),0,J194&amp;E191)</f>
        <v>0</v>
      </c>
      <c r="Z194" s="218">
        <f>IF(Y194=0,0,COUNTIF($Y$7:Y194,Y194))</f>
        <v>0</v>
      </c>
      <c r="AD194" s="218">
        <f>IFERROR(VLOOKUP(J194,競技会設定!$P$2:$S$22,2,0),0)</f>
        <v>0</v>
      </c>
      <c r="AE194" s="218">
        <f t="shared" ref="AE194" si="2141">IF(E191="",0,IF(AD194=0,0,IF(AD194&lt;3,E191&amp;$AE$6,0)))</f>
        <v>0</v>
      </c>
      <c r="AF194" s="218">
        <f>IF(AE194=0,0,E191&amp;COUNTIF($AE$7:AE194,AE194))</f>
        <v>0</v>
      </c>
      <c r="AG194" s="218">
        <f t="shared" ref="AG194" si="2142">IF(E191="",0,IF(AD194=0,0,IF(AD194&gt;=3,E191&amp;$AG$6,0)))</f>
        <v>0</v>
      </c>
      <c r="AH194" s="218">
        <f>IF(AG194=0,0,E191&amp;COUNTIF($AG$7:AG194,AG194))</f>
        <v>0</v>
      </c>
      <c r="AI194" s="218">
        <f t="shared" ref="AI194:AI242" si="2143">IF(COUNTIF(Y194,"*十種*")&gt;0,0,IF($AD194=AI$6,$E191,0))</f>
        <v>0</v>
      </c>
      <c r="AJ194" s="218" t="b">
        <f>IF(AI194=0,FALSE,IF(COUNTIF(AI$7:AI194,AI194)&gt;1,TRUE,FALSE))</f>
        <v>0</v>
      </c>
      <c r="AK194" s="218">
        <f t="shared" ref="AK194" si="2144">IF($AD194=AK$6,$E191,0)</f>
        <v>0</v>
      </c>
      <c r="AL194" s="218" t="b">
        <f>IF(AK194=0,FALSE,IF(COUNTIF(AK$7:AK194,AK194)&gt;1,TRUE,FALSE))</f>
        <v>0</v>
      </c>
      <c r="AM194" s="218">
        <f t="shared" ref="AM194" si="2145">IF($AD194=AM$6,$E191,0)</f>
        <v>0</v>
      </c>
      <c r="AN194" s="218" t="b">
        <f>IF(AM194=0,FALSE,IF(COUNTIF(AM$7:AM194,AM194)&gt;1,TRUE,FALSE))</f>
        <v>0</v>
      </c>
      <c r="AO194" s="218">
        <f t="shared" ref="AO194" si="2146">IF($AD194=AO$6,$E191,0)</f>
        <v>0</v>
      </c>
      <c r="AP194" s="218" t="b">
        <f>IF(AO194=0,FALSE,IF(COUNTIF(AO$7:AO194,AO194)&gt;1,TRUE,FALSE))</f>
        <v>0</v>
      </c>
      <c r="AQ194" s="218">
        <f t="shared" ref="AQ194" si="2147">IF(COUNTIF(Y194,"*十種競技*")&gt;0,E191,0)</f>
        <v>0</v>
      </c>
      <c r="AR194" s="218" t="b">
        <f>IF(AQ194=0,FALSE,IF(OR(COUNTIF($AI$7:$AI$406,AQ194)+COUNTIF($AQ194:$AQ$406,AQ194)&gt;1,COUNTIF($AK$7:$AK$406,AQ194)+COUNTIF($AQ$7:$AQ$406,AQ194)&gt;1),TRUE,FALSE))</f>
        <v>0</v>
      </c>
      <c r="AT194" s="218" t="b">
        <f t="shared" si="1486"/>
        <v>0</v>
      </c>
      <c r="AU194" s="274"/>
      <c r="AX194" s="274"/>
      <c r="BD194" s="218" t="b">
        <f t="shared" si="1474"/>
        <v>0</v>
      </c>
      <c r="BF194" s="231" t="b">
        <f t="shared" ref="BF194" si="2148">IF(J194="",FALSE,IF(OR(AND(AU191,L194=""),AND(AU191,L194="",OR(M194&lt;&gt;"",N194&lt;&gt;"",O194&lt;&gt;"",P194&lt;&gt;""))),TRUE,FALSE))</f>
        <v>0</v>
      </c>
      <c r="BG194" s="218" t="b">
        <f t="shared" si="1476"/>
        <v>0</v>
      </c>
      <c r="BH194" s="218" t="b">
        <f t="shared" si="1488"/>
        <v>0</v>
      </c>
      <c r="BI194" s="231" t="b">
        <f t="shared" ref="BI194" si="2149">IF(J194="",FALSE,IF(L194=0,FALSE,IF(AND(AU191,NOT(BF194),OR(M194="",N194="",O194="")),TRUE,FALSE)))</f>
        <v>0</v>
      </c>
      <c r="BJ194" s="240" t="b">
        <f t="shared" si="1490"/>
        <v>0</v>
      </c>
      <c r="BK194" s="231" t="b">
        <f>IF(NOT(BJ194),FALSE,IF(AND(競技会設定!$C$5&lt;=BJ194,BJ194&lt;=競技会設定!$C$6),FALSE,TRUE))</f>
        <v>0</v>
      </c>
      <c r="BL194" s="218" t="b">
        <f>IF(J194="",FALSE,IF(L194=0,FALSE,IF(AND(AU191,NOT(BF194),NOT(BI194),P194=""),TRUE,FALSE)))</f>
        <v>0</v>
      </c>
      <c r="BO194" s="274"/>
    </row>
    <row r="195" spans="1:67" ht="18" customHeight="1" thickTop="1">
      <c r="A195" s="420">
        <v>48</v>
      </c>
      <c r="B195" s="373" t="s">
        <v>7050</v>
      </c>
      <c r="C195" s="375"/>
      <c r="D195" s="138" t="str">
        <f t="shared" ref="D195" si="2150">IF(C195="","",501&amp;TEXT(C195,"000000"))</f>
        <v/>
      </c>
      <c r="E195" s="377" t="str">
        <f>IF(D195="","",(VLOOKUP(D195,男子登録!$A$2:$N$2001,3,0)))</f>
        <v/>
      </c>
      <c r="F195" s="377" t="str">
        <f>IF(D195="","",(VLOOKUP(D195,男子登録!$A$2:$N$2001,4,0)))</f>
        <v/>
      </c>
      <c r="G195" s="138" t="str">
        <f>IF(C195="","",(VLOOKUP(D195,男子登録!$A$2:$N$2001,8,0)))</f>
        <v/>
      </c>
      <c r="H195" s="138">
        <f>IFERROR(VLOOKUP(D195,男子登録!$A$2:$N$2001,11,0),基本情報!$E$5)</f>
        <v>0</v>
      </c>
      <c r="I195" s="138" t="s">
        <v>7059</v>
      </c>
      <c r="J195" s="151"/>
      <c r="K195" s="138" t="s">
        <v>7060</v>
      </c>
      <c r="L195" s="151"/>
      <c r="M195" s="261"/>
      <c r="N195" s="262"/>
      <c r="O195" s="263"/>
      <c r="P195" s="151"/>
      <c r="Q195" s="381"/>
      <c r="R195" s="384"/>
      <c r="S195" s="136">
        <f t="shared" ref="S195" si="2151">IF(OR(E195="",Q195=""),0,E195)</f>
        <v>0</v>
      </c>
      <c r="T195" s="137">
        <f>IF(S195=0,0,COUNTIF($S$7:S195,"*"))</f>
        <v>0</v>
      </c>
      <c r="U195" s="137">
        <f>IF(S195=0,0,COUNTIF($S$7:S195,S195))</f>
        <v>0</v>
      </c>
      <c r="V195" s="137">
        <f t="shared" si="1691"/>
        <v>0</v>
      </c>
      <c r="W195" s="137">
        <f>IF(V195=0,0,COUNTIF($V$7:V195,"*"))</f>
        <v>0</v>
      </c>
      <c r="X195" s="137">
        <f>IF(V195=0,0,COUNTIF($V$7:V195,V195))</f>
        <v>0</v>
      </c>
      <c r="Y195" s="218">
        <f t="shared" ref="Y195" si="2152">IF(OR(E195="",J195=""),0,J195&amp;E195)</f>
        <v>0</v>
      </c>
      <c r="Z195" s="218">
        <f>IF(Y195=0,0,COUNTIF($Y$7:Y195,Y195))</f>
        <v>0</v>
      </c>
      <c r="AA195" s="218" t="b">
        <f t="shared" ref="AA195" si="2153">IF(COUNTIF(J195:J198,"十種競技")&gt;0,TRUE,FALSE)</f>
        <v>0</v>
      </c>
      <c r="AB195" s="218">
        <f>IF(E195="",0,IF(AA195,COUNTIF($AA$7:AA195,TRUE),0))</f>
        <v>0</v>
      </c>
      <c r="AC195" s="218">
        <f>IFERROR(VLOOKUP("十種競技",J195:L198,3,0),0)</f>
        <v>0</v>
      </c>
      <c r="AD195" s="218">
        <f>IFERROR(VLOOKUP(J195,競技会設定!$P$2:$S$22,2,0),0)</f>
        <v>0</v>
      </c>
      <c r="AE195" s="218">
        <f t="shared" ref="AE195" si="2154">IF(E195="",0,IF(AD195=0,0,IF(AD195&lt;3,E195&amp;$AE$6,0)))</f>
        <v>0</v>
      </c>
      <c r="AF195" s="218">
        <f>IF(AE195=0,0,E195&amp;COUNTIF($AE$7:AE195,AE195))</f>
        <v>0</v>
      </c>
      <c r="AG195" s="218">
        <f t="shared" ref="AG195" si="2155">IF(E195="",0,IF(AD195=0,0,IF(AD195&gt;=3,E195&amp;$AG$6,0)))</f>
        <v>0</v>
      </c>
      <c r="AH195" s="218">
        <f>IF(AG195=0,0,E195&amp;COUNTIF($AG$7:AG195,AG195))</f>
        <v>0</v>
      </c>
      <c r="AI195" s="218">
        <f t="shared" ref="AI195:AI243" si="2156">IF(COUNTIF(Y195,"*十種*")&gt;0,0,IF($AD195=AI$6,$E195,0))</f>
        <v>0</v>
      </c>
      <c r="AJ195" s="218" t="b">
        <f>IF(AI195=0,FALSE,IF(COUNTIF(AI$7:AI195,AI195)&gt;1,TRUE,FALSE))</f>
        <v>0</v>
      </c>
      <c r="AK195" s="218">
        <f t="shared" ref="AK195" si="2157">IF($AD195=AK$6,$E195,0)</f>
        <v>0</v>
      </c>
      <c r="AL195" s="218" t="b">
        <f>IF(AK195=0,FALSE,IF(COUNTIF(AK$7:AK195,AK195)&gt;1,TRUE,FALSE))</f>
        <v>0</v>
      </c>
      <c r="AM195" s="218">
        <f t="shared" ref="AM195" si="2158">IF($AD195=AM$6,$E195,0)</f>
        <v>0</v>
      </c>
      <c r="AN195" s="218" t="b">
        <f>IF(AM195=0,FALSE,IF(COUNTIF(AM$7:AM195,AM195)&gt;1,TRUE,FALSE))</f>
        <v>0</v>
      </c>
      <c r="AO195" s="218">
        <f t="shared" ref="AO195" si="2159">IF($AD195=AO$6,$E195,0)</f>
        <v>0</v>
      </c>
      <c r="AP195" s="218" t="b">
        <f>IF(AO195=0,FALSE,IF(COUNTIF(AO$7:AO195,AO195)&gt;1,TRUE,FALSE))</f>
        <v>0</v>
      </c>
      <c r="AQ195" s="218">
        <f t="shared" ref="AQ195" si="2160">IF(COUNTIF(Y195,"*十種競技*")&gt;0,E195,0)</f>
        <v>0</v>
      </c>
      <c r="AR195" s="218" t="b">
        <f>IF(AQ195=0,FALSE,IF(OR(COUNTIF($AI$7:$AI$406,AQ195)+COUNTIF($AQ195:$AQ$406,AQ195)&gt;1,COUNTIF($AK$7:$AK$406,AQ195)+COUNTIF($AQ$7:$AQ$406,AQ195)&gt;1),TRUE,FALSE))</f>
        <v>0</v>
      </c>
      <c r="AS195" s="218" t="b">
        <f t="shared" ref="AS195" si="2161">IF(AND(C195="",E195&lt;&gt;"",F195&lt;&gt;"",E197&lt;&gt;"",G195&lt;&gt;"",G196&lt;&gt;"",G197&lt;&gt;""),TRUE,FALSE)</f>
        <v>0</v>
      </c>
      <c r="AT195" s="218" t="b">
        <f t="shared" si="1486"/>
        <v>0</v>
      </c>
      <c r="AU195" s="274" t="b">
        <f t="shared" ref="AU195" si="2162">IFERROR(IF(D195&amp;E195&amp;F195&amp;E197&amp;G195&amp;G196&amp;G197&amp;J195&amp;J196&amp;J197&amp;J198&amp;L195&amp;L196&amp;L197&amp;L198&amp;M195&amp;M196&amp;M197&amp;M198&amp;N195&amp;N196&amp;N197&amp;N198&amp;O195&amp;O196&amp;O197&amp;O198&amp;P195&amp;P196&amp;P197&amp;P198&amp;Q195&amp;R195="",FALSE,TRUE),FALSE)</f>
        <v>0</v>
      </c>
      <c r="AV195" s="218" t="b">
        <f t="shared" ref="AV195" si="2163">IF(AS195,FALSE,IF(C195="",AU195,FALSE))</f>
        <v>0</v>
      </c>
      <c r="AW195" s="218" t="b">
        <f>IF(C195="",FALSE,IF(C195&gt;2000,TRUE,FALSE))</f>
        <v>0</v>
      </c>
      <c r="AX195" s="274" t="b">
        <f>IF(H195=0,FALSE,IF(EXACT(基本情報!$E$5,H195)=TRUE,FALSE,TRUE))</f>
        <v>0</v>
      </c>
      <c r="AY195" s="218" t="b">
        <f>IF(C195="",FALSE,IF(ISNA(E195)=TRUE,TRUE,FALSE))</f>
        <v>0</v>
      </c>
      <c r="AZ195" s="274" t="b">
        <f>IFERROR(IF(E195="",FALSE,IF(COUNTIF($E$7:E195,E195)&gt;1,TRUE,FALSE)),FALSE)</f>
        <v>0</v>
      </c>
      <c r="BA195" s="218" t="b">
        <f t="shared" ref="BA195" si="2164">IF(OR(J195&amp;J196&amp;J197&amp;J198&amp;Q195&amp;R195="",AT195,AT196,AT197,AT198),AU195,FALSE)</f>
        <v>0</v>
      </c>
      <c r="BB195" s="218" t="b">
        <f>IF(U195&gt;1,TRUE,FALSE)</f>
        <v>0</v>
      </c>
      <c r="BC195" s="218" t="b">
        <f>IF(X195&gt;1,TRUE,FALSE)</f>
        <v>0</v>
      </c>
      <c r="BD195" s="218" t="b">
        <f t="shared" si="1474"/>
        <v>0</v>
      </c>
      <c r="BF195" s="231" t="b">
        <f t="shared" ref="BF195" si="2165">IF(J195="",FALSE,IF(OR(AND(AU195,L195=""),AND(AU195,L195="",OR(M195&lt;&gt;"",N195&lt;&gt;"",O195&lt;&gt;"",P195&lt;&gt;""))),TRUE,FALSE))</f>
        <v>0</v>
      </c>
      <c r="BG195" s="218" t="b">
        <f t="shared" si="1476"/>
        <v>0</v>
      </c>
      <c r="BH195" s="218" t="b">
        <f t="shared" si="1488"/>
        <v>0</v>
      </c>
      <c r="BI195" s="231" t="b">
        <f t="shared" ref="BI195" si="2166">IF(J195="",FALSE,IF(L195=0,FALSE,IF(AND(AU195,NOT(BF195),OR(M195="",N195="",O195="")),TRUE,FALSE)))</f>
        <v>0</v>
      </c>
      <c r="BJ195" s="240" t="b">
        <f t="shared" si="1490"/>
        <v>0</v>
      </c>
      <c r="BK195" s="231" t="b">
        <f>IF(NOT(BJ195),FALSE,IF(AND(競技会設定!$C$5&lt;=BJ195,BJ195&lt;=競技会設定!$C$6),FALSE,TRUE))</f>
        <v>0</v>
      </c>
      <c r="BL195" s="218" t="b">
        <f>IF(J195="",FALSE,IF(L195=0,FALSE,IF(AND(AU195,NOT(BF195),NOT(BI195),P195=""),TRUE,FALSE)))</f>
        <v>0</v>
      </c>
      <c r="BO195" s="274">
        <f t="shared" ref="BO195" si="2167">IF(AND(AU195,SUM(COUNTIF(AV195:BC195,TRUE),COUNTIF(BF195:BL198,TRUE),COUNTIF(BD195:BD198,TRUE))=0,NOT($BE$7)),1,0)</f>
        <v>0</v>
      </c>
    </row>
    <row r="196" spans="1:67" ht="17.399999999999999" customHeight="1">
      <c r="A196" s="421"/>
      <c r="B196" s="374"/>
      <c r="C196" s="376"/>
      <c r="D196" s="139"/>
      <c r="E196" s="378"/>
      <c r="F196" s="378"/>
      <c r="G196" s="139" t="str">
        <f>IF(C195="","",(VLOOKUP(D195,男子登録!$A$2:$N$2001,13,0)))</f>
        <v/>
      </c>
      <c r="H196" s="139"/>
      <c r="I196" s="139" t="s">
        <v>7061</v>
      </c>
      <c r="J196" s="152"/>
      <c r="K196" s="139" t="s">
        <v>7062</v>
      </c>
      <c r="L196" s="152"/>
      <c r="M196" s="264"/>
      <c r="N196" s="265"/>
      <c r="O196" s="266"/>
      <c r="P196" s="152"/>
      <c r="Q196" s="382"/>
      <c r="R196" s="385"/>
      <c r="S196" s="136"/>
      <c r="T196" s="137"/>
      <c r="U196" s="137"/>
      <c r="V196" s="137"/>
      <c r="W196" s="137"/>
      <c r="X196" s="137"/>
      <c r="Y196" s="218">
        <f t="shared" ref="Y196" si="2168">IF(OR(E195="",J196=""),0,J196&amp;E195)</f>
        <v>0</v>
      </c>
      <c r="Z196" s="218">
        <f>IF(Y196=0,0,COUNTIF($Y$7:Y196,Y196))</f>
        <v>0</v>
      </c>
      <c r="AD196" s="218">
        <f>IFERROR(VLOOKUP(J196,競技会設定!$P$2:$S$22,2,0),0)</f>
        <v>0</v>
      </c>
      <c r="AE196" s="218">
        <f t="shared" ref="AE196" si="2169">IF(E195="",0,IF(AD196=0,0,IF(AD196&lt;3,E195&amp;$AE$6,0)))</f>
        <v>0</v>
      </c>
      <c r="AF196" s="218">
        <f>IF(AE196=0,0,E195&amp;COUNTIF($AE$7:AE196,AE196))</f>
        <v>0</v>
      </c>
      <c r="AG196" s="218">
        <f t="shared" ref="AG196" si="2170">IF(E195="",0,IF(AD196=0,0,IF(AD196&gt;=3,E195&amp;$AG$6,0)))</f>
        <v>0</v>
      </c>
      <c r="AH196" s="218">
        <f>IF(AG196=0,0,E195&amp;COUNTIF($AG$7:AG196,AG196))</f>
        <v>0</v>
      </c>
      <c r="AI196" s="218">
        <f t="shared" ref="AI196:AI244" si="2171">IF(COUNTIF(Y196,"*十種*")&gt;0,0,IF($AD196=AI$6,$E195,0))</f>
        <v>0</v>
      </c>
      <c r="AJ196" s="218" t="b">
        <f>IF(AI196=0,FALSE,IF(COUNTIF(AI$7:AI196,AI196)&gt;1,TRUE,FALSE))</f>
        <v>0</v>
      </c>
      <c r="AK196" s="218">
        <f t="shared" ref="AK196" si="2172">IF($AD196=AK$6,$E195,0)</f>
        <v>0</v>
      </c>
      <c r="AL196" s="218" t="b">
        <f>IF(AK196=0,FALSE,IF(COUNTIF(AK$7:AK196,AK196)&gt;1,TRUE,FALSE))</f>
        <v>0</v>
      </c>
      <c r="AM196" s="218">
        <f t="shared" ref="AM196" si="2173">IF($AD196=AM$6,$E195,0)</f>
        <v>0</v>
      </c>
      <c r="AN196" s="218" t="b">
        <f>IF(AM196=0,FALSE,IF(COUNTIF(AM$7:AM196,AM196)&gt;1,TRUE,FALSE))</f>
        <v>0</v>
      </c>
      <c r="AO196" s="218">
        <f t="shared" ref="AO196" si="2174">IF($AD196=AO$6,$E195,0)</f>
        <v>0</v>
      </c>
      <c r="AP196" s="218" t="b">
        <f>IF(AO196=0,FALSE,IF(COUNTIF(AO$7:AO196,AO196)&gt;1,TRUE,FALSE))</f>
        <v>0</v>
      </c>
      <c r="AQ196" s="218">
        <f t="shared" ref="AQ196" si="2175">IF(COUNTIF(Y196,"*十種競技*")&gt;0,E195,0)</f>
        <v>0</v>
      </c>
      <c r="AR196" s="218" t="b">
        <f>IF(AQ196=0,FALSE,IF(OR(COUNTIF($AI$7:$AI$406,AQ196)+COUNTIF($AQ196:$AQ$406,AQ196)&gt;1,COUNTIF($AK$7:$AK$406,AQ196)+COUNTIF($AQ$7:$AQ$406,AQ196)&gt;1),TRUE,FALSE))</f>
        <v>0</v>
      </c>
      <c r="AT196" s="218" t="b">
        <f t="shared" si="1486"/>
        <v>0</v>
      </c>
      <c r="AU196" s="274"/>
      <c r="AX196" s="274"/>
      <c r="BD196" s="218" t="b">
        <f t="shared" si="1474"/>
        <v>0</v>
      </c>
      <c r="BF196" s="231" t="b">
        <f t="shared" ref="BF196" si="2176">IF(J196="",FALSE,IF(OR(AND(AU195,L196=""),AND(AU195,L196="",OR(M196&lt;&gt;"",N196&lt;&gt;"",O196&lt;&gt;"",P196&lt;&gt;""))),TRUE,FALSE))</f>
        <v>0</v>
      </c>
      <c r="BG196" s="218" t="b">
        <f t="shared" si="1476"/>
        <v>0</v>
      </c>
      <c r="BH196" s="218" t="b">
        <f t="shared" si="1488"/>
        <v>0</v>
      </c>
      <c r="BI196" s="231" t="b">
        <f t="shared" ref="BI196" si="2177">IF(J196="",FALSE,IF(L196=0,FALSE,IF(AND(AU195,NOT(BF196),OR(M196="",N196="",O196="")),TRUE,FALSE)))</f>
        <v>0</v>
      </c>
      <c r="BJ196" s="240" t="b">
        <f t="shared" si="1490"/>
        <v>0</v>
      </c>
      <c r="BK196" s="231" t="b">
        <f>IF(NOT(BJ196),FALSE,IF(AND(競技会設定!$C$5&lt;=BJ196,BJ196&lt;=競技会設定!$C$6),FALSE,TRUE))</f>
        <v>0</v>
      </c>
      <c r="BL196" s="218" t="b">
        <f>IF(J196="",FALSE,IF(L196=0,FALSE,IF(AND(AU195,NOT(BF196),NOT(BI196),P196=""),TRUE,FALSE)))</f>
        <v>0</v>
      </c>
      <c r="BO196" s="274"/>
    </row>
    <row r="197" spans="1:67" ht="17.399999999999999" customHeight="1">
      <c r="A197" s="421"/>
      <c r="B197" s="374"/>
      <c r="C197" s="376"/>
      <c r="D197" s="140"/>
      <c r="E197" s="379" t="str">
        <f>IF(C195="","",VLOOKUP(D195,男子登録!$A$2:$O$2001,14,0)&amp;" ("&amp;VLOOKUP(D195,男子登録!$A$2:$O$2001,15,0)&amp;")")</f>
        <v/>
      </c>
      <c r="F197" s="380"/>
      <c r="G197" s="140" t="str">
        <f>IF(C195="","",(VLOOKUP(D195,男子登録!$A$2:$N$2001,9,0)))</f>
        <v/>
      </c>
      <c r="H197" s="140"/>
      <c r="I197" s="140" t="s">
        <v>7063</v>
      </c>
      <c r="J197" s="153"/>
      <c r="K197" s="140" t="s">
        <v>7064</v>
      </c>
      <c r="L197" s="153"/>
      <c r="M197" s="264"/>
      <c r="N197" s="265"/>
      <c r="O197" s="266"/>
      <c r="P197" s="152"/>
      <c r="Q197" s="382"/>
      <c r="R197" s="385"/>
      <c r="S197" s="136"/>
      <c r="T197" s="137"/>
      <c r="U197" s="137"/>
      <c r="V197" s="137"/>
      <c r="W197" s="137"/>
      <c r="X197" s="137"/>
      <c r="Y197" s="218">
        <f t="shared" ref="Y197" si="2178">IF(OR(E195="",J197=""),0,J197&amp;E195)</f>
        <v>0</v>
      </c>
      <c r="Z197" s="218">
        <f>IF(Y197=0,0,COUNTIF($Y$7:Y197,Y197))</f>
        <v>0</v>
      </c>
      <c r="AD197" s="218">
        <f>IFERROR(VLOOKUP(J197,競技会設定!$P$2:$S$22,2,0),0)</f>
        <v>0</v>
      </c>
      <c r="AE197" s="218">
        <f t="shared" ref="AE197" si="2179">IF(E195="",0,IF(AD197=0,0,IF(AD197&lt;3,E195&amp;$AE$6,0)))</f>
        <v>0</v>
      </c>
      <c r="AF197" s="218">
        <f>IF(AE197=0,0,E195&amp;COUNTIF($AE$7:AE197,AE197))</f>
        <v>0</v>
      </c>
      <c r="AG197" s="218">
        <f t="shared" ref="AG197" si="2180">IF(E195="",0,IF(AD197=0,0,IF(AD197&gt;=3,E195&amp;$AG$6,0)))</f>
        <v>0</v>
      </c>
      <c r="AH197" s="218">
        <f>IF(AG197=0,0,E195&amp;COUNTIF($AG$7:AG197,AG197))</f>
        <v>0</v>
      </c>
      <c r="AI197" s="218">
        <f t="shared" ref="AI197:AI245" si="2181">IF(COUNTIF(Y197,"*十種*")&gt;0,0,IF($AD197=AI$6,$E195,0))</f>
        <v>0</v>
      </c>
      <c r="AJ197" s="218" t="b">
        <f>IF(AI197=0,FALSE,IF(COUNTIF(AI$7:AI197,AI197)&gt;1,TRUE,FALSE))</f>
        <v>0</v>
      </c>
      <c r="AK197" s="218">
        <f t="shared" ref="AK197" si="2182">IF($AD197=AK$6,$E195,0)</f>
        <v>0</v>
      </c>
      <c r="AL197" s="218" t="b">
        <f>IF(AK197=0,FALSE,IF(COUNTIF(AK$7:AK197,AK197)&gt;1,TRUE,FALSE))</f>
        <v>0</v>
      </c>
      <c r="AM197" s="218">
        <f t="shared" ref="AM197" si="2183">IF($AD197=AM$6,$E195,0)</f>
        <v>0</v>
      </c>
      <c r="AN197" s="218" t="b">
        <f>IF(AM197=0,FALSE,IF(COUNTIF(AM$7:AM197,AM197)&gt;1,TRUE,FALSE))</f>
        <v>0</v>
      </c>
      <c r="AO197" s="218">
        <f t="shared" ref="AO197" si="2184">IF($AD197=AO$6,$E195,0)</f>
        <v>0</v>
      </c>
      <c r="AP197" s="218" t="b">
        <f>IF(AO197=0,FALSE,IF(COUNTIF(AO$7:AO197,AO197)&gt;1,TRUE,FALSE))</f>
        <v>0</v>
      </c>
      <c r="AQ197" s="218">
        <f t="shared" ref="AQ197" si="2185">IF(COUNTIF(Y197,"*十種競技*")&gt;0,E195,0)</f>
        <v>0</v>
      </c>
      <c r="AR197" s="218" t="b">
        <f>IF(AQ197=0,FALSE,IF(OR(COUNTIF($AI$7:$AI$406,AQ197)+COUNTIF($AQ197:$AQ$406,AQ197)&gt;1,COUNTIF($AK$7:$AK$406,AQ197)+COUNTIF($AQ$7:$AQ$406,AQ197)&gt;1),TRUE,FALSE))</f>
        <v>0</v>
      </c>
      <c r="AT197" s="218" t="b">
        <f t="shared" si="1486"/>
        <v>0</v>
      </c>
      <c r="AU197" s="274"/>
      <c r="AX197" s="274"/>
      <c r="BD197" s="218" t="b">
        <f t="shared" si="1474"/>
        <v>0</v>
      </c>
      <c r="BF197" s="231" t="b">
        <f t="shared" ref="BF197" si="2186">IF(J197="",FALSE,IF(OR(AND(AU195,L197=""),AND(AU195,L197="",OR(M197&lt;&gt;"",N197&lt;&gt;"",O197&lt;&gt;"",P197&lt;&gt;""))),TRUE,FALSE))</f>
        <v>0</v>
      </c>
      <c r="BG197" s="218" t="b">
        <f t="shared" si="1476"/>
        <v>0</v>
      </c>
      <c r="BH197" s="218" t="b">
        <f t="shared" si="1488"/>
        <v>0</v>
      </c>
      <c r="BI197" s="231" t="b">
        <f t="shared" ref="BI197" si="2187">IF(J197="",FALSE,IF(L197=0,FALSE,IF(AND(AU195,NOT(BF197),OR(M197="",N197="",O197="")),TRUE,FALSE)))</f>
        <v>0</v>
      </c>
      <c r="BJ197" s="240" t="b">
        <f t="shared" si="1490"/>
        <v>0</v>
      </c>
      <c r="BK197" s="231" t="b">
        <f>IF(NOT(BJ197),FALSE,IF(AND(競技会設定!$C$5&lt;=BJ197,BJ197&lt;=競技会設定!$C$6),FALSE,TRUE))</f>
        <v>0</v>
      </c>
      <c r="BL197" s="218" t="b">
        <f>IF(J197="",FALSE,IF(L197=0,FALSE,IF(AND(AU195,NOT(BF197),NOT(BI197),P197=""),TRUE,FALSE)))</f>
        <v>0</v>
      </c>
      <c r="BO197" s="274"/>
    </row>
    <row r="198" spans="1:67" ht="18" customHeight="1" thickBot="1">
      <c r="A198" s="422"/>
      <c r="B198" s="387" t="s">
        <v>7051</v>
      </c>
      <c r="C198" s="387"/>
      <c r="D198" s="213"/>
      <c r="E198" s="388"/>
      <c r="F198" s="389"/>
      <c r="G198" s="390"/>
      <c r="H198" s="141"/>
      <c r="I198" s="213" t="s">
        <v>7065</v>
      </c>
      <c r="J198" s="154"/>
      <c r="K198" s="213" t="s">
        <v>7066</v>
      </c>
      <c r="L198" s="154"/>
      <c r="M198" s="267"/>
      <c r="N198" s="268"/>
      <c r="O198" s="269"/>
      <c r="P198" s="154"/>
      <c r="Q198" s="383"/>
      <c r="R198" s="386"/>
      <c r="S198" s="136"/>
      <c r="T198" s="137"/>
      <c r="U198" s="137"/>
      <c r="V198" s="137"/>
      <c r="W198" s="137"/>
      <c r="X198" s="137"/>
      <c r="Y198" s="218">
        <f t="shared" ref="Y198" si="2188">IF(OR(E195="",J198=""),0,J198&amp;E195)</f>
        <v>0</v>
      </c>
      <c r="Z198" s="218">
        <f>IF(Y198=0,0,COUNTIF($Y$7:Y198,Y198))</f>
        <v>0</v>
      </c>
      <c r="AD198" s="218">
        <f>IFERROR(VLOOKUP(J198,競技会設定!$P$2:$S$22,2,0),0)</f>
        <v>0</v>
      </c>
      <c r="AE198" s="218">
        <f t="shared" ref="AE198" si="2189">IF(E195="",0,IF(AD198=0,0,IF(AD198&lt;3,E195&amp;$AE$6,0)))</f>
        <v>0</v>
      </c>
      <c r="AF198" s="218">
        <f>IF(AE198=0,0,E195&amp;COUNTIF($AE$7:AE198,AE198))</f>
        <v>0</v>
      </c>
      <c r="AG198" s="218">
        <f t="shared" ref="AG198" si="2190">IF(E195="",0,IF(AD198=0,0,IF(AD198&gt;=3,E195&amp;$AG$6,0)))</f>
        <v>0</v>
      </c>
      <c r="AH198" s="218">
        <f>IF(AG198=0,0,E195&amp;COUNTIF($AG$7:AG198,AG198))</f>
        <v>0</v>
      </c>
      <c r="AI198" s="218">
        <f t="shared" ref="AI198:AI246" si="2191">IF(COUNTIF(Y198,"*十種*")&gt;0,0,IF($AD198=AI$6,$E195,0))</f>
        <v>0</v>
      </c>
      <c r="AJ198" s="218" t="b">
        <f>IF(AI198=0,FALSE,IF(COUNTIF(AI$7:AI198,AI198)&gt;1,TRUE,FALSE))</f>
        <v>0</v>
      </c>
      <c r="AK198" s="218">
        <f t="shared" ref="AK198" si="2192">IF($AD198=AK$6,$E195,0)</f>
        <v>0</v>
      </c>
      <c r="AL198" s="218" t="b">
        <f>IF(AK198=0,FALSE,IF(COUNTIF(AK$7:AK198,AK198)&gt;1,TRUE,FALSE))</f>
        <v>0</v>
      </c>
      <c r="AM198" s="218">
        <f t="shared" ref="AM198" si="2193">IF($AD198=AM$6,$E195,0)</f>
        <v>0</v>
      </c>
      <c r="AN198" s="218" t="b">
        <f>IF(AM198=0,FALSE,IF(COUNTIF(AM$7:AM198,AM198)&gt;1,TRUE,FALSE))</f>
        <v>0</v>
      </c>
      <c r="AO198" s="218">
        <f t="shared" ref="AO198" si="2194">IF($AD198=AO$6,$E195,0)</f>
        <v>0</v>
      </c>
      <c r="AP198" s="218" t="b">
        <f>IF(AO198=0,FALSE,IF(COUNTIF(AO$7:AO198,AO198)&gt;1,TRUE,FALSE))</f>
        <v>0</v>
      </c>
      <c r="AQ198" s="218">
        <f t="shared" ref="AQ198" si="2195">IF(COUNTIF(Y198,"*十種競技*")&gt;0,E195,0)</f>
        <v>0</v>
      </c>
      <c r="AR198" s="218" t="b">
        <f>IF(AQ198=0,FALSE,IF(OR(COUNTIF($AI$7:$AI$406,AQ198)+COUNTIF($AQ198:$AQ$406,AQ198)&gt;1,COUNTIF($AK$7:$AK$406,AQ198)+COUNTIF($AQ$7:$AQ$406,AQ198)&gt;1),TRUE,FALSE))</f>
        <v>0</v>
      </c>
      <c r="AT198" s="218" t="b">
        <f t="shared" si="1486"/>
        <v>0</v>
      </c>
      <c r="AU198" s="274"/>
      <c r="AX198" s="274"/>
      <c r="BD198" s="218" t="b">
        <f t="shared" si="1474"/>
        <v>0</v>
      </c>
      <c r="BF198" s="231" t="b">
        <f t="shared" ref="BF198" si="2196">IF(J198="",FALSE,IF(OR(AND(AU195,L198=""),AND(AU195,L198="",OR(M198&lt;&gt;"",N198&lt;&gt;"",O198&lt;&gt;"",P198&lt;&gt;""))),TRUE,FALSE))</f>
        <v>0</v>
      </c>
      <c r="BG198" s="218" t="b">
        <f t="shared" si="1476"/>
        <v>0</v>
      </c>
      <c r="BH198" s="218" t="b">
        <f t="shared" si="1488"/>
        <v>0</v>
      </c>
      <c r="BI198" s="231" t="b">
        <f t="shared" ref="BI198" si="2197">IF(J198="",FALSE,IF(L198=0,FALSE,IF(AND(AU195,NOT(BF198),OR(M198="",N198="",O198="")),TRUE,FALSE)))</f>
        <v>0</v>
      </c>
      <c r="BJ198" s="240" t="b">
        <f t="shared" si="1490"/>
        <v>0</v>
      </c>
      <c r="BK198" s="231" t="b">
        <f>IF(NOT(BJ198),FALSE,IF(AND(競技会設定!$C$5&lt;=BJ198,BJ198&lt;=競技会設定!$C$6),FALSE,TRUE))</f>
        <v>0</v>
      </c>
      <c r="BL198" s="218" t="b">
        <f>IF(J198="",FALSE,IF(L198=0,FALSE,IF(AND(AU195,NOT(BF198),NOT(BI198),P198=""),TRUE,FALSE)))</f>
        <v>0</v>
      </c>
      <c r="BO198" s="274"/>
    </row>
    <row r="199" spans="1:67" ht="18" customHeight="1" thickTop="1">
      <c r="A199" s="417">
        <v>49</v>
      </c>
      <c r="B199" s="401" t="s">
        <v>7050</v>
      </c>
      <c r="C199" s="403"/>
      <c r="D199" s="220" t="str">
        <f t="shared" ref="D199" si="2198">IF(C199="","",501&amp;TEXT(C199,"000000"))</f>
        <v/>
      </c>
      <c r="E199" s="396" t="str">
        <f>IF(D199="","",(VLOOKUP(D199,男子登録!$A$2:$N$2001,3,0)))</f>
        <v/>
      </c>
      <c r="F199" s="396" t="str">
        <f>IF(D199="","",(VLOOKUP(D199,男子登録!$A$2:$N$2001,4,0)))</f>
        <v/>
      </c>
      <c r="G199" s="220" t="str">
        <f>IF(C199="","",(VLOOKUP(D199,男子登録!$A$2:$N$2001,8,0)))</f>
        <v/>
      </c>
      <c r="H199" s="220">
        <f>IFERROR(VLOOKUP(D199,男子登録!$A$2:$N$2001,11,0),基本情報!$E$5)</f>
        <v>0</v>
      </c>
      <c r="I199" s="220" t="s">
        <v>7059</v>
      </c>
      <c r="J199" s="148"/>
      <c r="K199" s="220" t="s">
        <v>7060</v>
      </c>
      <c r="L199" s="148"/>
      <c r="M199" s="252"/>
      <c r="N199" s="253"/>
      <c r="O199" s="254"/>
      <c r="P199" s="148"/>
      <c r="Q199" s="398"/>
      <c r="R199" s="391"/>
      <c r="S199" s="136">
        <f t="shared" ref="S199" si="2199">IF(OR(E199="",Q199=""),0,E199)</f>
        <v>0</v>
      </c>
      <c r="T199" s="137">
        <f>IF(S199=0,0,COUNTIF($S$7:S199,"*"))</f>
        <v>0</v>
      </c>
      <c r="U199" s="137">
        <f>IF(S199=0,0,COUNTIF($S$7:S199,S199))</f>
        <v>0</v>
      </c>
      <c r="V199" s="137">
        <f t="shared" si="1691"/>
        <v>0</v>
      </c>
      <c r="W199" s="137">
        <f>IF(V199=0,0,COUNTIF($V$7:V199,"*"))</f>
        <v>0</v>
      </c>
      <c r="X199" s="137">
        <f>IF(V199=0,0,COUNTIF($V$7:V199,V199))</f>
        <v>0</v>
      </c>
      <c r="Y199" s="218">
        <f t="shared" ref="Y199" si="2200">IF(OR(E199="",J199=""),0,J199&amp;E199)</f>
        <v>0</v>
      </c>
      <c r="Z199" s="218">
        <f>IF(Y199=0,0,COUNTIF($Y$7:Y199,Y199))</f>
        <v>0</v>
      </c>
      <c r="AA199" s="218" t="b">
        <f t="shared" ref="AA199" si="2201">IF(COUNTIF(J199:J202,"十種競技")&gt;0,TRUE,FALSE)</f>
        <v>0</v>
      </c>
      <c r="AB199" s="218">
        <f>IF(E199="",0,IF(AA199,COUNTIF($AA$7:AA199,TRUE),0))</f>
        <v>0</v>
      </c>
      <c r="AC199" s="218">
        <f>IFERROR(VLOOKUP("十種競技",J199:L202,3,0),0)</f>
        <v>0</v>
      </c>
      <c r="AD199" s="218">
        <f>IFERROR(VLOOKUP(J199,競技会設定!$P$2:$S$22,2,0),0)</f>
        <v>0</v>
      </c>
      <c r="AE199" s="218">
        <f t="shared" ref="AE199" si="2202">IF(E199="",0,IF(AD199=0,0,IF(AD199&lt;3,E199&amp;$AE$6,0)))</f>
        <v>0</v>
      </c>
      <c r="AF199" s="218">
        <f>IF(AE199=0,0,E199&amp;COUNTIF($AE$7:AE199,AE199))</f>
        <v>0</v>
      </c>
      <c r="AG199" s="218">
        <f t="shared" ref="AG199" si="2203">IF(E199="",0,IF(AD199=0,0,IF(AD199&gt;=3,E199&amp;$AG$6,0)))</f>
        <v>0</v>
      </c>
      <c r="AH199" s="218">
        <f>IF(AG199=0,0,E199&amp;COUNTIF($AG$7:AG199,AG199))</f>
        <v>0</v>
      </c>
      <c r="AI199" s="218">
        <f t="shared" ref="AI199" si="2204">IF(COUNTIF(Y199,"*十種*")&gt;0,0,IF($AD199=AI$6,$E199,0))</f>
        <v>0</v>
      </c>
      <c r="AJ199" s="218" t="b">
        <f>IF(AI199=0,FALSE,IF(COUNTIF(AI$7:AI199,AI199)&gt;1,TRUE,FALSE))</f>
        <v>0</v>
      </c>
      <c r="AK199" s="218">
        <f t="shared" ref="AK199" si="2205">IF($AD199=AK$6,$E199,0)</f>
        <v>0</v>
      </c>
      <c r="AL199" s="218" t="b">
        <f>IF(AK199=0,FALSE,IF(COUNTIF(AK$7:AK199,AK199)&gt;1,TRUE,FALSE))</f>
        <v>0</v>
      </c>
      <c r="AM199" s="218">
        <f t="shared" ref="AM199" si="2206">IF($AD199=AM$6,$E199,0)</f>
        <v>0</v>
      </c>
      <c r="AN199" s="218" t="b">
        <f>IF(AM199=0,FALSE,IF(COUNTIF(AM$7:AM199,AM199)&gt;1,TRUE,FALSE))</f>
        <v>0</v>
      </c>
      <c r="AO199" s="218">
        <f t="shared" ref="AO199" si="2207">IF($AD199=AO$6,$E199,0)</f>
        <v>0</v>
      </c>
      <c r="AP199" s="218" t="b">
        <f>IF(AO199=0,FALSE,IF(COUNTIF(AO$7:AO199,AO199)&gt;1,TRUE,FALSE))</f>
        <v>0</v>
      </c>
      <c r="AQ199" s="218">
        <f t="shared" ref="AQ199" si="2208">IF(COUNTIF(Y199,"*十種競技*")&gt;0,E199,0)</f>
        <v>0</v>
      </c>
      <c r="AR199" s="218" t="b">
        <f>IF(AQ199=0,FALSE,IF(OR(COUNTIF($AI$7:$AI$406,AQ199)+COUNTIF($AQ199:$AQ$406,AQ199)&gt;1,COUNTIF($AK$7:$AK$406,AQ199)+COUNTIF($AQ$7:$AQ$406,AQ199)&gt;1),TRUE,FALSE))</f>
        <v>0</v>
      </c>
      <c r="AS199" s="218" t="b">
        <f t="shared" ref="AS199" si="2209">IF(AND(C199="",E199&lt;&gt;"",F199&lt;&gt;"",E201&lt;&gt;"",G199&lt;&gt;"",G200&lt;&gt;"",G201&lt;&gt;""),TRUE,FALSE)</f>
        <v>0</v>
      </c>
      <c r="AT199" s="218" t="b">
        <f t="shared" si="1486"/>
        <v>0</v>
      </c>
      <c r="AU199" s="274" t="b">
        <f t="shared" ref="AU199" si="2210">IFERROR(IF(D199&amp;E199&amp;F199&amp;E201&amp;G199&amp;G200&amp;G201&amp;J199&amp;J200&amp;J201&amp;J202&amp;L199&amp;L200&amp;L201&amp;L202&amp;M199&amp;M200&amp;M201&amp;M202&amp;N199&amp;N200&amp;N201&amp;N202&amp;O199&amp;O200&amp;O201&amp;O202&amp;P199&amp;P200&amp;P201&amp;P202&amp;Q199&amp;R199="",FALSE,TRUE),FALSE)</f>
        <v>0</v>
      </c>
      <c r="AV199" s="218" t="b">
        <f t="shared" ref="AV199" si="2211">IF(AS199,FALSE,IF(C199="",AU199,FALSE))</f>
        <v>0</v>
      </c>
      <c r="AW199" s="218" t="b">
        <f>IF(C199="",FALSE,IF(C199&gt;2000,TRUE,FALSE))</f>
        <v>0</v>
      </c>
      <c r="AX199" s="274" t="b">
        <f>IF(H199=0,FALSE,IF(EXACT(基本情報!$E$5,H199)=TRUE,FALSE,TRUE))</f>
        <v>0</v>
      </c>
      <c r="AY199" s="218" t="b">
        <f>IF(C199="",FALSE,IF(ISNA(E199)=TRUE,TRUE,FALSE))</f>
        <v>0</v>
      </c>
      <c r="AZ199" s="274" t="b">
        <f>IFERROR(IF(E199="",FALSE,IF(COUNTIF($E$7:E199,E199)&gt;1,TRUE,FALSE)),FALSE)</f>
        <v>0</v>
      </c>
      <c r="BA199" s="218" t="b">
        <f t="shared" ref="BA199" si="2212">IF(OR(J199&amp;J200&amp;J201&amp;J202&amp;Q199&amp;R199="",AT199,AT200,AT201,AT202),AU199,FALSE)</f>
        <v>0</v>
      </c>
      <c r="BB199" s="218" t="b">
        <f>IF(U199&gt;1,TRUE,FALSE)</f>
        <v>0</v>
      </c>
      <c r="BC199" s="218" t="b">
        <f>IF(X199&gt;1,TRUE,FALSE)</f>
        <v>0</v>
      </c>
      <c r="BD199" s="218" t="b">
        <f t="shared" ref="BD199:BD262" si="2213">IF(Z199&gt;1,TRUE,FALSE)</f>
        <v>0</v>
      </c>
      <c r="BF199" s="231" t="b">
        <f t="shared" ref="BF199" si="2214">IF(J199="",FALSE,IF(OR(AND(AU199,L199=""),AND(AU199,L199="",OR(M199&lt;&gt;"",N199&lt;&gt;"",O199&lt;&gt;"",P199&lt;&gt;""))),TRUE,FALSE))</f>
        <v>0</v>
      </c>
      <c r="BG199" s="218" t="b">
        <f t="shared" ref="BG199:BG262" si="2215">IF(J199="",FALSE,IF(ISNUMBER(L199)&lt;&gt;TRUE,TRUE,IFERROR(IF(MOD(L199,1)=0,FALSE,TRUE),FALSE)))</f>
        <v>0</v>
      </c>
      <c r="BH199" s="218" t="b">
        <f t="shared" si="1488"/>
        <v>0</v>
      </c>
      <c r="BI199" s="231" t="b">
        <f t="shared" ref="BI199" si="2216">IF(J199="",FALSE,IF(L199=0,FALSE,IF(AND(AU199,NOT(BF199),OR(M199="",N199="",O199="")),TRUE,FALSE)))</f>
        <v>0</v>
      </c>
      <c r="BJ199" s="240" t="b">
        <f t="shared" si="1490"/>
        <v>0</v>
      </c>
      <c r="BK199" s="231" t="b">
        <f>IF(NOT(BJ199),FALSE,IF(AND(競技会設定!$C$5&lt;=BJ199,BJ199&lt;=競技会設定!$C$6),FALSE,TRUE))</f>
        <v>0</v>
      </c>
      <c r="BL199" s="218" t="b">
        <f>IF(J199="",FALSE,IF(L199=0,FALSE,IF(AND(AU199,NOT(BF199),NOT(BI199),P199=""),TRUE,FALSE)))</f>
        <v>0</v>
      </c>
      <c r="BO199" s="274">
        <f t="shared" ref="BO199" si="2217">IF(AND(AU199,SUM(COUNTIF(AV199:BC199,TRUE),COUNTIF(BF199:BL202,TRUE),COUNTIF(BD199:BD202,TRUE))=0,NOT($BE$7)),1,0)</f>
        <v>0</v>
      </c>
    </row>
    <row r="200" spans="1:67" ht="17.399999999999999" customHeight="1">
      <c r="A200" s="418"/>
      <c r="B200" s="402"/>
      <c r="C200" s="404"/>
      <c r="D200" s="221"/>
      <c r="E200" s="397"/>
      <c r="F200" s="397"/>
      <c r="G200" s="221" t="str">
        <f>IF(C199="","",(VLOOKUP(D199,男子登録!$A$2:$N$2001,13,0)))</f>
        <v/>
      </c>
      <c r="H200" s="221"/>
      <c r="I200" s="221" t="s">
        <v>7061</v>
      </c>
      <c r="J200" s="149"/>
      <c r="K200" s="221" t="s">
        <v>7062</v>
      </c>
      <c r="L200" s="149"/>
      <c r="M200" s="255"/>
      <c r="N200" s="256"/>
      <c r="O200" s="257"/>
      <c r="P200" s="149"/>
      <c r="Q200" s="399"/>
      <c r="R200" s="392"/>
      <c r="S200" s="136"/>
      <c r="T200" s="137"/>
      <c r="U200" s="137"/>
      <c r="V200" s="137"/>
      <c r="W200" s="137"/>
      <c r="X200" s="137"/>
      <c r="Y200" s="218">
        <f t="shared" ref="Y200" si="2218">IF(OR(E199="",J200=""),0,J200&amp;E199)</f>
        <v>0</v>
      </c>
      <c r="Z200" s="218">
        <f>IF(Y200=0,0,COUNTIF($Y$7:Y200,Y200))</f>
        <v>0</v>
      </c>
      <c r="AD200" s="218">
        <f>IFERROR(VLOOKUP(J200,競技会設定!$P$2:$S$22,2,0),0)</f>
        <v>0</v>
      </c>
      <c r="AE200" s="218">
        <f t="shared" ref="AE200" si="2219">IF(E199="",0,IF(AD200=0,0,IF(AD200&lt;3,E199&amp;$AE$6,0)))</f>
        <v>0</v>
      </c>
      <c r="AF200" s="218">
        <f>IF(AE200=0,0,E199&amp;COUNTIF($AE$7:AE200,AE200))</f>
        <v>0</v>
      </c>
      <c r="AG200" s="218">
        <f t="shared" ref="AG200" si="2220">IF(E199="",0,IF(AD200=0,0,IF(AD200&gt;=3,E199&amp;$AG$6,0)))</f>
        <v>0</v>
      </c>
      <c r="AH200" s="218">
        <f>IF(AG200=0,0,E199&amp;COUNTIF($AG$7:AG200,AG200))</f>
        <v>0</v>
      </c>
      <c r="AI200" s="218">
        <f t="shared" ref="AI200" si="2221">IF(COUNTIF(Y200,"*十種*")&gt;0,0,IF($AD200=AI$6,$E199,0))</f>
        <v>0</v>
      </c>
      <c r="AJ200" s="218" t="b">
        <f>IF(AI200=0,FALSE,IF(COUNTIF(AI$7:AI200,AI200)&gt;1,TRUE,FALSE))</f>
        <v>0</v>
      </c>
      <c r="AK200" s="218">
        <f t="shared" ref="AK200" si="2222">IF($AD200=AK$6,$E199,0)</f>
        <v>0</v>
      </c>
      <c r="AL200" s="218" t="b">
        <f>IF(AK200=0,FALSE,IF(COUNTIF(AK$7:AK200,AK200)&gt;1,TRUE,FALSE))</f>
        <v>0</v>
      </c>
      <c r="AM200" s="218">
        <f t="shared" ref="AM200" si="2223">IF($AD200=AM$6,$E199,0)</f>
        <v>0</v>
      </c>
      <c r="AN200" s="218" t="b">
        <f>IF(AM200=0,FALSE,IF(COUNTIF(AM$7:AM200,AM200)&gt;1,TRUE,FALSE))</f>
        <v>0</v>
      </c>
      <c r="AO200" s="218">
        <f t="shared" ref="AO200" si="2224">IF($AD200=AO$6,$E199,0)</f>
        <v>0</v>
      </c>
      <c r="AP200" s="218" t="b">
        <f>IF(AO200=0,FALSE,IF(COUNTIF(AO$7:AO200,AO200)&gt;1,TRUE,FALSE))</f>
        <v>0</v>
      </c>
      <c r="AQ200" s="218">
        <f t="shared" ref="AQ200" si="2225">IF(COUNTIF(Y200,"*十種競技*")&gt;0,E199,0)</f>
        <v>0</v>
      </c>
      <c r="AR200" s="218" t="b">
        <f>IF(AQ200=0,FALSE,IF(OR(COUNTIF($AI$7:$AI$406,AQ200)+COUNTIF($AQ200:$AQ$406,AQ200)&gt;1,COUNTIF($AK$7:$AK$406,AQ200)+COUNTIF($AQ$7:$AQ$406,AQ200)&gt;1),TRUE,FALSE))</f>
        <v>0</v>
      </c>
      <c r="AT200" s="218" t="b">
        <f t="shared" ref="AT200:AT263" si="2226">IF(AND(J200="",OR(L200&lt;&gt;"",M200&lt;&gt;"",P200&lt;&gt;"")),TRUE,FALSE)</f>
        <v>0</v>
      </c>
      <c r="AU200" s="274"/>
      <c r="AX200" s="274"/>
      <c r="BD200" s="218" t="b">
        <f t="shared" si="2213"/>
        <v>0</v>
      </c>
      <c r="BF200" s="231" t="b">
        <f t="shared" ref="BF200" si="2227">IF(J200="",FALSE,IF(OR(AND(AU199,L200=""),AND(AU199,L200="",OR(M200&lt;&gt;"",N200&lt;&gt;"",O200&lt;&gt;"",P200&lt;&gt;""))),TRUE,FALSE))</f>
        <v>0</v>
      </c>
      <c r="BG200" s="218" t="b">
        <f t="shared" si="2215"/>
        <v>0</v>
      </c>
      <c r="BH200" s="218" t="b">
        <f t="shared" ref="BH200:BH263" si="2228">IF(COUNTIF(J200,"*m*")=0,FALSE,IF(VALUE(RIGHT(INT(L200/100),2))&gt;59,TRUE,IF(VALUE(RIGHT(INT(L200/10000),2))&gt;59,TRUE,FALSE)))</f>
        <v>0</v>
      </c>
      <c r="BI200" s="231" t="b">
        <f t="shared" ref="BI200" si="2229">IF(J200="",FALSE,IF(L200=0,FALSE,IF(AND(AU199,NOT(BF200),OR(M200="",N200="",O200="")),TRUE,FALSE)))</f>
        <v>0</v>
      </c>
      <c r="BJ200" s="240" t="b">
        <f t="shared" ref="BJ200:BJ263" si="2230">IF(OR(M200="",N200="",O200=""),FALSE,DATE(M200,N200,O200))</f>
        <v>0</v>
      </c>
      <c r="BK200" s="231" t="b">
        <f>IF(NOT(BJ200),FALSE,IF(AND(競技会設定!$C$5&lt;=BJ200,BJ200&lt;=競技会設定!$C$6),FALSE,TRUE))</f>
        <v>0</v>
      </c>
      <c r="BL200" s="218" t="b">
        <f>IF(J200="",FALSE,IF(L200=0,FALSE,IF(AND(AU199,NOT(BF200),NOT(BI200),P200=""),TRUE,FALSE)))</f>
        <v>0</v>
      </c>
      <c r="BO200" s="274"/>
    </row>
    <row r="201" spans="1:67" ht="17.399999999999999" customHeight="1">
      <c r="A201" s="418"/>
      <c r="B201" s="402"/>
      <c r="C201" s="404"/>
      <c r="D201" s="221"/>
      <c r="E201" s="394" t="str">
        <f>IF(C199="","",VLOOKUP(D199,男子登録!$A$2:$O$2001,14,0)&amp;" ("&amp;VLOOKUP(D199,男子登録!$A$2:$O$2001,15,0)&amp;")")</f>
        <v/>
      </c>
      <c r="F201" s="394"/>
      <c r="G201" s="222" t="str">
        <f>IF(C199="","",(VLOOKUP(D199,男子登録!$A$2:$N$2001,9,0)))</f>
        <v/>
      </c>
      <c r="H201" s="222"/>
      <c r="I201" s="222" t="s">
        <v>7063</v>
      </c>
      <c r="J201" s="150"/>
      <c r="K201" s="222" t="s">
        <v>7064</v>
      </c>
      <c r="L201" s="150"/>
      <c r="M201" s="255"/>
      <c r="N201" s="256"/>
      <c r="O201" s="257"/>
      <c r="P201" s="149"/>
      <c r="Q201" s="399"/>
      <c r="R201" s="392"/>
      <c r="S201" s="136"/>
      <c r="T201" s="137"/>
      <c r="U201" s="137"/>
      <c r="V201" s="137"/>
      <c r="W201" s="137"/>
      <c r="X201" s="137"/>
      <c r="Y201" s="218">
        <f t="shared" ref="Y201" si="2231">IF(OR(E199="",J201=""),0,J201&amp;E199)</f>
        <v>0</v>
      </c>
      <c r="Z201" s="218">
        <f>IF(Y201=0,0,COUNTIF($Y$7:Y201,Y201))</f>
        <v>0</v>
      </c>
      <c r="AD201" s="218">
        <f>IFERROR(VLOOKUP(J201,競技会設定!$P$2:$S$22,2,0),0)</f>
        <v>0</v>
      </c>
      <c r="AE201" s="218">
        <f t="shared" ref="AE201" si="2232">IF(E199="",0,IF(AD201=0,0,IF(AD201&lt;3,E199&amp;$AE$6,0)))</f>
        <v>0</v>
      </c>
      <c r="AF201" s="218">
        <f>IF(AE201=0,0,E199&amp;COUNTIF($AE$7:AE201,AE201))</f>
        <v>0</v>
      </c>
      <c r="AG201" s="218">
        <f t="shared" ref="AG201" si="2233">IF(E199="",0,IF(AD201=0,0,IF(AD201&gt;=3,E199&amp;$AG$6,0)))</f>
        <v>0</v>
      </c>
      <c r="AH201" s="218">
        <f>IF(AG201=0,0,E199&amp;COUNTIF($AG$7:AG201,AG201))</f>
        <v>0</v>
      </c>
      <c r="AI201" s="218">
        <f t="shared" ref="AI201" si="2234">IF(COUNTIF(Y201,"*十種*")&gt;0,0,IF($AD201=AI$6,$E199,0))</f>
        <v>0</v>
      </c>
      <c r="AJ201" s="218" t="b">
        <f>IF(AI201=0,FALSE,IF(COUNTIF(AI$7:AI201,AI201)&gt;1,TRUE,FALSE))</f>
        <v>0</v>
      </c>
      <c r="AK201" s="218">
        <f t="shared" ref="AK201" si="2235">IF($AD201=AK$6,$E199,0)</f>
        <v>0</v>
      </c>
      <c r="AL201" s="218" t="b">
        <f>IF(AK201=0,FALSE,IF(COUNTIF(AK$7:AK201,AK201)&gt;1,TRUE,FALSE))</f>
        <v>0</v>
      </c>
      <c r="AM201" s="218">
        <f t="shared" ref="AM201" si="2236">IF($AD201=AM$6,$E199,0)</f>
        <v>0</v>
      </c>
      <c r="AN201" s="218" t="b">
        <f>IF(AM201=0,FALSE,IF(COUNTIF(AM$7:AM201,AM201)&gt;1,TRUE,FALSE))</f>
        <v>0</v>
      </c>
      <c r="AO201" s="218">
        <f t="shared" ref="AO201" si="2237">IF($AD201=AO$6,$E199,0)</f>
        <v>0</v>
      </c>
      <c r="AP201" s="218" t="b">
        <f>IF(AO201=0,FALSE,IF(COUNTIF(AO$7:AO201,AO201)&gt;1,TRUE,FALSE))</f>
        <v>0</v>
      </c>
      <c r="AQ201" s="218">
        <f t="shared" ref="AQ201" si="2238">IF(COUNTIF(Y201,"*十種競技*")&gt;0,E199,0)</f>
        <v>0</v>
      </c>
      <c r="AR201" s="218" t="b">
        <f>IF(AQ201=0,FALSE,IF(OR(COUNTIF($AI$7:$AI$406,AQ201)+COUNTIF($AQ201:$AQ$406,AQ201)&gt;1,COUNTIF($AK$7:$AK$406,AQ201)+COUNTIF($AQ$7:$AQ$406,AQ201)&gt;1),TRUE,FALSE))</f>
        <v>0</v>
      </c>
      <c r="AT201" s="218" t="b">
        <f t="shared" si="2226"/>
        <v>0</v>
      </c>
      <c r="AU201" s="274"/>
      <c r="AX201" s="274"/>
      <c r="BD201" s="218" t="b">
        <f t="shared" si="2213"/>
        <v>0</v>
      </c>
      <c r="BF201" s="231" t="b">
        <f t="shared" ref="BF201" si="2239">IF(J201="",FALSE,IF(OR(AND(AU199,L201=""),AND(AU199,L201="",OR(M201&lt;&gt;"",N201&lt;&gt;"",O201&lt;&gt;"",P201&lt;&gt;""))),TRUE,FALSE))</f>
        <v>0</v>
      </c>
      <c r="BG201" s="218" t="b">
        <f t="shared" si="2215"/>
        <v>0</v>
      </c>
      <c r="BH201" s="218" t="b">
        <f t="shared" si="2228"/>
        <v>0</v>
      </c>
      <c r="BI201" s="231" t="b">
        <f t="shared" ref="BI201" si="2240">IF(J201="",FALSE,IF(L201=0,FALSE,IF(AND(AU199,NOT(BF201),OR(M201="",N201="",O201="")),TRUE,FALSE)))</f>
        <v>0</v>
      </c>
      <c r="BJ201" s="240" t="b">
        <f t="shared" si="2230"/>
        <v>0</v>
      </c>
      <c r="BK201" s="231" t="b">
        <f>IF(NOT(BJ201),FALSE,IF(AND(競技会設定!$C$5&lt;=BJ201,BJ201&lt;=競技会設定!$C$6),FALSE,TRUE))</f>
        <v>0</v>
      </c>
      <c r="BL201" s="218" t="b">
        <f>IF(J201="",FALSE,IF(L201=0,FALSE,IF(AND(AU199,NOT(BF201),NOT(BI201),P201=""),TRUE,FALSE)))</f>
        <v>0</v>
      </c>
      <c r="BO201" s="274"/>
    </row>
    <row r="202" spans="1:67" ht="18" customHeight="1" thickBot="1">
      <c r="A202" s="419"/>
      <c r="B202" s="395" t="s">
        <v>7051</v>
      </c>
      <c r="C202" s="395"/>
      <c r="D202" s="221"/>
      <c r="E202" s="372"/>
      <c r="F202" s="372"/>
      <c r="G202" s="372"/>
      <c r="H202" s="214"/>
      <c r="I202" s="214" t="s">
        <v>7065</v>
      </c>
      <c r="J202" s="219"/>
      <c r="K202" s="214" t="s">
        <v>7066</v>
      </c>
      <c r="L202" s="219"/>
      <c r="M202" s="258"/>
      <c r="N202" s="259"/>
      <c r="O202" s="260"/>
      <c r="P202" s="219"/>
      <c r="Q202" s="400"/>
      <c r="R202" s="393"/>
      <c r="S202" s="136"/>
      <c r="T202" s="137"/>
      <c r="U202" s="137"/>
      <c r="V202" s="137"/>
      <c r="W202" s="137"/>
      <c r="X202" s="137"/>
      <c r="Y202" s="218">
        <f t="shared" ref="Y202" si="2241">IF(OR(E199="",J202=""),0,J202&amp;E199)</f>
        <v>0</v>
      </c>
      <c r="Z202" s="218">
        <f>IF(Y202=0,0,COUNTIF($Y$7:Y202,Y202))</f>
        <v>0</v>
      </c>
      <c r="AD202" s="218">
        <f>IFERROR(VLOOKUP(J202,競技会設定!$P$2:$S$22,2,0),0)</f>
        <v>0</v>
      </c>
      <c r="AE202" s="218">
        <f t="shared" ref="AE202" si="2242">IF(E199="",0,IF(AD202=0,0,IF(AD202&lt;3,E199&amp;$AE$6,0)))</f>
        <v>0</v>
      </c>
      <c r="AF202" s="218">
        <f>IF(AE202=0,0,E199&amp;COUNTIF($AE$7:AE202,AE202))</f>
        <v>0</v>
      </c>
      <c r="AG202" s="218">
        <f t="shared" ref="AG202" si="2243">IF(E199="",0,IF(AD202=0,0,IF(AD202&gt;=3,E199&amp;$AG$6,0)))</f>
        <v>0</v>
      </c>
      <c r="AH202" s="218">
        <f>IF(AG202=0,0,E199&amp;COUNTIF($AG$7:AG202,AG202))</f>
        <v>0</v>
      </c>
      <c r="AI202" s="218">
        <f t="shared" ref="AI202" si="2244">IF(COUNTIF(Y202,"*十種*")&gt;0,0,IF($AD202=AI$6,$E199,0))</f>
        <v>0</v>
      </c>
      <c r="AJ202" s="218" t="b">
        <f>IF(AI202=0,FALSE,IF(COUNTIF(AI$7:AI202,AI202)&gt;1,TRUE,FALSE))</f>
        <v>0</v>
      </c>
      <c r="AK202" s="218">
        <f t="shared" ref="AK202" si="2245">IF($AD202=AK$6,$E199,0)</f>
        <v>0</v>
      </c>
      <c r="AL202" s="218" t="b">
        <f>IF(AK202=0,FALSE,IF(COUNTIF(AK$7:AK202,AK202)&gt;1,TRUE,FALSE))</f>
        <v>0</v>
      </c>
      <c r="AM202" s="218">
        <f t="shared" ref="AM202" si="2246">IF($AD202=AM$6,$E199,0)</f>
        <v>0</v>
      </c>
      <c r="AN202" s="218" t="b">
        <f>IF(AM202=0,FALSE,IF(COUNTIF(AM$7:AM202,AM202)&gt;1,TRUE,FALSE))</f>
        <v>0</v>
      </c>
      <c r="AO202" s="218">
        <f t="shared" ref="AO202" si="2247">IF($AD202=AO$6,$E199,0)</f>
        <v>0</v>
      </c>
      <c r="AP202" s="218" t="b">
        <f>IF(AO202=0,FALSE,IF(COUNTIF(AO$7:AO202,AO202)&gt;1,TRUE,FALSE))</f>
        <v>0</v>
      </c>
      <c r="AQ202" s="218">
        <f t="shared" ref="AQ202" si="2248">IF(COUNTIF(Y202,"*十種競技*")&gt;0,E199,0)</f>
        <v>0</v>
      </c>
      <c r="AR202" s="218" t="b">
        <f>IF(AQ202=0,FALSE,IF(OR(COUNTIF($AI$7:$AI$406,AQ202)+COUNTIF($AQ202:$AQ$406,AQ202)&gt;1,COUNTIF($AK$7:$AK$406,AQ202)+COUNTIF($AQ$7:$AQ$406,AQ202)&gt;1),TRUE,FALSE))</f>
        <v>0</v>
      </c>
      <c r="AT202" s="218" t="b">
        <f t="shared" si="2226"/>
        <v>0</v>
      </c>
      <c r="AU202" s="274"/>
      <c r="AX202" s="274"/>
      <c r="BD202" s="218" t="b">
        <f t="shared" si="2213"/>
        <v>0</v>
      </c>
      <c r="BF202" s="231" t="b">
        <f t="shared" ref="BF202" si="2249">IF(J202="",FALSE,IF(OR(AND(AU199,L202=""),AND(AU199,L202="",OR(M202&lt;&gt;"",N202&lt;&gt;"",O202&lt;&gt;"",P202&lt;&gt;""))),TRUE,FALSE))</f>
        <v>0</v>
      </c>
      <c r="BG202" s="218" t="b">
        <f t="shared" si="2215"/>
        <v>0</v>
      </c>
      <c r="BH202" s="218" t="b">
        <f t="shared" si="2228"/>
        <v>0</v>
      </c>
      <c r="BI202" s="231" t="b">
        <f t="shared" ref="BI202" si="2250">IF(J202="",FALSE,IF(L202=0,FALSE,IF(AND(AU199,NOT(BF202),OR(M202="",N202="",O202="")),TRUE,FALSE)))</f>
        <v>0</v>
      </c>
      <c r="BJ202" s="240" t="b">
        <f t="shared" si="2230"/>
        <v>0</v>
      </c>
      <c r="BK202" s="231" t="b">
        <f>IF(NOT(BJ202),FALSE,IF(AND(競技会設定!$C$5&lt;=BJ202,BJ202&lt;=競技会設定!$C$6),FALSE,TRUE))</f>
        <v>0</v>
      </c>
      <c r="BL202" s="218" t="b">
        <f>IF(J202="",FALSE,IF(L202=0,FALSE,IF(AND(AU199,NOT(BF202),NOT(BI202),P202=""),TRUE,FALSE)))</f>
        <v>0</v>
      </c>
      <c r="BO202" s="274"/>
    </row>
    <row r="203" spans="1:67" ht="18" customHeight="1" thickTop="1">
      <c r="A203" s="420">
        <v>50</v>
      </c>
      <c r="B203" s="373" t="s">
        <v>7050</v>
      </c>
      <c r="C203" s="375"/>
      <c r="D203" s="138" t="str">
        <f t="shared" ref="D203" si="2251">IF(C203="","",501&amp;TEXT(C203,"000000"))</f>
        <v/>
      </c>
      <c r="E203" s="377" t="str">
        <f>IF(D203="","",(VLOOKUP(D203,男子登録!$A$2:$N$2001,3,0)))</f>
        <v/>
      </c>
      <c r="F203" s="377" t="str">
        <f>IF(D203="","",(VLOOKUP(D203,男子登録!$A$2:$N$2001,4,0)))</f>
        <v/>
      </c>
      <c r="G203" s="138" t="str">
        <f>IF(C203="","",(VLOOKUP(D203,男子登録!$A$2:$N$2001,8,0)))</f>
        <v/>
      </c>
      <c r="H203" s="138">
        <f>IFERROR(VLOOKUP(D203,男子登録!$A$2:$N$2001,11,0),基本情報!$E$5)</f>
        <v>0</v>
      </c>
      <c r="I203" s="138" t="s">
        <v>7059</v>
      </c>
      <c r="J203" s="151"/>
      <c r="K203" s="138" t="s">
        <v>7060</v>
      </c>
      <c r="L203" s="151"/>
      <c r="M203" s="261"/>
      <c r="N203" s="262"/>
      <c r="O203" s="263"/>
      <c r="P203" s="151"/>
      <c r="Q203" s="381"/>
      <c r="R203" s="384"/>
      <c r="S203" s="136">
        <f t="shared" ref="S203" si="2252">IF(OR(E203="",Q203=""),0,E203)</f>
        <v>0</v>
      </c>
      <c r="T203" s="137">
        <f>IF(S203=0,0,COUNTIF($S$7:S203,"*"))</f>
        <v>0</v>
      </c>
      <c r="U203" s="137">
        <f>IF(S203=0,0,COUNTIF($S$7:S203,S203))</f>
        <v>0</v>
      </c>
      <c r="V203" s="137">
        <f t="shared" si="1691"/>
        <v>0</v>
      </c>
      <c r="W203" s="137">
        <f>IF(V203=0,0,COUNTIF($V$7:V203,"*"))</f>
        <v>0</v>
      </c>
      <c r="X203" s="137">
        <f>IF(V203=0,0,COUNTIF($V$7:V203,V203))</f>
        <v>0</v>
      </c>
      <c r="Y203" s="218">
        <f t="shared" ref="Y203" si="2253">IF(OR(E203="",J203=""),0,J203&amp;E203)</f>
        <v>0</v>
      </c>
      <c r="Z203" s="218">
        <f>IF(Y203=0,0,COUNTIF($Y$7:Y203,Y203))</f>
        <v>0</v>
      </c>
      <c r="AA203" s="218" t="b">
        <f t="shared" ref="AA203" si="2254">IF(COUNTIF(J203:J206,"十種競技")&gt;0,TRUE,FALSE)</f>
        <v>0</v>
      </c>
      <c r="AB203" s="218">
        <f>IF(E203="",0,IF(AA203,COUNTIF($AA$7:AA203,TRUE),0))</f>
        <v>0</v>
      </c>
      <c r="AC203" s="218">
        <f>IFERROR(VLOOKUP("十種競技",J203:L206,3,0),0)</f>
        <v>0</v>
      </c>
      <c r="AD203" s="218">
        <f>IFERROR(VLOOKUP(J203,競技会設定!$P$2:$S$22,2,0),0)</f>
        <v>0</v>
      </c>
      <c r="AE203" s="218">
        <f t="shared" ref="AE203" si="2255">IF(E203="",0,IF(AD203=0,0,IF(AD203&lt;3,E203&amp;$AE$6,0)))</f>
        <v>0</v>
      </c>
      <c r="AF203" s="218">
        <f>IF(AE203=0,0,E203&amp;COUNTIF($AE$7:AE203,AE203))</f>
        <v>0</v>
      </c>
      <c r="AG203" s="218">
        <f t="shared" ref="AG203" si="2256">IF(E203="",0,IF(AD203=0,0,IF(AD203&gt;=3,E203&amp;$AG$6,0)))</f>
        <v>0</v>
      </c>
      <c r="AH203" s="218">
        <f>IF(AG203=0,0,E203&amp;COUNTIF($AG$7:AG203,AG203))</f>
        <v>0</v>
      </c>
      <c r="AI203" s="218">
        <f t="shared" si="1964"/>
        <v>0</v>
      </c>
      <c r="AJ203" s="218" t="b">
        <f>IF(AI203=0,FALSE,IF(COUNTIF(AI$7:AI203,AI203)&gt;1,TRUE,FALSE))</f>
        <v>0</v>
      </c>
      <c r="AK203" s="218">
        <f t="shared" ref="AK203" si="2257">IF($AD203=AK$6,$E203,0)</f>
        <v>0</v>
      </c>
      <c r="AL203" s="218" t="b">
        <f>IF(AK203=0,FALSE,IF(COUNTIF(AK$7:AK203,AK203)&gt;1,TRUE,FALSE))</f>
        <v>0</v>
      </c>
      <c r="AM203" s="218">
        <f t="shared" ref="AM203" si="2258">IF($AD203=AM$6,$E203,0)</f>
        <v>0</v>
      </c>
      <c r="AN203" s="218" t="b">
        <f>IF(AM203=0,FALSE,IF(COUNTIF(AM$7:AM203,AM203)&gt;1,TRUE,FALSE))</f>
        <v>0</v>
      </c>
      <c r="AO203" s="218">
        <f t="shared" ref="AO203" si="2259">IF($AD203=AO$6,$E203,0)</f>
        <v>0</v>
      </c>
      <c r="AP203" s="218" t="b">
        <f>IF(AO203=0,FALSE,IF(COUNTIF(AO$7:AO203,AO203)&gt;1,TRUE,FALSE))</f>
        <v>0</v>
      </c>
      <c r="AQ203" s="218">
        <f t="shared" ref="AQ203" si="2260">IF(COUNTIF(Y203,"*十種競技*")&gt;0,E203,0)</f>
        <v>0</v>
      </c>
      <c r="AR203" s="218" t="b">
        <f>IF(AQ203=0,FALSE,IF(OR(COUNTIF($AI$7:$AI$406,AQ203)+COUNTIF($AQ203:$AQ$406,AQ203)&gt;1,COUNTIF($AK$7:$AK$406,AQ203)+COUNTIF($AQ$7:$AQ$406,AQ203)&gt;1),TRUE,FALSE))</f>
        <v>0</v>
      </c>
      <c r="AS203" s="218" t="b">
        <f t="shared" ref="AS203" si="2261">IF(AND(C203="",E203&lt;&gt;"",F203&lt;&gt;"",E205&lt;&gt;"",G203&lt;&gt;"",G204&lt;&gt;"",G205&lt;&gt;""),TRUE,FALSE)</f>
        <v>0</v>
      </c>
      <c r="AT203" s="218" t="b">
        <f t="shared" si="2226"/>
        <v>0</v>
      </c>
      <c r="AU203" s="274" t="b">
        <f t="shared" ref="AU203" si="2262">IFERROR(IF(D203&amp;E203&amp;F203&amp;E205&amp;G203&amp;G204&amp;G205&amp;J203&amp;J204&amp;J205&amp;J206&amp;L203&amp;L204&amp;L205&amp;L206&amp;M203&amp;M204&amp;M205&amp;M206&amp;N203&amp;N204&amp;N205&amp;N206&amp;O203&amp;O204&amp;O205&amp;O206&amp;P203&amp;P204&amp;P205&amp;P206&amp;Q203&amp;R203="",FALSE,TRUE),FALSE)</f>
        <v>0</v>
      </c>
      <c r="AV203" s="218" t="b">
        <f t="shared" ref="AV203" si="2263">IF(AS203,FALSE,IF(C203="",AU203,FALSE))</f>
        <v>0</v>
      </c>
      <c r="AW203" s="218" t="b">
        <f>IF(C203="",FALSE,IF(C203&gt;2000,TRUE,FALSE))</f>
        <v>0</v>
      </c>
      <c r="AX203" s="274" t="b">
        <f>IF(H203=0,FALSE,IF(EXACT(基本情報!$E$5,H203)=TRUE,FALSE,TRUE))</f>
        <v>0</v>
      </c>
      <c r="AY203" s="218" t="b">
        <f>IF(C203="",FALSE,IF(ISNA(E203)=TRUE,TRUE,FALSE))</f>
        <v>0</v>
      </c>
      <c r="AZ203" s="274" t="b">
        <f>IFERROR(IF(E203="",FALSE,IF(COUNTIF($E$7:E203,E203)&gt;1,TRUE,FALSE)),FALSE)</f>
        <v>0</v>
      </c>
      <c r="BA203" s="218" t="b">
        <f t="shared" ref="BA203" si="2264">IF(OR(J203&amp;J204&amp;J205&amp;J206&amp;Q203&amp;R203="",AT203,AT204,AT205,AT206),AU203,FALSE)</f>
        <v>0</v>
      </c>
      <c r="BB203" s="218" t="b">
        <f>IF(U203&gt;1,TRUE,FALSE)</f>
        <v>0</v>
      </c>
      <c r="BC203" s="218" t="b">
        <f>IF(X203&gt;1,TRUE,FALSE)</f>
        <v>0</v>
      </c>
      <c r="BD203" s="218" t="b">
        <f t="shared" si="2213"/>
        <v>0</v>
      </c>
      <c r="BF203" s="231" t="b">
        <f t="shared" ref="BF203" si="2265">IF(J203="",FALSE,IF(OR(AND(AU203,L203=""),AND(AU203,L203="",OR(M203&lt;&gt;"",N203&lt;&gt;"",O203&lt;&gt;"",P203&lt;&gt;""))),TRUE,FALSE))</f>
        <v>0</v>
      </c>
      <c r="BG203" s="218" t="b">
        <f t="shared" si="2215"/>
        <v>0</v>
      </c>
      <c r="BH203" s="218" t="b">
        <f t="shared" si="2228"/>
        <v>0</v>
      </c>
      <c r="BI203" s="231" t="b">
        <f t="shared" ref="BI203" si="2266">IF(J203="",FALSE,IF(L203=0,FALSE,IF(AND(AU203,NOT(BF203),OR(M203="",N203="",O203="")),TRUE,FALSE)))</f>
        <v>0</v>
      </c>
      <c r="BJ203" s="240" t="b">
        <f t="shared" si="2230"/>
        <v>0</v>
      </c>
      <c r="BK203" s="231" t="b">
        <f>IF(NOT(BJ203),FALSE,IF(AND(競技会設定!$C$5&lt;=BJ203,BJ203&lt;=競技会設定!$C$6),FALSE,TRUE))</f>
        <v>0</v>
      </c>
      <c r="BL203" s="218" t="b">
        <f>IF(J203="",FALSE,IF(L203=0,FALSE,IF(AND(AU203,NOT(BF203),NOT(BI203),P203=""),TRUE,FALSE)))</f>
        <v>0</v>
      </c>
      <c r="BO203" s="274">
        <f t="shared" ref="BO203" si="2267">IF(AND(AU203,SUM(COUNTIF(AV203:BC203,TRUE),COUNTIF(BF203:BL206,TRUE),COUNTIF(BD203:BD206,TRUE))=0,NOT($BE$7)),1,0)</f>
        <v>0</v>
      </c>
    </row>
    <row r="204" spans="1:67" ht="17.399999999999999" customHeight="1">
      <c r="A204" s="421"/>
      <c r="B204" s="374"/>
      <c r="C204" s="376"/>
      <c r="D204" s="139"/>
      <c r="E204" s="378"/>
      <c r="F204" s="378"/>
      <c r="G204" s="139" t="str">
        <f>IF(C203="","",(VLOOKUP(D203,男子登録!$A$2:$N$2001,13,0)))</f>
        <v/>
      </c>
      <c r="H204" s="139"/>
      <c r="I204" s="139" t="s">
        <v>7061</v>
      </c>
      <c r="J204" s="152"/>
      <c r="K204" s="139" t="s">
        <v>7062</v>
      </c>
      <c r="L204" s="152"/>
      <c r="M204" s="264"/>
      <c r="N204" s="265"/>
      <c r="O204" s="266"/>
      <c r="P204" s="152"/>
      <c r="Q204" s="382"/>
      <c r="R204" s="385"/>
      <c r="S204" s="136"/>
      <c r="T204" s="137"/>
      <c r="U204" s="137"/>
      <c r="V204" s="137"/>
      <c r="W204" s="137"/>
      <c r="X204" s="137"/>
      <c r="Y204" s="218">
        <f t="shared" ref="Y204" si="2268">IF(OR(E203="",J204=""),0,J204&amp;E203)</f>
        <v>0</v>
      </c>
      <c r="Z204" s="218">
        <f>IF(Y204=0,0,COUNTIF($Y$7:Y204,Y204))</f>
        <v>0</v>
      </c>
      <c r="AD204" s="218">
        <f>IFERROR(VLOOKUP(J204,競技会設定!$P$2:$S$22,2,0),0)</f>
        <v>0</v>
      </c>
      <c r="AE204" s="218">
        <f t="shared" ref="AE204" si="2269">IF(E203="",0,IF(AD204=0,0,IF(AD204&lt;3,E203&amp;$AE$6,0)))</f>
        <v>0</v>
      </c>
      <c r="AF204" s="218">
        <f>IF(AE204=0,0,E203&amp;COUNTIF($AE$7:AE204,AE204))</f>
        <v>0</v>
      </c>
      <c r="AG204" s="218">
        <f t="shared" ref="AG204" si="2270">IF(E203="",0,IF(AD204=0,0,IF(AD204&gt;=3,E203&amp;$AG$6,0)))</f>
        <v>0</v>
      </c>
      <c r="AH204" s="218">
        <f>IF(AG204=0,0,E203&amp;COUNTIF($AG$7:AG204,AG204))</f>
        <v>0</v>
      </c>
      <c r="AI204" s="218">
        <f t="shared" si="1979"/>
        <v>0</v>
      </c>
      <c r="AJ204" s="218" t="b">
        <f>IF(AI204=0,FALSE,IF(COUNTIF(AI$7:AI204,AI204)&gt;1,TRUE,FALSE))</f>
        <v>0</v>
      </c>
      <c r="AK204" s="218">
        <f t="shared" ref="AK204" si="2271">IF($AD204=AK$6,$E203,0)</f>
        <v>0</v>
      </c>
      <c r="AL204" s="218" t="b">
        <f>IF(AK204=0,FALSE,IF(COUNTIF(AK$7:AK204,AK204)&gt;1,TRUE,FALSE))</f>
        <v>0</v>
      </c>
      <c r="AM204" s="218">
        <f t="shared" ref="AM204" si="2272">IF($AD204=AM$6,$E203,0)</f>
        <v>0</v>
      </c>
      <c r="AN204" s="218" t="b">
        <f>IF(AM204=0,FALSE,IF(COUNTIF(AM$7:AM204,AM204)&gt;1,TRUE,FALSE))</f>
        <v>0</v>
      </c>
      <c r="AO204" s="218">
        <f t="shared" ref="AO204" si="2273">IF($AD204=AO$6,$E203,0)</f>
        <v>0</v>
      </c>
      <c r="AP204" s="218" t="b">
        <f>IF(AO204=0,FALSE,IF(COUNTIF(AO$7:AO204,AO204)&gt;1,TRUE,FALSE))</f>
        <v>0</v>
      </c>
      <c r="AQ204" s="218">
        <f t="shared" ref="AQ204" si="2274">IF(COUNTIF(Y204,"*十種競技*")&gt;0,E203,0)</f>
        <v>0</v>
      </c>
      <c r="AR204" s="218" t="b">
        <f>IF(AQ204=0,FALSE,IF(OR(COUNTIF($AI$7:$AI$406,AQ204)+COUNTIF($AQ204:$AQ$406,AQ204)&gt;1,COUNTIF($AK$7:$AK$406,AQ204)+COUNTIF($AQ$7:$AQ$406,AQ204)&gt;1),TRUE,FALSE))</f>
        <v>0</v>
      </c>
      <c r="AT204" s="218" t="b">
        <f t="shared" si="2226"/>
        <v>0</v>
      </c>
      <c r="AU204" s="274"/>
      <c r="AX204" s="274"/>
      <c r="BD204" s="218" t="b">
        <f t="shared" si="2213"/>
        <v>0</v>
      </c>
      <c r="BF204" s="231" t="b">
        <f t="shared" ref="BF204" si="2275">IF(J204="",FALSE,IF(OR(AND(AU203,L204=""),AND(AU203,L204="",OR(M204&lt;&gt;"",N204&lt;&gt;"",O204&lt;&gt;"",P204&lt;&gt;""))),TRUE,FALSE))</f>
        <v>0</v>
      </c>
      <c r="BG204" s="218" t="b">
        <f t="shared" si="2215"/>
        <v>0</v>
      </c>
      <c r="BH204" s="218" t="b">
        <f t="shared" si="2228"/>
        <v>0</v>
      </c>
      <c r="BI204" s="231" t="b">
        <f t="shared" ref="BI204" si="2276">IF(J204="",FALSE,IF(L204=0,FALSE,IF(AND(AU203,NOT(BF204),OR(M204="",N204="",O204="")),TRUE,FALSE)))</f>
        <v>0</v>
      </c>
      <c r="BJ204" s="240" t="b">
        <f t="shared" si="2230"/>
        <v>0</v>
      </c>
      <c r="BK204" s="231" t="b">
        <f>IF(NOT(BJ204),FALSE,IF(AND(競技会設定!$C$5&lt;=BJ204,BJ204&lt;=競技会設定!$C$6),FALSE,TRUE))</f>
        <v>0</v>
      </c>
      <c r="BL204" s="218" t="b">
        <f>IF(J204="",FALSE,IF(L204=0,FALSE,IF(AND(AU203,NOT(BF204),NOT(BI204),P204=""),TRUE,FALSE)))</f>
        <v>0</v>
      </c>
      <c r="BO204" s="274"/>
    </row>
    <row r="205" spans="1:67" ht="17.399999999999999" customHeight="1">
      <c r="A205" s="421"/>
      <c r="B205" s="374"/>
      <c r="C205" s="376"/>
      <c r="D205" s="140"/>
      <c r="E205" s="379" t="str">
        <f>IF(C203="","",VLOOKUP(D203,男子登録!$A$2:$O$2001,14,0)&amp;" ("&amp;VLOOKUP(D203,男子登録!$A$2:$O$2001,15,0)&amp;")")</f>
        <v/>
      </c>
      <c r="F205" s="380"/>
      <c r="G205" s="140" t="str">
        <f>IF(C203="","",(VLOOKUP(D203,男子登録!$A$2:$N$2001,9,0)))</f>
        <v/>
      </c>
      <c r="H205" s="140"/>
      <c r="I205" s="140" t="s">
        <v>7063</v>
      </c>
      <c r="J205" s="153"/>
      <c r="K205" s="140" t="s">
        <v>7064</v>
      </c>
      <c r="L205" s="153"/>
      <c r="M205" s="264"/>
      <c r="N205" s="265"/>
      <c r="O205" s="266"/>
      <c r="P205" s="152"/>
      <c r="Q205" s="382"/>
      <c r="R205" s="385"/>
      <c r="S205" s="136"/>
      <c r="T205" s="137"/>
      <c r="U205" s="137"/>
      <c r="V205" s="137"/>
      <c r="W205" s="137"/>
      <c r="X205" s="137"/>
      <c r="Y205" s="218">
        <f t="shared" ref="Y205" si="2277">IF(OR(E203="",J205=""),0,J205&amp;E203)</f>
        <v>0</v>
      </c>
      <c r="Z205" s="218">
        <f>IF(Y205=0,0,COUNTIF($Y$7:Y205,Y205))</f>
        <v>0</v>
      </c>
      <c r="AD205" s="218">
        <f>IFERROR(VLOOKUP(J205,競技会設定!$P$2:$S$22,2,0),0)</f>
        <v>0</v>
      </c>
      <c r="AE205" s="218">
        <f t="shared" ref="AE205" si="2278">IF(E203="",0,IF(AD205=0,0,IF(AD205&lt;3,E203&amp;$AE$6,0)))</f>
        <v>0</v>
      </c>
      <c r="AF205" s="218">
        <f>IF(AE205=0,0,E203&amp;COUNTIF($AE$7:AE205,AE205))</f>
        <v>0</v>
      </c>
      <c r="AG205" s="218">
        <f t="shared" ref="AG205" si="2279">IF(E203="",0,IF(AD205=0,0,IF(AD205&gt;=3,E203&amp;$AG$6,0)))</f>
        <v>0</v>
      </c>
      <c r="AH205" s="218">
        <f>IF(AG205=0,0,E203&amp;COUNTIF($AG$7:AG205,AG205))</f>
        <v>0</v>
      </c>
      <c r="AI205" s="218">
        <f t="shared" si="1989"/>
        <v>0</v>
      </c>
      <c r="AJ205" s="218" t="b">
        <f>IF(AI205=0,FALSE,IF(COUNTIF(AI$7:AI205,AI205)&gt;1,TRUE,FALSE))</f>
        <v>0</v>
      </c>
      <c r="AK205" s="218">
        <f t="shared" ref="AK205" si="2280">IF($AD205=AK$6,$E203,0)</f>
        <v>0</v>
      </c>
      <c r="AL205" s="218" t="b">
        <f>IF(AK205=0,FALSE,IF(COUNTIF(AK$7:AK205,AK205)&gt;1,TRUE,FALSE))</f>
        <v>0</v>
      </c>
      <c r="AM205" s="218">
        <f t="shared" ref="AM205" si="2281">IF($AD205=AM$6,$E203,0)</f>
        <v>0</v>
      </c>
      <c r="AN205" s="218" t="b">
        <f>IF(AM205=0,FALSE,IF(COUNTIF(AM$7:AM205,AM205)&gt;1,TRUE,FALSE))</f>
        <v>0</v>
      </c>
      <c r="AO205" s="218">
        <f t="shared" ref="AO205" si="2282">IF($AD205=AO$6,$E203,0)</f>
        <v>0</v>
      </c>
      <c r="AP205" s="218" t="b">
        <f>IF(AO205=0,FALSE,IF(COUNTIF(AO$7:AO205,AO205)&gt;1,TRUE,FALSE))</f>
        <v>0</v>
      </c>
      <c r="AQ205" s="218">
        <f t="shared" ref="AQ205" si="2283">IF(COUNTIF(Y205,"*十種競技*")&gt;0,E203,0)</f>
        <v>0</v>
      </c>
      <c r="AR205" s="218" t="b">
        <f>IF(AQ205=0,FALSE,IF(OR(COUNTIF($AI$7:$AI$406,AQ205)+COUNTIF($AQ205:$AQ$406,AQ205)&gt;1,COUNTIF($AK$7:$AK$406,AQ205)+COUNTIF($AQ$7:$AQ$406,AQ205)&gt;1),TRUE,FALSE))</f>
        <v>0</v>
      </c>
      <c r="AT205" s="218" t="b">
        <f t="shared" si="2226"/>
        <v>0</v>
      </c>
      <c r="AU205" s="274"/>
      <c r="AX205" s="274"/>
      <c r="BD205" s="218" t="b">
        <f t="shared" si="2213"/>
        <v>0</v>
      </c>
      <c r="BF205" s="231" t="b">
        <f t="shared" ref="BF205" si="2284">IF(J205="",FALSE,IF(OR(AND(AU203,L205=""),AND(AU203,L205="",OR(M205&lt;&gt;"",N205&lt;&gt;"",O205&lt;&gt;"",P205&lt;&gt;""))),TRUE,FALSE))</f>
        <v>0</v>
      </c>
      <c r="BG205" s="218" t="b">
        <f t="shared" si="2215"/>
        <v>0</v>
      </c>
      <c r="BH205" s="218" t="b">
        <f t="shared" si="2228"/>
        <v>0</v>
      </c>
      <c r="BI205" s="231" t="b">
        <f t="shared" ref="BI205" si="2285">IF(J205="",FALSE,IF(L205=0,FALSE,IF(AND(AU203,NOT(BF205),OR(M205="",N205="",O205="")),TRUE,FALSE)))</f>
        <v>0</v>
      </c>
      <c r="BJ205" s="240" t="b">
        <f t="shared" si="2230"/>
        <v>0</v>
      </c>
      <c r="BK205" s="231" t="b">
        <f>IF(NOT(BJ205),FALSE,IF(AND(競技会設定!$C$5&lt;=BJ205,BJ205&lt;=競技会設定!$C$6),FALSE,TRUE))</f>
        <v>0</v>
      </c>
      <c r="BL205" s="218" t="b">
        <f>IF(J205="",FALSE,IF(L205=0,FALSE,IF(AND(AU203,NOT(BF205),NOT(BI205),P205=""),TRUE,FALSE)))</f>
        <v>0</v>
      </c>
      <c r="BO205" s="274"/>
    </row>
    <row r="206" spans="1:67" ht="18" customHeight="1" thickBot="1">
      <c r="A206" s="422"/>
      <c r="B206" s="387" t="s">
        <v>7051</v>
      </c>
      <c r="C206" s="387"/>
      <c r="D206" s="213"/>
      <c r="E206" s="388"/>
      <c r="F206" s="389"/>
      <c r="G206" s="390"/>
      <c r="H206" s="141"/>
      <c r="I206" s="213" t="s">
        <v>7065</v>
      </c>
      <c r="J206" s="154"/>
      <c r="K206" s="213" t="s">
        <v>7066</v>
      </c>
      <c r="L206" s="154"/>
      <c r="M206" s="267"/>
      <c r="N206" s="268"/>
      <c r="O206" s="269"/>
      <c r="P206" s="154"/>
      <c r="Q206" s="383"/>
      <c r="R206" s="386"/>
      <c r="S206" s="136"/>
      <c r="T206" s="137"/>
      <c r="U206" s="137"/>
      <c r="V206" s="137"/>
      <c r="W206" s="137"/>
      <c r="X206" s="137"/>
      <c r="Y206" s="218">
        <f t="shared" ref="Y206" si="2286">IF(OR(E203="",J206=""),0,J206&amp;E203)</f>
        <v>0</v>
      </c>
      <c r="Z206" s="218">
        <f>IF(Y206=0,0,COUNTIF($Y$7:Y206,Y206))</f>
        <v>0</v>
      </c>
      <c r="AD206" s="218">
        <f>IFERROR(VLOOKUP(J206,競技会設定!$P$2:$S$22,2,0),0)</f>
        <v>0</v>
      </c>
      <c r="AE206" s="218">
        <f t="shared" ref="AE206" si="2287">IF(E203="",0,IF(AD206=0,0,IF(AD206&lt;3,E203&amp;$AE$6,0)))</f>
        <v>0</v>
      </c>
      <c r="AF206" s="218">
        <f>IF(AE206=0,0,E203&amp;COUNTIF($AE$7:AE206,AE206))</f>
        <v>0</v>
      </c>
      <c r="AG206" s="218">
        <f t="shared" ref="AG206" si="2288">IF(E203="",0,IF(AD206=0,0,IF(AD206&gt;=3,E203&amp;$AG$6,0)))</f>
        <v>0</v>
      </c>
      <c r="AH206" s="218">
        <f>IF(AG206=0,0,E203&amp;COUNTIF($AG$7:AG206,AG206))</f>
        <v>0</v>
      </c>
      <c r="AI206" s="218">
        <f t="shared" si="1999"/>
        <v>0</v>
      </c>
      <c r="AJ206" s="218" t="b">
        <f>IF(AI206=0,FALSE,IF(COUNTIF(AI$7:AI206,AI206)&gt;1,TRUE,FALSE))</f>
        <v>0</v>
      </c>
      <c r="AK206" s="218">
        <f t="shared" ref="AK206" si="2289">IF($AD206=AK$6,$E203,0)</f>
        <v>0</v>
      </c>
      <c r="AL206" s="218" t="b">
        <f>IF(AK206=0,FALSE,IF(COUNTIF(AK$7:AK206,AK206)&gt;1,TRUE,FALSE))</f>
        <v>0</v>
      </c>
      <c r="AM206" s="218">
        <f t="shared" ref="AM206" si="2290">IF($AD206=AM$6,$E203,0)</f>
        <v>0</v>
      </c>
      <c r="AN206" s="218" t="b">
        <f>IF(AM206=0,FALSE,IF(COUNTIF(AM$7:AM206,AM206)&gt;1,TRUE,FALSE))</f>
        <v>0</v>
      </c>
      <c r="AO206" s="218">
        <f t="shared" ref="AO206" si="2291">IF($AD206=AO$6,$E203,0)</f>
        <v>0</v>
      </c>
      <c r="AP206" s="218" t="b">
        <f>IF(AO206=0,FALSE,IF(COUNTIF(AO$7:AO206,AO206)&gt;1,TRUE,FALSE))</f>
        <v>0</v>
      </c>
      <c r="AQ206" s="218">
        <f t="shared" ref="AQ206" si="2292">IF(COUNTIF(Y206,"*十種競技*")&gt;0,E203,0)</f>
        <v>0</v>
      </c>
      <c r="AR206" s="218" t="b">
        <f>IF(AQ206=0,FALSE,IF(OR(COUNTIF($AI$7:$AI$406,AQ206)+COUNTIF($AQ206:$AQ$406,AQ206)&gt;1,COUNTIF($AK$7:$AK$406,AQ206)+COUNTIF($AQ$7:$AQ$406,AQ206)&gt;1),TRUE,FALSE))</f>
        <v>0</v>
      </c>
      <c r="AT206" s="218" t="b">
        <f t="shared" si="2226"/>
        <v>0</v>
      </c>
      <c r="AU206" s="274"/>
      <c r="AX206" s="274"/>
      <c r="BD206" s="218" t="b">
        <f t="shared" si="2213"/>
        <v>0</v>
      </c>
      <c r="BF206" s="231" t="b">
        <f t="shared" ref="BF206" si="2293">IF(J206="",FALSE,IF(OR(AND(AU203,L206=""),AND(AU203,L206="",OR(M206&lt;&gt;"",N206&lt;&gt;"",O206&lt;&gt;"",P206&lt;&gt;""))),TRUE,FALSE))</f>
        <v>0</v>
      </c>
      <c r="BG206" s="218" t="b">
        <f t="shared" si="2215"/>
        <v>0</v>
      </c>
      <c r="BH206" s="218" t="b">
        <f t="shared" si="2228"/>
        <v>0</v>
      </c>
      <c r="BI206" s="231" t="b">
        <f t="shared" ref="BI206" si="2294">IF(J206="",FALSE,IF(L206=0,FALSE,IF(AND(AU203,NOT(BF206),OR(M206="",N206="",O206="")),TRUE,FALSE)))</f>
        <v>0</v>
      </c>
      <c r="BJ206" s="240" t="b">
        <f t="shared" si="2230"/>
        <v>0</v>
      </c>
      <c r="BK206" s="231" t="b">
        <f>IF(NOT(BJ206),FALSE,IF(AND(競技会設定!$C$5&lt;=BJ206,BJ206&lt;=競技会設定!$C$6),FALSE,TRUE))</f>
        <v>0</v>
      </c>
      <c r="BL206" s="218" t="b">
        <f>IF(J206="",FALSE,IF(L206=0,FALSE,IF(AND(AU203,NOT(BF206),NOT(BI206),P206=""),TRUE,FALSE)))</f>
        <v>0</v>
      </c>
      <c r="BO206" s="274"/>
    </row>
    <row r="207" spans="1:67" ht="18" customHeight="1" thickTop="1">
      <c r="A207" s="417">
        <v>51</v>
      </c>
      <c r="B207" s="401" t="s">
        <v>7050</v>
      </c>
      <c r="C207" s="403"/>
      <c r="D207" s="220" t="str">
        <f t="shared" ref="D207" si="2295">IF(C207="","",501&amp;TEXT(C207,"000000"))</f>
        <v/>
      </c>
      <c r="E207" s="396" t="str">
        <f>IF(D207="","",(VLOOKUP(D207,男子登録!$A$2:$N$2001,3,0)))</f>
        <v/>
      </c>
      <c r="F207" s="396" t="str">
        <f>IF(D207="","",(VLOOKUP(D207,男子登録!$A$2:$N$2001,4,0)))</f>
        <v/>
      </c>
      <c r="G207" s="220" t="str">
        <f>IF(C207="","",(VLOOKUP(D207,男子登録!$A$2:$N$2001,8,0)))</f>
        <v/>
      </c>
      <c r="H207" s="220">
        <f>IFERROR(VLOOKUP(D207,男子登録!$A$2:$N$2001,11,0),基本情報!$E$5)</f>
        <v>0</v>
      </c>
      <c r="I207" s="220" t="s">
        <v>7059</v>
      </c>
      <c r="J207" s="148"/>
      <c r="K207" s="220" t="s">
        <v>7060</v>
      </c>
      <c r="L207" s="148"/>
      <c r="M207" s="252"/>
      <c r="N207" s="253"/>
      <c r="O207" s="254"/>
      <c r="P207" s="148"/>
      <c r="Q207" s="398"/>
      <c r="R207" s="391"/>
      <c r="S207" s="136">
        <f t="shared" ref="S207" si="2296">IF(OR(E207="",Q207=""),0,E207)</f>
        <v>0</v>
      </c>
      <c r="T207" s="137">
        <f>IF(S207=0,0,COUNTIF($S$7:S207,"*"))</f>
        <v>0</v>
      </c>
      <c r="U207" s="137">
        <f>IF(S207=0,0,COUNTIF($S$7:S207,S207))</f>
        <v>0</v>
      </c>
      <c r="V207" s="137">
        <f t="shared" si="1691"/>
        <v>0</v>
      </c>
      <c r="W207" s="137">
        <f>IF(V207=0,0,COUNTIF($V$7:V207,"*"))</f>
        <v>0</v>
      </c>
      <c r="X207" s="137">
        <f>IF(V207=0,0,COUNTIF($V$7:V207,V207))</f>
        <v>0</v>
      </c>
      <c r="Y207" s="218">
        <f t="shared" ref="Y207" si="2297">IF(OR(E207="",J207=""),0,J207&amp;E207)</f>
        <v>0</v>
      </c>
      <c r="Z207" s="218">
        <f>IF(Y207=0,0,COUNTIF($Y$7:Y207,Y207))</f>
        <v>0</v>
      </c>
      <c r="AA207" s="218" t="b">
        <f t="shared" ref="AA207" si="2298">IF(COUNTIF(J207:J210,"十種競技")&gt;0,TRUE,FALSE)</f>
        <v>0</v>
      </c>
      <c r="AB207" s="218">
        <f>IF(E207="",0,IF(AA207,COUNTIF($AA$7:AA207,TRUE),0))</f>
        <v>0</v>
      </c>
      <c r="AC207" s="218">
        <f>IFERROR(VLOOKUP("十種競技",J207:L210,3,0),0)</f>
        <v>0</v>
      </c>
      <c r="AD207" s="218">
        <f>IFERROR(VLOOKUP(J207,競技会設定!$P$2:$S$22,2,0),0)</f>
        <v>0</v>
      </c>
      <c r="AE207" s="218">
        <f t="shared" ref="AE207" si="2299">IF(E207="",0,IF(AD207=0,0,IF(AD207&lt;3,E207&amp;$AE$6,0)))</f>
        <v>0</v>
      </c>
      <c r="AF207" s="218">
        <f>IF(AE207=0,0,E207&amp;COUNTIF($AE$7:AE207,AE207))</f>
        <v>0</v>
      </c>
      <c r="AG207" s="218">
        <f t="shared" ref="AG207" si="2300">IF(E207="",0,IF(AD207=0,0,IF(AD207&gt;=3,E207&amp;$AG$6,0)))</f>
        <v>0</v>
      </c>
      <c r="AH207" s="218">
        <f>IF(AG207=0,0,E207&amp;COUNTIF($AG$7:AG207,AG207))</f>
        <v>0</v>
      </c>
      <c r="AI207" s="218">
        <f t="shared" si="2012"/>
        <v>0</v>
      </c>
      <c r="AJ207" s="218" t="b">
        <f>IF(AI207=0,FALSE,IF(COUNTIF(AI$7:AI207,AI207)&gt;1,TRUE,FALSE))</f>
        <v>0</v>
      </c>
      <c r="AK207" s="218">
        <f t="shared" ref="AK207" si="2301">IF($AD207=AK$6,$E207,0)</f>
        <v>0</v>
      </c>
      <c r="AL207" s="218" t="b">
        <f>IF(AK207=0,FALSE,IF(COUNTIF(AK$7:AK207,AK207)&gt;1,TRUE,FALSE))</f>
        <v>0</v>
      </c>
      <c r="AM207" s="218">
        <f t="shared" ref="AM207" si="2302">IF($AD207=AM$6,$E207,0)</f>
        <v>0</v>
      </c>
      <c r="AN207" s="218" t="b">
        <f>IF(AM207=0,FALSE,IF(COUNTIF(AM$7:AM207,AM207)&gt;1,TRUE,FALSE))</f>
        <v>0</v>
      </c>
      <c r="AO207" s="218">
        <f t="shared" ref="AO207" si="2303">IF($AD207=AO$6,$E207,0)</f>
        <v>0</v>
      </c>
      <c r="AP207" s="218" t="b">
        <f>IF(AO207=0,FALSE,IF(COUNTIF(AO$7:AO207,AO207)&gt;1,TRUE,FALSE))</f>
        <v>0</v>
      </c>
      <c r="AQ207" s="218">
        <f t="shared" ref="AQ207" si="2304">IF(COUNTIF(Y207,"*十種競技*")&gt;0,E207,0)</f>
        <v>0</v>
      </c>
      <c r="AR207" s="218" t="b">
        <f>IF(AQ207=0,FALSE,IF(OR(COUNTIF($AI$7:$AI$406,AQ207)+COUNTIF($AQ207:$AQ$406,AQ207)&gt;1,COUNTIF($AK$7:$AK$406,AQ207)+COUNTIF($AQ$7:$AQ$406,AQ207)&gt;1),TRUE,FALSE))</f>
        <v>0</v>
      </c>
      <c r="AS207" s="218" t="b">
        <f t="shared" ref="AS207" si="2305">IF(AND(C207="",E207&lt;&gt;"",F207&lt;&gt;"",E209&lt;&gt;"",G207&lt;&gt;"",G208&lt;&gt;"",G209&lt;&gt;""),TRUE,FALSE)</f>
        <v>0</v>
      </c>
      <c r="AT207" s="218" t="b">
        <f t="shared" si="2226"/>
        <v>0</v>
      </c>
      <c r="AU207" s="274" t="b">
        <f t="shared" ref="AU207" si="2306">IFERROR(IF(D207&amp;E207&amp;F207&amp;E209&amp;G207&amp;G208&amp;G209&amp;J207&amp;J208&amp;J209&amp;J210&amp;L207&amp;L208&amp;L209&amp;L210&amp;M207&amp;M208&amp;M209&amp;M210&amp;N207&amp;N208&amp;N209&amp;N210&amp;O207&amp;O208&amp;O209&amp;O210&amp;P207&amp;P208&amp;P209&amp;P210&amp;Q207&amp;R207="",FALSE,TRUE),FALSE)</f>
        <v>0</v>
      </c>
      <c r="AV207" s="218" t="b">
        <f t="shared" ref="AV207" si="2307">IF(AS207,FALSE,IF(C207="",AU207,FALSE))</f>
        <v>0</v>
      </c>
      <c r="AW207" s="218" t="b">
        <f>IF(C207="",FALSE,IF(C207&gt;2000,TRUE,FALSE))</f>
        <v>0</v>
      </c>
      <c r="AX207" s="274" t="b">
        <f>IF(H207=0,FALSE,IF(EXACT(基本情報!$E$5,H207)=TRUE,FALSE,TRUE))</f>
        <v>0</v>
      </c>
      <c r="AY207" s="218" t="b">
        <f>IF(C207="",FALSE,IF(ISNA(E207)=TRUE,TRUE,FALSE))</f>
        <v>0</v>
      </c>
      <c r="AZ207" s="274" t="b">
        <f>IFERROR(IF(E207="",FALSE,IF(COUNTIF($E$7:E207,E207)&gt;1,TRUE,FALSE)),FALSE)</f>
        <v>0</v>
      </c>
      <c r="BA207" s="218" t="b">
        <f t="shared" ref="BA207" si="2308">IF(OR(J207&amp;J208&amp;J209&amp;J210&amp;Q207&amp;R207="",AT207,AT208,AT209,AT210),AU207,FALSE)</f>
        <v>0</v>
      </c>
      <c r="BB207" s="218" t="b">
        <f>IF(U207&gt;1,TRUE,FALSE)</f>
        <v>0</v>
      </c>
      <c r="BC207" s="218" t="b">
        <f>IF(X207&gt;1,TRUE,FALSE)</f>
        <v>0</v>
      </c>
      <c r="BD207" s="218" t="b">
        <f t="shared" si="2213"/>
        <v>0</v>
      </c>
      <c r="BF207" s="231" t="b">
        <f t="shared" ref="BF207" si="2309">IF(J207="",FALSE,IF(OR(AND(AU207,L207=""),AND(AU207,L207="",OR(M207&lt;&gt;"",N207&lt;&gt;"",O207&lt;&gt;"",P207&lt;&gt;""))),TRUE,FALSE))</f>
        <v>0</v>
      </c>
      <c r="BG207" s="218" t="b">
        <f t="shared" si="2215"/>
        <v>0</v>
      </c>
      <c r="BH207" s="218" t="b">
        <f t="shared" si="2228"/>
        <v>0</v>
      </c>
      <c r="BI207" s="231" t="b">
        <f t="shared" ref="BI207" si="2310">IF(J207="",FALSE,IF(L207=0,FALSE,IF(AND(AU207,NOT(BF207),OR(M207="",N207="",O207="")),TRUE,FALSE)))</f>
        <v>0</v>
      </c>
      <c r="BJ207" s="240" t="b">
        <f t="shared" si="2230"/>
        <v>0</v>
      </c>
      <c r="BK207" s="231" t="b">
        <f>IF(NOT(BJ207),FALSE,IF(AND(競技会設定!$C$5&lt;=BJ207,BJ207&lt;=競技会設定!$C$6),FALSE,TRUE))</f>
        <v>0</v>
      </c>
      <c r="BL207" s="218" t="b">
        <f>IF(J207="",FALSE,IF(L207=0,FALSE,IF(AND(AU207,NOT(BF207),NOT(BI207),P207=""),TRUE,FALSE)))</f>
        <v>0</v>
      </c>
      <c r="BO207" s="274">
        <f t="shared" ref="BO207" si="2311">IF(AND(AU207,SUM(COUNTIF(AV207:BC207,TRUE),COUNTIF(BF207:BL210,TRUE),COUNTIF(BD207:BD210,TRUE))=0,NOT($BE$7)),1,0)</f>
        <v>0</v>
      </c>
    </row>
    <row r="208" spans="1:67" ht="17.399999999999999" customHeight="1">
      <c r="A208" s="418"/>
      <c r="B208" s="402"/>
      <c r="C208" s="404"/>
      <c r="D208" s="221"/>
      <c r="E208" s="397"/>
      <c r="F208" s="397"/>
      <c r="G208" s="221" t="str">
        <f>IF(C207="","",(VLOOKUP(D207,男子登録!$A$2:$N$2001,13,0)))</f>
        <v/>
      </c>
      <c r="H208" s="221"/>
      <c r="I208" s="221" t="s">
        <v>7061</v>
      </c>
      <c r="J208" s="149"/>
      <c r="K208" s="221" t="s">
        <v>7062</v>
      </c>
      <c r="L208" s="149"/>
      <c r="M208" s="255"/>
      <c r="N208" s="256"/>
      <c r="O208" s="257"/>
      <c r="P208" s="149"/>
      <c r="Q208" s="399"/>
      <c r="R208" s="392"/>
      <c r="S208" s="136"/>
      <c r="T208" s="137"/>
      <c r="U208" s="137"/>
      <c r="V208" s="137"/>
      <c r="W208" s="137"/>
      <c r="X208" s="137"/>
      <c r="Y208" s="218">
        <f t="shared" ref="Y208" si="2312">IF(OR(E207="",J208=""),0,J208&amp;E207)</f>
        <v>0</v>
      </c>
      <c r="Z208" s="218">
        <f>IF(Y208=0,0,COUNTIF($Y$7:Y208,Y208))</f>
        <v>0</v>
      </c>
      <c r="AD208" s="218">
        <f>IFERROR(VLOOKUP(J208,競技会設定!$P$2:$S$22,2,0),0)</f>
        <v>0</v>
      </c>
      <c r="AE208" s="218">
        <f t="shared" ref="AE208" si="2313">IF(E207="",0,IF(AD208=0,0,IF(AD208&lt;3,E207&amp;$AE$6,0)))</f>
        <v>0</v>
      </c>
      <c r="AF208" s="218">
        <f>IF(AE208=0,0,E207&amp;COUNTIF($AE$7:AE208,AE208))</f>
        <v>0</v>
      </c>
      <c r="AG208" s="218">
        <f t="shared" ref="AG208" si="2314">IF(E207="",0,IF(AD208=0,0,IF(AD208&gt;=3,E207&amp;$AG$6,0)))</f>
        <v>0</v>
      </c>
      <c r="AH208" s="218">
        <f>IF(AG208=0,0,E207&amp;COUNTIF($AG$7:AG208,AG208))</f>
        <v>0</v>
      </c>
      <c r="AI208" s="218">
        <f t="shared" si="2027"/>
        <v>0</v>
      </c>
      <c r="AJ208" s="218" t="b">
        <f>IF(AI208=0,FALSE,IF(COUNTIF(AI$7:AI208,AI208)&gt;1,TRUE,FALSE))</f>
        <v>0</v>
      </c>
      <c r="AK208" s="218">
        <f t="shared" ref="AK208" si="2315">IF($AD208=AK$6,$E207,0)</f>
        <v>0</v>
      </c>
      <c r="AL208" s="218" t="b">
        <f>IF(AK208=0,FALSE,IF(COUNTIF(AK$7:AK208,AK208)&gt;1,TRUE,FALSE))</f>
        <v>0</v>
      </c>
      <c r="AM208" s="218">
        <f t="shared" ref="AM208" si="2316">IF($AD208=AM$6,$E207,0)</f>
        <v>0</v>
      </c>
      <c r="AN208" s="218" t="b">
        <f>IF(AM208=0,FALSE,IF(COUNTIF(AM$7:AM208,AM208)&gt;1,TRUE,FALSE))</f>
        <v>0</v>
      </c>
      <c r="AO208" s="218">
        <f t="shared" ref="AO208" si="2317">IF($AD208=AO$6,$E207,0)</f>
        <v>0</v>
      </c>
      <c r="AP208" s="218" t="b">
        <f>IF(AO208=0,FALSE,IF(COUNTIF(AO$7:AO208,AO208)&gt;1,TRUE,FALSE))</f>
        <v>0</v>
      </c>
      <c r="AQ208" s="218">
        <f t="shared" ref="AQ208" si="2318">IF(COUNTIF(Y208,"*十種競技*")&gt;0,E207,0)</f>
        <v>0</v>
      </c>
      <c r="AR208" s="218" t="b">
        <f>IF(AQ208=0,FALSE,IF(OR(COUNTIF($AI$7:$AI$406,AQ208)+COUNTIF($AQ208:$AQ$406,AQ208)&gt;1,COUNTIF($AK$7:$AK$406,AQ208)+COUNTIF($AQ$7:$AQ$406,AQ208)&gt;1),TRUE,FALSE))</f>
        <v>0</v>
      </c>
      <c r="AT208" s="218" t="b">
        <f t="shared" si="2226"/>
        <v>0</v>
      </c>
      <c r="AU208" s="274"/>
      <c r="AX208" s="274"/>
      <c r="BD208" s="218" t="b">
        <f t="shared" si="2213"/>
        <v>0</v>
      </c>
      <c r="BF208" s="231" t="b">
        <f t="shared" ref="BF208" si="2319">IF(J208="",FALSE,IF(OR(AND(AU207,L208=""),AND(AU207,L208="",OR(M208&lt;&gt;"",N208&lt;&gt;"",O208&lt;&gt;"",P208&lt;&gt;""))),TRUE,FALSE))</f>
        <v>0</v>
      </c>
      <c r="BG208" s="218" t="b">
        <f t="shared" si="2215"/>
        <v>0</v>
      </c>
      <c r="BH208" s="218" t="b">
        <f t="shared" si="2228"/>
        <v>0</v>
      </c>
      <c r="BI208" s="231" t="b">
        <f t="shared" ref="BI208" si="2320">IF(J208="",FALSE,IF(L208=0,FALSE,IF(AND(AU207,NOT(BF208),OR(M208="",N208="",O208="")),TRUE,FALSE)))</f>
        <v>0</v>
      </c>
      <c r="BJ208" s="240" t="b">
        <f t="shared" si="2230"/>
        <v>0</v>
      </c>
      <c r="BK208" s="231" t="b">
        <f>IF(NOT(BJ208),FALSE,IF(AND(競技会設定!$C$5&lt;=BJ208,BJ208&lt;=競技会設定!$C$6),FALSE,TRUE))</f>
        <v>0</v>
      </c>
      <c r="BL208" s="218" t="b">
        <f>IF(J208="",FALSE,IF(L208=0,FALSE,IF(AND(AU207,NOT(BF208),NOT(BI208),P208=""),TRUE,FALSE)))</f>
        <v>0</v>
      </c>
      <c r="BO208" s="274"/>
    </row>
    <row r="209" spans="1:67" ht="17.399999999999999" customHeight="1">
      <c r="A209" s="418"/>
      <c r="B209" s="402"/>
      <c r="C209" s="404"/>
      <c r="D209" s="221"/>
      <c r="E209" s="394" t="str">
        <f>IF(C207="","",VLOOKUP(D207,男子登録!$A$2:$O$2001,14,0)&amp;" ("&amp;VLOOKUP(D207,男子登録!$A$2:$O$2001,15,0)&amp;")")</f>
        <v/>
      </c>
      <c r="F209" s="394"/>
      <c r="G209" s="222" t="str">
        <f>IF(C207="","",(VLOOKUP(D207,男子登録!$A$2:$N$2001,9,0)))</f>
        <v/>
      </c>
      <c r="H209" s="222"/>
      <c r="I209" s="222" t="s">
        <v>7063</v>
      </c>
      <c r="J209" s="150"/>
      <c r="K209" s="222" t="s">
        <v>7064</v>
      </c>
      <c r="L209" s="150"/>
      <c r="M209" s="255"/>
      <c r="N209" s="256"/>
      <c r="O209" s="257"/>
      <c r="P209" s="149"/>
      <c r="Q209" s="399"/>
      <c r="R209" s="392"/>
      <c r="S209" s="136"/>
      <c r="T209" s="137"/>
      <c r="U209" s="137"/>
      <c r="V209" s="137"/>
      <c r="W209" s="137"/>
      <c r="X209" s="137"/>
      <c r="Y209" s="218">
        <f t="shared" ref="Y209" si="2321">IF(OR(E207="",J209=""),0,J209&amp;E207)</f>
        <v>0</v>
      </c>
      <c r="Z209" s="218">
        <f>IF(Y209=0,0,COUNTIF($Y$7:Y209,Y209))</f>
        <v>0</v>
      </c>
      <c r="AD209" s="218">
        <f>IFERROR(VLOOKUP(J209,競技会設定!$P$2:$S$22,2,0),0)</f>
        <v>0</v>
      </c>
      <c r="AE209" s="218">
        <f t="shared" ref="AE209" si="2322">IF(E207="",0,IF(AD209=0,0,IF(AD209&lt;3,E207&amp;$AE$6,0)))</f>
        <v>0</v>
      </c>
      <c r="AF209" s="218">
        <f>IF(AE209=0,0,E207&amp;COUNTIF($AE$7:AE209,AE209))</f>
        <v>0</v>
      </c>
      <c r="AG209" s="218">
        <f t="shared" ref="AG209" si="2323">IF(E207="",0,IF(AD209=0,0,IF(AD209&gt;=3,E207&amp;$AG$6,0)))</f>
        <v>0</v>
      </c>
      <c r="AH209" s="218">
        <f>IF(AG209=0,0,E207&amp;COUNTIF($AG$7:AG209,AG209))</f>
        <v>0</v>
      </c>
      <c r="AI209" s="218">
        <f t="shared" si="2037"/>
        <v>0</v>
      </c>
      <c r="AJ209" s="218" t="b">
        <f>IF(AI209=0,FALSE,IF(COUNTIF(AI$7:AI209,AI209)&gt;1,TRUE,FALSE))</f>
        <v>0</v>
      </c>
      <c r="AK209" s="218">
        <f t="shared" ref="AK209" si="2324">IF($AD209=AK$6,$E207,0)</f>
        <v>0</v>
      </c>
      <c r="AL209" s="218" t="b">
        <f>IF(AK209=0,FALSE,IF(COUNTIF(AK$7:AK209,AK209)&gt;1,TRUE,FALSE))</f>
        <v>0</v>
      </c>
      <c r="AM209" s="218">
        <f t="shared" ref="AM209" si="2325">IF($AD209=AM$6,$E207,0)</f>
        <v>0</v>
      </c>
      <c r="AN209" s="218" t="b">
        <f>IF(AM209=0,FALSE,IF(COUNTIF(AM$7:AM209,AM209)&gt;1,TRUE,FALSE))</f>
        <v>0</v>
      </c>
      <c r="AO209" s="218">
        <f t="shared" ref="AO209" si="2326">IF($AD209=AO$6,$E207,0)</f>
        <v>0</v>
      </c>
      <c r="AP209" s="218" t="b">
        <f>IF(AO209=0,FALSE,IF(COUNTIF(AO$7:AO209,AO209)&gt;1,TRUE,FALSE))</f>
        <v>0</v>
      </c>
      <c r="AQ209" s="218">
        <f t="shared" ref="AQ209" si="2327">IF(COUNTIF(Y209,"*十種競技*")&gt;0,E207,0)</f>
        <v>0</v>
      </c>
      <c r="AR209" s="218" t="b">
        <f>IF(AQ209=0,FALSE,IF(OR(COUNTIF($AI$7:$AI$406,AQ209)+COUNTIF($AQ209:$AQ$406,AQ209)&gt;1,COUNTIF($AK$7:$AK$406,AQ209)+COUNTIF($AQ$7:$AQ$406,AQ209)&gt;1),TRUE,FALSE))</f>
        <v>0</v>
      </c>
      <c r="AT209" s="218" t="b">
        <f t="shared" si="2226"/>
        <v>0</v>
      </c>
      <c r="AU209" s="274"/>
      <c r="AX209" s="274"/>
      <c r="BD209" s="218" t="b">
        <f t="shared" si="2213"/>
        <v>0</v>
      </c>
      <c r="BF209" s="231" t="b">
        <f t="shared" ref="BF209" si="2328">IF(J209="",FALSE,IF(OR(AND(AU207,L209=""),AND(AU207,L209="",OR(M209&lt;&gt;"",N209&lt;&gt;"",O209&lt;&gt;"",P209&lt;&gt;""))),TRUE,FALSE))</f>
        <v>0</v>
      </c>
      <c r="BG209" s="218" t="b">
        <f t="shared" si="2215"/>
        <v>0</v>
      </c>
      <c r="BH209" s="218" t="b">
        <f t="shared" si="2228"/>
        <v>0</v>
      </c>
      <c r="BI209" s="231" t="b">
        <f t="shared" ref="BI209" si="2329">IF(J209="",FALSE,IF(L209=0,FALSE,IF(AND(AU207,NOT(BF209),OR(M209="",N209="",O209="")),TRUE,FALSE)))</f>
        <v>0</v>
      </c>
      <c r="BJ209" s="240" t="b">
        <f t="shared" si="2230"/>
        <v>0</v>
      </c>
      <c r="BK209" s="231" t="b">
        <f>IF(NOT(BJ209),FALSE,IF(AND(競技会設定!$C$5&lt;=BJ209,BJ209&lt;=競技会設定!$C$6),FALSE,TRUE))</f>
        <v>0</v>
      </c>
      <c r="BL209" s="218" t="b">
        <f>IF(J209="",FALSE,IF(L209=0,FALSE,IF(AND(AU207,NOT(BF209),NOT(BI209),P209=""),TRUE,FALSE)))</f>
        <v>0</v>
      </c>
      <c r="BO209" s="274"/>
    </row>
    <row r="210" spans="1:67" ht="18" customHeight="1" thickBot="1">
      <c r="A210" s="419"/>
      <c r="B210" s="395" t="s">
        <v>7051</v>
      </c>
      <c r="C210" s="395"/>
      <c r="D210" s="221"/>
      <c r="E210" s="372"/>
      <c r="F210" s="372"/>
      <c r="G210" s="372"/>
      <c r="H210" s="214"/>
      <c r="I210" s="214" t="s">
        <v>7065</v>
      </c>
      <c r="J210" s="219"/>
      <c r="K210" s="214" t="s">
        <v>7066</v>
      </c>
      <c r="L210" s="219"/>
      <c r="M210" s="258"/>
      <c r="N210" s="259"/>
      <c r="O210" s="260"/>
      <c r="P210" s="219"/>
      <c r="Q210" s="400"/>
      <c r="R210" s="393"/>
      <c r="S210" s="136"/>
      <c r="T210" s="137"/>
      <c r="U210" s="137"/>
      <c r="V210" s="137"/>
      <c r="W210" s="137"/>
      <c r="X210" s="137"/>
      <c r="Y210" s="218">
        <f t="shared" ref="Y210" si="2330">IF(OR(E207="",J210=""),0,J210&amp;E207)</f>
        <v>0</v>
      </c>
      <c r="Z210" s="218">
        <f>IF(Y210=0,0,COUNTIF($Y$7:Y210,Y210))</f>
        <v>0</v>
      </c>
      <c r="AD210" s="218">
        <f>IFERROR(VLOOKUP(J210,競技会設定!$P$2:$S$22,2,0),0)</f>
        <v>0</v>
      </c>
      <c r="AE210" s="218">
        <f t="shared" ref="AE210" si="2331">IF(E207="",0,IF(AD210=0,0,IF(AD210&lt;3,E207&amp;$AE$6,0)))</f>
        <v>0</v>
      </c>
      <c r="AF210" s="218">
        <f>IF(AE210=0,0,E207&amp;COUNTIF($AE$7:AE210,AE210))</f>
        <v>0</v>
      </c>
      <c r="AG210" s="218">
        <f t="shared" ref="AG210" si="2332">IF(E207="",0,IF(AD210=0,0,IF(AD210&gt;=3,E207&amp;$AG$6,0)))</f>
        <v>0</v>
      </c>
      <c r="AH210" s="218">
        <f>IF(AG210=0,0,E207&amp;COUNTIF($AG$7:AG210,AG210))</f>
        <v>0</v>
      </c>
      <c r="AI210" s="218">
        <f t="shared" si="2047"/>
        <v>0</v>
      </c>
      <c r="AJ210" s="218" t="b">
        <f>IF(AI210=0,FALSE,IF(COUNTIF(AI$7:AI210,AI210)&gt;1,TRUE,FALSE))</f>
        <v>0</v>
      </c>
      <c r="AK210" s="218">
        <f t="shared" ref="AK210" si="2333">IF($AD210=AK$6,$E207,0)</f>
        <v>0</v>
      </c>
      <c r="AL210" s="218" t="b">
        <f>IF(AK210=0,FALSE,IF(COUNTIF(AK$7:AK210,AK210)&gt;1,TRUE,FALSE))</f>
        <v>0</v>
      </c>
      <c r="AM210" s="218">
        <f t="shared" ref="AM210" si="2334">IF($AD210=AM$6,$E207,0)</f>
        <v>0</v>
      </c>
      <c r="AN210" s="218" t="b">
        <f>IF(AM210=0,FALSE,IF(COUNTIF(AM$7:AM210,AM210)&gt;1,TRUE,FALSE))</f>
        <v>0</v>
      </c>
      <c r="AO210" s="218">
        <f t="shared" ref="AO210" si="2335">IF($AD210=AO$6,$E207,0)</f>
        <v>0</v>
      </c>
      <c r="AP210" s="218" t="b">
        <f>IF(AO210=0,FALSE,IF(COUNTIF(AO$7:AO210,AO210)&gt;1,TRUE,FALSE))</f>
        <v>0</v>
      </c>
      <c r="AQ210" s="218">
        <f t="shared" ref="AQ210" si="2336">IF(COUNTIF(Y210,"*十種競技*")&gt;0,E207,0)</f>
        <v>0</v>
      </c>
      <c r="AR210" s="218" t="b">
        <f>IF(AQ210=0,FALSE,IF(OR(COUNTIF($AI$7:$AI$406,AQ210)+COUNTIF($AQ210:$AQ$406,AQ210)&gt;1,COUNTIF($AK$7:$AK$406,AQ210)+COUNTIF($AQ$7:$AQ$406,AQ210)&gt;1),TRUE,FALSE))</f>
        <v>0</v>
      </c>
      <c r="AT210" s="218" t="b">
        <f t="shared" si="2226"/>
        <v>0</v>
      </c>
      <c r="AU210" s="274"/>
      <c r="AX210" s="274"/>
      <c r="BD210" s="218" t="b">
        <f t="shared" si="2213"/>
        <v>0</v>
      </c>
      <c r="BF210" s="231" t="b">
        <f t="shared" ref="BF210" si="2337">IF(J210="",FALSE,IF(OR(AND(AU207,L210=""),AND(AU207,L210="",OR(M210&lt;&gt;"",N210&lt;&gt;"",O210&lt;&gt;"",P210&lt;&gt;""))),TRUE,FALSE))</f>
        <v>0</v>
      </c>
      <c r="BG210" s="218" t="b">
        <f t="shared" si="2215"/>
        <v>0</v>
      </c>
      <c r="BH210" s="218" t="b">
        <f t="shared" si="2228"/>
        <v>0</v>
      </c>
      <c r="BI210" s="231" t="b">
        <f t="shared" ref="BI210" si="2338">IF(J210="",FALSE,IF(L210=0,FALSE,IF(AND(AU207,NOT(BF210),OR(M210="",N210="",O210="")),TRUE,FALSE)))</f>
        <v>0</v>
      </c>
      <c r="BJ210" s="240" t="b">
        <f t="shared" si="2230"/>
        <v>0</v>
      </c>
      <c r="BK210" s="231" t="b">
        <f>IF(NOT(BJ210),FALSE,IF(AND(競技会設定!$C$5&lt;=BJ210,BJ210&lt;=競技会設定!$C$6),FALSE,TRUE))</f>
        <v>0</v>
      </c>
      <c r="BL210" s="218" t="b">
        <f>IF(J210="",FALSE,IF(L210=0,FALSE,IF(AND(AU207,NOT(BF210),NOT(BI210),P210=""),TRUE,FALSE)))</f>
        <v>0</v>
      </c>
      <c r="BO210" s="274"/>
    </row>
    <row r="211" spans="1:67" ht="18" customHeight="1" thickTop="1">
      <c r="A211" s="420">
        <v>52</v>
      </c>
      <c r="B211" s="373" t="s">
        <v>7050</v>
      </c>
      <c r="C211" s="375"/>
      <c r="D211" s="138" t="str">
        <f t="shared" ref="D211" si="2339">IF(C211="","",501&amp;TEXT(C211,"000000"))</f>
        <v/>
      </c>
      <c r="E211" s="377" t="str">
        <f>IF(D211="","",(VLOOKUP(D211,男子登録!$A$2:$N$2001,3,0)))</f>
        <v/>
      </c>
      <c r="F211" s="377" t="str">
        <f>IF(D211="","",(VLOOKUP(D211,男子登録!$A$2:$N$2001,4,0)))</f>
        <v/>
      </c>
      <c r="G211" s="138" t="str">
        <f>IF(C211="","",(VLOOKUP(D211,男子登録!$A$2:$N$2001,8,0)))</f>
        <v/>
      </c>
      <c r="H211" s="138">
        <f>IFERROR(VLOOKUP(D211,男子登録!$A$2:$N$2001,11,0),基本情報!$E$5)</f>
        <v>0</v>
      </c>
      <c r="I211" s="138" t="s">
        <v>7059</v>
      </c>
      <c r="J211" s="151"/>
      <c r="K211" s="138" t="s">
        <v>7060</v>
      </c>
      <c r="L211" s="151"/>
      <c r="M211" s="261"/>
      <c r="N211" s="262"/>
      <c r="O211" s="263"/>
      <c r="P211" s="151"/>
      <c r="Q211" s="381"/>
      <c r="R211" s="384"/>
      <c r="S211" s="136">
        <f t="shared" ref="S211" si="2340">IF(OR(E211="",Q211=""),0,E211)</f>
        <v>0</v>
      </c>
      <c r="T211" s="137">
        <f>IF(S211=0,0,COUNTIF($S$7:S211,"*"))</f>
        <v>0</v>
      </c>
      <c r="U211" s="137">
        <f>IF(S211=0,0,COUNTIF($S$7:S211,S211))</f>
        <v>0</v>
      </c>
      <c r="V211" s="137">
        <f t="shared" si="1691"/>
        <v>0</v>
      </c>
      <c r="W211" s="137">
        <f>IF(V211=0,0,COUNTIF($V$7:V211,"*"))</f>
        <v>0</v>
      </c>
      <c r="X211" s="137">
        <f>IF(V211=0,0,COUNTIF($V$7:V211,V211))</f>
        <v>0</v>
      </c>
      <c r="Y211" s="218">
        <f t="shared" ref="Y211" si="2341">IF(OR(E211="",J211=""),0,J211&amp;E211)</f>
        <v>0</v>
      </c>
      <c r="Z211" s="218">
        <f>IF(Y211=0,0,COUNTIF($Y$7:Y211,Y211))</f>
        <v>0</v>
      </c>
      <c r="AA211" s="218" t="b">
        <f t="shared" ref="AA211" si="2342">IF(COUNTIF(J211:J214,"十種競技")&gt;0,TRUE,FALSE)</f>
        <v>0</v>
      </c>
      <c r="AB211" s="218">
        <f>IF(E211="",0,IF(AA211,COUNTIF($AA$7:AA211,TRUE),0))</f>
        <v>0</v>
      </c>
      <c r="AC211" s="218">
        <f>IFERROR(VLOOKUP("十種競技",J211:L214,3,0),0)</f>
        <v>0</v>
      </c>
      <c r="AD211" s="218">
        <f>IFERROR(VLOOKUP(J211,競技会設定!$P$2:$S$22,2,0),0)</f>
        <v>0</v>
      </c>
      <c r="AE211" s="218">
        <f t="shared" ref="AE211" si="2343">IF(E211="",0,IF(AD211=0,0,IF(AD211&lt;3,E211&amp;$AE$6,0)))</f>
        <v>0</v>
      </c>
      <c r="AF211" s="218">
        <f>IF(AE211=0,0,E211&amp;COUNTIF($AE$7:AE211,AE211))</f>
        <v>0</v>
      </c>
      <c r="AG211" s="218">
        <f t="shared" ref="AG211" si="2344">IF(E211="",0,IF(AD211=0,0,IF(AD211&gt;=3,E211&amp;$AG$6,0)))</f>
        <v>0</v>
      </c>
      <c r="AH211" s="218">
        <f>IF(AG211=0,0,E211&amp;COUNTIF($AG$7:AG211,AG211))</f>
        <v>0</v>
      </c>
      <c r="AI211" s="218">
        <f t="shared" si="2060"/>
        <v>0</v>
      </c>
      <c r="AJ211" s="218" t="b">
        <f>IF(AI211=0,FALSE,IF(COUNTIF(AI$7:AI211,AI211)&gt;1,TRUE,FALSE))</f>
        <v>0</v>
      </c>
      <c r="AK211" s="218">
        <f t="shared" ref="AK211" si="2345">IF($AD211=AK$6,$E211,0)</f>
        <v>0</v>
      </c>
      <c r="AL211" s="218" t="b">
        <f>IF(AK211=0,FALSE,IF(COUNTIF(AK$7:AK211,AK211)&gt;1,TRUE,FALSE))</f>
        <v>0</v>
      </c>
      <c r="AM211" s="218">
        <f t="shared" ref="AM211" si="2346">IF($AD211=AM$6,$E211,0)</f>
        <v>0</v>
      </c>
      <c r="AN211" s="218" t="b">
        <f>IF(AM211=0,FALSE,IF(COUNTIF(AM$7:AM211,AM211)&gt;1,TRUE,FALSE))</f>
        <v>0</v>
      </c>
      <c r="AO211" s="218">
        <f t="shared" ref="AO211" si="2347">IF($AD211=AO$6,$E211,0)</f>
        <v>0</v>
      </c>
      <c r="AP211" s="218" t="b">
        <f>IF(AO211=0,FALSE,IF(COUNTIF(AO$7:AO211,AO211)&gt;1,TRUE,FALSE))</f>
        <v>0</v>
      </c>
      <c r="AQ211" s="218">
        <f t="shared" ref="AQ211" si="2348">IF(COUNTIF(Y211,"*十種競技*")&gt;0,E211,0)</f>
        <v>0</v>
      </c>
      <c r="AR211" s="218" t="b">
        <f>IF(AQ211=0,FALSE,IF(OR(COUNTIF($AI$7:$AI$406,AQ211)+COUNTIF($AQ211:$AQ$406,AQ211)&gt;1,COUNTIF($AK$7:$AK$406,AQ211)+COUNTIF($AQ$7:$AQ$406,AQ211)&gt;1),TRUE,FALSE))</f>
        <v>0</v>
      </c>
      <c r="AS211" s="218" t="b">
        <f t="shared" ref="AS211" si="2349">IF(AND(C211="",E211&lt;&gt;"",F211&lt;&gt;"",E213&lt;&gt;"",G211&lt;&gt;"",G212&lt;&gt;"",G213&lt;&gt;""),TRUE,FALSE)</f>
        <v>0</v>
      </c>
      <c r="AT211" s="218" t="b">
        <f t="shared" si="2226"/>
        <v>0</v>
      </c>
      <c r="AU211" s="274" t="b">
        <f t="shared" ref="AU211" si="2350">IFERROR(IF(D211&amp;E211&amp;F211&amp;E213&amp;G211&amp;G212&amp;G213&amp;J211&amp;J212&amp;J213&amp;J214&amp;L211&amp;L212&amp;L213&amp;L214&amp;M211&amp;M212&amp;M213&amp;M214&amp;N211&amp;N212&amp;N213&amp;N214&amp;O211&amp;O212&amp;O213&amp;O214&amp;P211&amp;P212&amp;P213&amp;P214&amp;Q211&amp;R211="",FALSE,TRUE),FALSE)</f>
        <v>0</v>
      </c>
      <c r="AV211" s="218" t="b">
        <f t="shared" ref="AV211" si="2351">IF(AS211,FALSE,IF(C211="",AU211,FALSE))</f>
        <v>0</v>
      </c>
      <c r="AW211" s="218" t="b">
        <f>IF(C211="",FALSE,IF(C211&gt;2000,TRUE,FALSE))</f>
        <v>0</v>
      </c>
      <c r="AX211" s="274" t="b">
        <f>IF(H211=0,FALSE,IF(EXACT(基本情報!$E$5,H211)=TRUE,FALSE,TRUE))</f>
        <v>0</v>
      </c>
      <c r="AY211" s="218" t="b">
        <f>IF(C211="",FALSE,IF(ISNA(E211)=TRUE,TRUE,FALSE))</f>
        <v>0</v>
      </c>
      <c r="AZ211" s="274" t="b">
        <f>IFERROR(IF(E211="",FALSE,IF(COUNTIF($E$7:E211,E211)&gt;1,TRUE,FALSE)),FALSE)</f>
        <v>0</v>
      </c>
      <c r="BA211" s="218" t="b">
        <f t="shared" ref="BA211" si="2352">IF(OR(J211&amp;J212&amp;J213&amp;J214&amp;Q211&amp;R211="",AT211,AT212,AT213,AT214),AU211,FALSE)</f>
        <v>0</v>
      </c>
      <c r="BB211" s="218" t="b">
        <f>IF(U211&gt;1,TRUE,FALSE)</f>
        <v>0</v>
      </c>
      <c r="BC211" s="218" t="b">
        <f>IF(X211&gt;1,TRUE,FALSE)</f>
        <v>0</v>
      </c>
      <c r="BD211" s="218" t="b">
        <f t="shared" si="2213"/>
        <v>0</v>
      </c>
      <c r="BF211" s="231" t="b">
        <f t="shared" ref="BF211" si="2353">IF(J211="",FALSE,IF(OR(AND(AU211,L211=""),AND(AU211,L211="",OR(M211&lt;&gt;"",N211&lt;&gt;"",O211&lt;&gt;"",P211&lt;&gt;""))),TRUE,FALSE))</f>
        <v>0</v>
      </c>
      <c r="BG211" s="218" t="b">
        <f t="shared" si="2215"/>
        <v>0</v>
      </c>
      <c r="BH211" s="218" t="b">
        <f t="shared" si="2228"/>
        <v>0</v>
      </c>
      <c r="BI211" s="231" t="b">
        <f t="shared" ref="BI211" si="2354">IF(J211="",FALSE,IF(L211=0,FALSE,IF(AND(AU211,NOT(BF211),OR(M211="",N211="",O211="")),TRUE,FALSE)))</f>
        <v>0</v>
      </c>
      <c r="BJ211" s="240" t="b">
        <f t="shared" si="2230"/>
        <v>0</v>
      </c>
      <c r="BK211" s="231" t="b">
        <f>IF(NOT(BJ211),FALSE,IF(AND(競技会設定!$C$5&lt;=BJ211,BJ211&lt;=競技会設定!$C$6),FALSE,TRUE))</f>
        <v>0</v>
      </c>
      <c r="BL211" s="218" t="b">
        <f>IF(J211="",FALSE,IF(L211=0,FALSE,IF(AND(AU211,NOT(BF211),NOT(BI211),P211=""),TRUE,FALSE)))</f>
        <v>0</v>
      </c>
      <c r="BO211" s="274">
        <f t="shared" ref="BO211" si="2355">IF(AND(AU211,SUM(COUNTIF(AV211:BC211,TRUE),COUNTIF(BF211:BL214,TRUE),COUNTIF(BD211:BD214,TRUE))=0,NOT($BE$7)),1,0)</f>
        <v>0</v>
      </c>
    </row>
    <row r="212" spans="1:67" ht="17.399999999999999" customHeight="1">
      <c r="A212" s="421"/>
      <c r="B212" s="374"/>
      <c r="C212" s="376"/>
      <c r="D212" s="139"/>
      <c r="E212" s="378"/>
      <c r="F212" s="378"/>
      <c r="G212" s="139" t="str">
        <f>IF(C211="","",(VLOOKUP(D211,男子登録!$A$2:$N$2001,13,0)))</f>
        <v/>
      </c>
      <c r="H212" s="139"/>
      <c r="I212" s="139" t="s">
        <v>7061</v>
      </c>
      <c r="J212" s="152"/>
      <c r="K212" s="139" t="s">
        <v>7062</v>
      </c>
      <c r="L212" s="152"/>
      <c r="M212" s="264"/>
      <c r="N212" s="265"/>
      <c r="O212" s="266"/>
      <c r="P212" s="152"/>
      <c r="Q212" s="382"/>
      <c r="R212" s="385"/>
      <c r="S212" s="136"/>
      <c r="T212" s="137"/>
      <c r="U212" s="137"/>
      <c r="V212" s="137"/>
      <c r="W212" s="137"/>
      <c r="X212" s="137"/>
      <c r="Y212" s="218">
        <f t="shared" ref="Y212" si="2356">IF(OR(E211="",J212=""),0,J212&amp;E211)</f>
        <v>0</v>
      </c>
      <c r="Z212" s="218">
        <f>IF(Y212=0,0,COUNTIF($Y$7:Y212,Y212))</f>
        <v>0</v>
      </c>
      <c r="AD212" s="218">
        <f>IFERROR(VLOOKUP(J212,競技会設定!$P$2:$S$22,2,0),0)</f>
        <v>0</v>
      </c>
      <c r="AE212" s="218">
        <f t="shared" ref="AE212" si="2357">IF(E211="",0,IF(AD212=0,0,IF(AD212&lt;3,E211&amp;$AE$6,0)))</f>
        <v>0</v>
      </c>
      <c r="AF212" s="218">
        <f>IF(AE212=0,0,E211&amp;COUNTIF($AE$7:AE212,AE212))</f>
        <v>0</v>
      </c>
      <c r="AG212" s="218">
        <f t="shared" ref="AG212" si="2358">IF(E211="",0,IF(AD212=0,0,IF(AD212&gt;=3,E211&amp;$AG$6,0)))</f>
        <v>0</v>
      </c>
      <c r="AH212" s="218">
        <f>IF(AG212=0,0,E211&amp;COUNTIF($AG$7:AG212,AG212))</f>
        <v>0</v>
      </c>
      <c r="AI212" s="218">
        <f t="shared" si="2075"/>
        <v>0</v>
      </c>
      <c r="AJ212" s="218" t="b">
        <f>IF(AI212=0,FALSE,IF(COUNTIF(AI$7:AI212,AI212)&gt;1,TRUE,FALSE))</f>
        <v>0</v>
      </c>
      <c r="AK212" s="218">
        <f t="shared" ref="AK212" si="2359">IF($AD212=AK$6,$E211,0)</f>
        <v>0</v>
      </c>
      <c r="AL212" s="218" t="b">
        <f>IF(AK212=0,FALSE,IF(COUNTIF(AK$7:AK212,AK212)&gt;1,TRUE,FALSE))</f>
        <v>0</v>
      </c>
      <c r="AM212" s="218">
        <f t="shared" ref="AM212" si="2360">IF($AD212=AM$6,$E211,0)</f>
        <v>0</v>
      </c>
      <c r="AN212" s="218" t="b">
        <f>IF(AM212=0,FALSE,IF(COUNTIF(AM$7:AM212,AM212)&gt;1,TRUE,FALSE))</f>
        <v>0</v>
      </c>
      <c r="AO212" s="218">
        <f t="shared" ref="AO212" si="2361">IF($AD212=AO$6,$E211,0)</f>
        <v>0</v>
      </c>
      <c r="AP212" s="218" t="b">
        <f>IF(AO212=0,FALSE,IF(COUNTIF(AO$7:AO212,AO212)&gt;1,TRUE,FALSE))</f>
        <v>0</v>
      </c>
      <c r="AQ212" s="218">
        <f t="shared" ref="AQ212" si="2362">IF(COUNTIF(Y212,"*十種競技*")&gt;0,E211,0)</f>
        <v>0</v>
      </c>
      <c r="AR212" s="218" t="b">
        <f>IF(AQ212=0,FALSE,IF(OR(COUNTIF($AI$7:$AI$406,AQ212)+COUNTIF($AQ212:$AQ$406,AQ212)&gt;1,COUNTIF($AK$7:$AK$406,AQ212)+COUNTIF($AQ$7:$AQ$406,AQ212)&gt;1),TRUE,FALSE))</f>
        <v>0</v>
      </c>
      <c r="AT212" s="218" t="b">
        <f t="shared" si="2226"/>
        <v>0</v>
      </c>
      <c r="AU212" s="274"/>
      <c r="AX212" s="274"/>
      <c r="BD212" s="218" t="b">
        <f t="shared" si="2213"/>
        <v>0</v>
      </c>
      <c r="BF212" s="231" t="b">
        <f t="shared" ref="BF212" si="2363">IF(J212="",FALSE,IF(OR(AND(AU211,L212=""),AND(AU211,L212="",OR(M212&lt;&gt;"",N212&lt;&gt;"",O212&lt;&gt;"",P212&lt;&gt;""))),TRUE,FALSE))</f>
        <v>0</v>
      </c>
      <c r="BG212" s="218" t="b">
        <f t="shared" si="2215"/>
        <v>0</v>
      </c>
      <c r="BH212" s="218" t="b">
        <f t="shared" si="2228"/>
        <v>0</v>
      </c>
      <c r="BI212" s="231" t="b">
        <f t="shared" ref="BI212" si="2364">IF(J212="",FALSE,IF(L212=0,FALSE,IF(AND(AU211,NOT(BF212),OR(M212="",N212="",O212="")),TRUE,FALSE)))</f>
        <v>0</v>
      </c>
      <c r="BJ212" s="240" t="b">
        <f t="shared" si="2230"/>
        <v>0</v>
      </c>
      <c r="BK212" s="231" t="b">
        <f>IF(NOT(BJ212),FALSE,IF(AND(競技会設定!$C$5&lt;=BJ212,BJ212&lt;=競技会設定!$C$6),FALSE,TRUE))</f>
        <v>0</v>
      </c>
      <c r="BL212" s="218" t="b">
        <f>IF(J212="",FALSE,IF(L212=0,FALSE,IF(AND(AU211,NOT(BF212),NOT(BI212),P212=""),TRUE,FALSE)))</f>
        <v>0</v>
      </c>
      <c r="BO212" s="274"/>
    </row>
    <row r="213" spans="1:67" ht="17.399999999999999" customHeight="1">
      <c r="A213" s="421"/>
      <c r="B213" s="374"/>
      <c r="C213" s="376"/>
      <c r="D213" s="140"/>
      <c r="E213" s="379" t="str">
        <f>IF(C211="","",VLOOKUP(D211,男子登録!$A$2:$O$2001,14,0)&amp;" ("&amp;VLOOKUP(D211,男子登録!$A$2:$O$2001,15,0)&amp;")")</f>
        <v/>
      </c>
      <c r="F213" s="380"/>
      <c r="G213" s="140" t="str">
        <f>IF(C211="","",(VLOOKUP(D211,男子登録!$A$2:$N$2001,9,0)))</f>
        <v/>
      </c>
      <c r="H213" s="140"/>
      <c r="I213" s="140" t="s">
        <v>7063</v>
      </c>
      <c r="J213" s="153"/>
      <c r="K213" s="140" t="s">
        <v>7064</v>
      </c>
      <c r="L213" s="153"/>
      <c r="M213" s="264"/>
      <c r="N213" s="265"/>
      <c r="O213" s="266"/>
      <c r="P213" s="152"/>
      <c r="Q213" s="382"/>
      <c r="R213" s="385"/>
      <c r="S213" s="136"/>
      <c r="T213" s="137"/>
      <c r="U213" s="137"/>
      <c r="V213" s="137"/>
      <c r="W213" s="137"/>
      <c r="X213" s="137"/>
      <c r="Y213" s="218">
        <f t="shared" ref="Y213" si="2365">IF(OR(E211="",J213=""),0,J213&amp;E211)</f>
        <v>0</v>
      </c>
      <c r="Z213" s="218">
        <f>IF(Y213=0,0,COUNTIF($Y$7:Y213,Y213))</f>
        <v>0</v>
      </c>
      <c r="AD213" s="218">
        <f>IFERROR(VLOOKUP(J213,競技会設定!$P$2:$S$22,2,0),0)</f>
        <v>0</v>
      </c>
      <c r="AE213" s="218">
        <f t="shared" ref="AE213" si="2366">IF(E211="",0,IF(AD213=0,0,IF(AD213&lt;3,E211&amp;$AE$6,0)))</f>
        <v>0</v>
      </c>
      <c r="AF213" s="218">
        <f>IF(AE213=0,0,E211&amp;COUNTIF($AE$7:AE213,AE213))</f>
        <v>0</v>
      </c>
      <c r="AG213" s="218">
        <f t="shared" ref="AG213" si="2367">IF(E211="",0,IF(AD213=0,0,IF(AD213&gt;=3,E211&amp;$AG$6,0)))</f>
        <v>0</v>
      </c>
      <c r="AH213" s="218">
        <f>IF(AG213=0,0,E211&amp;COUNTIF($AG$7:AG213,AG213))</f>
        <v>0</v>
      </c>
      <c r="AI213" s="218">
        <f t="shared" si="2085"/>
        <v>0</v>
      </c>
      <c r="AJ213" s="218" t="b">
        <f>IF(AI213=0,FALSE,IF(COUNTIF(AI$7:AI213,AI213)&gt;1,TRUE,FALSE))</f>
        <v>0</v>
      </c>
      <c r="AK213" s="218">
        <f t="shared" ref="AK213" si="2368">IF($AD213=AK$6,$E211,0)</f>
        <v>0</v>
      </c>
      <c r="AL213" s="218" t="b">
        <f>IF(AK213=0,FALSE,IF(COUNTIF(AK$7:AK213,AK213)&gt;1,TRUE,FALSE))</f>
        <v>0</v>
      </c>
      <c r="AM213" s="218">
        <f t="shared" ref="AM213" si="2369">IF($AD213=AM$6,$E211,0)</f>
        <v>0</v>
      </c>
      <c r="AN213" s="218" t="b">
        <f>IF(AM213=0,FALSE,IF(COUNTIF(AM$7:AM213,AM213)&gt;1,TRUE,FALSE))</f>
        <v>0</v>
      </c>
      <c r="AO213" s="218">
        <f t="shared" ref="AO213" si="2370">IF($AD213=AO$6,$E211,0)</f>
        <v>0</v>
      </c>
      <c r="AP213" s="218" t="b">
        <f>IF(AO213=0,FALSE,IF(COUNTIF(AO$7:AO213,AO213)&gt;1,TRUE,FALSE))</f>
        <v>0</v>
      </c>
      <c r="AQ213" s="218">
        <f t="shared" ref="AQ213" si="2371">IF(COUNTIF(Y213,"*十種競技*")&gt;0,E211,0)</f>
        <v>0</v>
      </c>
      <c r="AR213" s="218" t="b">
        <f>IF(AQ213=0,FALSE,IF(OR(COUNTIF($AI$7:$AI$406,AQ213)+COUNTIF($AQ213:$AQ$406,AQ213)&gt;1,COUNTIF($AK$7:$AK$406,AQ213)+COUNTIF($AQ$7:$AQ$406,AQ213)&gt;1),TRUE,FALSE))</f>
        <v>0</v>
      </c>
      <c r="AT213" s="218" t="b">
        <f t="shared" si="2226"/>
        <v>0</v>
      </c>
      <c r="AU213" s="274"/>
      <c r="AX213" s="274"/>
      <c r="BD213" s="218" t="b">
        <f t="shared" si="2213"/>
        <v>0</v>
      </c>
      <c r="BF213" s="231" t="b">
        <f t="shared" ref="BF213" si="2372">IF(J213="",FALSE,IF(OR(AND(AU211,L213=""),AND(AU211,L213="",OR(M213&lt;&gt;"",N213&lt;&gt;"",O213&lt;&gt;"",P213&lt;&gt;""))),TRUE,FALSE))</f>
        <v>0</v>
      </c>
      <c r="BG213" s="218" t="b">
        <f t="shared" si="2215"/>
        <v>0</v>
      </c>
      <c r="BH213" s="218" t="b">
        <f t="shared" si="2228"/>
        <v>0</v>
      </c>
      <c r="BI213" s="231" t="b">
        <f t="shared" ref="BI213" si="2373">IF(J213="",FALSE,IF(L213=0,FALSE,IF(AND(AU211,NOT(BF213),OR(M213="",N213="",O213="")),TRUE,FALSE)))</f>
        <v>0</v>
      </c>
      <c r="BJ213" s="240" t="b">
        <f t="shared" si="2230"/>
        <v>0</v>
      </c>
      <c r="BK213" s="231" t="b">
        <f>IF(NOT(BJ213),FALSE,IF(AND(競技会設定!$C$5&lt;=BJ213,BJ213&lt;=競技会設定!$C$6),FALSE,TRUE))</f>
        <v>0</v>
      </c>
      <c r="BL213" s="218" t="b">
        <f>IF(J213="",FALSE,IF(L213=0,FALSE,IF(AND(AU211,NOT(BF213),NOT(BI213),P213=""),TRUE,FALSE)))</f>
        <v>0</v>
      </c>
      <c r="BO213" s="274"/>
    </row>
    <row r="214" spans="1:67" ht="18" customHeight="1" thickBot="1">
      <c r="A214" s="422"/>
      <c r="B214" s="387" t="s">
        <v>7051</v>
      </c>
      <c r="C214" s="387"/>
      <c r="D214" s="213"/>
      <c r="E214" s="388"/>
      <c r="F214" s="389"/>
      <c r="G214" s="390"/>
      <c r="H214" s="141"/>
      <c r="I214" s="213" t="s">
        <v>7065</v>
      </c>
      <c r="J214" s="154"/>
      <c r="K214" s="213" t="s">
        <v>7066</v>
      </c>
      <c r="L214" s="154"/>
      <c r="M214" s="267"/>
      <c r="N214" s="268"/>
      <c r="O214" s="269"/>
      <c r="P214" s="154"/>
      <c r="Q214" s="383"/>
      <c r="R214" s="386"/>
      <c r="S214" s="136"/>
      <c r="T214" s="137"/>
      <c r="U214" s="137"/>
      <c r="V214" s="137"/>
      <c r="W214" s="137"/>
      <c r="X214" s="137"/>
      <c r="Y214" s="218">
        <f t="shared" ref="Y214" si="2374">IF(OR(E211="",J214=""),0,J214&amp;E211)</f>
        <v>0</v>
      </c>
      <c r="Z214" s="218">
        <f>IF(Y214=0,0,COUNTIF($Y$7:Y214,Y214))</f>
        <v>0</v>
      </c>
      <c r="AD214" s="218">
        <f>IFERROR(VLOOKUP(J214,競技会設定!$P$2:$S$22,2,0),0)</f>
        <v>0</v>
      </c>
      <c r="AE214" s="218">
        <f t="shared" ref="AE214" si="2375">IF(E211="",0,IF(AD214=0,0,IF(AD214&lt;3,E211&amp;$AE$6,0)))</f>
        <v>0</v>
      </c>
      <c r="AF214" s="218">
        <f>IF(AE214=0,0,E211&amp;COUNTIF($AE$7:AE214,AE214))</f>
        <v>0</v>
      </c>
      <c r="AG214" s="218">
        <f t="shared" ref="AG214" si="2376">IF(E211="",0,IF(AD214=0,0,IF(AD214&gt;=3,E211&amp;$AG$6,0)))</f>
        <v>0</v>
      </c>
      <c r="AH214" s="218">
        <f>IF(AG214=0,0,E211&amp;COUNTIF($AG$7:AG214,AG214))</f>
        <v>0</v>
      </c>
      <c r="AI214" s="218">
        <f t="shared" si="2095"/>
        <v>0</v>
      </c>
      <c r="AJ214" s="218" t="b">
        <f>IF(AI214=0,FALSE,IF(COUNTIF(AI$7:AI214,AI214)&gt;1,TRUE,FALSE))</f>
        <v>0</v>
      </c>
      <c r="AK214" s="218">
        <f t="shared" ref="AK214" si="2377">IF($AD214=AK$6,$E211,0)</f>
        <v>0</v>
      </c>
      <c r="AL214" s="218" t="b">
        <f>IF(AK214=0,FALSE,IF(COUNTIF(AK$7:AK214,AK214)&gt;1,TRUE,FALSE))</f>
        <v>0</v>
      </c>
      <c r="AM214" s="218">
        <f t="shared" ref="AM214" si="2378">IF($AD214=AM$6,$E211,0)</f>
        <v>0</v>
      </c>
      <c r="AN214" s="218" t="b">
        <f>IF(AM214=0,FALSE,IF(COUNTIF(AM$7:AM214,AM214)&gt;1,TRUE,FALSE))</f>
        <v>0</v>
      </c>
      <c r="AO214" s="218">
        <f t="shared" ref="AO214" si="2379">IF($AD214=AO$6,$E211,0)</f>
        <v>0</v>
      </c>
      <c r="AP214" s="218" t="b">
        <f>IF(AO214=0,FALSE,IF(COUNTIF(AO$7:AO214,AO214)&gt;1,TRUE,FALSE))</f>
        <v>0</v>
      </c>
      <c r="AQ214" s="218">
        <f t="shared" ref="AQ214" si="2380">IF(COUNTIF(Y214,"*十種競技*")&gt;0,E211,0)</f>
        <v>0</v>
      </c>
      <c r="AR214" s="218" t="b">
        <f>IF(AQ214=0,FALSE,IF(OR(COUNTIF($AI$7:$AI$406,AQ214)+COUNTIF($AQ214:$AQ$406,AQ214)&gt;1,COUNTIF($AK$7:$AK$406,AQ214)+COUNTIF($AQ$7:$AQ$406,AQ214)&gt;1),TRUE,FALSE))</f>
        <v>0</v>
      </c>
      <c r="AT214" s="218" t="b">
        <f t="shared" si="2226"/>
        <v>0</v>
      </c>
      <c r="AU214" s="274"/>
      <c r="AX214" s="274"/>
      <c r="BD214" s="218" t="b">
        <f t="shared" si="2213"/>
        <v>0</v>
      </c>
      <c r="BF214" s="231" t="b">
        <f t="shared" ref="BF214" si="2381">IF(J214="",FALSE,IF(OR(AND(AU211,L214=""),AND(AU211,L214="",OR(M214&lt;&gt;"",N214&lt;&gt;"",O214&lt;&gt;"",P214&lt;&gt;""))),TRUE,FALSE))</f>
        <v>0</v>
      </c>
      <c r="BG214" s="218" t="b">
        <f t="shared" si="2215"/>
        <v>0</v>
      </c>
      <c r="BH214" s="218" t="b">
        <f t="shared" si="2228"/>
        <v>0</v>
      </c>
      <c r="BI214" s="231" t="b">
        <f t="shared" ref="BI214" si="2382">IF(J214="",FALSE,IF(L214=0,FALSE,IF(AND(AU211,NOT(BF214),OR(M214="",N214="",O214="")),TRUE,FALSE)))</f>
        <v>0</v>
      </c>
      <c r="BJ214" s="240" t="b">
        <f t="shared" si="2230"/>
        <v>0</v>
      </c>
      <c r="BK214" s="231" t="b">
        <f>IF(NOT(BJ214),FALSE,IF(AND(競技会設定!$C$5&lt;=BJ214,BJ214&lt;=競技会設定!$C$6),FALSE,TRUE))</f>
        <v>0</v>
      </c>
      <c r="BL214" s="218" t="b">
        <f>IF(J214="",FALSE,IF(L214=0,FALSE,IF(AND(AU211,NOT(BF214),NOT(BI214),P214=""),TRUE,FALSE)))</f>
        <v>0</v>
      </c>
      <c r="BO214" s="274"/>
    </row>
    <row r="215" spans="1:67" ht="18" customHeight="1" thickTop="1">
      <c r="A215" s="417">
        <v>53</v>
      </c>
      <c r="B215" s="401" t="s">
        <v>7050</v>
      </c>
      <c r="C215" s="403"/>
      <c r="D215" s="220" t="str">
        <f t="shared" ref="D215" si="2383">IF(C215="","",501&amp;TEXT(C215,"000000"))</f>
        <v/>
      </c>
      <c r="E215" s="396" t="str">
        <f>IF(D215="","",(VLOOKUP(D215,男子登録!$A$2:$N$2001,3,0)))</f>
        <v/>
      </c>
      <c r="F215" s="396" t="str">
        <f>IF(D215="","",(VLOOKUP(D215,男子登録!$A$2:$N$2001,4,0)))</f>
        <v/>
      </c>
      <c r="G215" s="220" t="str">
        <f>IF(C215="","",(VLOOKUP(D215,男子登録!$A$2:$N$2001,8,0)))</f>
        <v/>
      </c>
      <c r="H215" s="220">
        <f>IFERROR(VLOOKUP(D215,男子登録!$A$2:$N$2001,11,0),基本情報!$E$5)</f>
        <v>0</v>
      </c>
      <c r="I215" s="220" t="s">
        <v>7059</v>
      </c>
      <c r="J215" s="148"/>
      <c r="K215" s="220" t="s">
        <v>7060</v>
      </c>
      <c r="L215" s="148"/>
      <c r="M215" s="252"/>
      <c r="N215" s="253"/>
      <c r="O215" s="254"/>
      <c r="P215" s="148"/>
      <c r="Q215" s="398"/>
      <c r="R215" s="391"/>
      <c r="S215" s="136">
        <f t="shared" ref="S215" si="2384">IF(OR(E215="",Q215=""),0,E215)</f>
        <v>0</v>
      </c>
      <c r="T215" s="137">
        <f>IF(S215=0,0,COUNTIF($S$7:S215,"*"))</f>
        <v>0</v>
      </c>
      <c r="U215" s="137">
        <f>IF(S215=0,0,COUNTIF($S$7:S215,S215))</f>
        <v>0</v>
      </c>
      <c r="V215" s="137">
        <f t="shared" si="1691"/>
        <v>0</v>
      </c>
      <c r="W215" s="137">
        <f>IF(V215=0,0,COUNTIF($V$7:V215,"*"))</f>
        <v>0</v>
      </c>
      <c r="X215" s="137">
        <f>IF(V215=0,0,COUNTIF($V$7:V215,V215))</f>
        <v>0</v>
      </c>
      <c r="Y215" s="218">
        <f t="shared" ref="Y215" si="2385">IF(OR(E215="",J215=""),0,J215&amp;E215)</f>
        <v>0</v>
      </c>
      <c r="Z215" s="218">
        <f>IF(Y215=0,0,COUNTIF($Y$7:Y215,Y215))</f>
        <v>0</v>
      </c>
      <c r="AA215" s="218" t="b">
        <f t="shared" ref="AA215" si="2386">IF(COUNTIF(J215:J218,"十種競技")&gt;0,TRUE,FALSE)</f>
        <v>0</v>
      </c>
      <c r="AB215" s="218">
        <f>IF(E215="",0,IF(AA215,COUNTIF($AA$7:AA215,TRUE),0))</f>
        <v>0</v>
      </c>
      <c r="AC215" s="218">
        <f>IFERROR(VLOOKUP("十種競技",J215:L218,3,0),0)</f>
        <v>0</v>
      </c>
      <c r="AD215" s="218">
        <f>IFERROR(VLOOKUP(J215,競技会設定!$P$2:$S$22,2,0),0)</f>
        <v>0</v>
      </c>
      <c r="AE215" s="218">
        <f t="shared" ref="AE215" si="2387">IF(E215="",0,IF(AD215=0,0,IF(AD215&lt;3,E215&amp;$AE$6,0)))</f>
        <v>0</v>
      </c>
      <c r="AF215" s="218">
        <f>IF(AE215=0,0,E215&amp;COUNTIF($AE$7:AE215,AE215))</f>
        <v>0</v>
      </c>
      <c r="AG215" s="218">
        <f t="shared" ref="AG215" si="2388">IF(E215="",0,IF(AD215=0,0,IF(AD215&gt;=3,E215&amp;$AG$6,0)))</f>
        <v>0</v>
      </c>
      <c r="AH215" s="218">
        <f>IF(AG215=0,0,E215&amp;COUNTIF($AG$7:AG215,AG215))</f>
        <v>0</v>
      </c>
      <c r="AI215" s="218">
        <f t="shared" si="2108"/>
        <v>0</v>
      </c>
      <c r="AJ215" s="218" t="b">
        <f>IF(AI215=0,FALSE,IF(COUNTIF(AI$7:AI215,AI215)&gt;1,TRUE,FALSE))</f>
        <v>0</v>
      </c>
      <c r="AK215" s="218">
        <f t="shared" ref="AK215" si="2389">IF($AD215=AK$6,$E215,0)</f>
        <v>0</v>
      </c>
      <c r="AL215" s="218" t="b">
        <f>IF(AK215=0,FALSE,IF(COUNTIF(AK$7:AK215,AK215)&gt;1,TRUE,FALSE))</f>
        <v>0</v>
      </c>
      <c r="AM215" s="218">
        <f t="shared" ref="AM215" si="2390">IF($AD215=AM$6,$E215,0)</f>
        <v>0</v>
      </c>
      <c r="AN215" s="218" t="b">
        <f>IF(AM215=0,FALSE,IF(COUNTIF(AM$7:AM215,AM215)&gt;1,TRUE,FALSE))</f>
        <v>0</v>
      </c>
      <c r="AO215" s="218">
        <f t="shared" ref="AO215" si="2391">IF($AD215=AO$6,$E215,0)</f>
        <v>0</v>
      </c>
      <c r="AP215" s="218" t="b">
        <f>IF(AO215=0,FALSE,IF(COUNTIF(AO$7:AO215,AO215)&gt;1,TRUE,FALSE))</f>
        <v>0</v>
      </c>
      <c r="AQ215" s="218">
        <f t="shared" ref="AQ215" si="2392">IF(COUNTIF(Y215,"*十種競技*")&gt;0,E215,0)</f>
        <v>0</v>
      </c>
      <c r="AR215" s="218" t="b">
        <f>IF(AQ215=0,FALSE,IF(OR(COUNTIF($AI$7:$AI$406,AQ215)+COUNTIF($AQ215:$AQ$406,AQ215)&gt;1,COUNTIF($AK$7:$AK$406,AQ215)+COUNTIF($AQ$7:$AQ$406,AQ215)&gt;1),TRUE,FALSE))</f>
        <v>0</v>
      </c>
      <c r="AS215" s="218" t="b">
        <f t="shared" ref="AS215" si="2393">IF(AND(C215="",E215&lt;&gt;"",F215&lt;&gt;"",E217&lt;&gt;"",G215&lt;&gt;"",G216&lt;&gt;"",G217&lt;&gt;""),TRUE,FALSE)</f>
        <v>0</v>
      </c>
      <c r="AT215" s="218" t="b">
        <f t="shared" si="2226"/>
        <v>0</v>
      </c>
      <c r="AU215" s="274" t="b">
        <f t="shared" ref="AU215" si="2394">IFERROR(IF(D215&amp;E215&amp;F215&amp;E217&amp;G215&amp;G216&amp;G217&amp;J215&amp;J216&amp;J217&amp;J218&amp;L215&amp;L216&amp;L217&amp;L218&amp;M215&amp;M216&amp;M217&amp;M218&amp;N215&amp;N216&amp;N217&amp;N218&amp;O215&amp;O216&amp;O217&amp;O218&amp;P215&amp;P216&amp;P217&amp;P218&amp;Q215&amp;R215="",FALSE,TRUE),FALSE)</f>
        <v>0</v>
      </c>
      <c r="AV215" s="218" t="b">
        <f t="shared" ref="AV215" si="2395">IF(AS215,FALSE,IF(C215="",AU215,FALSE))</f>
        <v>0</v>
      </c>
      <c r="AW215" s="218" t="b">
        <f>IF(C215="",FALSE,IF(C215&gt;2000,TRUE,FALSE))</f>
        <v>0</v>
      </c>
      <c r="AX215" s="274" t="b">
        <f>IF(H215=0,FALSE,IF(EXACT(基本情報!$E$5,H215)=TRUE,FALSE,TRUE))</f>
        <v>0</v>
      </c>
      <c r="AY215" s="218" t="b">
        <f>IF(C215="",FALSE,IF(ISNA(E215)=TRUE,TRUE,FALSE))</f>
        <v>0</v>
      </c>
      <c r="AZ215" s="274" t="b">
        <f>IFERROR(IF(E215="",FALSE,IF(COUNTIF($E$7:E215,E215)&gt;1,TRUE,FALSE)),FALSE)</f>
        <v>0</v>
      </c>
      <c r="BA215" s="218" t="b">
        <f t="shared" ref="BA215" si="2396">IF(OR(J215&amp;J216&amp;J217&amp;J218&amp;Q215&amp;R215="",AT215,AT216,AT217,AT218),AU215,FALSE)</f>
        <v>0</v>
      </c>
      <c r="BB215" s="218" t="b">
        <f>IF(U215&gt;1,TRUE,FALSE)</f>
        <v>0</v>
      </c>
      <c r="BC215" s="218" t="b">
        <f>IF(X215&gt;1,TRUE,FALSE)</f>
        <v>0</v>
      </c>
      <c r="BD215" s="218" t="b">
        <f t="shared" si="2213"/>
        <v>0</v>
      </c>
      <c r="BF215" s="231" t="b">
        <f t="shared" ref="BF215" si="2397">IF(J215="",FALSE,IF(OR(AND(AU215,L215=""),AND(AU215,L215="",OR(M215&lt;&gt;"",N215&lt;&gt;"",O215&lt;&gt;"",P215&lt;&gt;""))),TRUE,FALSE))</f>
        <v>0</v>
      </c>
      <c r="BG215" s="218" t="b">
        <f t="shared" si="2215"/>
        <v>0</v>
      </c>
      <c r="BH215" s="218" t="b">
        <f t="shared" si="2228"/>
        <v>0</v>
      </c>
      <c r="BI215" s="231" t="b">
        <f t="shared" ref="BI215" si="2398">IF(J215="",FALSE,IF(L215=0,FALSE,IF(AND(AU215,NOT(BF215),OR(M215="",N215="",O215="")),TRUE,FALSE)))</f>
        <v>0</v>
      </c>
      <c r="BJ215" s="240" t="b">
        <f t="shared" si="2230"/>
        <v>0</v>
      </c>
      <c r="BK215" s="231" t="b">
        <f>IF(NOT(BJ215),FALSE,IF(AND(競技会設定!$C$5&lt;=BJ215,BJ215&lt;=競技会設定!$C$6),FALSE,TRUE))</f>
        <v>0</v>
      </c>
      <c r="BL215" s="218" t="b">
        <f>IF(J215="",FALSE,IF(L215=0,FALSE,IF(AND(AU215,NOT(BF215),NOT(BI215),P215=""),TRUE,FALSE)))</f>
        <v>0</v>
      </c>
      <c r="BO215" s="274">
        <f t="shared" ref="BO215" si="2399">IF(AND(AU215,SUM(COUNTIF(AV215:BC215,TRUE),COUNTIF(BF215:BL218,TRUE),COUNTIF(BD215:BD218,TRUE))=0,NOT($BE$7)),1,0)</f>
        <v>0</v>
      </c>
    </row>
    <row r="216" spans="1:67" ht="17.399999999999999" customHeight="1">
      <c r="A216" s="418"/>
      <c r="B216" s="402"/>
      <c r="C216" s="404"/>
      <c r="D216" s="221"/>
      <c r="E216" s="397"/>
      <c r="F216" s="397"/>
      <c r="G216" s="221" t="str">
        <f>IF(C215="","",(VLOOKUP(D215,男子登録!$A$2:$N$2001,13,0)))</f>
        <v/>
      </c>
      <c r="H216" s="221"/>
      <c r="I216" s="221" t="s">
        <v>7061</v>
      </c>
      <c r="J216" s="149"/>
      <c r="K216" s="221" t="s">
        <v>7062</v>
      </c>
      <c r="L216" s="149"/>
      <c r="M216" s="255"/>
      <c r="N216" s="256"/>
      <c r="O216" s="257"/>
      <c r="P216" s="149"/>
      <c r="Q216" s="399"/>
      <c r="R216" s="392"/>
      <c r="S216" s="136"/>
      <c r="T216" s="137"/>
      <c r="U216" s="137"/>
      <c r="V216" s="137"/>
      <c r="W216" s="137"/>
      <c r="X216" s="137"/>
      <c r="Y216" s="218">
        <f t="shared" ref="Y216" si="2400">IF(OR(E215="",J216=""),0,J216&amp;E215)</f>
        <v>0</v>
      </c>
      <c r="Z216" s="218">
        <f>IF(Y216=0,0,COUNTIF($Y$7:Y216,Y216))</f>
        <v>0</v>
      </c>
      <c r="AD216" s="218">
        <f>IFERROR(VLOOKUP(J216,競技会設定!$P$2:$S$22,2,0),0)</f>
        <v>0</v>
      </c>
      <c r="AE216" s="218">
        <f t="shared" ref="AE216" si="2401">IF(E215="",0,IF(AD216=0,0,IF(AD216&lt;3,E215&amp;$AE$6,0)))</f>
        <v>0</v>
      </c>
      <c r="AF216" s="218">
        <f>IF(AE216=0,0,E215&amp;COUNTIF($AE$7:AE216,AE216))</f>
        <v>0</v>
      </c>
      <c r="AG216" s="218">
        <f t="shared" ref="AG216" si="2402">IF(E215="",0,IF(AD216=0,0,IF(AD216&gt;=3,E215&amp;$AG$6,0)))</f>
        <v>0</v>
      </c>
      <c r="AH216" s="218">
        <f>IF(AG216=0,0,E215&amp;COUNTIF($AG$7:AG216,AG216))</f>
        <v>0</v>
      </c>
      <c r="AI216" s="218">
        <f t="shared" si="2123"/>
        <v>0</v>
      </c>
      <c r="AJ216" s="218" t="b">
        <f>IF(AI216=0,FALSE,IF(COUNTIF(AI$7:AI216,AI216)&gt;1,TRUE,FALSE))</f>
        <v>0</v>
      </c>
      <c r="AK216" s="218">
        <f t="shared" ref="AK216" si="2403">IF($AD216=AK$6,$E215,0)</f>
        <v>0</v>
      </c>
      <c r="AL216" s="218" t="b">
        <f>IF(AK216=0,FALSE,IF(COUNTIF(AK$7:AK216,AK216)&gt;1,TRUE,FALSE))</f>
        <v>0</v>
      </c>
      <c r="AM216" s="218">
        <f t="shared" ref="AM216" si="2404">IF($AD216=AM$6,$E215,0)</f>
        <v>0</v>
      </c>
      <c r="AN216" s="218" t="b">
        <f>IF(AM216=0,FALSE,IF(COUNTIF(AM$7:AM216,AM216)&gt;1,TRUE,FALSE))</f>
        <v>0</v>
      </c>
      <c r="AO216" s="218">
        <f t="shared" ref="AO216" si="2405">IF($AD216=AO$6,$E215,0)</f>
        <v>0</v>
      </c>
      <c r="AP216" s="218" t="b">
        <f>IF(AO216=0,FALSE,IF(COUNTIF(AO$7:AO216,AO216)&gt;1,TRUE,FALSE))</f>
        <v>0</v>
      </c>
      <c r="AQ216" s="218">
        <f t="shared" ref="AQ216" si="2406">IF(COUNTIF(Y216,"*十種競技*")&gt;0,E215,0)</f>
        <v>0</v>
      </c>
      <c r="AR216" s="218" t="b">
        <f>IF(AQ216=0,FALSE,IF(OR(COUNTIF($AI$7:$AI$406,AQ216)+COUNTIF($AQ216:$AQ$406,AQ216)&gt;1,COUNTIF($AK$7:$AK$406,AQ216)+COUNTIF($AQ$7:$AQ$406,AQ216)&gt;1),TRUE,FALSE))</f>
        <v>0</v>
      </c>
      <c r="AT216" s="218" t="b">
        <f t="shared" si="2226"/>
        <v>0</v>
      </c>
      <c r="AU216" s="274"/>
      <c r="AX216" s="274"/>
      <c r="BD216" s="218" t="b">
        <f t="shared" si="2213"/>
        <v>0</v>
      </c>
      <c r="BF216" s="231" t="b">
        <f t="shared" ref="BF216" si="2407">IF(J216="",FALSE,IF(OR(AND(AU215,L216=""),AND(AU215,L216="",OR(M216&lt;&gt;"",N216&lt;&gt;"",O216&lt;&gt;"",P216&lt;&gt;""))),TRUE,FALSE))</f>
        <v>0</v>
      </c>
      <c r="BG216" s="218" t="b">
        <f t="shared" si="2215"/>
        <v>0</v>
      </c>
      <c r="BH216" s="218" t="b">
        <f t="shared" si="2228"/>
        <v>0</v>
      </c>
      <c r="BI216" s="231" t="b">
        <f t="shared" ref="BI216" si="2408">IF(J216="",FALSE,IF(L216=0,FALSE,IF(AND(AU215,NOT(BF216),OR(M216="",N216="",O216="")),TRUE,FALSE)))</f>
        <v>0</v>
      </c>
      <c r="BJ216" s="240" t="b">
        <f t="shared" si="2230"/>
        <v>0</v>
      </c>
      <c r="BK216" s="231" t="b">
        <f>IF(NOT(BJ216),FALSE,IF(AND(競技会設定!$C$5&lt;=BJ216,BJ216&lt;=競技会設定!$C$6),FALSE,TRUE))</f>
        <v>0</v>
      </c>
      <c r="BL216" s="218" t="b">
        <f>IF(J216="",FALSE,IF(L216=0,FALSE,IF(AND(AU215,NOT(BF216),NOT(BI216),P216=""),TRUE,FALSE)))</f>
        <v>0</v>
      </c>
      <c r="BO216" s="274"/>
    </row>
    <row r="217" spans="1:67" ht="17.399999999999999" customHeight="1">
      <c r="A217" s="418"/>
      <c r="B217" s="402"/>
      <c r="C217" s="404"/>
      <c r="D217" s="221"/>
      <c r="E217" s="394" t="str">
        <f>IF(C215="","",VLOOKUP(D215,男子登録!$A$2:$O$2001,14,0)&amp;" ("&amp;VLOOKUP(D215,男子登録!$A$2:$O$2001,15,0)&amp;")")</f>
        <v/>
      </c>
      <c r="F217" s="394"/>
      <c r="G217" s="222" t="str">
        <f>IF(C215="","",(VLOOKUP(D215,男子登録!$A$2:$N$2001,9,0)))</f>
        <v/>
      </c>
      <c r="H217" s="222"/>
      <c r="I217" s="222" t="s">
        <v>7063</v>
      </c>
      <c r="J217" s="150"/>
      <c r="K217" s="222" t="s">
        <v>7064</v>
      </c>
      <c r="L217" s="150"/>
      <c r="M217" s="255"/>
      <c r="N217" s="256"/>
      <c r="O217" s="257"/>
      <c r="P217" s="149"/>
      <c r="Q217" s="399"/>
      <c r="R217" s="392"/>
      <c r="S217" s="136"/>
      <c r="T217" s="137"/>
      <c r="U217" s="137"/>
      <c r="V217" s="137"/>
      <c r="W217" s="137"/>
      <c r="X217" s="137"/>
      <c r="Y217" s="218">
        <f t="shared" ref="Y217" si="2409">IF(OR(E215="",J217=""),0,J217&amp;E215)</f>
        <v>0</v>
      </c>
      <c r="Z217" s="218">
        <f>IF(Y217=0,0,COUNTIF($Y$7:Y217,Y217))</f>
        <v>0</v>
      </c>
      <c r="AD217" s="218">
        <f>IFERROR(VLOOKUP(J217,競技会設定!$P$2:$S$22,2,0),0)</f>
        <v>0</v>
      </c>
      <c r="AE217" s="218">
        <f t="shared" ref="AE217" si="2410">IF(E215="",0,IF(AD217=0,0,IF(AD217&lt;3,E215&amp;$AE$6,0)))</f>
        <v>0</v>
      </c>
      <c r="AF217" s="218">
        <f>IF(AE217=0,0,E215&amp;COUNTIF($AE$7:AE217,AE217))</f>
        <v>0</v>
      </c>
      <c r="AG217" s="218">
        <f t="shared" ref="AG217" si="2411">IF(E215="",0,IF(AD217=0,0,IF(AD217&gt;=3,E215&amp;$AG$6,0)))</f>
        <v>0</v>
      </c>
      <c r="AH217" s="218">
        <f>IF(AG217=0,0,E215&amp;COUNTIF($AG$7:AG217,AG217))</f>
        <v>0</v>
      </c>
      <c r="AI217" s="218">
        <f t="shared" si="2133"/>
        <v>0</v>
      </c>
      <c r="AJ217" s="218" t="b">
        <f>IF(AI217=0,FALSE,IF(COUNTIF(AI$7:AI217,AI217)&gt;1,TRUE,FALSE))</f>
        <v>0</v>
      </c>
      <c r="AK217" s="218">
        <f t="shared" ref="AK217" si="2412">IF($AD217=AK$6,$E215,0)</f>
        <v>0</v>
      </c>
      <c r="AL217" s="218" t="b">
        <f>IF(AK217=0,FALSE,IF(COUNTIF(AK$7:AK217,AK217)&gt;1,TRUE,FALSE))</f>
        <v>0</v>
      </c>
      <c r="AM217" s="218">
        <f t="shared" ref="AM217" si="2413">IF($AD217=AM$6,$E215,0)</f>
        <v>0</v>
      </c>
      <c r="AN217" s="218" t="b">
        <f>IF(AM217=0,FALSE,IF(COUNTIF(AM$7:AM217,AM217)&gt;1,TRUE,FALSE))</f>
        <v>0</v>
      </c>
      <c r="AO217" s="218">
        <f t="shared" ref="AO217" si="2414">IF($AD217=AO$6,$E215,0)</f>
        <v>0</v>
      </c>
      <c r="AP217" s="218" t="b">
        <f>IF(AO217=0,FALSE,IF(COUNTIF(AO$7:AO217,AO217)&gt;1,TRUE,FALSE))</f>
        <v>0</v>
      </c>
      <c r="AQ217" s="218">
        <f t="shared" ref="AQ217" si="2415">IF(COUNTIF(Y217,"*十種競技*")&gt;0,E215,0)</f>
        <v>0</v>
      </c>
      <c r="AR217" s="218" t="b">
        <f>IF(AQ217=0,FALSE,IF(OR(COUNTIF($AI$7:$AI$406,AQ217)+COUNTIF($AQ217:$AQ$406,AQ217)&gt;1,COUNTIF($AK$7:$AK$406,AQ217)+COUNTIF($AQ$7:$AQ$406,AQ217)&gt;1),TRUE,FALSE))</f>
        <v>0</v>
      </c>
      <c r="AT217" s="218" t="b">
        <f t="shared" si="2226"/>
        <v>0</v>
      </c>
      <c r="AU217" s="274"/>
      <c r="AX217" s="274"/>
      <c r="BD217" s="218" t="b">
        <f t="shared" si="2213"/>
        <v>0</v>
      </c>
      <c r="BF217" s="231" t="b">
        <f t="shared" ref="BF217" si="2416">IF(J217="",FALSE,IF(OR(AND(AU215,L217=""),AND(AU215,L217="",OR(M217&lt;&gt;"",N217&lt;&gt;"",O217&lt;&gt;"",P217&lt;&gt;""))),TRUE,FALSE))</f>
        <v>0</v>
      </c>
      <c r="BG217" s="218" t="b">
        <f t="shared" si="2215"/>
        <v>0</v>
      </c>
      <c r="BH217" s="218" t="b">
        <f t="shared" si="2228"/>
        <v>0</v>
      </c>
      <c r="BI217" s="231" t="b">
        <f t="shared" ref="BI217" si="2417">IF(J217="",FALSE,IF(L217=0,FALSE,IF(AND(AU215,NOT(BF217),OR(M217="",N217="",O217="")),TRUE,FALSE)))</f>
        <v>0</v>
      </c>
      <c r="BJ217" s="240" t="b">
        <f t="shared" si="2230"/>
        <v>0</v>
      </c>
      <c r="BK217" s="231" t="b">
        <f>IF(NOT(BJ217),FALSE,IF(AND(競技会設定!$C$5&lt;=BJ217,BJ217&lt;=競技会設定!$C$6),FALSE,TRUE))</f>
        <v>0</v>
      </c>
      <c r="BL217" s="218" t="b">
        <f>IF(J217="",FALSE,IF(L217=0,FALSE,IF(AND(AU215,NOT(BF217),NOT(BI217),P217=""),TRUE,FALSE)))</f>
        <v>0</v>
      </c>
      <c r="BO217" s="274"/>
    </row>
    <row r="218" spans="1:67" ht="18" customHeight="1" thickBot="1">
      <c r="A218" s="419"/>
      <c r="B218" s="395" t="s">
        <v>7051</v>
      </c>
      <c r="C218" s="395"/>
      <c r="D218" s="221"/>
      <c r="E218" s="372"/>
      <c r="F218" s="372"/>
      <c r="G218" s="372"/>
      <c r="H218" s="214"/>
      <c r="I218" s="214" t="s">
        <v>7065</v>
      </c>
      <c r="J218" s="219"/>
      <c r="K218" s="214" t="s">
        <v>7066</v>
      </c>
      <c r="L218" s="219"/>
      <c r="M218" s="258"/>
      <c r="N218" s="259"/>
      <c r="O218" s="260"/>
      <c r="P218" s="219"/>
      <c r="Q218" s="400"/>
      <c r="R218" s="393"/>
      <c r="S218" s="136"/>
      <c r="T218" s="137"/>
      <c r="U218" s="137"/>
      <c r="V218" s="137"/>
      <c r="W218" s="137"/>
      <c r="X218" s="137"/>
      <c r="Y218" s="218">
        <f t="shared" ref="Y218" si="2418">IF(OR(E215="",J218=""),0,J218&amp;E215)</f>
        <v>0</v>
      </c>
      <c r="Z218" s="218">
        <f>IF(Y218=0,0,COUNTIF($Y$7:Y218,Y218))</f>
        <v>0</v>
      </c>
      <c r="AD218" s="218">
        <f>IFERROR(VLOOKUP(J218,競技会設定!$P$2:$S$22,2,0),0)</f>
        <v>0</v>
      </c>
      <c r="AE218" s="218">
        <f t="shared" ref="AE218" si="2419">IF(E215="",0,IF(AD218=0,0,IF(AD218&lt;3,E215&amp;$AE$6,0)))</f>
        <v>0</v>
      </c>
      <c r="AF218" s="218">
        <f>IF(AE218=0,0,E215&amp;COUNTIF($AE$7:AE218,AE218))</f>
        <v>0</v>
      </c>
      <c r="AG218" s="218">
        <f t="shared" ref="AG218" si="2420">IF(E215="",0,IF(AD218=0,0,IF(AD218&gt;=3,E215&amp;$AG$6,0)))</f>
        <v>0</v>
      </c>
      <c r="AH218" s="218">
        <f>IF(AG218=0,0,E215&amp;COUNTIF($AG$7:AG218,AG218))</f>
        <v>0</v>
      </c>
      <c r="AI218" s="218">
        <f t="shared" si="2143"/>
        <v>0</v>
      </c>
      <c r="AJ218" s="218" t="b">
        <f>IF(AI218=0,FALSE,IF(COUNTIF(AI$7:AI218,AI218)&gt;1,TRUE,FALSE))</f>
        <v>0</v>
      </c>
      <c r="AK218" s="218">
        <f t="shared" ref="AK218" si="2421">IF($AD218=AK$6,$E215,0)</f>
        <v>0</v>
      </c>
      <c r="AL218" s="218" t="b">
        <f>IF(AK218=0,FALSE,IF(COUNTIF(AK$7:AK218,AK218)&gt;1,TRUE,FALSE))</f>
        <v>0</v>
      </c>
      <c r="AM218" s="218">
        <f t="shared" ref="AM218" si="2422">IF($AD218=AM$6,$E215,0)</f>
        <v>0</v>
      </c>
      <c r="AN218" s="218" t="b">
        <f>IF(AM218=0,FALSE,IF(COUNTIF(AM$7:AM218,AM218)&gt;1,TRUE,FALSE))</f>
        <v>0</v>
      </c>
      <c r="AO218" s="218">
        <f t="shared" ref="AO218" si="2423">IF($AD218=AO$6,$E215,0)</f>
        <v>0</v>
      </c>
      <c r="AP218" s="218" t="b">
        <f>IF(AO218=0,FALSE,IF(COUNTIF(AO$7:AO218,AO218)&gt;1,TRUE,FALSE))</f>
        <v>0</v>
      </c>
      <c r="AQ218" s="218">
        <f t="shared" ref="AQ218" si="2424">IF(COUNTIF(Y218,"*十種競技*")&gt;0,E215,0)</f>
        <v>0</v>
      </c>
      <c r="AR218" s="218" t="b">
        <f>IF(AQ218=0,FALSE,IF(OR(COUNTIF($AI$7:$AI$406,AQ218)+COUNTIF($AQ218:$AQ$406,AQ218)&gt;1,COUNTIF($AK$7:$AK$406,AQ218)+COUNTIF($AQ$7:$AQ$406,AQ218)&gt;1),TRUE,FALSE))</f>
        <v>0</v>
      </c>
      <c r="AT218" s="218" t="b">
        <f t="shared" si="2226"/>
        <v>0</v>
      </c>
      <c r="AU218" s="274"/>
      <c r="AX218" s="274"/>
      <c r="BD218" s="218" t="b">
        <f t="shared" si="2213"/>
        <v>0</v>
      </c>
      <c r="BF218" s="231" t="b">
        <f t="shared" ref="BF218" si="2425">IF(J218="",FALSE,IF(OR(AND(AU215,L218=""),AND(AU215,L218="",OR(M218&lt;&gt;"",N218&lt;&gt;"",O218&lt;&gt;"",P218&lt;&gt;""))),TRUE,FALSE))</f>
        <v>0</v>
      </c>
      <c r="BG218" s="218" t="b">
        <f t="shared" si="2215"/>
        <v>0</v>
      </c>
      <c r="BH218" s="218" t="b">
        <f t="shared" si="2228"/>
        <v>0</v>
      </c>
      <c r="BI218" s="231" t="b">
        <f t="shared" ref="BI218" si="2426">IF(J218="",FALSE,IF(L218=0,FALSE,IF(AND(AU215,NOT(BF218),OR(M218="",N218="",O218="")),TRUE,FALSE)))</f>
        <v>0</v>
      </c>
      <c r="BJ218" s="240" t="b">
        <f t="shared" si="2230"/>
        <v>0</v>
      </c>
      <c r="BK218" s="231" t="b">
        <f>IF(NOT(BJ218),FALSE,IF(AND(競技会設定!$C$5&lt;=BJ218,BJ218&lt;=競技会設定!$C$6),FALSE,TRUE))</f>
        <v>0</v>
      </c>
      <c r="BL218" s="218" t="b">
        <f>IF(J218="",FALSE,IF(L218=0,FALSE,IF(AND(AU215,NOT(BF218),NOT(BI218),P218=""),TRUE,FALSE)))</f>
        <v>0</v>
      </c>
      <c r="BO218" s="274"/>
    </row>
    <row r="219" spans="1:67" ht="18" customHeight="1" thickTop="1">
      <c r="A219" s="420">
        <v>54</v>
      </c>
      <c r="B219" s="373" t="s">
        <v>7050</v>
      </c>
      <c r="C219" s="375"/>
      <c r="D219" s="138" t="str">
        <f t="shared" ref="D219" si="2427">IF(C219="","",501&amp;TEXT(C219,"000000"))</f>
        <v/>
      </c>
      <c r="E219" s="377" t="str">
        <f>IF(D219="","",(VLOOKUP(D219,男子登録!$A$2:$N$2001,3,0)))</f>
        <v/>
      </c>
      <c r="F219" s="377" t="str">
        <f>IF(D219="","",(VLOOKUP(D219,男子登録!$A$2:$N$2001,4,0)))</f>
        <v/>
      </c>
      <c r="G219" s="138" t="str">
        <f>IF(C219="","",(VLOOKUP(D219,男子登録!$A$2:$N$2001,8,0)))</f>
        <v/>
      </c>
      <c r="H219" s="138">
        <f>IFERROR(VLOOKUP(D219,男子登録!$A$2:$N$2001,11,0),基本情報!$E$5)</f>
        <v>0</v>
      </c>
      <c r="I219" s="138" t="s">
        <v>7059</v>
      </c>
      <c r="J219" s="151"/>
      <c r="K219" s="138" t="s">
        <v>7060</v>
      </c>
      <c r="L219" s="151"/>
      <c r="M219" s="261"/>
      <c r="N219" s="262"/>
      <c r="O219" s="263"/>
      <c r="P219" s="151"/>
      <c r="Q219" s="381"/>
      <c r="R219" s="384"/>
      <c r="S219" s="136">
        <f t="shared" ref="S219" si="2428">IF(OR(E219="",Q219=""),0,E219)</f>
        <v>0</v>
      </c>
      <c r="T219" s="137">
        <f>IF(S219=0,0,COUNTIF($S$7:S219,"*"))</f>
        <v>0</v>
      </c>
      <c r="U219" s="137">
        <f>IF(S219=0,0,COUNTIF($S$7:S219,S219))</f>
        <v>0</v>
      </c>
      <c r="V219" s="137">
        <f t="shared" ref="V219:V279" si="2429">IF(OR(E219="",R219=""),0,E219&amp;MAX(COUNTIF($AG$7:$AG$406,E219&amp;"nans21v"))+1)</f>
        <v>0</v>
      </c>
      <c r="W219" s="137">
        <f>IF(V219=0,0,COUNTIF($V$7:V219,"*"))</f>
        <v>0</v>
      </c>
      <c r="X219" s="137">
        <f>IF(V219=0,0,COUNTIF($V$7:V219,V219))</f>
        <v>0</v>
      </c>
      <c r="Y219" s="218">
        <f t="shared" ref="Y219" si="2430">IF(OR(E219="",J219=""),0,J219&amp;E219)</f>
        <v>0</v>
      </c>
      <c r="Z219" s="218">
        <f>IF(Y219=0,0,COUNTIF($Y$7:Y219,Y219))</f>
        <v>0</v>
      </c>
      <c r="AA219" s="218" t="b">
        <f t="shared" ref="AA219" si="2431">IF(COUNTIF(J219:J222,"十種競技")&gt;0,TRUE,FALSE)</f>
        <v>0</v>
      </c>
      <c r="AB219" s="218">
        <f>IF(E219="",0,IF(AA219,COUNTIF($AA$7:AA219,TRUE),0))</f>
        <v>0</v>
      </c>
      <c r="AC219" s="218">
        <f>IFERROR(VLOOKUP("十種競技",J219:L222,3,0),0)</f>
        <v>0</v>
      </c>
      <c r="AD219" s="218">
        <f>IFERROR(VLOOKUP(J219,競技会設定!$P$2:$S$22,2,0),0)</f>
        <v>0</v>
      </c>
      <c r="AE219" s="218">
        <f t="shared" ref="AE219" si="2432">IF(E219="",0,IF(AD219=0,0,IF(AD219&lt;3,E219&amp;$AE$6,0)))</f>
        <v>0</v>
      </c>
      <c r="AF219" s="218">
        <f>IF(AE219=0,0,E219&amp;COUNTIF($AE$7:AE219,AE219))</f>
        <v>0</v>
      </c>
      <c r="AG219" s="218">
        <f t="shared" ref="AG219" si="2433">IF(E219="",0,IF(AD219=0,0,IF(AD219&gt;=3,E219&amp;$AG$6,0)))</f>
        <v>0</v>
      </c>
      <c r="AH219" s="218">
        <f>IF(AG219=0,0,E219&amp;COUNTIF($AG$7:AG219,AG219))</f>
        <v>0</v>
      </c>
      <c r="AI219" s="218">
        <f t="shared" si="2156"/>
        <v>0</v>
      </c>
      <c r="AJ219" s="218" t="b">
        <f>IF(AI219=0,FALSE,IF(COUNTIF(AI$7:AI219,AI219)&gt;1,TRUE,FALSE))</f>
        <v>0</v>
      </c>
      <c r="AK219" s="218">
        <f t="shared" ref="AK219" si="2434">IF($AD219=AK$6,$E219,0)</f>
        <v>0</v>
      </c>
      <c r="AL219" s="218" t="b">
        <f>IF(AK219=0,FALSE,IF(COUNTIF(AK$7:AK219,AK219)&gt;1,TRUE,FALSE))</f>
        <v>0</v>
      </c>
      <c r="AM219" s="218">
        <f t="shared" ref="AM219" si="2435">IF($AD219=AM$6,$E219,0)</f>
        <v>0</v>
      </c>
      <c r="AN219" s="218" t="b">
        <f>IF(AM219=0,FALSE,IF(COUNTIF(AM$7:AM219,AM219)&gt;1,TRUE,FALSE))</f>
        <v>0</v>
      </c>
      <c r="AO219" s="218">
        <f t="shared" ref="AO219" si="2436">IF($AD219=AO$6,$E219,0)</f>
        <v>0</v>
      </c>
      <c r="AP219" s="218" t="b">
        <f>IF(AO219=0,FALSE,IF(COUNTIF(AO$7:AO219,AO219)&gt;1,TRUE,FALSE))</f>
        <v>0</v>
      </c>
      <c r="AQ219" s="218">
        <f t="shared" ref="AQ219" si="2437">IF(COUNTIF(Y219,"*十種競技*")&gt;0,E219,0)</f>
        <v>0</v>
      </c>
      <c r="AR219" s="218" t="b">
        <f>IF(AQ219=0,FALSE,IF(OR(COUNTIF($AI$7:$AI$406,AQ219)+COUNTIF($AQ219:$AQ$406,AQ219)&gt;1,COUNTIF($AK$7:$AK$406,AQ219)+COUNTIF($AQ$7:$AQ$406,AQ219)&gt;1),TRUE,FALSE))</f>
        <v>0</v>
      </c>
      <c r="AS219" s="218" t="b">
        <f t="shared" ref="AS219" si="2438">IF(AND(C219="",E219&lt;&gt;"",F219&lt;&gt;"",E221&lt;&gt;"",G219&lt;&gt;"",G220&lt;&gt;"",G221&lt;&gt;""),TRUE,FALSE)</f>
        <v>0</v>
      </c>
      <c r="AT219" s="218" t="b">
        <f t="shared" si="2226"/>
        <v>0</v>
      </c>
      <c r="AU219" s="274" t="b">
        <f t="shared" ref="AU219" si="2439">IFERROR(IF(D219&amp;E219&amp;F219&amp;E221&amp;G219&amp;G220&amp;G221&amp;J219&amp;J220&amp;J221&amp;J222&amp;L219&amp;L220&amp;L221&amp;L222&amp;M219&amp;M220&amp;M221&amp;M222&amp;N219&amp;N220&amp;N221&amp;N222&amp;O219&amp;O220&amp;O221&amp;O222&amp;P219&amp;P220&amp;P221&amp;P222&amp;Q219&amp;R219="",FALSE,TRUE),FALSE)</f>
        <v>0</v>
      </c>
      <c r="AV219" s="218" t="b">
        <f t="shared" ref="AV219" si="2440">IF(AS219,FALSE,IF(C219="",AU219,FALSE))</f>
        <v>0</v>
      </c>
      <c r="AW219" s="218" t="b">
        <f>IF(C219="",FALSE,IF(C219&gt;2000,TRUE,FALSE))</f>
        <v>0</v>
      </c>
      <c r="AX219" s="274" t="b">
        <f>IF(H219=0,FALSE,IF(EXACT(基本情報!$E$5,H219)=TRUE,FALSE,TRUE))</f>
        <v>0</v>
      </c>
      <c r="AY219" s="218" t="b">
        <f>IF(C219="",FALSE,IF(ISNA(E219)=TRUE,TRUE,FALSE))</f>
        <v>0</v>
      </c>
      <c r="AZ219" s="274" t="b">
        <f>IFERROR(IF(E219="",FALSE,IF(COUNTIF($E$7:E219,E219)&gt;1,TRUE,FALSE)),FALSE)</f>
        <v>0</v>
      </c>
      <c r="BA219" s="218" t="b">
        <f t="shared" ref="BA219" si="2441">IF(OR(J219&amp;J220&amp;J221&amp;J222&amp;Q219&amp;R219="",AT219,AT220,AT221,AT222),AU219,FALSE)</f>
        <v>0</v>
      </c>
      <c r="BB219" s="218" t="b">
        <f>IF(U219&gt;1,TRUE,FALSE)</f>
        <v>0</v>
      </c>
      <c r="BC219" s="218" t="b">
        <f>IF(X219&gt;1,TRUE,FALSE)</f>
        <v>0</v>
      </c>
      <c r="BD219" s="218" t="b">
        <f t="shared" si="2213"/>
        <v>0</v>
      </c>
      <c r="BF219" s="231" t="b">
        <f t="shared" ref="BF219" si="2442">IF(J219="",FALSE,IF(OR(AND(AU219,L219=""),AND(AU219,L219="",OR(M219&lt;&gt;"",N219&lt;&gt;"",O219&lt;&gt;"",P219&lt;&gt;""))),TRUE,FALSE))</f>
        <v>0</v>
      </c>
      <c r="BG219" s="218" t="b">
        <f t="shared" si="2215"/>
        <v>0</v>
      </c>
      <c r="BH219" s="218" t="b">
        <f t="shared" si="2228"/>
        <v>0</v>
      </c>
      <c r="BI219" s="231" t="b">
        <f t="shared" ref="BI219" si="2443">IF(J219="",FALSE,IF(L219=0,FALSE,IF(AND(AU219,NOT(BF219),OR(M219="",N219="",O219="")),TRUE,FALSE)))</f>
        <v>0</v>
      </c>
      <c r="BJ219" s="240" t="b">
        <f t="shared" si="2230"/>
        <v>0</v>
      </c>
      <c r="BK219" s="231" t="b">
        <f>IF(NOT(BJ219),FALSE,IF(AND(競技会設定!$C$5&lt;=BJ219,BJ219&lt;=競技会設定!$C$6),FALSE,TRUE))</f>
        <v>0</v>
      </c>
      <c r="BL219" s="218" t="b">
        <f>IF(J219="",FALSE,IF(L219=0,FALSE,IF(AND(AU219,NOT(BF219),NOT(BI219),P219=""),TRUE,FALSE)))</f>
        <v>0</v>
      </c>
      <c r="BO219" s="274">
        <f t="shared" ref="BO219" si="2444">IF(AND(AU219,SUM(COUNTIF(AV219:BC219,TRUE),COUNTIF(BF219:BL222,TRUE),COUNTIF(BD219:BD222,TRUE))=0,NOT($BE$7)),1,0)</f>
        <v>0</v>
      </c>
    </row>
    <row r="220" spans="1:67" ht="17.399999999999999" customHeight="1">
      <c r="A220" s="421"/>
      <c r="B220" s="374"/>
      <c r="C220" s="376"/>
      <c r="D220" s="139"/>
      <c r="E220" s="378"/>
      <c r="F220" s="378"/>
      <c r="G220" s="139" t="str">
        <f>IF(C219="","",(VLOOKUP(D219,男子登録!$A$2:$N$2001,13,0)))</f>
        <v/>
      </c>
      <c r="H220" s="139"/>
      <c r="I220" s="139" t="s">
        <v>7061</v>
      </c>
      <c r="J220" s="152"/>
      <c r="K220" s="139" t="s">
        <v>7062</v>
      </c>
      <c r="L220" s="152"/>
      <c r="M220" s="264"/>
      <c r="N220" s="265"/>
      <c r="O220" s="266"/>
      <c r="P220" s="152"/>
      <c r="Q220" s="382"/>
      <c r="R220" s="385"/>
      <c r="S220" s="136"/>
      <c r="T220" s="137"/>
      <c r="U220" s="137"/>
      <c r="V220" s="137"/>
      <c r="W220" s="137"/>
      <c r="X220" s="137"/>
      <c r="Y220" s="218">
        <f t="shared" ref="Y220" si="2445">IF(OR(E219="",J220=""),0,J220&amp;E219)</f>
        <v>0</v>
      </c>
      <c r="Z220" s="218">
        <f>IF(Y220=0,0,COUNTIF($Y$7:Y220,Y220))</f>
        <v>0</v>
      </c>
      <c r="AD220" s="218">
        <f>IFERROR(VLOOKUP(J220,競技会設定!$P$2:$S$22,2,0),0)</f>
        <v>0</v>
      </c>
      <c r="AE220" s="218">
        <f t="shared" ref="AE220" si="2446">IF(E219="",0,IF(AD220=0,0,IF(AD220&lt;3,E219&amp;$AE$6,0)))</f>
        <v>0</v>
      </c>
      <c r="AF220" s="218">
        <f>IF(AE220=0,0,E219&amp;COUNTIF($AE$7:AE220,AE220))</f>
        <v>0</v>
      </c>
      <c r="AG220" s="218">
        <f t="shared" ref="AG220" si="2447">IF(E219="",0,IF(AD220=0,0,IF(AD220&gt;=3,E219&amp;$AG$6,0)))</f>
        <v>0</v>
      </c>
      <c r="AH220" s="218">
        <f>IF(AG220=0,0,E219&amp;COUNTIF($AG$7:AG220,AG220))</f>
        <v>0</v>
      </c>
      <c r="AI220" s="218">
        <f t="shared" si="2171"/>
        <v>0</v>
      </c>
      <c r="AJ220" s="218" t="b">
        <f>IF(AI220=0,FALSE,IF(COUNTIF(AI$7:AI220,AI220)&gt;1,TRUE,FALSE))</f>
        <v>0</v>
      </c>
      <c r="AK220" s="218">
        <f t="shared" ref="AK220" si="2448">IF($AD220=AK$6,$E219,0)</f>
        <v>0</v>
      </c>
      <c r="AL220" s="218" t="b">
        <f>IF(AK220=0,FALSE,IF(COUNTIF(AK$7:AK220,AK220)&gt;1,TRUE,FALSE))</f>
        <v>0</v>
      </c>
      <c r="AM220" s="218">
        <f t="shared" ref="AM220" si="2449">IF($AD220=AM$6,$E219,0)</f>
        <v>0</v>
      </c>
      <c r="AN220" s="218" t="b">
        <f>IF(AM220=0,FALSE,IF(COUNTIF(AM$7:AM220,AM220)&gt;1,TRUE,FALSE))</f>
        <v>0</v>
      </c>
      <c r="AO220" s="218">
        <f t="shared" ref="AO220" si="2450">IF($AD220=AO$6,$E219,0)</f>
        <v>0</v>
      </c>
      <c r="AP220" s="218" t="b">
        <f>IF(AO220=0,FALSE,IF(COUNTIF(AO$7:AO220,AO220)&gt;1,TRUE,FALSE))</f>
        <v>0</v>
      </c>
      <c r="AQ220" s="218">
        <f t="shared" ref="AQ220" si="2451">IF(COUNTIF(Y220,"*十種競技*")&gt;0,E219,0)</f>
        <v>0</v>
      </c>
      <c r="AR220" s="218" t="b">
        <f>IF(AQ220=0,FALSE,IF(OR(COUNTIF($AI$7:$AI$406,AQ220)+COUNTIF($AQ220:$AQ$406,AQ220)&gt;1,COUNTIF($AK$7:$AK$406,AQ220)+COUNTIF($AQ$7:$AQ$406,AQ220)&gt;1),TRUE,FALSE))</f>
        <v>0</v>
      </c>
      <c r="AT220" s="218" t="b">
        <f t="shared" si="2226"/>
        <v>0</v>
      </c>
      <c r="AU220" s="274"/>
      <c r="AX220" s="274"/>
      <c r="BD220" s="218" t="b">
        <f t="shared" si="2213"/>
        <v>0</v>
      </c>
      <c r="BF220" s="231" t="b">
        <f t="shared" ref="BF220" si="2452">IF(J220="",FALSE,IF(OR(AND(AU219,L220=""),AND(AU219,L220="",OR(M220&lt;&gt;"",N220&lt;&gt;"",O220&lt;&gt;"",P220&lt;&gt;""))),TRUE,FALSE))</f>
        <v>0</v>
      </c>
      <c r="BG220" s="218" t="b">
        <f t="shared" si="2215"/>
        <v>0</v>
      </c>
      <c r="BH220" s="218" t="b">
        <f t="shared" si="2228"/>
        <v>0</v>
      </c>
      <c r="BI220" s="231" t="b">
        <f t="shared" ref="BI220" si="2453">IF(J220="",FALSE,IF(L220=0,FALSE,IF(AND(AU219,NOT(BF220),OR(M220="",N220="",O220="")),TRUE,FALSE)))</f>
        <v>0</v>
      </c>
      <c r="BJ220" s="240" t="b">
        <f t="shared" si="2230"/>
        <v>0</v>
      </c>
      <c r="BK220" s="231" t="b">
        <f>IF(NOT(BJ220),FALSE,IF(AND(競技会設定!$C$5&lt;=BJ220,BJ220&lt;=競技会設定!$C$6),FALSE,TRUE))</f>
        <v>0</v>
      </c>
      <c r="BL220" s="218" t="b">
        <f>IF(J220="",FALSE,IF(L220=0,FALSE,IF(AND(AU219,NOT(BF220),NOT(BI220),P220=""),TRUE,FALSE)))</f>
        <v>0</v>
      </c>
      <c r="BO220" s="274"/>
    </row>
    <row r="221" spans="1:67" ht="17.399999999999999" customHeight="1">
      <c r="A221" s="421"/>
      <c r="B221" s="374"/>
      <c r="C221" s="376"/>
      <c r="D221" s="140"/>
      <c r="E221" s="379" t="str">
        <f>IF(C219="","",VLOOKUP(D219,男子登録!$A$2:$O$2001,14,0)&amp;" ("&amp;VLOOKUP(D219,男子登録!$A$2:$O$2001,15,0)&amp;")")</f>
        <v/>
      </c>
      <c r="F221" s="380"/>
      <c r="G221" s="140" t="str">
        <f>IF(C219="","",(VLOOKUP(D219,男子登録!$A$2:$N$2001,9,0)))</f>
        <v/>
      </c>
      <c r="H221" s="140"/>
      <c r="I221" s="140" t="s">
        <v>7063</v>
      </c>
      <c r="J221" s="153"/>
      <c r="K221" s="140" t="s">
        <v>7064</v>
      </c>
      <c r="L221" s="153"/>
      <c r="M221" s="264"/>
      <c r="N221" s="265"/>
      <c r="O221" s="266"/>
      <c r="P221" s="152"/>
      <c r="Q221" s="382"/>
      <c r="R221" s="385"/>
      <c r="S221" s="136"/>
      <c r="T221" s="137"/>
      <c r="U221" s="137"/>
      <c r="V221" s="137"/>
      <c r="W221" s="137"/>
      <c r="X221" s="137"/>
      <c r="Y221" s="218">
        <f t="shared" ref="Y221" si="2454">IF(OR(E219="",J221=""),0,J221&amp;E219)</f>
        <v>0</v>
      </c>
      <c r="Z221" s="218">
        <f>IF(Y221=0,0,COUNTIF($Y$7:Y221,Y221))</f>
        <v>0</v>
      </c>
      <c r="AD221" s="218">
        <f>IFERROR(VLOOKUP(J221,競技会設定!$P$2:$S$22,2,0),0)</f>
        <v>0</v>
      </c>
      <c r="AE221" s="218">
        <f t="shared" ref="AE221" si="2455">IF(E219="",0,IF(AD221=0,0,IF(AD221&lt;3,E219&amp;$AE$6,0)))</f>
        <v>0</v>
      </c>
      <c r="AF221" s="218">
        <f>IF(AE221=0,0,E219&amp;COUNTIF($AE$7:AE221,AE221))</f>
        <v>0</v>
      </c>
      <c r="AG221" s="218">
        <f t="shared" ref="AG221" si="2456">IF(E219="",0,IF(AD221=0,0,IF(AD221&gt;=3,E219&amp;$AG$6,0)))</f>
        <v>0</v>
      </c>
      <c r="AH221" s="218">
        <f>IF(AG221=0,0,E219&amp;COUNTIF($AG$7:AG221,AG221))</f>
        <v>0</v>
      </c>
      <c r="AI221" s="218">
        <f t="shared" si="2181"/>
        <v>0</v>
      </c>
      <c r="AJ221" s="218" t="b">
        <f>IF(AI221=0,FALSE,IF(COUNTIF(AI$7:AI221,AI221)&gt;1,TRUE,FALSE))</f>
        <v>0</v>
      </c>
      <c r="AK221" s="218">
        <f t="shared" ref="AK221" si="2457">IF($AD221=AK$6,$E219,0)</f>
        <v>0</v>
      </c>
      <c r="AL221" s="218" t="b">
        <f>IF(AK221=0,FALSE,IF(COUNTIF(AK$7:AK221,AK221)&gt;1,TRUE,FALSE))</f>
        <v>0</v>
      </c>
      <c r="AM221" s="218">
        <f t="shared" ref="AM221" si="2458">IF($AD221=AM$6,$E219,0)</f>
        <v>0</v>
      </c>
      <c r="AN221" s="218" t="b">
        <f>IF(AM221=0,FALSE,IF(COUNTIF(AM$7:AM221,AM221)&gt;1,TRUE,FALSE))</f>
        <v>0</v>
      </c>
      <c r="AO221" s="218">
        <f t="shared" ref="AO221" si="2459">IF($AD221=AO$6,$E219,0)</f>
        <v>0</v>
      </c>
      <c r="AP221" s="218" t="b">
        <f>IF(AO221=0,FALSE,IF(COUNTIF(AO$7:AO221,AO221)&gt;1,TRUE,FALSE))</f>
        <v>0</v>
      </c>
      <c r="AQ221" s="218">
        <f t="shared" ref="AQ221" si="2460">IF(COUNTIF(Y221,"*十種競技*")&gt;0,E219,0)</f>
        <v>0</v>
      </c>
      <c r="AR221" s="218" t="b">
        <f>IF(AQ221=0,FALSE,IF(OR(COUNTIF($AI$7:$AI$406,AQ221)+COUNTIF($AQ221:$AQ$406,AQ221)&gt;1,COUNTIF($AK$7:$AK$406,AQ221)+COUNTIF($AQ$7:$AQ$406,AQ221)&gt;1),TRUE,FALSE))</f>
        <v>0</v>
      </c>
      <c r="AT221" s="218" t="b">
        <f t="shared" si="2226"/>
        <v>0</v>
      </c>
      <c r="AU221" s="274"/>
      <c r="AX221" s="274"/>
      <c r="BD221" s="218" t="b">
        <f t="shared" si="2213"/>
        <v>0</v>
      </c>
      <c r="BF221" s="231" t="b">
        <f t="shared" ref="BF221" si="2461">IF(J221="",FALSE,IF(OR(AND(AU219,L221=""),AND(AU219,L221="",OR(M221&lt;&gt;"",N221&lt;&gt;"",O221&lt;&gt;"",P221&lt;&gt;""))),TRUE,FALSE))</f>
        <v>0</v>
      </c>
      <c r="BG221" s="218" t="b">
        <f t="shared" si="2215"/>
        <v>0</v>
      </c>
      <c r="BH221" s="218" t="b">
        <f t="shared" si="2228"/>
        <v>0</v>
      </c>
      <c r="BI221" s="231" t="b">
        <f t="shared" ref="BI221" si="2462">IF(J221="",FALSE,IF(L221=0,FALSE,IF(AND(AU219,NOT(BF221),OR(M221="",N221="",O221="")),TRUE,FALSE)))</f>
        <v>0</v>
      </c>
      <c r="BJ221" s="240" t="b">
        <f t="shared" si="2230"/>
        <v>0</v>
      </c>
      <c r="BK221" s="231" t="b">
        <f>IF(NOT(BJ221),FALSE,IF(AND(競技会設定!$C$5&lt;=BJ221,BJ221&lt;=競技会設定!$C$6),FALSE,TRUE))</f>
        <v>0</v>
      </c>
      <c r="BL221" s="218" t="b">
        <f>IF(J221="",FALSE,IF(L221=0,FALSE,IF(AND(AU219,NOT(BF221),NOT(BI221),P221=""),TRUE,FALSE)))</f>
        <v>0</v>
      </c>
      <c r="BO221" s="274"/>
    </row>
    <row r="222" spans="1:67" ht="18" customHeight="1" thickBot="1">
      <c r="A222" s="422"/>
      <c r="B222" s="387" t="s">
        <v>7051</v>
      </c>
      <c r="C222" s="387"/>
      <c r="D222" s="213"/>
      <c r="E222" s="388"/>
      <c r="F222" s="389"/>
      <c r="G222" s="390"/>
      <c r="H222" s="141"/>
      <c r="I222" s="213" t="s">
        <v>7065</v>
      </c>
      <c r="J222" s="154"/>
      <c r="K222" s="213" t="s">
        <v>7066</v>
      </c>
      <c r="L222" s="154"/>
      <c r="M222" s="267"/>
      <c r="N222" s="268"/>
      <c r="O222" s="269"/>
      <c r="P222" s="154"/>
      <c r="Q222" s="383"/>
      <c r="R222" s="386"/>
      <c r="S222" s="136"/>
      <c r="T222" s="137"/>
      <c r="U222" s="137"/>
      <c r="V222" s="137"/>
      <c r="W222" s="137"/>
      <c r="X222" s="137"/>
      <c r="Y222" s="218">
        <f t="shared" ref="Y222" si="2463">IF(OR(E219="",J222=""),0,J222&amp;E219)</f>
        <v>0</v>
      </c>
      <c r="Z222" s="218">
        <f>IF(Y222=0,0,COUNTIF($Y$7:Y222,Y222))</f>
        <v>0</v>
      </c>
      <c r="AD222" s="218">
        <f>IFERROR(VLOOKUP(J222,競技会設定!$P$2:$S$22,2,0),0)</f>
        <v>0</v>
      </c>
      <c r="AE222" s="218">
        <f t="shared" ref="AE222" si="2464">IF(E219="",0,IF(AD222=0,0,IF(AD222&lt;3,E219&amp;$AE$6,0)))</f>
        <v>0</v>
      </c>
      <c r="AF222" s="218">
        <f>IF(AE222=0,0,E219&amp;COUNTIF($AE$7:AE222,AE222))</f>
        <v>0</v>
      </c>
      <c r="AG222" s="218">
        <f t="shared" ref="AG222" si="2465">IF(E219="",0,IF(AD222=0,0,IF(AD222&gt;=3,E219&amp;$AG$6,0)))</f>
        <v>0</v>
      </c>
      <c r="AH222" s="218">
        <f>IF(AG222=0,0,E219&amp;COUNTIF($AG$7:AG222,AG222))</f>
        <v>0</v>
      </c>
      <c r="AI222" s="218">
        <f t="shared" si="2191"/>
        <v>0</v>
      </c>
      <c r="AJ222" s="218" t="b">
        <f>IF(AI222=0,FALSE,IF(COUNTIF(AI$7:AI222,AI222)&gt;1,TRUE,FALSE))</f>
        <v>0</v>
      </c>
      <c r="AK222" s="218">
        <f t="shared" ref="AK222" si="2466">IF($AD222=AK$6,$E219,0)</f>
        <v>0</v>
      </c>
      <c r="AL222" s="218" t="b">
        <f>IF(AK222=0,FALSE,IF(COUNTIF(AK$7:AK222,AK222)&gt;1,TRUE,FALSE))</f>
        <v>0</v>
      </c>
      <c r="AM222" s="218">
        <f t="shared" ref="AM222" si="2467">IF($AD222=AM$6,$E219,0)</f>
        <v>0</v>
      </c>
      <c r="AN222" s="218" t="b">
        <f>IF(AM222=0,FALSE,IF(COUNTIF(AM$7:AM222,AM222)&gt;1,TRUE,FALSE))</f>
        <v>0</v>
      </c>
      <c r="AO222" s="218">
        <f t="shared" ref="AO222" si="2468">IF($AD222=AO$6,$E219,0)</f>
        <v>0</v>
      </c>
      <c r="AP222" s="218" t="b">
        <f>IF(AO222=0,FALSE,IF(COUNTIF(AO$7:AO222,AO222)&gt;1,TRUE,FALSE))</f>
        <v>0</v>
      </c>
      <c r="AQ222" s="218">
        <f t="shared" ref="AQ222" si="2469">IF(COUNTIF(Y222,"*十種競技*")&gt;0,E219,0)</f>
        <v>0</v>
      </c>
      <c r="AR222" s="218" t="b">
        <f>IF(AQ222=0,FALSE,IF(OR(COUNTIF($AI$7:$AI$406,AQ222)+COUNTIF($AQ222:$AQ$406,AQ222)&gt;1,COUNTIF($AK$7:$AK$406,AQ222)+COUNTIF($AQ$7:$AQ$406,AQ222)&gt;1),TRUE,FALSE))</f>
        <v>0</v>
      </c>
      <c r="AT222" s="218" t="b">
        <f t="shared" si="2226"/>
        <v>0</v>
      </c>
      <c r="AU222" s="274"/>
      <c r="AX222" s="274"/>
      <c r="BD222" s="218" t="b">
        <f t="shared" si="2213"/>
        <v>0</v>
      </c>
      <c r="BF222" s="231" t="b">
        <f t="shared" ref="BF222" si="2470">IF(J222="",FALSE,IF(OR(AND(AU219,L222=""),AND(AU219,L222="",OR(M222&lt;&gt;"",N222&lt;&gt;"",O222&lt;&gt;"",P222&lt;&gt;""))),TRUE,FALSE))</f>
        <v>0</v>
      </c>
      <c r="BG222" s="218" t="b">
        <f t="shared" si="2215"/>
        <v>0</v>
      </c>
      <c r="BH222" s="218" t="b">
        <f t="shared" si="2228"/>
        <v>0</v>
      </c>
      <c r="BI222" s="231" t="b">
        <f t="shared" ref="BI222" si="2471">IF(J222="",FALSE,IF(L222=0,FALSE,IF(AND(AU219,NOT(BF222),OR(M222="",N222="",O222="")),TRUE,FALSE)))</f>
        <v>0</v>
      </c>
      <c r="BJ222" s="240" t="b">
        <f t="shared" si="2230"/>
        <v>0</v>
      </c>
      <c r="BK222" s="231" t="b">
        <f>IF(NOT(BJ222),FALSE,IF(AND(競技会設定!$C$5&lt;=BJ222,BJ222&lt;=競技会設定!$C$6),FALSE,TRUE))</f>
        <v>0</v>
      </c>
      <c r="BL222" s="218" t="b">
        <f>IF(J222="",FALSE,IF(L222=0,FALSE,IF(AND(AU219,NOT(BF222),NOT(BI222),P222=""),TRUE,FALSE)))</f>
        <v>0</v>
      </c>
      <c r="BO222" s="274"/>
    </row>
    <row r="223" spans="1:67" ht="18" customHeight="1" thickTop="1">
      <c r="A223" s="417">
        <v>55</v>
      </c>
      <c r="B223" s="401" t="s">
        <v>7050</v>
      </c>
      <c r="C223" s="403"/>
      <c r="D223" s="220" t="str">
        <f t="shared" ref="D223" si="2472">IF(C223="","",501&amp;TEXT(C223,"000000"))</f>
        <v/>
      </c>
      <c r="E223" s="396" t="str">
        <f>IF(D223="","",(VLOOKUP(D223,男子登録!$A$2:$N$2001,3,0)))</f>
        <v/>
      </c>
      <c r="F223" s="396" t="str">
        <f>IF(D223="","",(VLOOKUP(D223,男子登録!$A$2:$N$2001,4,0)))</f>
        <v/>
      </c>
      <c r="G223" s="220" t="str">
        <f>IF(C223="","",(VLOOKUP(D223,男子登録!$A$2:$N$2001,8,0)))</f>
        <v/>
      </c>
      <c r="H223" s="220">
        <f>IFERROR(VLOOKUP(D223,男子登録!$A$2:$N$2001,11,0),基本情報!$E$5)</f>
        <v>0</v>
      </c>
      <c r="I223" s="220" t="s">
        <v>7059</v>
      </c>
      <c r="J223" s="148"/>
      <c r="K223" s="220" t="s">
        <v>7060</v>
      </c>
      <c r="L223" s="148"/>
      <c r="M223" s="252"/>
      <c r="N223" s="253"/>
      <c r="O223" s="254"/>
      <c r="P223" s="148"/>
      <c r="Q223" s="398"/>
      <c r="R223" s="391"/>
      <c r="S223" s="136">
        <f t="shared" ref="S223" si="2473">IF(OR(E223="",Q223=""),0,E223)</f>
        <v>0</v>
      </c>
      <c r="T223" s="137">
        <f>IF(S223=0,0,COUNTIF($S$7:S223,"*"))</f>
        <v>0</v>
      </c>
      <c r="U223" s="137">
        <f>IF(S223=0,0,COUNTIF($S$7:S223,S223))</f>
        <v>0</v>
      </c>
      <c r="V223" s="137">
        <f t="shared" si="2429"/>
        <v>0</v>
      </c>
      <c r="W223" s="137">
        <f>IF(V223=0,0,COUNTIF($V$7:V223,"*"))</f>
        <v>0</v>
      </c>
      <c r="X223" s="137">
        <f>IF(V223=0,0,COUNTIF($V$7:V223,V223))</f>
        <v>0</v>
      </c>
      <c r="Y223" s="218">
        <f t="shared" ref="Y223" si="2474">IF(OR(E223="",J223=""),0,J223&amp;E223)</f>
        <v>0</v>
      </c>
      <c r="Z223" s="218">
        <f>IF(Y223=0,0,COUNTIF($Y$7:Y223,Y223))</f>
        <v>0</v>
      </c>
      <c r="AA223" s="218" t="b">
        <f t="shared" ref="AA223" si="2475">IF(COUNTIF(J223:J226,"十種競技")&gt;0,TRUE,FALSE)</f>
        <v>0</v>
      </c>
      <c r="AB223" s="218">
        <f>IF(E223="",0,IF(AA223,COUNTIF($AA$7:AA223,TRUE),0))</f>
        <v>0</v>
      </c>
      <c r="AC223" s="218">
        <f>IFERROR(VLOOKUP("十種競技",J223:L226,3,0),0)</f>
        <v>0</v>
      </c>
      <c r="AD223" s="218">
        <f>IFERROR(VLOOKUP(J223,競技会設定!$P$2:$S$22,2,0),0)</f>
        <v>0</v>
      </c>
      <c r="AE223" s="218">
        <f t="shared" ref="AE223" si="2476">IF(E223="",0,IF(AD223=0,0,IF(AD223&lt;3,E223&amp;$AE$6,0)))</f>
        <v>0</v>
      </c>
      <c r="AF223" s="218">
        <f>IF(AE223=0,0,E223&amp;COUNTIF($AE$7:AE223,AE223))</f>
        <v>0</v>
      </c>
      <c r="AG223" s="218">
        <f t="shared" ref="AG223" si="2477">IF(E223="",0,IF(AD223=0,0,IF(AD223&gt;=3,E223&amp;$AG$6,0)))</f>
        <v>0</v>
      </c>
      <c r="AH223" s="218">
        <f>IF(AG223=0,0,E223&amp;COUNTIF($AG$7:AG223,AG223))</f>
        <v>0</v>
      </c>
      <c r="AI223" s="218">
        <f t="shared" ref="AI223" si="2478">IF(COUNTIF(Y223,"*十種*")&gt;0,0,IF($AD223=AI$6,$E223,0))</f>
        <v>0</v>
      </c>
      <c r="AJ223" s="218" t="b">
        <f>IF(AI223=0,FALSE,IF(COUNTIF(AI$7:AI223,AI223)&gt;1,TRUE,FALSE))</f>
        <v>0</v>
      </c>
      <c r="AK223" s="218">
        <f t="shared" ref="AK223" si="2479">IF($AD223=AK$6,$E223,0)</f>
        <v>0</v>
      </c>
      <c r="AL223" s="218" t="b">
        <f>IF(AK223=0,FALSE,IF(COUNTIF(AK$7:AK223,AK223)&gt;1,TRUE,FALSE))</f>
        <v>0</v>
      </c>
      <c r="AM223" s="218">
        <f t="shared" ref="AM223" si="2480">IF($AD223=AM$6,$E223,0)</f>
        <v>0</v>
      </c>
      <c r="AN223" s="218" t="b">
        <f>IF(AM223=0,FALSE,IF(COUNTIF(AM$7:AM223,AM223)&gt;1,TRUE,FALSE))</f>
        <v>0</v>
      </c>
      <c r="AO223" s="218">
        <f t="shared" ref="AO223" si="2481">IF($AD223=AO$6,$E223,0)</f>
        <v>0</v>
      </c>
      <c r="AP223" s="218" t="b">
        <f>IF(AO223=0,FALSE,IF(COUNTIF(AO$7:AO223,AO223)&gt;1,TRUE,FALSE))</f>
        <v>0</v>
      </c>
      <c r="AQ223" s="218">
        <f t="shared" ref="AQ223" si="2482">IF(COUNTIF(Y223,"*十種競技*")&gt;0,E223,0)</f>
        <v>0</v>
      </c>
      <c r="AR223" s="218" t="b">
        <f>IF(AQ223=0,FALSE,IF(OR(COUNTIF($AI$7:$AI$406,AQ223)+COUNTIF($AQ223:$AQ$406,AQ223)&gt;1,COUNTIF($AK$7:$AK$406,AQ223)+COUNTIF($AQ$7:$AQ$406,AQ223)&gt;1),TRUE,FALSE))</f>
        <v>0</v>
      </c>
      <c r="AS223" s="218" t="b">
        <f t="shared" ref="AS223" si="2483">IF(AND(C223="",E223&lt;&gt;"",F223&lt;&gt;"",E225&lt;&gt;"",G223&lt;&gt;"",G224&lt;&gt;"",G225&lt;&gt;""),TRUE,FALSE)</f>
        <v>0</v>
      </c>
      <c r="AT223" s="218" t="b">
        <f t="shared" si="2226"/>
        <v>0</v>
      </c>
      <c r="AU223" s="274" t="b">
        <f t="shared" ref="AU223" si="2484">IFERROR(IF(D223&amp;E223&amp;F223&amp;E225&amp;G223&amp;G224&amp;G225&amp;J223&amp;J224&amp;J225&amp;J226&amp;L223&amp;L224&amp;L225&amp;L226&amp;M223&amp;M224&amp;M225&amp;M226&amp;N223&amp;N224&amp;N225&amp;N226&amp;O223&amp;O224&amp;O225&amp;O226&amp;P223&amp;P224&amp;P225&amp;P226&amp;Q223&amp;R223="",FALSE,TRUE),FALSE)</f>
        <v>0</v>
      </c>
      <c r="AV223" s="218" t="b">
        <f t="shared" ref="AV223" si="2485">IF(AS223,FALSE,IF(C223="",AU223,FALSE))</f>
        <v>0</v>
      </c>
      <c r="AW223" s="218" t="b">
        <f>IF(C223="",FALSE,IF(C223&gt;2000,TRUE,FALSE))</f>
        <v>0</v>
      </c>
      <c r="AX223" s="274" t="b">
        <f>IF(H223=0,FALSE,IF(EXACT(基本情報!$E$5,H223)=TRUE,FALSE,TRUE))</f>
        <v>0</v>
      </c>
      <c r="AY223" s="218" t="b">
        <f>IF(C223="",FALSE,IF(ISNA(E223)=TRUE,TRUE,FALSE))</f>
        <v>0</v>
      </c>
      <c r="AZ223" s="274" t="b">
        <f>IFERROR(IF(E223="",FALSE,IF(COUNTIF($E$7:E223,E223)&gt;1,TRUE,FALSE)),FALSE)</f>
        <v>0</v>
      </c>
      <c r="BA223" s="218" t="b">
        <f t="shared" ref="BA223" si="2486">IF(OR(J223&amp;J224&amp;J225&amp;J226&amp;Q223&amp;R223="",AT223,AT224,AT225,AT226),AU223,FALSE)</f>
        <v>0</v>
      </c>
      <c r="BB223" s="218" t="b">
        <f>IF(U223&gt;1,TRUE,FALSE)</f>
        <v>0</v>
      </c>
      <c r="BC223" s="218" t="b">
        <f>IF(X223&gt;1,TRUE,FALSE)</f>
        <v>0</v>
      </c>
      <c r="BD223" s="218" t="b">
        <f t="shared" si="2213"/>
        <v>0</v>
      </c>
      <c r="BF223" s="231" t="b">
        <f t="shared" ref="BF223" si="2487">IF(J223="",FALSE,IF(OR(AND(AU223,L223=""),AND(AU223,L223="",OR(M223&lt;&gt;"",N223&lt;&gt;"",O223&lt;&gt;"",P223&lt;&gt;""))),TRUE,FALSE))</f>
        <v>0</v>
      </c>
      <c r="BG223" s="218" t="b">
        <f t="shared" si="2215"/>
        <v>0</v>
      </c>
      <c r="BH223" s="218" t="b">
        <f t="shared" si="2228"/>
        <v>0</v>
      </c>
      <c r="BI223" s="231" t="b">
        <f t="shared" ref="BI223" si="2488">IF(J223="",FALSE,IF(L223=0,FALSE,IF(AND(AU223,NOT(BF223),OR(M223="",N223="",O223="")),TRUE,FALSE)))</f>
        <v>0</v>
      </c>
      <c r="BJ223" s="240" t="b">
        <f t="shared" si="2230"/>
        <v>0</v>
      </c>
      <c r="BK223" s="231" t="b">
        <f>IF(NOT(BJ223),FALSE,IF(AND(競技会設定!$C$5&lt;=BJ223,BJ223&lt;=競技会設定!$C$6),FALSE,TRUE))</f>
        <v>0</v>
      </c>
      <c r="BL223" s="218" t="b">
        <f>IF(J223="",FALSE,IF(L223=0,FALSE,IF(AND(AU223,NOT(BF223),NOT(BI223),P223=""),TRUE,FALSE)))</f>
        <v>0</v>
      </c>
      <c r="BO223" s="274">
        <f t="shared" ref="BO223" si="2489">IF(AND(AU223,SUM(COUNTIF(AV223:BC223,TRUE),COUNTIF(BF223:BL226,TRUE),COUNTIF(BD223:BD226,TRUE))=0,NOT($BE$7)),1,0)</f>
        <v>0</v>
      </c>
    </row>
    <row r="224" spans="1:67" ht="17.399999999999999" customHeight="1">
      <c r="A224" s="418"/>
      <c r="B224" s="402"/>
      <c r="C224" s="404"/>
      <c r="D224" s="221"/>
      <c r="E224" s="397"/>
      <c r="F224" s="397"/>
      <c r="G224" s="221" t="str">
        <f>IF(C223="","",(VLOOKUP(D223,男子登録!$A$2:$N$2001,13,0)))</f>
        <v/>
      </c>
      <c r="H224" s="221"/>
      <c r="I224" s="221" t="s">
        <v>7061</v>
      </c>
      <c r="J224" s="149"/>
      <c r="K224" s="221" t="s">
        <v>7062</v>
      </c>
      <c r="L224" s="149"/>
      <c r="M224" s="255"/>
      <c r="N224" s="256"/>
      <c r="O224" s="257"/>
      <c r="P224" s="149"/>
      <c r="Q224" s="399"/>
      <c r="R224" s="392"/>
      <c r="S224" s="136"/>
      <c r="T224" s="137"/>
      <c r="U224" s="137"/>
      <c r="V224" s="137"/>
      <c r="W224" s="137"/>
      <c r="X224" s="137"/>
      <c r="Y224" s="218">
        <f t="shared" ref="Y224" si="2490">IF(OR(E223="",J224=""),0,J224&amp;E223)</f>
        <v>0</v>
      </c>
      <c r="Z224" s="218">
        <f>IF(Y224=0,0,COUNTIF($Y$7:Y224,Y224))</f>
        <v>0</v>
      </c>
      <c r="AD224" s="218">
        <f>IFERROR(VLOOKUP(J224,競技会設定!$P$2:$S$22,2,0),0)</f>
        <v>0</v>
      </c>
      <c r="AE224" s="218">
        <f t="shared" ref="AE224" si="2491">IF(E223="",0,IF(AD224=0,0,IF(AD224&lt;3,E223&amp;$AE$6,0)))</f>
        <v>0</v>
      </c>
      <c r="AF224" s="218">
        <f>IF(AE224=0,0,E223&amp;COUNTIF($AE$7:AE224,AE224))</f>
        <v>0</v>
      </c>
      <c r="AG224" s="218">
        <f t="shared" ref="AG224" si="2492">IF(E223="",0,IF(AD224=0,0,IF(AD224&gt;=3,E223&amp;$AG$6,0)))</f>
        <v>0</v>
      </c>
      <c r="AH224" s="218">
        <f>IF(AG224=0,0,E223&amp;COUNTIF($AG$7:AG224,AG224))</f>
        <v>0</v>
      </c>
      <c r="AI224" s="218">
        <f t="shared" ref="AI224" si="2493">IF(COUNTIF(Y224,"*十種*")&gt;0,0,IF($AD224=AI$6,$E223,0))</f>
        <v>0</v>
      </c>
      <c r="AJ224" s="218" t="b">
        <f>IF(AI224=0,FALSE,IF(COUNTIF(AI$7:AI224,AI224)&gt;1,TRUE,FALSE))</f>
        <v>0</v>
      </c>
      <c r="AK224" s="218">
        <f t="shared" ref="AK224" si="2494">IF($AD224=AK$6,$E223,0)</f>
        <v>0</v>
      </c>
      <c r="AL224" s="218" t="b">
        <f>IF(AK224=0,FALSE,IF(COUNTIF(AK$7:AK224,AK224)&gt;1,TRUE,FALSE))</f>
        <v>0</v>
      </c>
      <c r="AM224" s="218">
        <f t="shared" ref="AM224" si="2495">IF($AD224=AM$6,$E223,0)</f>
        <v>0</v>
      </c>
      <c r="AN224" s="218" t="b">
        <f>IF(AM224=0,FALSE,IF(COUNTIF(AM$7:AM224,AM224)&gt;1,TRUE,FALSE))</f>
        <v>0</v>
      </c>
      <c r="AO224" s="218">
        <f t="shared" ref="AO224" si="2496">IF($AD224=AO$6,$E223,0)</f>
        <v>0</v>
      </c>
      <c r="AP224" s="218" t="b">
        <f>IF(AO224=0,FALSE,IF(COUNTIF(AO$7:AO224,AO224)&gt;1,TRUE,FALSE))</f>
        <v>0</v>
      </c>
      <c r="AQ224" s="218">
        <f t="shared" ref="AQ224" si="2497">IF(COUNTIF(Y224,"*十種競技*")&gt;0,E223,0)</f>
        <v>0</v>
      </c>
      <c r="AR224" s="218" t="b">
        <f>IF(AQ224=0,FALSE,IF(OR(COUNTIF($AI$7:$AI$406,AQ224)+COUNTIF($AQ224:$AQ$406,AQ224)&gt;1,COUNTIF($AK$7:$AK$406,AQ224)+COUNTIF($AQ$7:$AQ$406,AQ224)&gt;1),TRUE,FALSE))</f>
        <v>0</v>
      </c>
      <c r="AT224" s="218" t="b">
        <f t="shared" si="2226"/>
        <v>0</v>
      </c>
      <c r="AU224" s="274"/>
      <c r="AX224" s="274"/>
      <c r="BD224" s="218" t="b">
        <f t="shared" si="2213"/>
        <v>0</v>
      </c>
      <c r="BF224" s="231" t="b">
        <f t="shared" ref="BF224" si="2498">IF(J224="",FALSE,IF(OR(AND(AU223,L224=""),AND(AU223,L224="",OR(M224&lt;&gt;"",N224&lt;&gt;"",O224&lt;&gt;"",P224&lt;&gt;""))),TRUE,FALSE))</f>
        <v>0</v>
      </c>
      <c r="BG224" s="218" t="b">
        <f t="shared" si="2215"/>
        <v>0</v>
      </c>
      <c r="BH224" s="218" t="b">
        <f t="shared" si="2228"/>
        <v>0</v>
      </c>
      <c r="BI224" s="231" t="b">
        <f t="shared" ref="BI224" si="2499">IF(J224="",FALSE,IF(L224=0,FALSE,IF(AND(AU223,NOT(BF224),OR(M224="",N224="",O224="")),TRUE,FALSE)))</f>
        <v>0</v>
      </c>
      <c r="BJ224" s="240" t="b">
        <f t="shared" si="2230"/>
        <v>0</v>
      </c>
      <c r="BK224" s="231" t="b">
        <f>IF(NOT(BJ224),FALSE,IF(AND(競技会設定!$C$5&lt;=BJ224,BJ224&lt;=競技会設定!$C$6),FALSE,TRUE))</f>
        <v>0</v>
      </c>
      <c r="BL224" s="218" t="b">
        <f>IF(J224="",FALSE,IF(L224=0,FALSE,IF(AND(AU223,NOT(BF224),NOT(BI224),P224=""),TRUE,FALSE)))</f>
        <v>0</v>
      </c>
      <c r="BO224" s="274"/>
    </row>
    <row r="225" spans="1:67" ht="17.399999999999999" customHeight="1">
      <c r="A225" s="418"/>
      <c r="B225" s="402"/>
      <c r="C225" s="404"/>
      <c r="D225" s="221"/>
      <c r="E225" s="394" t="str">
        <f>IF(C223="","",VLOOKUP(D223,男子登録!$A$2:$O$2001,14,0)&amp;" ("&amp;VLOOKUP(D223,男子登録!$A$2:$O$2001,15,0)&amp;")")</f>
        <v/>
      </c>
      <c r="F225" s="394"/>
      <c r="G225" s="222" t="str">
        <f>IF(C223="","",(VLOOKUP(D223,男子登録!$A$2:$N$2001,9,0)))</f>
        <v/>
      </c>
      <c r="H225" s="222"/>
      <c r="I225" s="222" t="s">
        <v>7063</v>
      </c>
      <c r="J225" s="150"/>
      <c r="K225" s="222" t="s">
        <v>7064</v>
      </c>
      <c r="L225" s="150"/>
      <c r="M225" s="255"/>
      <c r="N225" s="256"/>
      <c r="O225" s="257"/>
      <c r="P225" s="149"/>
      <c r="Q225" s="399"/>
      <c r="R225" s="392"/>
      <c r="S225" s="136"/>
      <c r="T225" s="137"/>
      <c r="U225" s="137"/>
      <c r="V225" s="137"/>
      <c r="W225" s="137"/>
      <c r="X225" s="137"/>
      <c r="Y225" s="218">
        <f t="shared" ref="Y225" si="2500">IF(OR(E223="",J225=""),0,J225&amp;E223)</f>
        <v>0</v>
      </c>
      <c r="Z225" s="218">
        <f>IF(Y225=0,0,COUNTIF($Y$7:Y225,Y225))</f>
        <v>0</v>
      </c>
      <c r="AD225" s="218">
        <f>IFERROR(VLOOKUP(J225,競技会設定!$P$2:$S$22,2,0),0)</f>
        <v>0</v>
      </c>
      <c r="AE225" s="218">
        <f t="shared" ref="AE225" si="2501">IF(E223="",0,IF(AD225=0,0,IF(AD225&lt;3,E223&amp;$AE$6,0)))</f>
        <v>0</v>
      </c>
      <c r="AF225" s="218">
        <f>IF(AE225=0,0,E223&amp;COUNTIF($AE$7:AE225,AE225))</f>
        <v>0</v>
      </c>
      <c r="AG225" s="218">
        <f t="shared" ref="AG225" si="2502">IF(E223="",0,IF(AD225=0,0,IF(AD225&gt;=3,E223&amp;$AG$6,0)))</f>
        <v>0</v>
      </c>
      <c r="AH225" s="218">
        <f>IF(AG225=0,0,E223&amp;COUNTIF($AG$7:AG225,AG225))</f>
        <v>0</v>
      </c>
      <c r="AI225" s="218">
        <f t="shared" ref="AI225" si="2503">IF(COUNTIF(Y225,"*十種*")&gt;0,0,IF($AD225=AI$6,$E223,0))</f>
        <v>0</v>
      </c>
      <c r="AJ225" s="218" t="b">
        <f>IF(AI225=0,FALSE,IF(COUNTIF(AI$7:AI225,AI225)&gt;1,TRUE,FALSE))</f>
        <v>0</v>
      </c>
      <c r="AK225" s="218">
        <f t="shared" ref="AK225" si="2504">IF($AD225=AK$6,$E223,0)</f>
        <v>0</v>
      </c>
      <c r="AL225" s="218" t="b">
        <f>IF(AK225=0,FALSE,IF(COUNTIF(AK$7:AK225,AK225)&gt;1,TRUE,FALSE))</f>
        <v>0</v>
      </c>
      <c r="AM225" s="218">
        <f t="shared" ref="AM225" si="2505">IF($AD225=AM$6,$E223,0)</f>
        <v>0</v>
      </c>
      <c r="AN225" s="218" t="b">
        <f>IF(AM225=0,FALSE,IF(COUNTIF(AM$7:AM225,AM225)&gt;1,TRUE,FALSE))</f>
        <v>0</v>
      </c>
      <c r="AO225" s="218">
        <f t="shared" ref="AO225" si="2506">IF($AD225=AO$6,$E223,0)</f>
        <v>0</v>
      </c>
      <c r="AP225" s="218" t="b">
        <f>IF(AO225=0,FALSE,IF(COUNTIF(AO$7:AO225,AO225)&gt;1,TRUE,FALSE))</f>
        <v>0</v>
      </c>
      <c r="AQ225" s="218">
        <f t="shared" ref="AQ225" si="2507">IF(COUNTIF(Y225,"*十種競技*")&gt;0,E223,0)</f>
        <v>0</v>
      </c>
      <c r="AR225" s="218" t="b">
        <f>IF(AQ225=0,FALSE,IF(OR(COUNTIF($AI$7:$AI$406,AQ225)+COUNTIF($AQ225:$AQ$406,AQ225)&gt;1,COUNTIF($AK$7:$AK$406,AQ225)+COUNTIF($AQ$7:$AQ$406,AQ225)&gt;1),TRUE,FALSE))</f>
        <v>0</v>
      </c>
      <c r="AT225" s="218" t="b">
        <f t="shared" si="2226"/>
        <v>0</v>
      </c>
      <c r="AU225" s="274"/>
      <c r="AX225" s="274"/>
      <c r="BD225" s="218" t="b">
        <f t="shared" si="2213"/>
        <v>0</v>
      </c>
      <c r="BF225" s="231" t="b">
        <f t="shared" ref="BF225" si="2508">IF(J225="",FALSE,IF(OR(AND(AU223,L225=""),AND(AU223,L225="",OR(M225&lt;&gt;"",N225&lt;&gt;"",O225&lt;&gt;"",P225&lt;&gt;""))),TRUE,FALSE))</f>
        <v>0</v>
      </c>
      <c r="BG225" s="218" t="b">
        <f t="shared" si="2215"/>
        <v>0</v>
      </c>
      <c r="BH225" s="218" t="b">
        <f t="shared" si="2228"/>
        <v>0</v>
      </c>
      <c r="BI225" s="231" t="b">
        <f t="shared" ref="BI225" si="2509">IF(J225="",FALSE,IF(L225=0,FALSE,IF(AND(AU223,NOT(BF225),OR(M225="",N225="",O225="")),TRUE,FALSE)))</f>
        <v>0</v>
      </c>
      <c r="BJ225" s="240" t="b">
        <f t="shared" si="2230"/>
        <v>0</v>
      </c>
      <c r="BK225" s="231" t="b">
        <f>IF(NOT(BJ225),FALSE,IF(AND(競技会設定!$C$5&lt;=BJ225,BJ225&lt;=競技会設定!$C$6),FALSE,TRUE))</f>
        <v>0</v>
      </c>
      <c r="BL225" s="218" t="b">
        <f>IF(J225="",FALSE,IF(L225=0,FALSE,IF(AND(AU223,NOT(BF225),NOT(BI225),P225=""),TRUE,FALSE)))</f>
        <v>0</v>
      </c>
      <c r="BO225" s="274"/>
    </row>
    <row r="226" spans="1:67" ht="18" customHeight="1" thickBot="1">
      <c r="A226" s="419"/>
      <c r="B226" s="395" t="s">
        <v>7051</v>
      </c>
      <c r="C226" s="395"/>
      <c r="D226" s="221"/>
      <c r="E226" s="372"/>
      <c r="F226" s="372"/>
      <c r="G226" s="372"/>
      <c r="H226" s="214"/>
      <c r="I226" s="214" t="s">
        <v>7065</v>
      </c>
      <c r="J226" s="219"/>
      <c r="K226" s="214" t="s">
        <v>7066</v>
      </c>
      <c r="L226" s="219"/>
      <c r="M226" s="258"/>
      <c r="N226" s="259"/>
      <c r="O226" s="260"/>
      <c r="P226" s="219"/>
      <c r="Q226" s="400"/>
      <c r="R226" s="393"/>
      <c r="S226" s="136"/>
      <c r="T226" s="137"/>
      <c r="U226" s="137"/>
      <c r="V226" s="137"/>
      <c r="W226" s="137"/>
      <c r="X226" s="137"/>
      <c r="Y226" s="218">
        <f t="shared" ref="Y226" si="2510">IF(OR(E223="",J226=""),0,J226&amp;E223)</f>
        <v>0</v>
      </c>
      <c r="Z226" s="218">
        <f>IF(Y226=0,0,COUNTIF($Y$7:Y226,Y226))</f>
        <v>0</v>
      </c>
      <c r="AD226" s="218">
        <f>IFERROR(VLOOKUP(J226,競技会設定!$P$2:$S$22,2,0),0)</f>
        <v>0</v>
      </c>
      <c r="AE226" s="218">
        <f t="shared" ref="AE226" si="2511">IF(E223="",0,IF(AD226=0,0,IF(AD226&lt;3,E223&amp;$AE$6,0)))</f>
        <v>0</v>
      </c>
      <c r="AF226" s="218">
        <f>IF(AE226=0,0,E223&amp;COUNTIF($AE$7:AE226,AE226))</f>
        <v>0</v>
      </c>
      <c r="AG226" s="218">
        <f t="shared" ref="AG226" si="2512">IF(E223="",0,IF(AD226=0,0,IF(AD226&gt;=3,E223&amp;$AG$6,0)))</f>
        <v>0</v>
      </c>
      <c r="AH226" s="218">
        <f>IF(AG226=0,0,E223&amp;COUNTIF($AG$7:AG226,AG226))</f>
        <v>0</v>
      </c>
      <c r="AI226" s="218">
        <f t="shared" ref="AI226" si="2513">IF(COUNTIF(Y226,"*十種*")&gt;0,0,IF($AD226=AI$6,$E223,0))</f>
        <v>0</v>
      </c>
      <c r="AJ226" s="218" t="b">
        <f>IF(AI226=0,FALSE,IF(COUNTIF(AI$7:AI226,AI226)&gt;1,TRUE,FALSE))</f>
        <v>0</v>
      </c>
      <c r="AK226" s="218">
        <f t="shared" ref="AK226" si="2514">IF($AD226=AK$6,$E223,0)</f>
        <v>0</v>
      </c>
      <c r="AL226" s="218" t="b">
        <f>IF(AK226=0,FALSE,IF(COUNTIF(AK$7:AK226,AK226)&gt;1,TRUE,FALSE))</f>
        <v>0</v>
      </c>
      <c r="AM226" s="218">
        <f t="shared" ref="AM226" si="2515">IF($AD226=AM$6,$E223,0)</f>
        <v>0</v>
      </c>
      <c r="AN226" s="218" t="b">
        <f>IF(AM226=0,FALSE,IF(COUNTIF(AM$7:AM226,AM226)&gt;1,TRUE,FALSE))</f>
        <v>0</v>
      </c>
      <c r="AO226" s="218">
        <f t="shared" ref="AO226" si="2516">IF($AD226=AO$6,$E223,0)</f>
        <v>0</v>
      </c>
      <c r="AP226" s="218" t="b">
        <f>IF(AO226=0,FALSE,IF(COUNTIF(AO$7:AO226,AO226)&gt;1,TRUE,FALSE))</f>
        <v>0</v>
      </c>
      <c r="AQ226" s="218">
        <f t="shared" ref="AQ226" si="2517">IF(COUNTIF(Y226,"*十種競技*")&gt;0,E223,0)</f>
        <v>0</v>
      </c>
      <c r="AR226" s="218" t="b">
        <f>IF(AQ226=0,FALSE,IF(OR(COUNTIF($AI$7:$AI$406,AQ226)+COUNTIF($AQ226:$AQ$406,AQ226)&gt;1,COUNTIF($AK$7:$AK$406,AQ226)+COUNTIF($AQ$7:$AQ$406,AQ226)&gt;1),TRUE,FALSE))</f>
        <v>0</v>
      </c>
      <c r="AT226" s="218" t="b">
        <f t="shared" si="2226"/>
        <v>0</v>
      </c>
      <c r="AU226" s="274"/>
      <c r="AX226" s="274"/>
      <c r="BD226" s="218" t="b">
        <f t="shared" si="2213"/>
        <v>0</v>
      </c>
      <c r="BF226" s="231" t="b">
        <f t="shared" ref="BF226" si="2518">IF(J226="",FALSE,IF(OR(AND(AU223,L226=""),AND(AU223,L226="",OR(M226&lt;&gt;"",N226&lt;&gt;"",O226&lt;&gt;"",P226&lt;&gt;""))),TRUE,FALSE))</f>
        <v>0</v>
      </c>
      <c r="BG226" s="218" t="b">
        <f t="shared" si="2215"/>
        <v>0</v>
      </c>
      <c r="BH226" s="218" t="b">
        <f t="shared" si="2228"/>
        <v>0</v>
      </c>
      <c r="BI226" s="231" t="b">
        <f t="shared" ref="BI226" si="2519">IF(J226="",FALSE,IF(L226=0,FALSE,IF(AND(AU223,NOT(BF226),OR(M226="",N226="",O226="")),TRUE,FALSE)))</f>
        <v>0</v>
      </c>
      <c r="BJ226" s="240" t="b">
        <f t="shared" si="2230"/>
        <v>0</v>
      </c>
      <c r="BK226" s="231" t="b">
        <f>IF(NOT(BJ226),FALSE,IF(AND(競技会設定!$C$5&lt;=BJ226,BJ226&lt;=競技会設定!$C$6),FALSE,TRUE))</f>
        <v>0</v>
      </c>
      <c r="BL226" s="218" t="b">
        <f>IF(J226="",FALSE,IF(L226=0,FALSE,IF(AND(AU223,NOT(BF226),NOT(BI226),P226=""),TRUE,FALSE)))</f>
        <v>0</v>
      </c>
      <c r="BO226" s="274"/>
    </row>
    <row r="227" spans="1:67" ht="18" customHeight="1" thickTop="1">
      <c r="A227" s="420">
        <v>56</v>
      </c>
      <c r="B227" s="373" t="s">
        <v>7050</v>
      </c>
      <c r="C227" s="375"/>
      <c r="D227" s="138" t="str">
        <f t="shared" ref="D227" si="2520">IF(C227="","",501&amp;TEXT(C227,"000000"))</f>
        <v/>
      </c>
      <c r="E227" s="377" t="str">
        <f>IF(D227="","",(VLOOKUP(D227,男子登録!$A$2:$N$2001,3,0)))</f>
        <v/>
      </c>
      <c r="F227" s="377" t="str">
        <f>IF(D227="","",(VLOOKUP(D227,男子登録!$A$2:$N$2001,4,0)))</f>
        <v/>
      </c>
      <c r="G227" s="138" t="str">
        <f>IF(C227="","",(VLOOKUP(D227,男子登録!$A$2:$N$2001,8,0)))</f>
        <v/>
      </c>
      <c r="H227" s="138">
        <f>IFERROR(VLOOKUP(D227,男子登録!$A$2:$N$2001,11,0),基本情報!$E$5)</f>
        <v>0</v>
      </c>
      <c r="I227" s="138" t="s">
        <v>7059</v>
      </c>
      <c r="J227" s="151"/>
      <c r="K227" s="138" t="s">
        <v>7060</v>
      </c>
      <c r="L227" s="151"/>
      <c r="M227" s="261"/>
      <c r="N227" s="262"/>
      <c r="O227" s="263"/>
      <c r="P227" s="151"/>
      <c r="Q227" s="381"/>
      <c r="R227" s="384"/>
      <c r="S227" s="136">
        <f t="shared" ref="S227" si="2521">IF(OR(E227="",Q227=""),0,E227)</f>
        <v>0</v>
      </c>
      <c r="T227" s="137">
        <f>IF(S227=0,0,COUNTIF($S$7:S227,"*"))</f>
        <v>0</v>
      </c>
      <c r="U227" s="137">
        <f>IF(S227=0,0,COUNTIF($S$7:S227,S227))</f>
        <v>0</v>
      </c>
      <c r="V227" s="137">
        <f t="shared" si="2429"/>
        <v>0</v>
      </c>
      <c r="W227" s="137">
        <f>IF(V227=0,0,COUNTIF($V$7:V227,"*"))</f>
        <v>0</v>
      </c>
      <c r="X227" s="137">
        <f>IF(V227=0,0,COUNTIF($V$7:V227,V227))</f>
        <v>0</v>
      </c>
      <c r="Y227" s="218">
        <f t="shared" ref="Y227" si="2522">IF(OR(E227="",J227=""),0,J227&amp;E227)</f>
        <v>0</v>
      </c>
      <c r="Z227" s="218">
        <f>IF(Y227=0,0,COUNTIF($Y$7:Y227,Y227))</f>
        <v>0</v>
      </c>
      <c r="AA227" s="218" t="b">
        <f t="shared" ref="AA227" si="2523">IF(COUNTIF(J227:J230,"十種競技")&gt;0,TRUE,FALSE)</f>
        <v>0</v>
      </c>
      <c r="AB227" s="218">
        <f>IF(E227="",0,IF(AA227,COUNTIF($AA$7:AA227,TRUE),0))</f>
        <v>0</v>
      </c>
      <c r="AC227" s="218">
        <f>IFERROR(VLOOKUP("十種競技",J227:L230,3,0),0)</f>
        <v>0</v>
      </c>
      <c r="AD227" s="218">
        <f>IFERROR(VLOOKUP(J227,競技会設定!$P$2:$S$22,2,0),0)</f>
        <v>0</v>
      </c>
      <c r="AE227" s="218">
        <f t="shared" ref="AE227" si="2524">IF(E227="",0,IF(AD227=0,0,IF(AD227&lt;3,E227&amp;$AE$6,0)))</f>
        <v>0</v>
      </c>
      <c r="AF227" s="218">
        <f>IF(AE227=0,0,E227&amp;COUNTIF($AE$7:AE227,AE227))</f>
        <v>0</v>
      </c>
      <c r="AG227" s="218">
        <f t="shared" ref="AG227" si="2525">IF(E227="",0,IF(AD227=0,0,IF(AD227&gt;=3,E227&amp;$AG$6,0)))</f>
        <v>0</v>
      </c>
      <c r="AH227" s="218">
        <f>IF(AG227=0,0,E227&amp;COUNTIF($AG$7:AG227,AG227))</f>
        <v>0</v>
      </c>
      <c r="AI227" s="218">
        <f t="shared" si="1964"/>
        <v>0</v>
      </c>
      <c r="AJ227" s="218" t="b">
        <f>IF(AI227=0,FALSE,IF(COUNTIF(AI$7:AI227,AI227)&gt;1,TRUE,FALSE))</f>
        <v>0</v>
      </c>
      <c r="AK227" s="218">
        <f t="shared" ref="AK227" si="2526">IF($AD227=AK$6,$E227,0)</f>
        <v>0</v>
      </c>
      <c r="AL227" s="218" t="b">
        <f>IF(AK227=0,FALSE,IF(COUNTIF(AK$7:AK227,AK227)&gt;1,TRUE,FALSE))</f>
        <v>0</v>
      </c>
      <c r="AM227" s="218">
        <f t="shared" ref="AM227" si="2527">IF($AD227=AM$6,$E227,0)</f>
        <v>0</v>
      </c>
      <c r="AN227" s="218" t="b">
        <f>IF(AM227=0,FALSE,IF(COUNTIF(AM$7:AM227,AM227)&gt;1,TRUE,FALSE))</f>
        <v>0</v>
      </c>
      <c r="AO227" s="218">
        <f t="shared" ref="AO227" si="2528">IF($AD227=AO$6,$E227,0)</f>
        <v>0</v>
      </c>
      <c r="AP227" s="218" t="b">
        <f>IF(AO227=0,FALSE,IF(COUNTIF(AO$7:AO227,AO227)&gt;1,TRUE,FALSE))</f>
        <v>0</v>
      </c>
      <c r="AQ227" s="218">
        <f t="shared" ref="AQ227" si="2529">IF(COUNTIF(Y227,"*十種競技*")&gt;0,E227,0)</f>
        <v>0</v>
      </c>
      <c r="AR227" s="218" t="b">
        <f>IF(AQ227=0,FALSE,IF(OR(COUNTIF($AI$7:$AI$406,AQ227)+COUNTIF($AQ227:$AQ$406,AQ227)&gt;1,COUNTIF($AK$7:$AK$406,AQ227)+COUNTIF($AQ$7:$AQ$406,AQ227)&gt;1),TRUE,FALSE))</f>
        <v>0</v>
      </c>
      <c r="AS227" s="218" t="b">
        <f t="shared" ref="AS227" si="2530">IF(AND(C227="",E227&lt;&gt;"",F227&lt;&gt;"",E229&lt;&gt;"",G227&lt;&gt;"",G228&lt;&gt;"",G229&lt;&gt;""),TRUE,FALSE)</f>
        <v>0</v>
      </c>
      <c r="AT227" s="218" t="b">
        <f t="shared" si="2226"/>
        <v>0</v>
      </c>
      <c r="AU227" s="274" t="b">
        <f t="shared" ref="AU227" si="2531">IFERROR(IF(D227&amp;E227&amp;F227&amp;E229&amp;G227&amp;G228&amp;G229&amp;J227&amp;J228&amp;J229&amp;J230&amp;L227&amp;L228&amp;L229&amp;L230&amp;M227&amp;M228&amp;M229&amp;M230&amp;N227&amp;N228&amp;N229&amp;N230&amp;O227&amp;O228&amp;O229&amp;O230&amp;P227&amp;P228&amp;P229&amp;P230&amp;Q227&amp;R227="",FALSE,TRUE),FALSE)</f>
        <v>0</v>
      </c>
      <c r="AV227" s="218" t="b">
        <f t="shared" ref="AV227" si="2532">IF(AS227,FALSE,IF(C227="",AU227,FALSE))</f>
        <v>0</v>
      </c>
      <c r="AW227" s="218" t="b">
        <f>IF(C227="",FALSE,IF(C227&gt;2000,TRUE,FALSE))</f>
        <v>0</v>
      </c>
      <c r="AX227" s="274" t="b">
        <f>IF(H227=0,FALSE,IF(EXACT(基本情報!$E$5,H227)=TRUE,FALSE,TRUE))</f>
        <v>0</v>
      </c>
      <c r="AY227" s="218" t="b">
        <f>IF(C227="",FALSE,IF(ISNA(E227)=TRUE,TRUE,FALSE))</f>
        <v>0</v>
      </c>
      <c r="AZ227" s="274" t="b">
        <f>IFERROR(IF(E227="",FALSE,IF(COUNTIF($E$7:E227,E227)&gt;1,TRUE,FALSE)),FALSE)</f>
        <v>0</v>
      </c>
      <c r="BA227" s="218" t="b">
        <f t="shared" ref="BA227" si="2533">IF(OR(J227&amp;J228&amp;J229&amp;J230&amp;Q227&amp;R227="",AT227,AT228,AT229,AT230),AU227,FALSE)</f>
        <v>0</v>
      </c>
      <c r="BB227" s="218" t="b">
        <f>IF(U227&gt;1,TRUE,FALSE)</f>
        <v>0</v>
      </c>
      <c r="BC227" s="218" t="b">
        <f>IF(X227&gt;1,TRUE,FALSE)</f>
        <v>0</v>
      </c>
      <c r="BD227" s="218" t="b">
        <f t="shared" si="2213"/>
        <v>0</v>
      </c>
      <c r="BF227" s="231" t="b">
        <f t="shared" ref="BF227" si="2534">IF(J227="",FALSE,IF(OR(AND(AU227,L227=""),AND(AU227,L227="",OR(M227&lt;&gt;"",N227&lt;&gt;"",O227&lt;&gt;"",P227&lt;&gt;""))),TRUE,FALSE))</f>
        <v>0</v>
      </c>
      <c r="BG227" s="218" t="b">
        <f t="shared" si="2215"/>
        <v>0</v>
      </c>
      <c r="BH227" s="218" t="b">
        <f t="shared" si="2228"/>
        <v>0</v>
      </c>
      <c r="BI227" s="231" t="b">
        <f t="shared" ref="BI227" si="2535">IF(J227="",FALSE,IF(L227=0,FALSE,IF(AND(AU227,NOT(BF227),OR(M227="",N227="",O227="")),TRUE,FALSE)))</f>
        <v>0</v>
      </c>
      <c r="BJ227" s="240" t="b">
        <f t="shared" si="2230"/>
        <v>0</v>
      </c>
      <c r="BK227" s="231" t="b">
        <f>IF(NOT(BJ227),FALSE,IF(AND(競技会設定!$C$5&lt;=BJ227,BJ227&lt;=競技会設定!$C$6),FALSE,TRUE))</f>
        <v>0</v>
      </c>
      <c r="BL227" s="218" t="b">
        <f>IF(J227="",FALSE,IF(L227=0,FALSE,IF(AND(AU227,NOT(BF227),NOT(BI227),P227=""),TRUE,FALSE)))</f>
        <v>0</v>
      </c>
      <c r="BO227" s="274">
        <f t="shared" ref="BO227" si="2536">IF(AND(AU227,SUM(COUNTIF(AV227:BC227,TRUE),COUNTIF(BF227:BL230,TRUE),COUNTIF(BD227:BD230,TRUE))=0,NOT($BE$7)),1,0)</f>
        <v>0</v>
      </c>
    </row>
    <row r="228" spans="1:67" ht="17.399999999999999" customHeight="1">
      <c r="A228" s="421"/>
      <c r="B228" s="374"/>
      <c r="C228" s="376"/>
      <c r="D228" s="139"/>
      <c r="E228" s="378"/>
      <c r="F228" s="378"/>
      <c r="G228" s="139" t="str">
        <f>IF(C227="","",(VLOOKUP(D227,男子登録!$A$2:$N$2001,13,0)))</f>
        <v/>
      </c>
      <c r="H228" s="139"/>
      <c r="I228" s="139" t="s">
        <v>7061</v>
      </c>
      <c r="J228" s="152"/>
      <c r="K228" s="139" t="s">
        <v>7062</v>
      </c>
      <c r="L228" s="152"/>
      <c r="M228" s="264"/>
      <c r="N228" s="265"/>
      <c r="O228" s="266"/>
      <c r="P228" s="152"/>
      <c r="Q228" s="382"/>
      <c r="R228" s="385"/>
      <c r="S228" s="136"/>
      <c r="T228" s="137"/>
      <c r="U228" s="137"/>
      <c r="V228" s="137"/>
      <c r="W228" s="137"/>
      <c r="X228" s="137"/>
      <c r="Y228" s="218">
        <f t="shared" ref="Y228" si="2537">IF(OR(E227="",J228=""),0,J228&amp;E227)</f>
        <v>0</v>
      </c>
      <c r="Z228" s="218">
        <f>IF(Y228=0,0,COUNTIF($Y$7:Y228,Y228))</f>
        <v>0</v>
      </c>
      <c r="AD228" s="218">
        <f>IFERROR(VLOOKUP(J228,競技会設定!$P$2:$S$22,2,0),0)</f>
        <v>0</v>
      </c>
      <c r="AE228" s="218">
        <f t="shared" ref="AE228" si="2538">IF(E227="",0,IF(AD228=0,0,IF(AD228&lt;3,E227&amp;$AE$6,0)))</f>
        <v>0</v>
      </c>
      <c r="AF228" s="218">
        <f>IF(AE228=0,0,E227&amp;COUNTIF($AE$7:AE228,AE228))</f>
        <v>0</v>
      </c>
      <c r="AG228" s="218">
        <f t="shared" ref="AG228" si="2539">IF(E227="",0,IF(AD228=0,0,IF(AD228&gt;=3,E227&amp;$AG$6,0)))</f>
        <v>0</v>
      </c>
      <c r="AH228" s="218">
        <f>IF(AG228=0,0,E227&amp;COUNTIF($AG$7:AG228,AG228))</f>
        <v>0</v>
      </c>
      <c r="AI228" s="218">
        <f t="shared" si="1979"/>
        <v>0</v>
      </c>
      <c r="AJ228" s="218" t="b">
        <f>IF(AI228=0,FALSE,IF(COUNTIF(AI$7:AI228,AI228)&gt;1,TRUE,FALSE))</f>
        <v>0</v>
      </c>
      <c r="AK228" s="218">
        <f t="shared" ref="AK228" si="2540">IF($AD228=AK$6,$E227,0)</f>
        <v>0</v>
      </c>
      <c r="AL228" s="218" t="b">
        <f>IF(AK228=0,FALSE,IF(COUNTIF(AK$7:AK228,AK228)&gt;1,TRUE,FALSE))</f>
        <v>0</v>
      </c>
      <c r="AM228" s="218">
        <f t="shared" ref="AM228" si="2541">IF($AD228=AM$6,$E227,0)</f>
        <v>0</v>
      </c>
      <c r="AN228" s="218" t="b">
        <f>IF(AM228=0,FALSE,IF(COUNTIF(AM$7:AM228,AM228)&gt;1,TRUE,FALSE))</f>
        <v>0</v>
      </c>
      <c r="AO228" s="218">
        <f t="shared" ref="AO228" si="2542">IF($AD228=AO$6,$E227,0)</f>
        <v>0</v>
      </c>
      <c r="AP228" s="218" t="b">
        <f>IF(AO228=0,FALSE,IF(COUNTIF(AO$7:AO228,AO228)&gt;1,TRUE,FALSE))</f>
        <v>0</v>
      </c>
      <c r="AQ228" s="218">
        <f t="shared" ref="AQ228" si="2543">IF(COUNTIF(Y228,"*十種競技*")&gt;0,E227,0)</f>
        <v>0</v>
      </c>
      <c r="AR228" s="218" t="b">
        <f>IF(AQ228=0,FALSE,IF(OR(COUNTIF($AI$7:$AI$406,AQ228)+COUNTIF($AQ228:$AQ$406,AQ228)&gt;1,COUNTIF($AK$7:$AK$406,AQ228)+COUNTIF($AQ$7:$AQ$406,AQ228)&gt;1),TRUE,FALSE))</f>
        <v>0</v>
      </c>
      <c r="AT228" s="218" t="b">
        <f t="shared" si="2226"/>
        <v>0</v>
      </c>
      <c r="AU228" s="274"/>
      <c r="AX228" s="274"/>
      <c r="BD228" s="218" t="b">
        <f t="shared" si="2213"/>
        <v>0</v>
      </c>
      <c r="BF228" s="231" t="b">
        <f t="shared" ref="BF228" si="2544">IF(J228="",FALSE,IF(OR(AND(AU227,L228=""),AND(AU227,L228="",OR(M228&lt;&gt;"",N228&lt;&gt;"",O228&lt;&gt;"",P228&lt;&gt;""))),TRUE,FALSE))</f>
        <v>0</v>
      </c>
      <c r="BG228" s="218" t="b">
        <f t="shared" si="2215"/>
        <v>0</v>
      </c>
      <c r="BH228" s="218" t="b">
        <f t="shared" si="2228"/>
        <v>0</v>
      </c>
      <c r="BI228" s="231" t="b">
        <f t="shared" ref="BI228" si="2545">IF(J228="",FALSE,IF(L228=0,FALSE,IF(AND(AU227,NOT(BF228),OR(M228="",N228="",O228="")),TRUE,FALSE)))</f>
        <v>0</v>
      </c>
      <c r="BJ228" s="240" t="b">
        <f t="shared" si="2230"/>
        <v>0</v>
      </c>
      <c r="BK228" s="231" t="b">
        <f>IF(NOT(BJ228),FALSE,IF(AND(競技会設定!$C$5&lt;=BJ228,BJ228&lt;=競技会設定!$C$6),FALSE,TRUE))</f>
        <v>0</v>
      </c>
      <c r="BL228" s="218" t="b">
        <f>IF(J228="",FALSE,IF(L228=0,FALSE,IF(AND(AU227,NOT(BF228),NOT(BI228),P228=""),TRUE,FALSE)))</f>
        <v>0</v>
      </c>
      <c r="BO228" s="274"/>
    </row>
    <row r="229" spans="1:67" ht="17.399999999999999" customHeight="1">
      <c r="A229" s="421"/>
      <c r="B229" s="374"/>
      <c r="C229" s="376"/>
      <c r="D229" s="140"/>
      <c r="E229" s="379" t="str">
        <f>IF(C227="","",VLOOKUP(D227,男子登録!$A$2:$O$2001,14,0)&amp;" ("&amp;VLOOKUP(D227,男子登録!$A$2:$O$2001,15,0)&amp;")")</f>
        <v/>
      </c>
      <c r="F229" s="380"/>
      <c r="G229" s="140" t="str">
        <f>IF(C227="","",(VLOOKUP(D227,男子登録!$A$2:$N$2001,9,0)))</f>
        <v/>
      </c>
      <c r="H229" s="140"/>
      <c r="I229" s="140" t="s">
        <v>7063</v>
      </c>
      <c r="J229" s="153"/>
      <c r="K229" s="140" t="s">
        <v>7064</v>
      </c>
      <c r="L229" s="153"/>
      <c r="M229" s="264"/>
      <c r="N229" s="265"/>
      <c r="O229" s="266"/>
      <c r="P229" s="152"/>
      <c r="Q229" s="382"/>
      <c r="R229" s="385"/>
      <c r="S229" s="136"/>
      <c r="T229" s="137"/>
      <c r="U229" s="137"/>
      <c r="V229" s="137"/>
      <c r="W229" s="137"/>
      <c r="X229" s="137"/>
      <c r="Y229" s="218">
        <f t="shared" ref="Y229" si="2546">IF(OR(E227="",J229=""),0,J229&amp;E227)</f>
        <v>0</v>
      </c>
      <c r="Z229" s="218">
        <f>IF(Y229=0,0,COUNTIF($Y$7:Y229,Y229))</f>
        <v>0</v>
      </c>
      <c r="AD229" s="218">
        <f>IFERROR(VLOOKUP(J229,競技会設定!$P$2:$S$22,2,0),0)</f>
        <v>0</v>
      </c>
      <c r="AE229" s="218">
        <f t="shared" ref="AE229" si="2547">IF(E227="",0,IF(AD229=0,0,IF(AD229&lt;3,E227&amp;$AE$6,0)))</f>
        <v>0</v>
      </c>
      <c r="AF229" s="218">
        <f>IF(AE229=0,0,E227&amp;COUNTIF($AE$7:AE229,AE229))</f>
        <v>0</v>
      </c>
      <c r="AG229" s="218">
        <f t="shared" ref="AG229" si="2548">IF(E227="",0,IF(AD229=0,0,IF(AD229&gt;=3,E227&amp;$AG$6,0)))</f>
        <v>0</v>
      </c>
      <c r="AH229" s="218">
        <f>IF(AG229=0,0,E227&amp;COUNTIF($AG$7:AG229,AG229))</f>
        <v>0</v>
      </c>
      <c r="AI229" s="218">
        <f t="shared" si="1989"/>
        <v>0</v>
      </c>
      <c r="AJ229" s="218" t="b">
        <f>IF(AI229=0,FALSE,IF(COUNTIF(AI$7:AI229,AI229)&gt;1,TRUE,FALSE))</f>
        <v>0</v>
      </c>
      <c r="AK229" s="218">
        <f t="shared" ref="AK229" si="2549">IF($AD229=AK$6,$E227,0)</f>
        <v>0</v>
      </c>
      <c r="AL229" s="218" t="b">
        <f>IF(AK229=0,FALSE,IF(COUNTIF(AK$7:AK229,AK229)&gt;1,TRUE,FALSE))</f>
        <v>0</v>
      </c>
      <c r="AM229" s="218">
        <f t="shared" ref="AM229" si="2550">IF($AD229=AM$6,$E227,0)</f>
        <v>0</v>
      </c>
      <c r="AN229" s="218" t="b">
        <f>IF(AM229=0,FALSE,IF(COUNTIF(AM$7:AM229,AM229)&gt;1,TRUE,FALSE))</f>
        <v>0</v>
      </c>
      <c r="AO229" s="218">
        <f t="shared" ref="AO229" si="2551">IF($AD229=AO$6,$E227,0)</f>
        <v>0</v>
      </c>
      <c r="AP229" s="218" t="b">
        <f>IF(AO229=0,FALSE,IF(COUNTIF(AO$7:AO229,AO229)&gt;1,TRUE,FALSE))</f>
        <v>0</v>
      </c>
      <c r="AQ229" s="218">
        <f t="shared" ref="AQ229" si="2552">IF(COUNTIF(Y229,"*十種競技*")&gt;0,E227,0)</f>
        <v>0</v>
      </c>
      <c r="AR229" s="218" t="b">
        <f>IF(AQ229=0,FALSE,IF(OR(COUNTIF($AI$7:$AI$406,AQ229)+COUNTIF($AQ229:$AQ$406,AQ229)&gt;1,COUNTIF($AK$7:$AK$406,AQ229)+COUNTIF($AQ$7:$AQ$406,AQ229)&gt;1),TRUE,FALSE))</f>
        <v>0</v>
      </c>
      <c r="AT229" s="218" t="b">
        <f t="shared" si="2226"/>
        <v>0</v>
      </c>
      <c r="AU229" s="274"/>
      <c r="AX229" s="274"/>
      <c r="BD229" s="218" t="b">
        <f t="shared" si="2213"/>
        <v>0</v>
      </c>
      <c r="BF229" s="231" t="b">
        <f t="shared" ref="BF229" si="2553">IF(J229="",FALSE,IF(OR(AND(AU227,L229=""),AND(AU227,L229="",OR(M229&lt;&gt;"",N229&lt;&gt;"",O229&lt;&gt;"",P229&lt;&gt;""))),TRUE,FALSE))</f>
        <v>0</v>
      </c>
      <c r="BG229" s="218" t="b">
        <f t="shared" si="2215"/>
        <v>0</v>
      </c>
      <c r="BH229" s="218" t="b">
        <f t="shared" si="2228"/>
        <v>0</v>
      </c>
      <c r="BI229" s="231" t="b">
        <f t="shared" ref="BI229" si="2554">IF(J229="",FALSE,IF(L229=0,FALSE,IF(AND(AU227,NOT(BF229),OR(M229="",N229="",O229="")),TRUE,FALSE)))</f>
        <v>0</v>
      </c>
      <c r="BJ229" s="240" t="b">
        <f t="shared" si="2230"/>
        <v>0</v>
      </c>
      <c r="BK229" s="231" t="b">
        <f>IF(NOT(BJ229),FALSE,IF(AND(競技会設定!$C$5&lt;=BJ229,BJ229&lt;=競技会設定!$C$6),FALSE,TRUE))</f>
        <v>0</v>
      </c>
      <c r="BL229" s="218" t="b">
        <f>IF(J229="",FALSE,IF(L229=0,FALSE,IF(AND(AU227,NOT(BF229),NOT(BI229),P229=""),TRUE,FALSE)))</f>
        <v>0</v>
      </c>
      <c r="BO229" s="274"/>
    </row>
    <row r="230" spans="1:67" ht="18" customHeight="1" thickBot="1">
      <c r="A230" s="422"/>
      <c r="B230" s="387" t="s">
        <v>7051</v>
      </c>
      <c r="C230" s="387"/>
      <c r="D230" s="213"/>
      <c r="E230" s="388"/>
      <c r="F230" s="389"/>
      <c r="G230" s="390"/>
      <c r="H230" s="141"/>
      <c r="I230" s="213" t="s">
        <v>7065</v>
      </c>
      <c r="J230" s="154"/>
      <c r="K230" s="213" t="s">
        <v>7066</v>
      </c>
      <c r="L230" s="154"/>
      <c r="M230" s="267"/>
      <c r="N230" s="268"/>
      <c r="O230" s="269"/>
      <c r="P230" s="154"/>
      <c r="Q230" s="383"/>
      <c r="R230" s="386"/>
      <c r="S230" s="136"/>
      <c r="T230" s="137"/>
      <c r="U230" s="137"/>
      <c r="V230" s="137"/>
      <c r="W230" s="137"/>
      <c r="X230" s="137"/>
      <c r="Y230" s="218">
        <f t="shared" ref="Y230" si="2555">IF(OR(E227="",J230=""),0,J230&amp;E227)</f>
        <v>0</v>
      </c>
      <c r="Z230" s="218">
        <f>IF(Y230=0,0,COUNTIF($Y$7:Y230,Y230))</f>
        <v>0</v>
      </c>
      <c r="AD230" s="218">
        <f>IFERROR(VLOOKUP(J230,競技会設定!$P$2:$S$22,2,0),0)</f>
        <v>0</v>
      </c>
      <c r="AE230" s="218">
        <f t="shared" ref="AE230" si="2556">IF(E227="",0,IF(AD230=0,0,IF(AD230&lt;3,E227&amp;$AE$6,0)))</f>
        <v>0</v>
      </c>
      <c r="AF230" s="218">
        <f>IF(AE230=0,0,E227&amp;COUNTIF($AE$7:AE230,AE230))</f>
        <v>0</v>
      </c>
      <c r="AG230" s="218">
        <f t="shared" ref="AG230" si="2557">IF(E227="",0,IF(AD230=0,0,IF(AD230&gt;=3,E227&amp;$AG$6,0)))</f>
        <v>0</v>
      </c>
      <c r="AH230" s="218">
        <f>IF(AG230=0,0,E227&amp;COUNTIF($AG$7:AG230,AG230))</f>
        <v>0</v>
      </c>
      <c r="AI230" s="218">
        <f t="shared" si="1999"/>
        <v>0</v>
      </c>
      <c r="AJ230" s="218" t="b">
        <f>IF(AI230=0,FALSE,IF(COUNTIF(AI$7:AI230,AI230)&gt;1,TRUE,FALSE))</f>
        <v>0</v>
      </c>
      <c r="AK230" s="218">
        <f t="shared" ref="AK230" si="2558">IF($AD230=AK$6,$E227,0)</f>
        <v>0</v>
      </c>
      <c r="AL230" s="218" t="b">
        <f>IF(AK230=0,FALSE,IF(COUNTIF(AK$7:AK230,AK230)&gt;1,TRUE,FALSE))</f>
        <v>0</v>
      </c>
      <c r="AM230" s="218">
        <f t="shared" ref="AM230" si="2559">IF($AD230=AM$6,$E227,0)</f>
        <v>0</v>
      </c>
      <c r="AN230" s="218" t="b">
        <f>IF(AM230=0,FALSE,IF(COUNTIF(AM$7:AM230,AM230)&gt;1,TRUE,FALSE))</f>
        <v>0</v>
      </c>
      <c r="AO230" s="218">
        <f t="shared" ref="AO230" si="2560">IF($AD230=AO$6,$E227,0)</f>
        <v>0</v>
      </c>
      <c r="AP230" s="218" t="b">
        <f>IF(AO230=0,FALSE,IF(COUNTIF(AO$7:AO230,AO230)&gt;1,TRUE,FALSE))</f>
        <v>0</v>
      </c>
      <c r="AQ230" s="218">
        <f t="shared" ref="AQ230" si="2561">IF(COUNTIF(Y230,"*十種競技*")&gt;0,E227,0)</f>
        <v>0</v>
      </c>
      <c r="AR230" s="218" t="b">
        <f>IF(AQ230=0,FALSE,IF(OR(COUNTIF($AI$7:$AI$406,AQ230)+COUNTIF($AQ230:$AQ$406,AQ230)&gt;1,COUNTIF($AK$7:$AK$406,AQ230)+COUNTIF($AQ$7:$AQ$406,AQ230)&gt;1),TRUE,FALSE))</f>
        <v>0</v>
      </c>
      <c r="AT230" s="218" t="b">
        <f t="shared" si="2226"/>
        <v>0</v>
      </c>
      <c r="AU230" s="274"/>
      <c r="AX230" s="274"/>
      <c r="BD230" s="218" t="b">
        <f t="shared" si="2213"/>
        <v>0</v>
      </c>
      <c r="BF230" s="231" t="b">
        <f t="shared" ref="BF230" si="2562">IF(J230="",FALSE,IF(OR(AND(AU227,L230=""),AND(AU227,L230="",OR(M230&lt;&gt;"",N230&lt;&gt;"",O230&lt;&gt;"",P230&lt;&gt;""))),TRUE,FALSE))</f>
        <v>0</v>
      </c>
      <c r="BG230" s="218" t="b">
        <f t="shared" si="2215"/>
        <v>0</v>
      </c>
      <c r="BH230" s="218" t="b">
        <f t="shared" si="2228"/>
        <v>0</v>
      </c>
      <c r="BI230" s="231" t="b">
        <f t="shared" ref="BI230" si="2563">IF(J230="",FALSE,IF(L230=0,FALSE,IF(AND(AU227,NOT(BF230),OR(M230="",N230="",O230="")),TRUE,FALSE)))</f>
        <v>0</v>
      </c>
      <c r="BJ230" s="240" t="b">
        <f t="shared" si="2230"/>
        <v>0</v>
      </c>
      <c r="BK230" s="231" t="b">
        <f>IF(NOT(BJ230),FALSE,IF(AND(競技会設定!$C$5&lt;=BJ230,BJ230&lt;=競技会設定!$C$6),FALSE,TRUE))</f>
        <v>0</v>
      </c>
      <c r="BL230" s="218" t="b">
        <f>IF(J230="",FALSE,IF(L230=0,FALSE,IF(AND(AU227,NOT(BF230),NOT(BI230),P230=""),TRUE,FALSE)))</f>
        <v>0</v>
      </c>
      <c r="BO230" s="274"/>
    </row>
    <row r="231" spans="1:67" ht="18" customHeight="1" thickTop="1">
      <c r="A231" s="417">
        <v>57</v>
      </c>
      <c r="B231" s="401" t="s">
        <v>7050</v>
      </c>
      <c r="C231" s="403"/>
      <c r="D231" s="220" t="str">
        <f t="shared" ref="D231" si="2564">IF(C231="","",501&amp;TEXT(C231,"000000"))</f>
        <v/>
      </c>
      <c r="E231" s="396" t="str">
        <f>IF(D231="","",(VLOOKUP(D231,男子登録!$A$2:$N$2001,3,0)))</f>
        <v/>
      </c>
      <c r="F231" s="396" t="str">
        <f>IF(D231="","",(VLOOKUP(D231,男子登録!$A$2:$N$2001,4,0)))</f>
        <v/>
      </c>
      <c r="G231" s="220" t="str">
        <f>IF(C231="","",(VLOOKUP(D231,男子登録!$A$2:$N$2001,8,0)))</f>
        <v/>
      </c>
      <c r="H231" s="220">
        <f>IFERROR(VLOOKUP(D231,男子登録!$A$2:$N$2001,11,0),基本情報!$E$5)</f>
        <v>0</v>
      </c>
      <c r="I231" s="220" t="s">
        <v>7059</v>
      </c>
      <c r="J231" s="148"/>
      <c r="K231" s="220" t="s">
        <v>7060</v>
      </c>
      <c r="L231" s="148"/>
      <c r="M231" s="252"/>
      <c r="N231" s="253"/>
      <c r="O231" s="254"/>
      <c r="P231" s="148"/>
      <c r="Q231" s="398"/>
      <c r="R231" s="391"/>
      <c r="S231" s="136">
        <f t="shared" ref="S231" si="2565">IF(OR(E231="",Q231=""),0,E231)</f>
        <v>0</v>
      </c>
      <c r="T231" s="137">
        <f>IF(S231=0,0,COUNTIF($S$7:S231,"*"))</f>
        <v>0</v>
      </c>
      <c r="U231" s="137">
        <f>IF(S231=0,0,COUNTIF($S$7:S231,S231))</f>
        <v>0</v>
      </c>
      <c r="V231" s="137">
        <f t="shared" si="2429"/>
        <v>0</v>
      </c>
      <c r="W231" s="137">
        <f>IF(V231=0,0,COUNTIF($V$7:V231,"*"))</f>
        <v>0</v>
      </c>
      <c r="X231" s="137">
        <f>IF(V231=0,0,COUNTIF($V$7:V231,V231))</f>
        <v>0</v>
      </c>
      <c r="Y231" s="218">
        <f t="shared" ref="Y231" si="2566">IF(OR(E231="",J231=""),0,J231&amp;E231)</f>
        <v>0</v>
      </c>
      <c r="Z231" s="218">
        <f>IF(Y231=0,0,COUNTIF($Y$7:Y231,Y231))</f>
        <v>0</v>
      </c>
      <c r="AA231" s="218" t="b">
        <f t="shared" ref="AA231" si="2567">IF(COUNTIF(J231:J234,"十種競技")&gt;0,TRUE,FALSE)</f>
        <v>0</v>
      </c>
      <c r="AB231" s="218">
        <f>IF(E231="",0,IF(AA231,COUNTIF($AA$7:AA231,TRUE),0))</f>
        <v>0</v>
      </c>
      <c r="AC231" s="218">
        <f>IFERROR(VLOOKUP("十種競技",J231:L234,3,0),0)</f>
        <v>0</v>
      </c>
      <c r="AD231" s="218">
        <f>IFERROR(VLOOKUP(J231,競技会設定!$P$2:$S$22,2,0),0)</f>
        <v>0</v>
      </c>
      <c r="AE231" s="218">
        <f t="shared" ref="AE231" si="2568">IF(E231="",0,IF(AD231=0,0,IF(AD231&lt;3,E231&amp;$AE$6,0)))</f>
        <v>0</v>
      </c>
      <c r="AF231" s="218">
        <f>IF(AE231=0,0,E231&amp;COUNTIF($AE$7:AE231,AE231))</f>
        <v>0</v>
      </c>
      <c r="AG231" s="218">
        <f t="shared" ref="AG231" si="2569">IF(E231="",0,IF(AD231=0,0,IF(AD231&gt;=3,E231&amp;$AG$6,0)))</f>
        <v>0</v>
      </c>
      <c r="AH231" s="218">
        <f>IF(AG231=0,0,E231&amp;COUNTIF($AG$7:AG231,AG231))</f>
        <v>0</v>
      </c>
      <c r="AI231" s="218">
        <f t="shared" si="2012"/>
        <v>0</v>
      </c>
      <c r="AJ231" s="218" t="b">
        <f>IF(AI231=0,FALSE,IF(COUNTIF(AI$7:AI231,AI231)&gt;1,TRUE,FALSE))</f>
        <v>0</v>
      </c>
      <c r="AK231" s="218">
        <f t="shared" ref="AK231" si="2570">IF($AD231=AK$6,$E231,0)</f>
        <v>0</v>
      </c>
      <c r="AL231" s="218" t="b">
        <f>IF(AK231=0,FALSE,IF(COUNTIF(AK$7:AK231,AK231)&gt;1,TRUE,FALSE))</f>
        <v>0</v>
      </c>
      <c r="AM231" s="218">
        <f t="shared" ref="AM231" si="2571">IF($AD231=AM$6,$E231,0)</f>
        <v>0</v>
      </c>
      <c r="AN231" s="218" t="b">
        <f>IF(AM231=0,FALSE,IF(COUNTIF(AM$7:AM231,AM231)&gt;1,TRUE,FALSE))</f>
        <v>0</v>
      </c>
      <c r="AO231" s="218">
        <f t="shared" ref="AO231" si="2572">IF($AD231=AO$6,$E231,0)</f>
        <v>0</v>
      </c>
      <c r="AP231" s="218" t="b">
        <f>IF(AO231=0,FALSE,IF(COUNTIF(AO$7:AO231,AO231)&gt;1,TRUE,FALSE))</f>
        <v>0</v>
      </c>
      <c r="AQ231" s="218">
        <f t="shared" ref="AQ231" si="2573">IF(COUNTIF(Y231,"*十種競技*")&gt;0,E231,0)</f>
        <v>0</v>
      </c>
      <c r="AR231" s="218" t="b">
        <f>IF(AQ231=0,FALSE,IF(OR(COUNTIF($AI$7:$AI$406,AQ231)+COUNTIF($AQ231:$AQ$406,AQ231)&gt;1,COUNTIF($AK$7:$AK$406,AQ231)+COUNTIF($AQ$7:$AQ$406,AQ231)&gt;1),TRUE,FALSE))</f>
        <v>0</v>
      </c>
      <c r="AS231" s="218" t="b">
        <f t="shared" ref="AS231" si="2574">IF(AND(C231="",E231&lt;&gt;"",F231&lt;&gt;"",E233&lt;&gt;"",G231&lt;&gt;"",G232&lt;&gt;"",G233&lt;&gt;""),TRUE,FALSE)</f>
        <v>0</v>
      </c>
      <c r="AT231" s="218" t="b">
        <f t="shared" si="2226"/>
        <v>0</v>
      </c>
      <c r="AU231" s="274" t="b">
        <f t="shared" ref="AU231" si="2575">IFERROR(IF(D231&amp;E231&amp;F231&amp;E233&amp;G231&amp;G232&amp;G233&amp;J231&amp;J232&amp;J233&amp;J234&amp;L231&amp;L232&amp;L233&amp;L234&amp;M231&amp;M232&amp;M233&amp;M234&amp;N231&amp;N232&amp;N233&amp;N234&amp;O231&amp;O232&amp;O233&amp;O234&amp;P231&amp;P232&amp;P233&amp;P234&amp;Q231&amp;R231="",FALSE,TRUE),FALSE)</f>
        <v>0</v>
      </c>
      <c r="AV231" s="218" t="b">
        <f t="shared" ref="AV231" si="2576">IF(AS231,FALSE,IF(C231="",AU231,FALSE))</f>
        <v>0</v>
      </c>
      <c r="AW231" s="218" t="b">
        <f>IF(C231="",FALSE,IF(C231&gt;2000,TRUE,FALSE))</f>
        <v>0</v>
      </c>
      <c r="AX231" s="274" t="b">
        <f>IF(H231=0,FALSE,IF(EXACT(基本情報!$E$5,H231)=TRUE,FALSE,TRUE))</f>
        <v>0</v>
      </c>
      <c r="AY231" s="218" t="b">
        <f>IF(C231="",FALSE,IF(ISNA(E231)=TRUE,TRUE,FALSE))</f>
        <v>0</v>
      </c>
      <c r="AZ231" s="274" t="b">
        <f>IFERROR(IF(E231="",FALSE,IF(COUNTIF($E$7:E231,E231)&gt;1,TRUE,FALSE)),FALSE)</f>
        <v>0</v>
      </c>
      <c r="BA231" s="218" t="b">
        <f t="shared" ref="BA231" si="2577">IF(OR(J231&amp;J232&amp;J233&amp;J234&amp;Q231&amp;R231="",AT231,AT232,AT233,AT234),AU231,FALSE)</f>
        <v>0</v>
      </c>
      <c r="BB231" s="218" t="b">
        <f>IF(U231&gt;1,TRUE,FALSE)</f>
        <v>0</v>
      </c>
      <c r="BC231" s="218" t="b">
        <f>IF(X231&gt;1,TRUE,FALSE)</f>
        <v>0</v>
      </c>
      <c r="BD231" s="218" t="b">
        <f t="shared" si="2213"/>
        <v>0</v>
      </c>
      <c r="BF231" s="231" t="b">
        <f t="shared" ref="BF231" si="2578">IF(J231="",FALSE,IF(OR(AND(AU231,L231=""),AND(AU231,L231="",OR(M231&lt;&gt;"",N231&lt;&gt;"",O231&lt;&gt;"",P231&lt;&gt;""))),TRUE,FALSE))</f>
        <v>0</v>
      </c>
      <c r="BG231" s="218" t="b">
        <f t="shared" si="2215"/>
        <v>0</v>
      </c>
      <c r="BH231" s="218" t="b">
        <f t="shared" si="2228"/>
        <v>0</v>
      </c>
      <c r="BI231" s="231" t="b">
        <f t="shared" ref="BI231" si="2579">IF(J231="",FALSE,IF(L231=0,FALSE,IF(AND(AU231,NOT(BF231),OR(M231="",N231="",O231="")),TRUE,FALSE)))</f>
        <v>0</v>
      </c>
      <c r="BJ231" s="240" t="b">
        <f t="shared" si="2230"/>
        <v>0</v>
      </c>
      <c r="BK231" s="231" t="b">
        <f>IF(NOT(BJ231),FALSE,IF(AND(競技会設定!$C$5&lt;=BJ231,BJ231&lt;=競技会設定!$C$6),FALSE,TRUE))</f>
        <v>0</v>
      </c>
      <c r="BL231" s="218" t="b">
        <f>IF(J231="",FALSE,IF(L231=0,FALSE,IF(AND(AU231,NOT(BF231),NOT(BI231),P231=""),TRUE,FALSE)))</f>
        <v>0</v>
      </c>
      <c r="BO231" s="274">
        <f t="shared" ref="BO231" si="2580">IF(AND(AU231,SUM(COUNTIF(AV231:BC231,TRUE),COUNTIF(BF231:BL234,TRUE),COUNTIF(BD231:BD234,TRUE))=0,NOT($BE$7)),1,0)</f>
        <v>0</v>
      </c>
    </row>
    <row r="232" spans="1:67" ht="17.399999999999999" customHeight="1">
      <c r="A232" s="418"/>
      <c r="B232" s="402"/>
      <c r="C232" s="404"/>
      <c r="D232" s="221"/>
      <c r="E232" s="397"/>
      <c r="F232" s="397"/>
      <c r="G232" s="221" t="str">
        <f>IF(C231="","",(VLOOKUP(D231,男子登録!$A$2:$N$2001,13,0)))</f>
        <v/>
      </c>
      <c r="H232" s="221"/>
      <c r="I232" s="221" t="s">
        <v>7061</v>
      </c>
      <c r="J232" s="149"/>
      <c r="K232" s="221" t="s">
        <v>7062</v>
      </c>
      <c r="L232" s="149"/>
      <c r="M232" s="255"/>
      <c r="N232" s="256"/>
      <c r="O232" s="257"/>
      <c r="P232" s="149"/>
      <c r="Q232" s="399"/>
      <c r="R232" s="392"/>
      <c r="S232" s="136"/>
      <c r="T232" s="137"/>
      <c r="U232" s="137"/>
      <c r="V232" s="137"/>
      <c r="W232" s="137"/>
      <c r="X232" s="137"/>
      <c r="Y232" s="218">
        <f t="shared" ref="Y232" si="2581">IF(OR(E231="",J232=""),0,J232&amp;E231)</f>
        <v>0</v>
      </c>
      <c r="Z232" s="218">
        <f>IF(Y232=0,0,COUNTIF($Y$7:Y232,Y232))</f>
        <v>0</v>
      </c>
      <c r="AD232" s="218">
        <f>IFERROR(VLOOKUP(J232,競技会設定!$P$2:$S$22,2,0),0)</f>
        <v>0</v>
      </c>
      <c r="AE232" s="218">
        <f t="shared" ref="AE232" si="2582">IF(E231="",0,IF(AD232=0,0,IF(AD232&lt;3,E231&amp;$AE$6,0)))</f>
        <v>0</v>
      </c>
      <c r="AF232" s="218">
        <f>IF(AE232=0,0,E231&amp;COUNTIF($AE$7:AE232,AE232))</f>
        <v>0</v>
      </c>
      <c r="AG232" s="218">
        <f t="shared" ref="AG232" si="2583">IF(E231="",0,IF(AD232=0,0,IF(AD232&gt;=3,E231&amp;$AG$6,0)))</f>
        <v>0</v>
      </c>
      <c r="AH232" s="218">
        <f>IF(AG232=0,0,E231&amp;COUNTIF($AG$7:AG232,AG232))</f>
        <v>0</v>
      </c>
      <c r="AI232" s="218">
        <f t="shared" si="2027"/>
        <v>0</v>
      </c>
      <c r="AJ232" s="218" t="b">
        <f>IF(AI232=0,FALSE,IF(COUNTIF(AI$7:AI232,AI232)&gt;1,TRUE,FALSE))</f>
        <v>0</v>
      </c>
      <c r="AK232" s="218">
        <f t="shared" ref="AK232" si="2584">IF($AD232=AK$6,$E231,0)</f>
        <v>0</v>
      </c>
      <c r="AL232" s="218" t="b">
        <f>IF(AK232=0,FALSE,IF(COUNTIF(AK$7:AK232,AK232)&gt;1,TRUE,FALSE))</f>
        <v>0</v>
      </c>
      <c r="AM232" s="218">
        <f t="shared" ref="AM232" si="2585">IF($AD232=AM$6,$E231,0)</f>
        <v>0</v>
      </c>
      <c r="AN232" s="218" t="b">
        <f>IF(AM232=0,FALSE,IF(COUNTIF(AM$7:AM232,AM232)&gt;1,TRUE,FALSE))</f>
        <v>0</v>
      </c>
      <c r="AO232" s="218">
        <f t="shared" ref="AO232" si="2586">IF($AD232=AO$6,$E231,0)</f>
        <v>0</v>
      </c>
      <c r="AP232" s="218" t="b">
        <f>IF(AO232=0,FALSE,IF(COUNTIF(AO$7:AO232,AO232)&gt;1,TRUE,FALSE))</f>
        <v>0</v>
      </c>
      <c r="AQ232" s="218">
        <f t="shared" ref="AQ232" si="2587">IF(COUNTIF(Y232,"*十種競技*")&gt;0,E231,0)</f>
        <v>0</v>
      </c>
      <c r="AR232" s="218" t="b">
        <f>IF(AQ232=0,FALSE,IF(OR(COUNTIF($AI$7:$AI$406,AQ232)+COUNTIF($AQ232:$AQ$406,AQ232)&gt;1,COUNTIF($AK$7:$AK$406,AQ232)+COUNTIF($AQ$7:$AQ$406,AQ232)&gt;1),TRUE,FALSE))</f>
        <v>0</v>
      </c>
      <c r="AT232" s="218" t="b">
        <f t="shared" si="2226"/>
        <v>0</v>
      </c>
      <c r="AU232" s="274"/>
      <c r="AX232" s="274"/>
      <c r="BD232" s="218" t="b">
        <f t="shared" si="2213"/>
        <v>0</v>
      </c>
      <c r="BF232" s="231" t="b">
        <f t="shared" ref="BF232" si="2588">IF(J232="",FALSE,IF(OR(AND(AU231,L232=""),AND(AU231,L232="",OR(M232&lt;&gt;"",N232&lt;&gt;"",O232&lt;&gt;"",P232&lt;&gt;""))),TRUE,FALSE))</f>
        <v>0</v>
      </c>
      <c r="BG232" s="218" t="b">
        <f t="shared" si="2215"/>
        <v>0</v>
      </c>
      <c r="BH232" s="218" t="b">
        <f t="shared" si="2228"/>
        <v>0</v>
      </c>
      <c r="BI232" s="231" t="b">
        <f t="shared" ref="BI232" si="2589">IF(J232="",FALSE,IF(L232=0,FALSE,IF(AND(AU231,NOT(BF232),OR(M232="",N232="",O232="")),TRUE,FALSE)))</f>
        <v>0</v>
      </c>
      <c r="BJ232" s="240" t="b">
        <f t="shared" si="2230"/>
        <v>0</v>
      </c>
      <c r="BK232" s="231" t="b">
        <f>IF(NOT(BJ232),FALSE,IF(AND(競技会設定!$C$5&lt;=BJ232,BJ232&lt;=競技会設定!$C$6),FALSE,TRUE))</f>
        <v>0</v>
      </c>
      <c r="BL232" s="218" t="b">
        <f>IF(J232="",FALSE,IF(L232=0,FALSE,IF(AND(AU231,NOT(BF232),NOT(BI232),P232=""),TRUE,FALSE)))</f>
        <v>0</v>
      </c>
      <c r="BO232" s="274"/>
    </row>
    <row r="233" spans="1:67" ht="17.399999999999999" customHeight="1">
      <c r="A233" s="418"/>
      <c r="B233" s="402"/>
      <c r="C233" s="404"/>
      <c r="D233" s="221"/>
      <c r="E233" s="394" t="str">
        <f>IF(C231="","",VLOOKUP(D231,男子登録!$A$2:$O$2001,14,0)&amp;" ("&amp;VLOOKUP(D231,男子登録!$A$2:$O$2001,15,0)&amp;")")</f>
        <v/>
      </c>
      <c r="F233" s="394"/>
      <c r="G233" s="222" t="str">
        <f>IF(C231="","",(VLOOKUP(D231,男子登録!$A$2:$N$2001,9,0)))</f>
        <v/>
      </c>
      <c r="H233" s="222"/>
      <c r="I233" s="222" t="s">
        <v>7063</v>
      </c>
      <c r="J233" s="150"/>
      <c r="K233" s="222" t="s">
        <v>7064</v>
      </c>
      <c r="L233" s="150"/>
      <c r="M233" s="255"/>
      <c r="N233" s="256"/>
      <c r="O233" s="257"/>
      <c r="P233" s="149"/>
      <c r="Q233" s="399"/>
      <c r="R233" s="392"/>
      <c r="S233" s="136"/>
      <c r="T233" s="137"/>
      <c r="U233" s="137"/>
      <c r="V233" s="137"/>
      <c r="W233" s="137"/>
      <c r="X233" s="137"/>
      <c r="Y233" s="218">
        <f t="shared" ref="Y233" si="2590">IF(OR(E231="",J233=""),0,J233&amp;E231)</f>
        <v>0</v>
      </c>
      <c r="Z233" s="218">
        <f>IF(Y233=0,0,COUNTIF($Y$7:Y233,Y233))</f>
        <v>0</v>
      </c>
      <c r="AD233" s="218">
        <f>IFERROR(VLOOKUP(J233,競技会設定!$P$2:$S$22,2,0),0)</f>
        <v>0</v>
      </c>
      <c r="AE233" s="218">
        <f t="shared" ref="AE233" si="2591">IF(E231="",0,IF(AD233=0,0,IF(AD233&lt;3,E231&amp;$AE$6,0)))</f>
        <v>0</v>
      </c>
      <c r="AF233" s="218">
        <f>IF(AE233=0,0,E231&amp;COUNTIF($AE$7:AE233,AE233))</f>
        <v>0</v>
      </c>
      <c r="AG233" s="218">
        <f t="shared" ref="AG233" si="2592">IF(E231="",0,IF(AD233=0,0,IF(AD233&gt;=3,E231&amp;$AG$6,0)))</f>
        <v>0</v>
      </c>
      <c r="AH233" s="218">
        <f>IF(AG233=0,0,E231&amp;COUNTIF($AG$7:AG233,AG233))</f>
        <v>0</v>
      </c>
      <c r="AI233" s="218">
        <f t="shared" si="2037"/>
        <v>0</v>
      </c>
      <c r="AJ233" s="218" t="b">
        <f>IF(AI233=0,FALSE,IF(COUNTIF(AI$7:AI233,AI233)&gt;1,TRUE,FALSE))</f>
        <v>0</v>
      </c>
      <c r="AK233" s="218">
        <f t="shared" ref="AK233" si="2593">IF($AD233=AK$6,$E231,0)</f>
        <v>0</v>
      </c>
      <c r="AL233" s="218" t="b">
        <f>IF(AK233=0,FALSE,IF(COUNTIF(AK$7:AK233,AK233)&gt;1,TRUE,FALSE))</f>
        <v>0</v>
      </c>
      <c r="AM233" s="218">
        <f t="shared" ref="AM233" si="2594">IF($AD233=AM$6,$E231,0)</f>
        <v>0</v>
      </c>
      <c r="AN233" s="218" t="b">
        <f>IF(AM233=0,FALSE,IF(COUNTIF(AM$7:AM233,AM233)&gt;1,TRUE,FALSE))</f>
        <v>0</v>
      </c>
      <c r="AO233" s="218">
        <f t="shared" ref="AO233" si="2595">IF($AD233=AO$6,$E231,0)</f>
        <v>0</v>
      </c>
      <c r="AP233" s="218" t="b">
        <f>IF(AO233=0,FALSE,IF(COUNTIF(AO$7:AO233,AO233)&gt;1,TRUE,FALSE))</f>
        <v>0</v>
      </c>
      <c r="AQ233" s="218">
        <f t="shared" ref="AQ233" si="2596">IF(COUNTIF(Y233,"*十種競技*")&gt;0,E231,0)</f>
        <v>0</v>
      </c>
      <c r="AR233" s="218" t="b">
        <f>IF(AQ233=0,FALSE,IF(OR(COUNTIF($AI$7:$AI$406,AQ233)+COUNTIF($AQ233:$AQ$406,AQ233)&gt;1,COUNTIF($AK$7:$AK$406,AQ233)+COUNTIF($AQ$7:$AQ$406,AQ233)&gt;1),TRUE,FALSE))</f>
        <v>0</v>
      </c>
      <c r="AT233" s="218" t="b">
        <f t="shared" si="2226"/>
        <v>0</v>
      </c>
      <c r="AU233" s="274"/>
      <c r="AX233" s="274"/>
      <c r="BD233" s="218" t="b">
        <f t="shared" si="2213"/>
        <v>0</v>
      </c>
      <c r="BF233" s="231" t="b">
        <f t="shared" ref="BF233" si="2597">IF(J233="",FALSE,IF(OR(AND(AU231,L233=""),AND(AU231,L233="",OR(M233&lt;&gt;"",N233&lt;&gt;"",O233&lt;&gt;"",P233&lt;&gt;""))),TRUE,FALSE))</f>
        <v>0</v>
      </c>
      <c r="BG233" s="218" t="b">
        <f t="shared" si="2215"/>
        <v>0</v>
      </c>
      <c r="BH233" s="218" t="b">
        <f t="shared" si="2228"/>
        <v>0</v>
      </c>
      <c r="BI233" s="231" t="b">
        <f t="shared" ref="BI233" si="2598">IF(J233="",FALSE,IF(L233=0,FALSE,IF(AND(AU231,NOT(BF233),OR(M233="",N233="",O233="")),TRUE,FALSE)))</f>
        <v>0</v>
      </c>
      <c r="BJ233" s="240" t="b">
        <f t="shared" si="2230"/>
        <v>0</v>
      </c>
      <c r="BK233" s="231" t="b">
        <f>IF(NOT(BJ233),FALSE,IF(AND(競技会設定!$C$5&lt;=BJ233,BJ233&lt;=競技会設定!$C$6),FALSE,TRUE))</f>
        <v>0</v>
      </c>
      <c r="BL233" s="218" t="b">
        <f>IF(J233="",FALSE,IF(L233=0,FALSE,IF(AND(AU231,NOT(BF233),NOT(BI233),P233=""),TRUE,FALSE)))</f>
        <v>0</v>
      </c>
      <c r="BO233" s="274"/>
    </row>
    <row r="234" spans="1:67" ht="18" customHeight="1" thickBot="1">
      <c r="A234" s="419"/>
      <c r="B234" s="395" t="s">
        <v>7051</v>
      </c>
      <c r="C234" s="395"/>
      <c r="D234" s="221"/>
      <c r="E234" s="372"/>
      <c r="F234" s="372"/>
      <c r="G234" s="372"/>
      <c r="H234" s="214"/>
      <c r="I234" s="214" t="s">
        <v>7065</v>
      </c>
      <c r="J234" s="219"/>
      <c r="K234" s="214" t="s">
        <v>7066</v>
      </c>
      <c r="L234" s="219"/>
      <c r="M234" s="258"/>
      <c r="N234" s="259"/>
      <c r="O234" s="260"/>
      <c r="P234" s="219"/>
      <c r="Q234" s="400"/>
      <c r="R234" s="393"/>
      <c r="S234" s="136"/>
      <c r="T234" s="137"/>
      <c r="U234" s="137"/>
      <c r="V234" s="137"/>
      <c r="W234" s="137"/>
      <c r="X234" s="137"/>
      <c r="Y234" s="218">
        <f t="shared" ref="Y234" si="2599">IF(OR(E231="",J234=""),0,J234&amp;E231)</f>
        <v>0</v>
      </c>
      <c r="Z234" s="218">
        <f>IF(Y234=0,0,COUNTIF($Y$7:Y234,Y234))</f>
        <v>0</v>
      </c>
      <c r="AD234" s="218">
        <f>IFERROR(VLOOKUP(J234,競技会設定!$P$2:$S$22,2,0),0)</f>
        <v>0</v>
      </c>
      <c r="AE234" s="218">
        <f t="shared" ref="AE234" si="2600">IF(E231="",0,IF(AD234=0,0,IF(AD234&lt;3,E231&amp;$AE$6,0)))</f>
        <v>0</v>
      </c>
      <c r="AF234" s="218">
        <f>IF(AE234=0,0,E231&amp;COUNTIF($AE$7:AE234,AE234))</f>
        <v>0</v>
      </c>
      <c r="AG234" s="218">
        <f t="shared" ref="AG234" si="2601">IF(E231="",0,IF(AD234=0,0,IF(AD234&gt;=3,E231&amp;$AG$6,0)))</f>
        <v>0</v>
      </c>
      <c r="AH234" s="218">
        <f>IF(AG234=0,0,E231&amp;COUNTIF($AG$7:AG234,AG234))</f>
        <v>0</v>
      </c>
      <c r="AI234" s="218">
        <f t="shared" si="2047"/>
        <v>0</v>
      </c>
      <c r="AJ234" s="218" t="b">
        <f>IF(AI234=0,FALSE,IF(COUNTIF(AI$7:AI234,AI234)&gt;1,TRUE,FALSE))</f>
        <v>0</v>
      </c>
      <c r="AK234" s="218">
        <f t="shared" ref="AK234" si="2602">IF($AD234=AK$6,$E231,0)</f>
        <v>0</v>
      </c>
      <c r="AL234" s="218" t="b">
        <f>IF(AK234=0,FALSE,IF(COUNTIF(AK$7:AK234,AK234)&gt;1,TRUE,FALSE))</f>
        <v>0</v>
      </c>
      <c r="AM234" s="218">
        <f t="shared" ref="AM234" si="2603">IF($AD234=AM$6,$E231,0)</f>
        <v>0</v>
      </c>
      <c r="AN234" s="218" t="b">
        <f>IF(AM234=0,FALSE,IF(COUNTIF(AM$7:AM234,AM234)&gt;1,TRUE,FALSE))</f>
        <v>0</v>
      </c>
      <c r="AO234" s="218">
        <f t="shared" ref="AO234" si="2604">IF($AD234=AO$6,$E231,0)</f>
        <v>0</v>
      </c>
      <c r="AP234" s="218" t="b">
        <f>IF(AO234=0,FALSE,IF(COUNTIF(AO$7:AO234,AO234)&gt;1,TRUE,FALSE))</f>
        <v>0</v>
      </c>
      <c r="AQ234" s="218">
        <f t="shared" ref="AQ234" si="2605">IF(COUNTIF(Y234,"*十種競技*")&gt;0,E231,0)</f>
        <v>0</v>
      </c>
      <c r="AR234" s="218" t="b">
        <f>IF(AQ234=0,FALSE,IF(OR(COUNTIF($AI$7:$AI$406,AQ234)+COUNTIF($AQ234:$AQ$406,AQ234)&gt;1,COUNTIF($AK$7:$AK$406,AQ234)+COUNTIF($AQ$7:$AQ$406,AQ234)&gt;1),TRUE,FALSE))</f>
        <v>0</v>
      </c>
      <c r="AT234" s="218" t="b">
        <f t="shared" si="2226"/>
        <v>0</v>
      </c>
      <c r="AU234" s="274"/>
      <c r="AX234" s="274"/>
      <c r="BD234" s="218" t="b">
        <f t="shared" si="2213"/>
        <v>0</v>
      </c>
      <c r="BF234" s="231" t="b">
        <f t="shared" ref="BF234" si="2606">IF(J234="",FALSE,IF(OR(AND(AU231,L234=""),AND(AU231,L234="",OR(M234&lt;&gt;"",N234&lt;&gt;"",O234&lt;&gt;"",P234&lt;&gt;""))),TRUE,FALSE))</f>
        <v>0</v>
      </c>
      <c r="BG234" s="218" t="b">
        <f t="shared" si="2215"/>
        <v>0</v>
      </c>
      <c r="BH234" s="218" t="b">
        <f t="shared" si="2228"/>
        <v>0</v>
      </c>
      <c r="BI234" s="231" t="b">
        <f t="shared" ref="BI234" si="2607">IF(J234="",FALSE,IF(L234=0,FALSE,IF(AND(AU231,NOT(BF234),OR(M234="",N234="",O234="")),TRUE,FALSE)))</f>
        <v>0</v>
      </c>
      <c r="BJ234" s="240" t="b">
        <f t="shared" si="2230"/>
        <v>0</v>
      </c>
      <c r="BK234" s="231" t="b">
        <f>IF(NOT(BJ234),FALSE,IF(AND(競技会設定!$C$5&lt;=BJ234,BJ234&lt;=競技会設定!$C$6),FALSE,TRUE))</f>
        <v>0</v>
      </c>
      <c r="BL234" s="218" t="b">
        <f>IF(J234="",FALSE,IF(L234=0,FALSE,IF(AND(AU231,NOT(BF234),NOT(BI234),P234=""),TRUE,FALSE)))</f>
        <v>0</v>
      </c>
      <c r="BO234" s="274"/>
    </row>
    <row r="235" spans="1:67" ht="18" customHeight="1" thickTop="1">
      <c r="A235" s="420">
        <v>58</v>
      </c>
      <c r="B235" s="373" t="s">
        <v>7050</v>
      </c>
      <c r="C235" s="375"/>
      <c r="D235" s="138" t="str">
        <f t="shared" ref="D235" si="2608">IF(C235="","",501&amp;TEXT(C235,"000000"))</f>
        <v/>
      </c>
      <c r="E235" s="377" t="str">
        <f>IF(D235="","",(VLOOKUP(D235,男子登録!$A$2:$N$2001,3,0)))</f>
        <v/>
      </c>
      <c r="F235" s="377" t="str">
        <f>IF(D235="","",(VLOOKUP(D235,男子登録!$A$2:$N$2001,4,0)))</f>
        <v/>
      </c>
      <c r="G235" s="138" t="str">
        <f>IF(C235="","",(VLOOKUP(D235,男子登録!$A$2:$N$2001,8,0)))</f>
        <v/>
      </c>
      <c r="H235" s="138">
        <f>IFERROR(VLOOKUP(D235,男子登録!$A$2:$N$2001,11,0),基本情報!$E$5)</f>
        <v>0</v>
      </c>
      <c r="I235" s="138" t="s">
        <v>7059</v>
      </c>
      <c r="J235" s="151"/>
      <c r="K235" s="138" t="s">
        <v>7060</v>
      </c>
      <c r="L235" s="151"/>
      <c r="M235" s="261"/>
      <c r="N235" s="262"/>
      <c r="O235" s="263"/>
      <c r="P235" s="151"/>
      <c r="Q235" s="381"/>
      <c r="R235" s="384"/>
      <c r="S235" s="136">
        <f t="shared" ref="S235" si="2609">IF(OR(E235="",Q235=""),0,E235)</f>
        <v>0</v>
      </c>
      <c r="T235" s="137">
        <f>IF(S235=0,0,COUNTIF($S$7:S235,"*"))</f>
        <v>0</v>
      </c>
      <c r="U235" s="137">
        <f>IF(S235=0,0,COUNTIF($S$7:S235,S235))</f>
        <v>0</v>
      </c>
      <c r="V235" s="137">
        <f t="shared" si="2429"/>
        <v>0</v>
      </c>
      <c r="W235" s="137">
        <f>IF(V235=0,0,COUNTIF($V$7:V235,"*"))</f>
        <v>0</v>
      </c>
      <c r="X235" s="137">
        <f>IF(V235=0,0,COUNTIF($V$7:V235,V235))</f>
        <v>0</v>
      </c>
      <c r="Y235" s="218">
        <f t="shared" ref="Y235" si="2610">IF(OR(E235="",J235=""),0,J235&amp;E235)</f>
        <v>0</v>
      </c>
      <c r="Z235" s="218">
        <f>IF(Y235=0,0,COUNTIF($Y$7:Y235,Y235))</f>
        <v>0</v>
      </c>
      <c r="AA235" s="218" t="b">
        <f t="shared" ref="AA235" si="2611">IF(COUNTIF(J235:J238,"十種競技")&gt;0,TRUE,FALSE)</f>
        <v>0</v>
      </c>
      <c r="AB235" s="218">
        <f>IF(E235="",0,IF(AA235,COUNTIF($AA$7:AA235,TRUE),0))</f>
        <v>0</v>
      </c>
      <c r="AC235" s="218">
        <f>IFERROR(VLOOKUP("十種競技",J235:L238,3,0),0)</f>
        <v>0</v>
      </c>
      <c r="AD235" s="218">
        <f>IFERROR(VLOOKUP(J235,競技会設定!$P$2:$S$22,2,0),0)</f>
        <v>0</v>
      </c>
      <c r="AE235" s="218">
        <f t="shared" ref="AE235" si="2612">IF(E235="",0,IF(AD235=0,0,IF(AD235&lt;3,E235&amp;$AE$6,0)))</f>
        <v>0</v>
      </c>
      <c r="AF235" s="218">
        <f>IF(AE235=0,0,E235&amp;COUNTIF($AE$7:AE235,AE235))</f>
        <v>0</v>
      </c>
      <c r="AG235" s="218">
        <f t="shared" ref="AG235" si="2613">IF(E235="",0,IF(AD235=0,0,IF(AD235&gt;=3,E235&amp;$AG$6,0)))</f>
        <v>0</v>
      </c>
      <c r="AH235" s="218">
        <f>IF(AG235=0,0,E235&amp;COUNTIF($AG$7:AG235,AG235))</f>
        <v>0</v>
      </c>
      <c r="AI235" s="218">
        <f t="shared" si="2060"/>
        <v>0</v>
      </c>
      <c r="AJ235" s="218" t="b">
        <f>IF(AI235=0,FALSE,IF(COUNTIF(AI$7:AI235,AI235)&gt;1,TRUE,FALSE))</f>
        <v>0</v>
      </c>
      <c r="AK235" s="218">
        <f t="shared" ref="AK235" si="2614">IF($AD235=AK$6,$E235,0)</f>
        <v>0</v>
      </c>
      <c r="AL235" s="218" t="b">
        <f>IF(AK235=0,FALSE,IF(COUNTIF(AK$7:AK235,AK235)&gt;1,TRUE,FALSE))</f>
        <v>0</v>
      </c>
      <c r="AM235" s="218">
        <f t="shared" ref="AM235" si="2615">IF($AD235=AM$6,$E235,0)</f>
        <v>0</v>
      </c>
      <c r="AN235" s="218" t="b">
        <f>IF(AM235=0,FALSE,IF(COUNTIF(AM$7:AM235,AM235)&gt;1,TRUE,FALSE))</f>
        <v>0</v>
      </c>
      <c r="AO235" s="218">
        <f t="shared" ref="AO235" si="2616">IF($AD235=AO$6,$E235,0)</f>
        <v>0</v>
      </c>
      <c r="AP235" s="218" t="b">
        <f>IF(AO235=0,FALSE,IF(COUNTIF(AO$7:AO235,AO235)&gt;1,TRUE,FALSE))</f>
        <v>0</v>
      </c>
      <c r="AQ235" s="218">
        <f t="shared" ref="AQ235" si="2617">IF(COUNTIF(Y235,"*十種競技*")&gt;0,E235,0)</f>
        <v>0</v>
      </c>
      <c r="AR235" s="218" t="b">
        <f>IF(AQ235=0,FALSE,IF(OR(COUNTIF($AI$7:$AI$406,AQ235)+COUNTIF($AQ235:$AQ$406,AQ235)&gt;1,COUNTIF($AK$7:$AK$406,AQ235)+COUNTIF($AQ$7:$AQ$406,AQ235)&gt;1),TRUE,FALSE))</f>
        <v>0</v>
      </c>
      <c r="AS235" s="218" t="b">
        <f t="shared" ref="AS235" si="2618">IF(AND(C235="",E235&lt;&gt;"",F235&lt;&gt;"",E237&lt;&gt;"",G235&lt;&gt;"",G236&lt;&gt;"",G237&lt;&gt;""),TRUE,FALSE)</f>
        <v>0</v>
      </c>
      <c r="AT235" s="218" t="b">
        <f t="shared" si="2226"/>
        <v>0</v>
      </c>
      <c r="AU235" s="274" t="b">
        <f t="shared" ref="AU235" si="2619">IFERROR(IF(D235&amp;E235&amp;F235&amp;E237&amp;G235&amp;G236&amp;G237&amp;J235&amp;J236&amp;J237&amp;J238&amp;L235&amp;L236&amp;L237&amp;L238&amp;M235&amp;M236&amp;M237&amp;M238&amp;N235&amp;N236&amp;N237&amp;N238&amp;O235&amp;O236&amp;O237&amp;O238&amp;P235&amp;P236&amp;P237&amp;P238&amp;Q235&amp;R235="",FALSE,TRUE),FALSE)</f>
        <v>0</v>
      </c>
      <c r="AV235" s="218" t="b">
        <f t="shared" ref="AV235" si="2620">IF(AS235,FALSE,IF(C235="",AU235,FALSE))</f>
        <v>0</v>
      </c>
      <c r="AW235" s="218" t="b">
        <f>IF(C235="",FALSE,IF(C235&gt;2000,TRUE,FALSE))</f>
        <v>0</v>
      </c>
      <c r="AX235" s="274" t="b">
        <f>IF(H235=0,FALSE,IF(EXACT(基本情報!$E$5,H235)=TRUE,FALSE,TRUE))</f>
        <v>0</v>
      </c>
      <c r="AY235" s="218" t="b">
        <f>IF(C235="",FALSE,IF(ISNA(E235)=TRUE,TRUE,FALSE))</f>
        <v>0</v>
      </c>
      <c r="AZ235" s="274" t="b">
        <f>IFERROR(IF(E235="",FALSE,IF(COUNTIF($E$7:E235,E235)&gt;1,TRUE,FALSE)),FALSE)</f>
        <v>0</v>
      </c>
      <c r="BA235" s="218" t="b">
        <f t="shared" ref="BA235" si="2621">IF(OR(J235&amp;J236&amp;J237&amp;J238&amp;Q235&amp;R235="",AT235,AT236,AT237,AT238),AU235,FALSE)</f>
        <v>0</v>
      </c>
      <c r="BB235" s="218" t="b">
        <f>IF(U235&gt;1,TRUE,FALSE)</f>
        <v>0</v>
      </c>
      <c r="BC235" s="218" t="b">
        <f>IF(X235&gt;1,TRUE,FALSE)</f>
        <v>0</v>
      </c>
      <c r="BD235" s="218" t="b">
        <f t="shared" si="2213"/>
        <v>0</v>
      </c>
      <c r="BF235" s="231" t="b">
        <f t="shared" ref="BF235" si="2622">IF(J235="",FALSE,IF(OR(AND(AU235,L235=""),AND(AU235,L235="",OR(M235&lt;&gt;"",N235&lt;&gt;"",O235&lt;&gt;"",P235&lt;&gt;""))),TRUE,FALSE))</f>
        <v>0</v>
      </c>
      <c r="BG235" s="218" t="b">
        <f t="shared" si="2215"/>
        <v>0</v>
      </c>
      <c r="BH235" s="218" t="b">
        <f t="shared" si="2228"/>
        <v>0</v>
      </c>
      <c r="BI235" s="231" t="b">
        <f t="shared" ref="BI235" si="2623">IF(J235="",FALSE,IF(L235=0,FALSE,IF(AND(AU235,NOT(BF235),OR(M235="",N235="",O235="")),TRUE,FALSE)))</f>
        <v>0</v>
      </c>
      <c r="BJ235" s="240" t="b">
        <f t="shared" si="2230"/>
        <v>0</v>
      </c>
      <c r="BK235" s="231" t="b">
        <f>IF(NOT(BJ235),FALSE,IF(AND(競技会設定!$C$5&lt;=BJ235,BJ235&lt;=競技会設定!$C$6),FALSE,TRUE))</f>
        <v>0</v>
      </c>
      <c r="BL235" s="218" t="b">
        <f>IF(J235="",FALSE,IF(L235=0,FALSE,IF(AND(AU235,NOT(BF235),NOT(BI235),P235=""),TRUE,FALSE)))</f>
        <v>0</v>
      </c>
      <c r="BO235" s="274">
        <f t="shared" ref="BO235" si="2624">IF(AND(AU235,SUM(COUNTIF(AV235:BC235,TRUE),COUNTIF(BF235:BL238,TRUE),COUNTIF(BD235:BD238,TRUE))=0,NOT($BE$7)),1,0)</f>
        <v>0</v>
      </c>
    </row>
    <row r="236" spans="1:67" ht="17.399999999999999" customHeight="1">
      <c r="A236" s="421"/>
      <c r="B236" s="374"/>
      <c r="C236" s="376"/>
      <c r="D236" s="139"/>
      <c r="E236" s="378"/>
      <c r="F236" s="378"/>
      <c r="G236" s="139" t="str">
        <f>IF(C235="","",(VLOOKUP(D235,男子登録!$A$2:$N$2001,13,0)))</f>
        <v/>
      </c>
      <c r="H236" s="139"/>
      <c r="I236" s="139" t="s">
        <v>7061</v>
      </c>
      <c r="J236" s="152"/>
      <c r="K236" s="139" t="s">
        <v>7062</v>
      </c>
      <c r="L236" s="152"/>
      <c r="M236" s="264"/>
      <c r="N236" s="265"/>
      <c r="O236" s="266"/>
      <c r="P236" s="152"/>
      <c r="Q236" s="382"/>
      <c r="R236" s="385"/>
      <c r="S236" s="136"/>
      <c r="T236" s="137"/>
      <c r="U236" s="137"/>
      <c r="V236" s="137"/>
      <c r="W236" s="137"/>
      <c r="X236" s="137"/>
      <c r="Y236" s="218">
        <f t="shared" ref="Y236" si="2625">IF(OR(E235="",J236=""),0,J236&amp;E235)</f>
        <v>0</v>
      </c>
      <c r="Z236" s="218">
        <f>IF(Y236=0,0,COUNTIF($Y$7:Y236,Y236))</f>
        <v>0</v>
      </c>
      <c r="AD236" s="218">
        <f>IFERROR(VLOOKUP(J236,競技会設定!$P$2:$S$22,2,0),0)</f>
        <v>0</v>
      </c>
      <c r="AE236" s="218">
        <f t="shared" ref="AE236" si="2626">IF(E235="",0,IF(AD236=0,0,IF(AD236&lt;3,E235&amp;$AE$6,0)))</f>
        <v>0</v>
      </c>
      <c r="AF236" s="218">
        <f>IF(AE236=0,0,E235&amp;COUNTIF($AE$7:AE236,AE236))</f>
        <v>0</v>
      </c>
      <c r="AG236" s="218">
        <f t="shared" ref="AG236" si="2627">IF(E235="",0,IF(AD236=0,0,IF(AD236&gt;=3,E235&amp;$AG$6,0)))</f>
        <v>0</v>
      </c>
      <c r="AH236" s="218">
        <f>IF(AG236=0,0,E235&amp;COUNTIF($AG$7:AG236,AG236))</f>
        <v>0</v>
      </c>
      <c r="AI236" s="218">
        <f t="shared" si="2075"/>
        <v>0</v>
      </c>
      <c r="AJ236" s="218" t="b">
        <f>IF(AI236=0,FALSE,IF(COUNTIF(AI$7:AI236,AI236)&gt;1,TRUE,FALSE))</f>
        <v>0</v>
      </c>
      <c r="AK236" s="218">
        <f t="shared" ref="AK236" si="2628">IF($AD236=AK$6,$E235,0)</f>
        <v>0</v>
      </c>
      <c r="AL236" s="218" t="b">
        <f>IF(AK236=0,FALSE,IF(COUNTIF(AK$7:AK236,AK236)&gt;1,TRUE,FALSE))</f>
        <v>0</v>
      </c>
      <c r="AM236" s="218">
        <f t="shared" ref="AM236" si="2629">IF($AD236=AM$6,$E235,0)</f>
        <v>0</v>
      </c>
      <c r="AN236" s="218" t="b">
        <f>IF(AM236=0,FALSE,IF(COUNTIF(AM$7:AM236,AM236)&gt;1,TRUE,FALSE))</f>
        <v>0</v>
      </c>
      <c r="AO236" s="218">
        <f t="shared" ref="AO236" si="2630">IF($AD236=AO$6,$E235,0)</f>
        <v>0</v>
      </c>
      <c r="AP236" s="218" t="b">
        <f>IF(AO236=0,FALSE,IF(COUNTIF(AO$7:AO236,AO236)&gt;1,TRUE,FALSE))</f>
        <v>0</v>
      </c>
      <c r="AQ236" s="218">
        <f t="shared" ref="AQ236" si="2631">IF(COUNTIF(Y236,"*十種競技*")&gt;0,E235,0)</f>
        <v>0</v>
      </c>
      <c r="AR236" s="218" t="b">
        <f>IF(AQ236=0,FALSE,IF(OR(COUNTIF($AI$7:$AI$406,AQ236)+COUNTIF($AQ236:$AQ$406,AQ236)&gt;1,COUNTIF($AK$7:$AK$406,AQ236)+COUNTIF($AQ$7:$AQ$406,AQ236)&gt;1),TRUE,FALSE))</f>
        <v>0</v>
      </c>
      <c r="AT236" s="218" t="b">
        <f t="shared" si="2226"/>
        <v>0</v>
      </c>
      <c r="AU236" s="274"/>
      <c r="AX236" s="274"/>
      <c r="BD236" s="218" t="b">
        <f t="shared" si="2213"/>
        <v>0</v>
      </c>
      <c r="BF236" s="231" t="b">
        <f t="shared" ref="BF236" si="2632">IF(J236="",FALSE,IF(OR(AND(AU235,L236=""),AND(AU235,L236="",OR(M236&lt;&gt;"",N236&lt;&gt;"",O236&lt;&gt;"",P236&lt;&gt;""))),TRUE,FALSE))</f>
        <v>0</v>
      </c>
      <c r="BG236" s="218" t="b">
        <f t="shared" si="2215"/>
        <v>0</v>
      </c>
      <c r="BH236" s="218" t="b">
        <f t="shared" si="2228"/>
        <v>0</v>
      </c>
      <c r="BI236" s="231" t="b">
        <f t="shared" ref="BI236" si="2633">IF(J236="",FALSE,IF(L236=0,FALSE,IF(AND(AU235,NOT(BF236),OR(M236="",N236="",O236="")),TRUE,FALSE)))</f>
        <v>0</v>
      </c>
      <c r="BJ236" s="240" t="b">
        <f t="shared" si="2230"/>
        <v>0</v>
      </c>
      <c r="BK236" s="231" t="b">
        <f>IF(NOT(BJ236),FALSE,IF(AND(競技会設定!$C$5&lt;=BJ236,BJ236&lt;=競技会設定!$C$6),FALSE,TRUE))</f>
        <v>0</v>
      </c>
      <c r="BL236" s="218" t="b">
        <f>IF(J236="",FALSE,IF(L236=0,FALSE,IF(AND(AU235,NOT(BF236),NOT(BI236),P236=""),TRUE,FALSE)))</f>
        <v>0</v>
      </c>
      <c r="BO236" s="274"/>
    </row>
    <row r="237" spans="1:67" ht="17.399999999999999" customHeight="1">
      <c r="A237" s="421"/>
      <c r="B237" s="374"/>
      <c r="C237" s="376"/>
      <c r="D237" s="140"/>
      <c r="E237" s="379" t="str">
        <f>IF(C235="","",VLOOKUP(D235,男子登録!$A$2:$O$2001,14,0)&amp;" ("&amp;VLOOKUP(D235,男子登録!$A$2:$O$2001,15,0)&amp;")")</f>
        <v/>
      </c>
      <c r="F237" s="380"/>
      <c r="G237" s="140" t="str">
        <f>IF(C235="","",(VLOOKUP(D235,男子登録!$A$2:$N$2001,9,0)))</f>
        <v/>
      </c>
      <c r="H237" s="140"/>
      <c r="I237" s="140" t="s">
        <v>7063</v>
      </c>
      <c r="J237" s="153"/>
      <c r="K237" s="140" t="s">
        <v>7064</v>
      </c>
      <c r="L237" s="153"/>
      <c r="M237" s="264"/>
      <c r="N237" s="265"/>
      <c r="O237" s="266"/>
      <c r="P237" s="152"/>
      <c r="Q237" s="382"/>
      <c r="R237" s="385"/>
      <c r="S237" s="136"/>
      <c r="T237" s="137"/>
      <c r="U237" s="137"/>
      <c r="V237" s="137"/>
      <c r="W237" s="137"/>
      <c r="X237" s="137"/>
      <c r="Y237" s="218">
        <f t="shared" ref="Y237" si="2634">IF(OR(E235="",J237=""),0,J237&amp;E235)</f>
        <v>0</v>
      </c>
      <c r="Z237" s="218">
        <f>IF(Y237=0,0,COUNTIF($Y$7:Y237,Y237))</f>
        <v>0</v>
      </c>
      <c r="AD237" s="218">
        <f>IFERROR(VLOOKUP(J237,競技会設定!$P$2:$S$22,2,0),0)</f>
        <v>0</v>
      </c>
      <c r="AE237" s="218">
        <f t="shared" ref="AE237" si="2635">IF(E235="",0,IF(AD237=0,0,IF(AD237&lt;3,E235&amp;$AE$6,0)))</f>
        <v>0</v>
      </c>
      <c r="AF237" s="218">
        <f>IF(AE237=0,0,E235&amp;COUNTIF($AE$7:AE237,AE237))</f>
        <v>0</v>
      </c>
      <c r="AG237" s="218">
        <f t="shared" ref="AG237" si="2636">IF(E235="",0,IF(AD237=0,0,IF(AD237&gt;=3,E235&amp;$AG$6,0)))</f>
        <v>0</v>
      </c>
      <c r="AH237" s="218">
        <f>IF(AG237=0,0,E235&amp;COUNTIF($AG$7:AG237,AG237))</f>
        <v>0</v>
      </c>
      <c r="AI237" s="218">
        <f t="shared" si="2085"/>
        <v>0</v>
      </c>
      <c r="AJ237" s="218" t="b">
        <f>IF(AI237=0,FALSE,IF(COUNTIF(AI$7:AI237,AI237)&gt;1,TRUE,FALSE))</f>
        <v>0</v>
      </c>
      <c r="AK237" s="218">
        <f t="shared" ref="AK237" si="2637">IF($AD237=AK$6,$E235,0)</f>
        <v>0</v>
      </c>
      <c r="AL237" s="218" t="b">
        <f>IF(AK237=0,FALSE,IF(COUNTIF(AK$7:AK237,AK237)&gt;1,TRUE,FALSE))</f>
        <v>0</v>
      </c>
      <c r="AM237" s="218">
        <f t="shared" ref="AM237" si="2638">IF($AD237=AM$6,$E235,0)</f>
        <v>0</v>
      </c>
      <c r="AN237" s="218" t="b">
        <f>IF(AM237=0,FALSE,IF(COUNTIF(AM$7:AM237,AM237)&gt;1,TRUE,FALSE))</f>
        <v>0</v>
      </c>
      <c r="AO237" s="218">
        <f t="shared" ref="AO237" si="2639">IF($AD237=AO$6,$E235,0)</f>
        <v>0</v>
      </c>
      <c r="AP237" s="218" t="b">
        <f>IF(AO237=0,FALSE,IF(COUNTIF(AO$7:AO237,AO237)&gt;1,TRUE,FALSE))</f>
        <v>0</v>
      </c>
      <c r="AQ237" s="218">
        <f t="shared" ref="AQ237" si="2640">IF(COUNTIF(Y237,"*十種競技*")&gt;0,E235,0)</f>
        <v>0</v>
      </c>
      <c r="AR237" s="218" t="b">
        <f>IF(AQ237=0,FALSE,IF(OR(COUNTIF($AI$7:$AI$406,AQ237)+COUNTIF($AQ237:$AQ$406,AQ237)&gt;1,COUNTIF($AK$7:$AK$406,AQ237)+COUNTIF($AQ$7:$AQ$406,AQ237)&gt;1),TRUE,FALSE))</f>
        <v>0</v>
      </c>
      <c r="AT237" s="218" t="b">
        <f t="shared" si="2226"/>
        <v>0</v>
      </c>
      <c r="AU237" s="274"/>
      <c r="AX237" s="274"/>
      <c r="BD237" s="218" t="b">
        <f t="shared" si="2213"/>
        <v>0</v>
      </c>
      <c r="BF237" s="231" t="b">
        <f t="shared" ref="BF237" si="2641">IF(J237="",FALSE,IF(OR(AND(AU235,L237=""),AND(AU235,L237="",OR(M237&lt;&gt;"",N237&lt;&gt;"",O237&lt;&gt;"",P237&lt;&gt;""))),TRUE,FALSE))</f>
        <v>0</v>
      </c>
      <c r="BG237" s="218" t="b">
        <f t="shared" si="2215"/>
        <v>0</v>
      </c>
      <c r="BH237" s="218" t="b">
        <f t="shared" si="2228"/>
        <v>0</v>
      </c>
      <c r="BI237" s="231" t="b">
        <f t="shared" ref="BI237" si="2642">IF(J237="",FALSE,IF(L237=0,FALSE,IF(AND(AU235,NOT(BF237),OR(M237="",N237="",O237="")),TRUE,FALSE)))</f>
        <v>0</v>
      </c>
      <c r="BJ237" s="240" t="b">
        <f t="shared" si="2230"/>
        <v>0</v>
      </c>
      <c r="BK237" s="231" t="b">
        <f>IF(NOT(BJ237),FALSE,IF(AND(競技会設定!$C$5&lt;=BJ237,BJ237&lt;=競技会設定!$C$6),FALSE,TRUE))</f>
        <v>0</v>
      </c>
      <c r="BL237" s="218" t="b">
        <f>IF(J237="",FALSE,IF(L237=0,FALSE,IF(AND(AU235,NOT(BF237),NOT(BI237),P237=""),TRUE,FALSE)))</f>
        <v>0</v>
      </c>
      <c r="BO237" s="274"/>
    </row>
    <row r="238" spans="1:67" ht="18" customHeight="1" thickBot="1">
      <c r="A238" s="422"/>
      <c r="B238" s="387" t="s">
        <v>7051</v>
      </c>
      <c r="C238" s="387"/>
      <c r="D238" s="213"/>
      <c r="E238" s="388"/>
      <c r="F238" s="389"/>
      <c r="G238" s="390"/>
      <c r="H238" s="141"/>
      <c r="I238" s="213" t="s">
        <v>7065</v>
      </c>
      <c r="J238" s="154"/>
      <c r="K238" s="213" t="s">
        <v>7066</v>
      </c>
      <c r="L238" s="154"/>
      <c r="M238" s="267"/>
      <c r="N238" s="268"/>
      <c r="O238" s="269"/>
      <c r="P238" s="154"/>
      <c r="Q238" s="383"/>
      <c r="R238" s="386"/>
      <c r="S238" s="136"/>
      <c r="T238" s="137"/>
      <c r="U238" s="137"/>
      <c r="V238" s="137"/>
      <c r="W238" s="137"/>
      <c r="X238" s="137"/>
      <c r="Y238" s="218">
        <f t="shared" ref="Y238" si="2643">IF(OR(E235="",J238=""),0,J238&amp;E235)</f>
        <v>0</v>
      </c>
      <c r="Z238" s="218">
        <f>IF(Y238=0,0,COUNTIF($Y$7:Y238,Y238))</f>
        <v>0</v>
      </c>
      <c r="AD238" s="218">
        <f>IFERROR(VLOOKUP(J238,競技会設定!$P$2:$S$22,2,0),0)</f>
        <v>0</v>
      </c>
      <c r="AE238" s="218">
        <f t="shared" ref="AE238" si="2644">IF(E235="",0,IF(AD238=0,0,IF(AD238&lt;3,E235&amp;$AE$6,0)))</f>
        <v>0</v>
      </c>
      <c r="AF238" s="218">
        <f>IF(AE238=0,0,E235&amp;COUNTIF($AE$7:AE238,AE238))</f>
        <v>0</v>
      </c>
      <c r="AG238" s="218">
        <f t="shared" ref="AG238" si="2645">IF(E235="",0,IF(AD238=0,0,IF(AD238&gt;=3,E235&amp;$AG$6,0)))</f>
        <v>0</v>
      </c>
      <c r="AH238" s="218">
        <f>IF(AG238=0,0,E235&amp;COUNTIF($AG$7:AG238,AG238))</f>
        <v>0</v>
      </c>
      <c r="AI238" s="218">
        <f t="shared" si="2095"/>
        <v>0</v>
      </c>
      <c r="AJ238" s="218" t="b">
        <f>IF(AI238=0,FALSE,IF(COUNTIF(AI$7:AI238,AI238)&gt;1,TRUE,FALSE))</f>
        <v>0</v>
      </c>
      <c r="AK238" s="218">
        <f t="shared" ref="AK238" si="2646">IF($AD238=AK$6,$E235,0)</f>
        <v>0</v>
      </c>
      <c r="AL238" s="218" t="b">
        <f>IF(AK238=0,FALSE,IF(COUNTIF(AK$7:AK238,AK238)&gt;1,TRUE,FALSE))</f>
        <v>0</v>
      </c>
      <c r="AM238" s="218">
        <f t="shared" ref="AM238" si="2647">IF($AD238=AM$6,$E235,0)</f>
        <v>0</v>
      </c>
      <c r="AN238" s="218" t="b">
        <f>IF(AM238=0,FALSE,IF(COUNTIF(AM$7:AM238,AM238)&gt;1,TRUE,FALSE))</f>
        <v>0</v>
      </c>
      <c r="AO238" s="218">
        <f t="shared" ref="AO238" si="2648">IF($AD238=AO$6,$E235,0)</f>
        <v>0</v>
      </c>
      <c r="AP238" s="218" t="b">
        <f>IF(AO238=0,FALSE,IF(COUNTIF(AO$7:AO238,AO238)&gt;1,TRUE,FALSE))</f>
        <v>0</v>
      </c>
      <c r="AQ238" s="218">
        <f t="shared" ref="AQ238" si="2649">IF(COUNTIF(Y238,"*十種競技*")&gt;0,E235,0)</f>
        <v>0</v>
      </c>
      <c r="AR238" s="218" t="b">
        <f>IF(AQ238=0,FALSE,IF(OR(COUNTIF($AI$7:$AI$406,AQ238)+COUNTIF($AQ238:$AQ$406,AQ238)&gt;1,COUNTIF($AK$7:$AK$406,AQ238)+COUNTIF($AQ$7:$AQ$406,AQ238)&gt;1),TRUE,FALSE))</f>
        <v>0</v>
      </c>
      <c r="AT238" s="218" t="b">
        <f t="shared" si="2226"/>
        <v>0</v>
      </c>
      <c r="AU238" s="274"/>
      <c r="AX238" s="274"/>
      <c r="BD238" s="218" t="b">
        <f t="shared" si="2213"/>
        <v>0</v>
      </c>
      <c r="BF238" s="231" t="b">
        <f t="shared" ref="BF238" si="2650">IF(J238="",FALSE,IF(OR(AND(AU235,L238=""),AND(AU235,L238="",OR(M238&lt;&gt;"",N238&lt;&gt;"",O238&lt;&gt;"",P238&lt;&gt;""))),TRUE,FALSE))</f>
        <v>0</v>
      </c>
      <c r="BG238" s="218" t="b">
        <f t="shared" si="2215"/>
        <v>0</v>
      </c>
      <c r="BH238" s="218" t="b">
        <f t="shared" si="2228"/>
        <v>0</v>
      </c>
      <c r="BI238" s="231" t="b">
        <f t="shared" ref="BI238" si="2651">IF(J238="",FALSE,IF(L238=0,FALSE,IF(AND(AU235,NOT(BF238),OR(M238="",N238="",O238="")),TRUE,FALSE)))</f>
        <v>0</v>
      </c>
      <c r="BJ238" s="240" t="b">
        <f t="shared" si="2230"/>
        <v>0</v>
      </c>
      <c r="BK238" s="231" t="b">
        <f>IF(NOT(BJ238),FALSE,IF(AND(競技会設定!$C$5&lt;=BJ238,BJ238&lt;=競技会設定!$C$6),FALSE,TRUE))</f>
        <v>0</v>
      </c>
      <c r="BL238" s="218" t="b">
        <f>IF(J238="",FALSE,IF(L238=0,FALSE,IF(AND(AU235,NOT(BF238),NOT(BI238),P238=""),TRUE,FALSE)))</f>
        <v>0</v>
      </c>
      <c r="BO238" s="274"/>
    </row>
    <row r="239" spans="1:67" ht="18" customHeight="1" thickTop="1">
      <c r="A239" s="417">
        <v>59</v>
      </c>
      <c r="B239" s="401" t="s">
        <v>7050</v>
      </c>
      <c r="C239" s="403"/>
      <c r="D239" s="220" t="str">
        <f t="shared" ref="D239" si="2652">IF(C239="","",501&amp;TEXT(C239,"000000"))</f>
        <v/>
      </c>
      <c r="E239" s="396" t="str">
        <f>IF(D239="","",(VLOOKUP(D239,男子登録!$A$2:$N$2001,3,0)))</f>
        <v/>
      </c>
      <c r="F239" s="396" t="str">
        <f>IF(D239="","",(VLOOKUP(D239,男子登録!$A$2:$N$2001,4,0)))</f>
        <v/>
      </c>
      <c r="G239" s="220" t="str">
        <f>IF(C239="","",(VLOOKUP(D239,男子登録!$A$2:$N$2001,8,0)))</f>
        <v/>
      </c>
      <c r="H239" s="220">
        <f>IFERROR(VLOOKUP(D239,男子登録!$A$2:$N$2001,11,0),基本情報!$E$5)</f>
        <v>0</v>
      </c>
      <c r="I239" s="220" t="s">
        <v>7059</v>
      </c>
      <c r="J239" s="148"/>
      <c r="K239" s="220" t="s">
        <v>7060</v>
      </c>
      <c r="L239" s="148"/>
      <c r="M239" s="252"/>
      <c r="N239" s="253"/>
      <c r="O239" s="254"/>
      <c r="P239" s="148"/>
      <c r="Q239" s="398"/>
      <c r="R239" s="391"/>
      <c r="S239" s="136">
        <f t="shared" ref="S239" si="2653">IF(OR(E239="",Q239=""),0,E239)</f>
        <v>0</v>
      </c>
      <c r="T239" s="137">
        <f>IF(S239=0,0,COUNTIF($S$7:S239,"*"))</f>
        <v>0</v>
      </c>
      <c r="U239" s="137">
        <f>IF(S239=0,0,COUNTIF($S$7:S239,S239))</f>
        <v>0</v>
      </c>
      <c r="V239" s="137">
        <f t="shared" si="2429"/>
        <v>0</v>
      </c>
      <c r="W239" s="137">
        <f>IF(V239=0,0,COUNTIF($V$7:V239,"*"))</f>
        <v>0</v>
      </c>
      <c r="X239" s="137">
        <f>IF(V239=0,0,COUNTIF($V$7:V239,V239))</f>
        <v>0</v>
      </c>
      <c r="Y239" s="218">
        <f t="shared" ref="Y239" si="2654">IF(OR(E239="",J239=""),0,J239&amp;E239)</f>
        <v>0</v>
      </c>
      <c r="Z239" s="218">
        <f>IF(Y239=0,0,COUNTIF($Y$7:Y239,Y239))</f>
        <v>0</v>
      </c>
      <c r="AA239" s="218" t="b">
        <f t="shared" ref="AA239" si="2655">IF(COUNTIF(J239:J242,"十種競技")&gt;0,TRUE,FALSE)</f>
        <v>0</v>
      </c>
      <c r="AB239" s="218">
        <f>IF(E239="",0,IF(AA239,COUNTIF($AA$7:AA239,TRUE),0))</f>
        <v>0</v>
      </c>
      <c r="AC239" s="218">
        <f>IFERROR(VLOOKUP("十種競技",J239:L242,3,0),0)</f>
        <v>0</v>
      </c>
      <c r="AD239" s="218">
        <f>IFERROR(VLOOKUP(J239,競技会設定!$P$2:$S$22,2,0),0)</f>
        <v>0</v>
      </c>
      <c r="AE239" s="218">
        <f t="shared" ref="AE239" si="2656">IF(E239="",0,IF(AD239=0,0,IF(AD239&lt;3,E239&amp;$AE$6,0)))</f>
        <v>0</v>
      </c>
      <c r="AF239" s="218">
        <f>IF(AE239=0,0,E239&amp;COUNTIF($AE$7:AE239,AE239))</f>
        <v>0</v>
      </c>
      <c r="AG239" s="218">
        <f t="shared" ref="AG239" si="2657">IF(E239="",0,IF(AD239=0,0,IF(AD239&gt;=3,E239&amp;$AG$6,0)))</f>
        <v>0</v>
      </c>
      <c r="AH239" s="218">
        <f>IF(AG239=0,0,E239&amp;COUNTIF($AG$7:AG239,AG239))</f>
        <v>0</v>
      </c>
      <c r="AI239" s="218">
        <f t="shared" si="2108"/>
        <v>0</v>
      </c>
      <c r="AJ239" s="218" t="b">
        <f>IF(AI239=0,FALSE,IF(COUNTIF(AI$7:AI239,AI239)&gt;1,TRUE,FALSE))</f>
        <v>0</v>
      </c>
      <c r="AK239" s="218">
        <f t="shared" ref="AK239" si="2658">IF($AD239=AK$6,$E239,0)</f>
        <v>0</v>
      </c>
      <c r="AL239" s="218" t="b">
        <f>IF(AK239=0,FALSE,IF(COUNTIF(AK$7:AK239,AK239)&gt;1,TRUE,FALSE))</f>
        <v>0</v>
      </c>
      <c r="AM239" s="218">
        <f t="shared" ref="AM239" si="2659">IF($AD239=AM$6,$E239,0)</f>
        <v>0</v>
      </c>
      <c r="AN239" s="218" t="b">
        <f>IF(AM239=0,FALSE,IF(COUNTIF(AM$7:AM239,AM239)&gt;1,TRUE,FALSE))</f>
        <v>0</v>
      </c>
      <c r="AO239" s="218">
        <f t="shared" ref="AO239" si="2660">IF($AD239=AO$6,$E239,0)</f>
        <v>0</v>
      </c>
      <c r="AP239" s="218" t="b">
        <f>IF(AO239=0,FALSE,IF(COUNTIF(AO$7:AO239,AO239)&gt;1,TRUE,FALSE))</f>
        <v>0</v>
      </c>
      <c r="AQ239" s="218">
        <f t="shared" ref="AQ239" si="2661">IF(COUNTIF(Y239,"*十種競技*")&gt;0,E239,0)</f>
        <v>0</v>
      </c>
      <c r="AR239" s="218" t="b">
        <f>IF(AQ239=0,FALSE,IF(OR(COUNTIF($AI$7:$AI$406,AQ239)+COUNTIF($AQ239:$AQ$406,AQ239)&gt;1,COUNTIF($AK$7:$AK$406,AQ239)+COUNTIF($AQ$7:$AQ$406,AQ239)&gt;1),TRUE,FALSE))</f>
        <v>0</v>
      </c>
      <c r="AS239" s="218" t="b">
        <f t="shared" ref="AS239" si="2662">IF(AND(C239="",E239&lt;&gt;"",F239&lt;&gt;"",E241&lt;&gt;"",G239&lt;&gt;"",G240&lt;&gt;"",G241&lt;&gt;""),TRUE,FALSE)</f>
        <v>0</v>
      </c>
      <c r="AT239" s="218" t="b">
        <f t="shared" si="2226"/>
        <v>0</v>
      </c>
      <c r="AU239" s="274" t="b">
        <f t="shared" ref="AU239" si="2663">IFERROR(IF(D239&amp;E239&amp;F239&amp;E241&amp;G239&amp;G240&amp;G241&amp;J239&amp;J240&amp;J241&amp;J242&amp;L239&amp;L240&amp;L241&amp;L242&amp;M239&amp;M240&amp;M241&amp;M242&amp;N239&amp;N240&amp;N241&amp;N242&amp;O239&amp;O240&amp;O241&amp;O242&amp;P239&amp;P240&amp;P241&amp;P242&amp;Q239&amp;R239="",FALSE,TRUE),FALSE)</f>
        <v>0</v>
      </c>
      <c r="AV239" s="218" t="b">
        <f t="shared" ref="AV239" si="2664">IF(AS239,FALSE,IF(C239="",AU239,FALSE))</f>
        <v>0</v>
      </c>
      <c r="AW239" s="218" t="b">
        <f>IF(C239="",FALSE,IF(C239&gt;2000,TRUE,FALSE))</f>
        <v>0</v>
      </c>
      <c r="AX239" s="274" t="b">
        <f>IF(H239=0,FALSE,IF(EXACT(基本情報!$E$5,H239)=TRUE,FALSE,TRUE))</f>
        <v>0</v>
      </c>
      <c r="AY239" s="218" t="b">
        <f>IF(C239="",FALSE,IF(ISNA(E239)=TRUE,TRUE,FALSE))</f>
        <v>0</v>
      </c>
      <c r="AZ239" s="274" t="b">
        <f>IFERROR(IF(E239="",FALSE,IF(COUNTIF($E$7:E239,E239)&gt;1,TRUE,FALSE)),FALSE)</f>
        <v>0</v>
      </c>
      <c r="BA239" s="218" t="b">
        <f t="shared" ref="BA239" si="2665">IF(OR(J239&amp;J240&amp;J241&amp;J242&amp;Q239&amp;R239="",AT239,AT240,AT241,AT242),AU239,FALSE)</f>
        <v>0</v>
      </c>
      <c r="BB239" s="218" t="b">
        <f>IF(U239&gt;1,TRUE,FALSE)</f>
        <v>0</v>
      </c>
      <c r="BC239" s="218" t="b">
        <f>IF(X239&gt;1,TRUE,FALSE)</f>
        <v>0</v>
      </c>
      <c r="BD239" s="218" t="b">
        <f t="shared" si="2213"/>
        <v>0</v>
      </c>
      <c r="BF239" s="231" t="b">
        <f t="shared" ref="BF239" si="2666">IF(J239="",FALSE,IF(OR(AND(AU239,L239=""),AND(AU239,L239="",OR(M239&lt;&gt;"",N239&lt;&gt;"",O239&lt;&gt;"",P239&lt;&gt;""))),TRUE,FALSE))</f>
        <v>0</v>
      </c>
      <c r="BG239" s="218" t="b">
        <f t="shared" si="2215"/>
        <v>0</v>
      </c>
      <c r="BH239" s="218" t="b">
        <f t="shared" si="2228"/>
        <v>0</v>
      </c>
      <c r="BI239" s="231" t="b">
        <f t="shared" ref="BI239" si="2667">IF(J239="",FALSE,IF(L239=0,FALSE,IF(AND(AU239,NOT(BF239),OR(M239="",N239="",O239="")),TRUE,FALSE)))</f>
        <v>0</v>
      </c>
      <c r="BJ239" s="240" t="b">
        <f t="shared" si="2230"/>
        <v>0</v>
      </c>
      <c r="BK239" s="231" t="b">
        <f>IF(NOT(BJ239),FALSE,IF(AND(競技会設定!$C$5&lt;=BJ239,BJ239&lt;=競技会設定!$C$6),FALSE,TRUE))</f>
        <v>0</v>
      </c>
      <c r="BL239" s="218" t="b">
        <f>IF(J239="",FALSE,IF(L239=0,FALSE,IF(AND(AU239,NOT(BF239),NOT(BI239),P239=""),TRUE,FALSE)))</f>
        <v>0</v>
      </c>
      <c r="BO239" s="274">
        <f t="shared" ref="BO239" si="2668">IF(AND(AU239,SUM(COUNTIF(AV239:BC239,TRUE),COUNTIF(BF239:BL242,TRUE),COUNTIF(BD239:BD242,TRUE))=0,NOT($BE$7)),1,0)</f>
        <v>0</v>
      </c>
    </row>
    <row r="240" spans="1:67" ht="17.399999999999999" customHeight="1">
      <c r="A240" s="418"/>
      <c r="B240" s="402"/>
      <c r="C240" s="404"/>
      <c r="D240" s="221"/>
      <c r="E240" s="397"/>
      <c r="F240" s="397"/>
      <c r="G240" s="221" t="str">
        <f>IF(C239="","",(VLOOKUP(D239,男子登録!$A$2:$N$2001,13,0)))</f>
        <v/>
      </c>
      <c r="H240" s="221"/>
      <c r="I240" s="221" t="s">
        <v>7061</v>
      </c>
      <c r="J240" s="149"/>
      <c r="K240" s="221" t="s">
        <v>7062</v>
      </c>
      <c r="L240" s="149"/>
      <c r="M240" s="255"/>
      <c r="N240" s="256"/>
      <c r="O240" s="257"/>
      <c r="P240" s="149"/>
      <c r="Q240" s="399"/>
      <c r="R240" s="392"/>
      <c r="S240" s="136"/>
      <c r="T240" s="137"/>
      <c r="U240" s="137"/>
      <c r="V240" s="137"/>
      <c r="W240" s="137"/>
      <c r="X240" s="137"/>
      <c r="Y240" s="218">
        <f t="shared" ref="Y240" si="2669">IF(OR(E239="",J240=""),0,J240&amp;E239)</f>
        <v>0</v>
      </c>
      <c r="Z240" s="218">
        <f>IF(Y240=0,0,COUNTIF($Y$7:Y240,Y240))</f>
        <v>0</v>
      </c>
      <c r="AD240" s="218">
        <f>IFERROR(VLOOKUP(J240,競技会設定!$P$2:$S$22,2,0),0)</f>
        <v>0</v>
      </c>
      <c r="AE240" s="218">
        <f t="shared" ref="AE240" si="2670">IF(E239="",0,IF(AD240=0,0,IF(AD240&lt;3,E239&amp;$AE$6,0)))</f>
        <v>0</v>
      </c>
      <c r="AF240" s="218">
        <f>IF(AE240=0,0,E239&amp;COUNTIF($AE$7:AE240,AE240))</f>
        <v>0</v>
      </c>
      <c r="AG240" s="218">
        <f t="shared" ref="AG240" si="2671">IF(E239="",0,IF(AD240=0,0,IF(AD240&gt;=3,E239&amp;$AG$6,0)))</f>
        <v>0</v>
      </c>
      <c r="AH240" s="218">
        <f>IF(AG240=0,0,E239&amp;COUNTIF($AG$7:AG240,AG240))</f>
        <v>0</v>
      </c>
      <c r="AI240" s="218">
        <f t="shared" si="2123"/>
        <v>0</v>
      </c>
      <c r="AJ240" s="218" t="b">
        <f>IF(AI240=0,FALSE,IF(COUNTIF(AI$7:AI240,AI240)&gt;1,TRUE,FALSE))</f>
        <v>0</v>
      </c>
      <c r="AK240" s="218">
        <f t="shared" ref="AK240" si="2672">IF($AD240=AK$6,$E239,0)</f>
        <v>0</v>
      </c>
      <c r="AL240" s="218" t="b">
        <f>IF(AK240=0,FALSE,IF(COUNTIF(AK$7:AK240,AK240)&gt;1,TRUE,FALSE))</f>
        <v>0</v>
      </c>
      <c r="AM240" s="218">
        <f t="shared" ref="AM240" si="2673">IF($AD240=AM$6,$E239,0)</f>
        <v>0</v>
      </c>
      <c r="AN240" s="218" t="b">
        <f>IF(AM240=0,FALSE,IF(COUNTIF(AM$7:AM240,AM240)&gt;1,TRUE,FALSE))</f>
        <v>0</v>
      </c>
      <c r="AO240" s="218">
        <f t="shared" ref="AO240" si="2674">IF($AD240=AO$6,$E239,0)</f>
        <v>0</v>
      </c>
      <c r="AP240" s="218" t="b">
        <f>IF(AO240=0,FALSE,IF(COUNTIF(AO$7:AO240,AO240)&gt;1,TRUE,FALSE))</f>
        <v>0</v>
      </c>
      <c r="AQ240" s="218">
        <f t="shared" ref="AQ240" si="2675">IF(COUNTIF(Y240,"*十種競技*")&gt;0,E239,0)</f>
        <v>0</v>
      </c>
      <c r="AR240" s="218" t="b">
        <f>IF(AQ240=0,FALSE,IF(OR(COUNTIF($AI$7:$AI$406,AQ240)+COUNTIF($AQ240:$AQ$406,AQ240)&gt;1,COUNTIF($AK$7:$AK$406,AQ240)+COUNTIF($AQ$7:$AQ$406,AQ240)&gt;1),TRUE,FALSE))</f>
        <v>0</v>
      </c>
      <c r="AT240" s="218" t="b">
        <f t="shared" si="2226"/>
        <v>0</v>
      </c>
      <c r="AU240" s="274"/>
      <c r="AX240" s="274"/>
      <c r="BD240" s="218" t="b">
        <f t="shared" si="2213"/>
        <v>0</v>
      </c>
      <c r="BF240" s="231" t="b">
        <f t="shared" ref="BF240" si="2676">IF(J240="",FALSE,IF(OR(AND(AU239,L240=""),AND(AU239,L240="",OR(M240&lt;&gt;"",N240&lt;&gt;"",O240&lt;&gt;"",P240&lt;&gt;""))),TRUE,FALSE))</f>
        <v>0</v>
      </c>
      <c r="BG240" s="218" t="b">
        <f t="shared" si="2215"/>
        <v>0</v>
      </c>
      <c r="BH240" s="218" t="b">
        <f t="shared" si="2228"/>
        <v>0</v>
      </c>
      <c r="BI240" s="231" t="b">
        <f t="shared" ref="BI240" si="2677">IF(J240="",FALSE,IF(L240=0,FALSE,IF(AND(AU239,NOT(BF240),OR(M240="",N240="",O240="")),TRUE,FALSE)))</f>
        <v>0</v>
      </c>
      <c r="BJ240" s="240" t="b">
        <f t="shared" si="2230"/>
        <v>0</v>
      </c>
      <c r="BK240" s="231" t="b">
        <f>IF(NOT(BJ240),FALSE,IF(AND(競技会設定!$C$5&lt;=BJ240,BJ240&lt;=競技会設定!$C$6),FALSE,TRUE))</f>
        <v>0</v>
      </c>
      <c r="BL240" s="218" t="b">
        <f>IF(J240="",FALSE,IF(L240=0,FALSE,IF(AND(AU239,NOT(BF240),NOT(BI240),P240=""),TRUE,FALSE)))</f>
        <v>0</v>
      </c>
      <c r="BO240" s="274"/>
    </row>
    <row r="241" spans="1:67" ht="17.399999999999999" customHeight="1">
      <c r="A241" s="418"/>
      <c r="B241" s="402"/>
      <c r="C241" s="404"/>
      <c r="D241" s="221"/>
      <c r="E241" s="394" t="str">
        <f>IF(C239="","",VLOOKUP(D239,男子登録!$A$2:$O$2001,14,0)&amp;" ("&amp;VLOOKUP(D239,男子登録!$A$2:$O$2001,15,0)&amp;")")</f>
        <v/>
      </c>
      <c r="F241" s="394"/>
      <c r="G241" s="222" t="str">
        <f>IF(C239="","",(VLOOKUP(D239,男子登録!$A$2:$N$2001,9,0)))</f>
        <v/>
      </c>
      <c r="H241" s="222"/>
      <c r="I241" s="222" t="s">
        <v>7063</v>
      </c>
      <c r="J241" s="150"/>
      <c r="K241" s="222" t="s">
        <v>7064</v>
      </c>
      <c r="L241" s="150"/>
      <c r="M241" s="255"/>
      <c r="N241" s="256"/>
      <c r="O241" s="257"/>
      <c r="P241" s="149"/>
      <c r="Q241" s="399"/>
      <c r="R241" s="392"/>
      <c r="S241" s="136"/>
      <c r="T241" s="137"/>
      <c r="U241" s="137"/>
      <c r="V241" s="137"/>
      <c r="W241" s="137"/>
      <c r="X241" s="137"/>
      <c r="Y241" s="218">
        <f t="shared" ref="Y241" si="2678">IF(OR(E239="",J241=""),0,J241&amp;E239)</f>
        <v>0</v>
      </c>
      <c r="Z241" s="218">
        <f>IF(Y241=0,0,COUNTIF($Y$7:Y241,Y241))</f>
        <v>0</v>
      </c>
      <c r="AD241" s="218">
        <f>IFERROR(VLOOKUP(J241,競技会設定!$P$2:$S$22,2,0),0)</f>
        <v>0</v>
      </c>
      <c r="AE241" s="218">
        <f t="shared" ref="AE241" si="2679">IF(E239="",0,IF(AD241=0,0,IF(AD241&lt;3,E239&amp;$AE$6,0)))</f>
        <v>0</v>
      </c>
      <c r="AF241" s="218">
        <f>IF(AE241=0,0,E239&amp;COUNTIF($AE$7:AE241,AE241))</f>
        <v>0</v>
      </c>
      <c r="AG241" s="218">
        <f t="shared" ref="AG241" si="2680">IF(E239="",0,IF(AD241=0,0,IF(AD241&gt;=3,E239&amp;$AG$6,0)))</f>
        <v>0</v>
      </c>
      <c r="AH241" s="218">
        <f>IF(AG241=0,0,E239&amp;COUNTIF($AG$7:AG241,AG241))</f>
        <v>0</v>
      </c>
      <c r="AI241" s="218">
        <f t="shared" si="2133"/>
        <v>0</v>
      </c>
      <c r="AJ241" s="218" t="b">
        <f>IF(AI241=0,FALSE,IF(COUNTIF(AI$7:AI241,AI241)&gt;1,TRUE,FALSE))</f>
        <v>0</v>
      </c>
      <c r="AK241" s="218">
        <f t="shared" ref="AK241" si="2681">IF($AD241=AK$6,$E239,0)</f>
        <v>0</v>
      </c>
      <c r="AL241" s="218" t="b">
        <f>IF(AK241=0,FALSE,IF(COUNTIF(AK$7:AK241,AK241)&gt;1,TRUE,FALSE))</f>
        <v>0</v>
      </c>
      <c r="AM241" s="218">
        <f t="shared" ref="AM241" si="2682">IF($AD241=AM$6,$E239,0)</f>
        <v>0</v>
      </c>
      <c r="AN241" s="218" t="b">
        <f>IF(AM241=0,FALSE,IF(COUNTIF(AM$7:AM241,AM241)&gt;1,TRUE,FALSE))</f>
        <v>0</v>
      </c>
      <c r="AO241" s="218">
        <f t="shared" ref="AO241" si="2683">IF($AD241=AO$6,$E239,0)</f>
        <v>0</v>
      </c>
      <c r="AP241" s="218" t="b">
        <f>IF(AO241=0,FALSE,IF(COUNTIF(AO$7:AO241,AO241)&gt;1,TRUE,FALSE))</f>
        <v>0</v>
      </c>
      <c r="AQ241" s="218">
        <f t="shared" ref="AQ241" si="2684">IF(COUNTIF(Y241,"*十種競技*")&gt;0,E239,0)</f>
        <v>0</v>
      </c>
      <c r="AR241" s="218" t="b">
        <f>IF(AQ241=0,FALSE,IF(OR(COUNTIF($AI$7:$AI$406,AQ241)+COUNTIF($AQ241:$AQ$406,AQ241)&gt;1,COUNTIF($AK$7:$AK$406,AQ241)+COUNTIF($AQ$7:$AQ$406,AQ241)&gt;1),TRUE,FALSE))</f>
        <v>0</v>
      </c>
      <c r="AT241" s="218" t="b">
        <f t="shared" si="2226"/>
        <v>0</v>
      </c>
      <c r="AU241" s="274"/>
      <c r="AX241" s="274"/>
      <c r="BD241" s="218" t="b">
        <f t="shared" si="2213"/>
        <v>0</v>
      </c>
      <c r="BF241" s="231" t="b">
        <f t="shared" ref="BF241" si="2685">IF(J241="",FALSE,IF(OR(AND(AU239,L241=""),AND(AU239,L241="",OR(M241&lt;&gt;"",N241&lt;&gt;"",O241&lt;&gt;"",P241&lt;&gt;""))),TRUE,FALSE))</f>
        <v>0</v>
      </c>
      <c r="BG241" s="218" t="b">
        <f t="shared" si="2215"/>
        <v>0</v>
      </c>
      <c r="BH241" s="218" t="b">
        <f t="shared" si="2228"/>
        <v>0</v>
      </c>
      <c r="BI241" s="231" t="b">
        <f t="shared" ref="BI241" si="2686">IF(J241="",FALSE,IF(L241=0,FALSE,IF(AND(AU239,NOT(BF241),OR(M241="",N241="",O241="")),TRUE,FALSE)))</f>
        <v>0</v>
      </c>
      <c r="BJ241" s="240" t="b">
        <f t="shared" si="2230"/>
        <v>0</v>
      </c>
      <c r="BK241" s="231" t="b">
        <f>IF(NOT(BJ241),FALSE,IF(AND(競技会設定!$C$5&lt;=BJ241,BJ241&lt;=競技会設定!$C$6),FALSE,TRUE))</f>
        <v>0</v>
      </c>
      <c r="BL241" s="218" t="b">
        <f>IF(J241="",FALSE,IF(L241=0,FALSE,IF(AND(AU239,NOT(BF241),NOT(BI241),P241=""),TRUE,FALSE)))</f>
        <v>0</v>
      </c>
      <c r="BO241" s="274"/>
    </row>
    <row r="242" spans="1:67" ht="18" customHeight="1" thickBot="1">
      <c r="A242" s="419"/>
      <c r="B242" s="395" t="s">
        <v>7051</v>
      </c>
      <c r="C242" s="395"/>
      <c r="D242" s="221"/>
      <c r="E242" s="372"/>
      <c r="F242" s="372"/>
      <c r="G242" s="372"/>
      <c r="H242" s="214"/>
      <c r="I242" s="214" t="s">
        <v>7065</v>
      </c>
      <c r="J242" s="219"/>
      <c r="K242" s="214" t="s">
        <v>7066</v>
      </c>
      <c r="L242" s="219"/>
      <c r="M242" s="258"/>
      <c r="N242" s="259"/>
      <c r="O242" s="260"/>
      <c r="P242" s="219"/>
      <c r="Q242" s="400"/>
      <c r="R242" s="393"/>
      <c r="S242" s="136"/>
      <c r="T242" s="137"/>
      <c r="U242" s="137"/>
      <c r="V242" s="137"/>
      <c r="W242" s="137"/>
      <c r="X242" s="137"/>
      <c r="Y242" s="218">
        <f t="shared" ref="Y242" si="2687">IF(OR(E239="",J242=""),0,J242&amp;E239)</f>
        <v>0</v>
      </c>
      <c r="Z242" s="218">
        <f>IF(Y242=0,0,COUNTIF($Y$7:Y242,Y242))</f>
        <v>0</v>
      </c>
      <c r="AD242" s="218">
        <f>IFERROR(VLOOKUP(J242,競技会設定!$P$2:$S$22,2,0),0)</f>
        <v>0</v>
      </c>
      <c r="AE242" s="218">
        <f t="shared" ref="AE242" si="2688">IF(E239="",0,IF(AD242=0,0,IF(AD242&lt;3,E239&amp;$AE$6,0)))</f>
        <v>0</v>
      </c>
      <c r="AF242" s="218">
        <f>IF(AE242=0,0,E239&amp;COUNTIF($AE$7:AE242,AE242))</f>
        <v>0</v>
      </c>
      <c r="AG242" s="218">
        <f t="shared" ref="AG242" si="2689">IF(E239="",0,IF(AD242=0,0,IF(AD242&gt;=3,E239&amp;$AG$6,0)))</f>
        <v>0</v>
      </c>
      <c r="AH242" s="218">
        <f>IF(AG242=0,0,E239&amp;COUNTIF($AG$7:AG242,AG242))</f>
        <v>0</v>
      </c>
      <c r="AI242" s="218">
        <f t="shared" si="2143"/>
        <v>0</v>
      </c>
      <c r="AJ242" s="218" t="b">
        <f>IF(AI242=0,FALSE,IF(COUNTIF(AI$7:AI242,AI242)&gt;1,TRUE,FALSE))</f>
        <v>0</v>
      </c>
      <c r="AK242" s="218">
        <f t="shared" ref="AK242" si="2690">IF($AD242=AK$6,$E239,0)</f>
        <v>0</v>
      </c>
      <c r="AL242" s="218" t="b">
        <f>IF(AK242=0,FALSE,IF(COUNTIF(AK$7:AK242,AK242)&gt;1,TRUE,FALSE))</f>
        <v>0</v>
      </c>
      <c r="AM242" s="218">
        <f t="shared" ref="AM242" si="2691">IF($AD242=AM$6,$E239,0)</f>
        <v>0</v>
      </c>
      <c r="AN242" s="218" t="b">
        <f>IF(AM242=0,FALSE,IF(COUNTIF(AM$7:AM242,AM242)&gt;1,TRUE,FALSE))</f>
        <v>0</v>
      </c>
      <c r="AO242" s="218">
        <f t="shared" ref="AO242" si="2692">IF($AD242=AO$6,$E239,0)</f>
        <v>0</v>
      </c>
      <c r="AP242" s="218" t="b">
        <f>IF(AO242=0,FALSE,IF(COUNTIF(AO$7:AO242,AO242)&gt;1,TRUE,FALSE))</f>
        <v>0</v>
      </c>
      <c r="AQ242" s="218">
        <f t="shared" ref="AQ242" si="2693">IF(COUNTIF(Y242,"*十種競技*")&gt;0,E239,0)</f>
        <v>0</v>
      </c>
      <c r="AR242" s="218" t="b">
        <f>IF(AQ242=0,FALSE,IF(OR(COUNTIF($AI$7:$AI$406,AQ242)+COUNTIF($AQ242:$AQ$406,AQ242)&gt;1,COUNTIF($AK$7:$AK$406,AQ242)+COUNTIF($AQ$7:$AQ$406,AQ242)&gt;1),TRUE,FALSE))</f>
        <v>0</v>
      </c>
      <c r="AT242" s="218" t="b">
        <f t="shared" si="2226"/>
        <v>0</v>
      </c>
      <c r="AU242" s="274"/>
      <c r="AX242" s="274"/>
      <c r="BD242" s="218" t="b">
        <f t="shared" si="2213"/>
        <v>0</v>
      </c>
      <c r="BF242" s="231" t="b">
        <f t="shared" ref="BF242" si="2694">IF(J242="",FALSE,IF(OR(AND(AU239,L242=""),AND(AU239,L242="",OR(M242&lt;&gt;"",N242&lt;&gt;"",O242&lt;&gt;"",P242&lt;&gt;""))),TRUE,FALSE))</f>
        <v>0</v>
      </c>
      <c r="BG242" s="218" t="b">
        <f t="shared" si="2215"/>
        <v>0</v>
      </c>
      <c r="BH242" s="218" t="b">
        <f t="shared" si="2228"/>
        <v>0</v>
      </c>
      <c r="BI242" s="231" t="b">
        <f t="shared" ref="BI242" si="2695">IF(J242="",FALSE,IF(L242=0,FALSE,IF(AND(AU239,NOT(BF242),OR(M242="",N242="",O242="")),TRUE,FALSE)))</f>
        <v>0</v>
      </c>
      <c r="BJ242" s="240" t="b">
        <f t="shared" si="2230"/>
        <v>0</v>
      </c>
      <c r="BK242" s="231" t="b">
        <f>IF(NOT(BJ242),FALSE,IF(AND(競技会設定!$C$5&lt;=BJ242,BJ242&lt;=競技会設定!$C$6),FALSE,TRUE))</f>
        <v>0</v>
      </c>
      <c r="BL242" s="218" t="b">
        <f>IF(J242="",FALSE,IF(L242=0,FALSE,IF(AND(AU239,NOT(BF242),NOT(BI242),P242=""),TRUE,FALSE)))</f>
        <v>0</v>
      </c>
      <c r="BO242" s="274"/>
    </row>
    <row r="243" spans="1:67" ht="18" customHeight="1" thickTop="1">
      <c r="A243" s="420">
        <v>60</v>
      </c>
      <c r="B243" s="373" t="s">
        <v>7050</v>
      </c>
      <c r="C243" s="375"/>
      <c r="D243" s="138" t="str">
        <f t="shared" ref="D243" si="2696">IF(C243="","",501&amp;TEXT(C243,"000000"))</f>
        <v/>
      </c>
      <c r="E243" s="377" t="str">
        <f>IF(D243="","",(VLOOKUP(D243,男子登録!$A$2:$N$2001,3,0)))</f>
        <v/>
      </c>
      <c r="F243" s="377" t="str">
        <f>IF(D243="","",(VLOOKUP(D243,男子登録!$A$2:$N$2001,4,0)))</f>
        <v/>
      </c>
      <c r="G243" s="138" t="str">
        <f>IF(C243="","",(VLOOKUP(D243,男子登録!$A$2:$N$2001,8,0)))</f>
        <v/>
      </c>
      <c r="H243" s="138">
        <f>IFERROR(VLOOKUP(D243,男子登録!$A$2:$N$2001,11,0),基本情報!$E$5)</f>
        <v>0</v>
      </c>
      <c r="I243" s="138" t="s">
        <v>7059</v>
      </c>
      <c r="J243" s="151"/>
      <c r="K243" s="138" t="s">
        <v>7060</v>
      </c>
      <c r="L243" s="151"/>
      <c r="M243" s="261"/>
      <c r="N243" s="262"/>
      <c r="O243" s="263"/>
      <c r="P243" s="151"/>
      <c r="Q243" s="381"/>
      <c r="R243" s="384"/>
      <c r="S243" s="136">
        <f t="shared" ref="S243" si="2697">IF(OR(E243="",Q243=""),0,E243)</f>
        <v>0</v>
      </c>
      <c r="T243" s="137">
        <f>IF(S243=0,0,COUNTIF($S$7:S243,"*"))</f>
        <v>0</v>
      </c>
      <c r="U243" s="137">
        <f>IF(S243=0,0,COUNTIF($S$7:S243,S243))</f>
        <v>0</v>
      </c>
      <c r="V243" s="137">
        <f t="shared" si="2429"/>
        <v>0</v>
      </c>
      <c r="W243" s="137">
        <f>IF(V243=0,0,COUNTIF($V$7:V243,"*"))</f>
        <v>0</v>
      </c>
      <c r="X243" s="137">
        <f>IF(V243=0,0,COUNTIF($V$7:V243,V243))</f>
        <v>0</v>
      </c>
      <c r="Y243" s="218">
        <f t="shared" ref="Y243" si="2698">IF(OR(E243="",J243=""),0,J243&amp;E243)</f>
        <v>0</v>
      </c>
      <c r="Z243" s="218">
        <f>IF(Y243=0,0,COUNTIF($Y$7:Y243,Y243))</f>
        <v>0</v>
      </c>
      <c r="AA243" s="218" t="b">
        <f t="shared" ref="AA243" si="2699">IF(COUNTIF(J243:J246,"十種競技")&gt;0,TRUE,FALSE)</f>
        <v>0</v>
      </c>
      <c r="AB243" s="218">
        <f>IF(E243="",0,IF(AA243,COUNTIF($AA$7:AA243,TRUE),0))</f>
        <v>0</v>
      </c>
      <c r="AC243" s="218">
        <f>IFERROR(VLOOKUP("十種競技",J243:L246,3,0),0)</f>
        <v>0</v>
      </c>
      <c r="AD243" s="218">
        <f>IFERROR(VLOOKUP(J243,競技会設定!$P$2:$S$22,2,0),0)</f>
        <v>0</v>
      </c>
      <c r="AE243" s="218">
        <f t="shared" ref="AE243" si="2700">IF(E243="",0,IF(AD243=0,0,IF(AD243&lt;3,E243&amp;$AE$6,0)))</f>
        <v>0</v>
      </c>
      <c r="AF243" s="218">
        <f>IF(AE243=0,0,E243&amp;COUNTIF($AE$7:AE243,AE243))</f>
        <v>0</v>
      </c>
      <c r="AG243" s="218">
        <f t="shared" ref="AG243" si="2701">IF(E243="",0,IF(AD243=0,0,IF(AD243&gt;=3,E243&amp;$AG$6,0)))</f>
        <v>0</v>
      </c>
      <c r="AH243" s="218">
        <f>IF(AG243=0,0,E243&amp;COUNTIF($AG$7:AG243,AG243))</f>
        <v>0</v>
      </c>
      <c r="AI243" s="218">
        <f t="shared" si="2156"/>
        <v>0</v>
      </c>
      <c r="AJ243" s="218" t="b">
        <f>IF(AI243=0,FALSE,IF(COUNTIF(AI$7:AI243,AI243)&gt;1,TRUE,FALSE))</f>
        <v>0</v>
      </c>
      <c r="AK243" s="218">
        <f t="shared" ref="AK243" si="2702">IF($AD243=AK$6,$E243,0)</f>
        <v>0</v>
      </c>
      <c r="AL243" s="218" t="b">
        <f>IF(AK243=0,FALSE,IF(COUNTIF(AK$7:AK243,AK243)&gt;1,TRUE,FALSE))</f>
        <v>0</v>
      </c>
      <c r="AM243" s="218">
        <f t="shared" ref="AM243" si="2703">IF($AD243=AM$6,$E243,0)</f>
        <v>0</v>
      </c>
      <c r="AN243" s="218" t="b">
        <f>IF(AM243=0,FALSE,IF(COUNTIF(AM$7:AM243,AM243)&gt;1,TRUE,FALSE))</f>
        <v>0</v>
      </c>
      <c r="AO243" s="218">
        <f t="shared" ref="AO243" si="2704">IF($AD243=AO$6,$E243,0)</f>
        <v>0</v>
      </c>
      <c r="AP243" s="218" t="b">
        <f>IF(AO243=0,FALSE,IF(COUNTIF(AO$7:AO243,AO243)&gt;1,TRUE,FALSE))</f>
        <v>0</v>
      </c>
      <c r="AQ243" s="218">
        <f t="shared" ref="AQ243" si="2705">IF(COUNTIF(Y243,"*十種競技*")&gt;0,E243,0)</f>
        <v>0</v>
      </c>
      <c r="AR243" s="218" t="b">
        <f>IF(AQ243=0,FALSE,IF(OR(COUNTIF($AI$7:$AI$406,AQ243)+COUNTIF($AQ243:$AQ$406,AQ243)&gt;1,COUNTIF($AK$7:$AK$406,AQ243)+COUNTIF($AQ$7:$AQ$406,AQ243)&gt;1),TRUE,FALSE))</f>
        <v>0</v>
      </c>
      <c r="AS243" s="218" t="b">
        <f t="shared" ref="AS243" si="2706">IF(AND(C243="",E243&lt;&gt;"",F243&lt;&gt;"",E245&lt;&gt;"",G243&lt;&gt;"",G244&lt;&gt;"",G245&lt;&gt;""),TRUE,FALSE)</f>
        <v>0</v>
      </c>
      <c r="AT243" s="218" t="b">
        <f t="shared" si="2226"/>
        <v>0</v>
      </c>
      <c r="AU243" s="274" t="b">
        <f t="shared" ref="AU243" si="2707">IFERROR(IF(D243&amp;E243&amp;F243&amp;E245&amp;G243&amp;G244&amp;G245&amp;J243&amp;J244&amp;J245&amp;J246&amp;L243&amp;L244&amp;L245&amp;L246&amp;M243&amp;M244&amp;M245&amp;M246&amp;N243&amp;N244&amp;N245&amp;N246&amp;O243&amp;O244&amp;O245&amp;O246&amp;P243&amp;P244&amp;P245&amp;P246&amp;Q243&amp;R243="",FALSE,TRUE),FALSE)</f>
        <v>0</v>
      </c>
      <c r="AV243" s="218" t="b">
        <f t="shared" ref="AV243" si="2708">IF(AS243,FALSE,IF(C243="",AU243,FALSE))</f>
        <v>0</v>
      </c>
      <c r="AW243" s="218" t="b">
        <f>IF(C243="",FALSE,IF(C243&gt;2000,TRUE,FALSE))</f>
        <v>0</v>
      </c>
      <c r="AX243" s="274" t="b">
        <f>IF(H243=0,FALSE,IF(EXACT(基本情報!$E$5,H243)=TRUE,FALSE,TRUE))</f>
        <v>0</v>
      </c>
      <c r="AY243" s="218" t="b">
        <f>IF(C243="",FALSE,IF(ISNA(E243)=TRUE,TRUE,FALSE))</f>
        <v>0</v>
      </c>
      <c r="AZ243" s="274" t="b">
        <f>IFERROR(IF(E243="",FALSE,IF(COUNTIF($E$7:E243,E243)&gt;1,TRUE,FALSE)),FALSE)</f>
        <v>0</v>
      </c>
      <c r="BA243" s="218" t="b">
        <f t="shared" ref="BA243" si="2709">IF(OR(J243&amp;J244&amp;J245&amp;J246&amp;Q243&amp;R243="",AT243,AT244,AT245,AT246),AU243,FALSE)</f>
        <v>0</v>
      </c>
      <c r="BB243" s="218" t="b">
        <f>IF(U243&gt;1,TRUE,FALSE)</f>
        <v>0</v>
      </c>
      <c r="BC243" s="218" t="b">
        <f>IF(X243&gt;1,TRUE,FALSE)</f>
        <v>0</v>
      </c>
      <c r="BD243" s="218" t="b">
        <f t="shared" si="2213"/>
        <v>0</v>
      </c>
      <c r="BF243" s="231" t="b">
        <f t="shared" ref="BF243" si="2710">IF(J243="",FALSE,IF(OR(AND(AU243,L243=""),AND(AU243,L243="",OR(M243&lt;&gt;"",N243&lt;&gt;"",O243&lt;&gt;"",P243&lt;&gt;""))),TRUE,FALSE))</f>
        <v>0</v>
      </c>
      <c r="BG243" s="218" t="b">
        <f t="shared" si="2215"/>
        <v>0</v>
      </c>
      <c r="BH243" s="218" t="b">
        <f t="shared" si="2228"/>
        <v>0</v>
      </c>
      <c r="BI243" s="231" t="b">
        <f t="shared" ref="BI243" si="2711">IF(J243="",FALSE,IF(L243=0,FALSE,IF(AND(AU243,NOT(BF243),OR(M243="",N243="",O243="")),TRUE,FALSE)))</f>
        <v>0</v>
      </c>
      <c r="BJ243" s="240" t="b">
        <f t="shared" si="2230"/>
        <v>0</v>
      </c>
      <c r="BK243" s="231" t="b">
        <f>IF(NOT(BJ243),FALSE,IF(AND(競技会設定!$C$5&lt;=BJ243,BJ243&lt;=競技会設定!$C$6),FALSE,TRUE))</f>
        <v>0</v>
      </c>
      <c r="BL243" s="218" t="b">
        <f>IF(J243="",FALSE,IF(L243=0,FALSE,IF(AND(AU243,NOT(BF243),NOT(BI243),P243=""),TRUE,FALSE)))</f>
        <v>0</v>
      </c>
      <c r="BO243" s="274">
        <f t="shared" ref="BO243" si="2712">IF(AND(AU243,SUM(COUNTIF(AV243:BC243,TRUE),COUNTIF(BF243:BL246,TRUE),COUNTIF(BD243:BD246,TRUE))=0,NOT($BE$7)),1,0)</f>
        <v>0</v>
      </c>
    </row>
    <row r="244" spans="1:67" ht="17.399999999999999" customHeight="1">
      <c r="A244" s="421"/>
      <c r="B244" s="374"/>
      <c r="C244" s="376"/>
      <c r="D244" s="139"/>
      <c r="E244" s="378"/>
      <c r="F244" s="378"/>
      <c r="G244" s="139" t="str">
        <f>IF(C243="","",(VLOOKUP(D243,男子登録!$A$2:$N$2001,13,0)))</f>
        <v/>
      </c>
      <c r="H244" s="139"/>
      <c r="I244" s="139" t="s">
        <v>7061</v>
      </c>
      <c r="J244" s="152"/>
      <c r="K244" s="139" t="s">
        <v>7062</v>
      </c>
      <c r="L244" s="152"/>
      <c r="M244" s="264"/>
      <c r="N244" s="265"/>
      <c r="O244" s="266"/>
      <c r="P244" s="152"/>
      <c r="Q244" s="382"/>
      <c r="R244" s="385"/>
      <c r="S244" s="136"/>
      <c r="T244" s="137"/>
      <c r="U244" s="137"/>
      <c r="V244" s="137"/>
      <c r="W244" s="137"/>
      <c r="X244" s="137"/>
      <c r="Y244" s="218">
        <f t="shared" ref="Y244" si="2713">IF(OR(E243="",J244=""),0,J244&amp;E243)</f>
        <v>0</v>
      </c>
      <c r="Z244" s="218">
        <f>IF(Y244=0,0,COUNTIF($Y$7:Y244,Y244))</f>
        <v>0</v>
      </c>
      <c r="AD244" s="218">
        <f>IFERROR(VLOOKUP(J244,競技会設定!$P$2:$S$22,2,0),0)</f>
        <v>0</v>
      </c>
      <c r="AE244" s="218">
        <f t="shared" ref="AE244" si="2714">IF(E243="",0,IF(AD244=0,0,IF(AD244&lt;3,E243&amp;$AE$6,0)))</f>
        <v>0</v>
      </c>
      <c r="AF244" s="218">
        <f>IF(AE244=0,0,E243&amp;COUNTIF($AE$7:AE244,AE244))</f>
        <v>0</v>
      </c>
      <c r="AG244" s="218">
        <f t="shared" ref="AG244" si="2715">IF(E243="",0,IF(AD244=0,0,IF(AD244&gt;=3,E243&amp;$AG$6,0)))</f>
        <v>0</v>
      </c>
      <c r="AH244" s="218">
        <f>IF(AG244=0,0,E243&amp;COUNTIF($AG$7:AG244,AG244))</f>
        <v>0</v>
      </c>
      <c r="AI244" s="218">
        <f t="shared" si="2171"/>
        <v>0</v>
      </c>
      <c r="AJ244" s="218" t="b">
        <f>IF(AI244=0,FALSE,IF(COUNTIF(AI$7:AI244,AI244)&gt;1,TRUE,FALSE))</f>
        <v>0</v>
      </c>
      <c r="AK244" s="218">
        <f t="shared" ref="AK244" si="2716">IF($AD244=AK$6,$E243,0)</f>
        <v>0</v>
      </c>
      <c r="AL244" s="218" t="b">
        <f>IF(AK244=0,FALSE,IF(COUNTIF(AK$7:AK244,AK244)&gt;1,TRUE,FALSE))</f>
        <v>0</v>
      </c>
      <c r="AM244" s="218">
        <f t="shared" ref="AM244" si="2717">IF($AD244=AM$6,$E243,0)</f>
        <v>0</v>
      </c>
      <c r="AN244" s="218" t="b">
        <f>IF(AM244=0,FALSE,IF(COUNTIF(AM$7:AM244,AM244)&gt;1,TRUE,FALSE))</f>
        <v>0</v>
      </c>
      <c r="AO244" s="218">
        <f t="shared" ref="AO244" si="2718">IF($AD244=AO$6,$E243,0)</f>
        <v>0</v>
      </c>
      <c r="AP244" s="218" t="b">
        <f>IF(AO244=0,FALSE,IF(COUNTIF(AO$7:AO244,AO244)&gt;1,TRUE,FALSE))</f>
        <v>0</v>
      </c>
      <c r="AQ244" s="218">
        <f t="shared" ref="AQ244" si="2719">IF(COUNTIF(Y244,"*十種競技*")&gt;0,E243,0)</f>
        <v>0</v>
      </c>
      <c r="AR244" s="218" t="b">
        <f>IF(AQ244=0,FALSE,IF(OR(COUNTIF($AI$7:$AI$406,AQ244)+COUNTIF($AQ244:$AQ$406,AQ244)&gt;1,COUNTIF($AK$7:$AK$406,AQ244)+COUNTIF($AQ$7:$AQ$406,AQ244)&gt;1),TRUE,FALSE))</f>
        <v>0</v>
      </c>
      <c r="AT244" s="218" t="b">
        <f t="shared" si="2226"/>
        <v>0</v>
      </c>
      <c r="AU244" s="274"/>
      <c r="AX244" s="274"/>
      <c r="BD244" s="218" t="b">
        <f t="shared" si="2213"/>
        <v>0</v>
      </c>
      <c r="BF244" s="231" t="b">
        <f t="shared" ref="BF244" si="2720">IF(J244="",FALSE,IF(OR(AND(AU243,L244=""),AND(AU243,L244="",OR(M244&lt;&gt;"",N244&lt;&gt;"",O244&lt;&gt;"",P244&lt;&gt;""))),TRUE,FALSE))</f>
        <v>0</v>
      </c>
      <c r="BG244" s="218" t="b">
        <f t="shared" si="2215"/>
        <v>0</v>
      </c>
      <c r="BH244" s="218" t="b">
        <f t="shared" si="2228"/>
        <v>0</v>
      </c>
      <c r="BI244" s="231" t="b">
        <f t="shared" ref="BI244" si="2721">IF(J244="",FALSE,IF(L244=0,FALSE,IF(AND(AU243,NOT(BF244),OR(M244="",N244="",O244="")),TRUE,FALSE)))</f>
        <v>0</v>
      </c>
      <c r="BJ244" s="240" t="b">
        <f t="shared" si="2230"/>
        <v>0</v>
      </c>
      <c r="BK244" s="231" t="b">
        <f>IF(NOT(BJ244),FALSE,IF(AND(競技会設定!$C$5&lt;=BJ244,BJ244&lt;=競技会設定!$C$6),FALSE,TRUE))</f>
        <v>0</v>
      </c>
      <c r="BL244" s="218" t="b">
        <f>IF(J244="",FALSE,IF(L244=0,FALSE,IF(AND(AU243,NOT(BF244),NOT(BI244),P244=""),TRUE,FALSE)))</f>
        <v>0</v>
      </c>
      <c r="BO244" s="274"/>
    </row>
    <row r="245" spans="1:67" ht="17.399999999999999" customHeight="1">
      <c r="A245" s="421"/>
      <c r="B245" s="374"/>
      <c r="C245" s="376"/>
      <c r="D245" s="140"/>
      <c r="E245" s="379" t="str">
        <f>IF(C243="","",VLOOKUP(D243,男子登録!$A$2:$O$2001,14,0)&amp;" ("&amp;VLOOKUP(D243,男子登録!$A$2:$O$2001,15,0)&amp;")")</f>
        <v/>
      </c>
      <c r="F245" s="380"/>
      <c r="G245" s="140" t="str">
        <f>IF(C243="","",(VLOOKUP(D243,男子登録!$A$2:$N$2001,9,0)))</f>
        <v/>
      </c>
      <c r="H245" s="140"/>
      <c r="I245" s="140" t="s">
        <v>7063</v>
      </c>
      <c r="J245" s="153"/>
      <c r="K245" s="140" t="s">
        <v>7064</v>
      </c>
      <c r="L245" s="153"/>
      <c r="M245" s="264"/>
      <c r="N245" s="265"/>
      <c r="O245" s="266"/>
      <c r="P245" s="152"/>
      <c r="Q245" s="382"/>
      <c r="R245" s="385"/>
      <c r="S245" s="136"/>
      <c r="T245" s="137"/>
      <c r="U245" s="137"/>
      <c r="V245" s="137"/>
      <c r="W245" s="137"/>
      <c r="X245" s="137"/>
      <c r="Y245" s="218">
        <f t="shared" ref="Y245" si="2722">IF(OR(E243="",J245=""),0,J245&amp;E243)</f>
        <v>0</v>
      </c>
      <c r="Z245" s="218">
        <f>IF(Y245=0,0,COUNTIF($Y$7:Y245,Y245))</f>
        <v>0</v>
      </c>
      <c r="AD245" s="218">
        <f>IFERROR(VLOOKUP(J245,競技会設定!$P$2:$S$22,2,0),0)</f>
        <v>0</v>
      </c>
      <c r="AE245" s="218">
        <f t="shared" ref="AE245" si="2723">IF(E243="",0,IF(AD245=0,0,IF(AD245&lt;3,E243&amp;$AE$6,0)))</f>
        <v>0</v>
      </c>
      <c r="AF245" s="218">
        <f>IF(AE245=0,0,E243&amp;COUNTIF($AE$7:AE245,AE245))</f>
        <v>0</v>
      </c>
      <c r="AG245" s="218">
        <f t="shared" ref="AG245" si="2724">IF(E243="",0,IF(AD245=0,0,IF(AD245&gt;=3,E243&amp;$AG$6,0)))</f>
        <v>0</v>
      </c>
      <c r="AH245" s="218">
        <f>IF(AG245=0,0,E243&amp;COUNTIF($AG$7:AG245,AG245))</f>
        <v>0</v>
      </c>
      <c r="AI245" s="218">
        <f t="shared" si="2181"/>
        <v>0</v>
      </c>
      <c r="AJ245" s="218" t="b">
        <f>IF(AI245=0,FALSE,IF(COUNTIF(AI$7:AI245,AI245)&gt;1,TRUE,FALSE))</f>
        <v>0</v>
      </c>
      <c r="AK245" s="218">
        <f t="shared" ref="AK245" si="2725">IF($AD245=AK$6,$E243,0)</f>
        <v>0</v>
      </c>
      <c r="AL245" s="218" t="b">
        <f>IF(AK245=0,FALSE,IF(COUNTIF(AK$7:AK245,AK245)&gt;1,TRUE,FALSE))</f>
        <v>0</v>
      </c>
      <c r="AM245" s="218">
        <f t="shared" ref="AM245" si="2726">IF($AD245=AM$6,$E243,0)</f>
        <v>0</v>
      </c>
      <c r="AN245" s="218" t="b">
        <f>IF(AM245=0,FALSE,IF(COUNTIF(AM$7:AM245,AM245)&gt;1,TRUE,FALSE))</f>
        <v>0</v>
      </c>
      <c r="AO245" s="218">
        <f t="shared" ref="AO245" si="2727">IF($AD245=AO$6,$E243,0)</f>
        <v>0</v>
      </c>
      <c r="AP245" s="218" t="b">
        <f>IF(AO245=0,FALSE,IF(COUNTIF(AO$7:AO245,AO245)&gt;1,TRUE,FALSE))</f>
        <v>0</v>
      </c>
      <c r="AQ245" s="218">
        <f t="shared" ref="AQ245" si="2728">IF(COUNTIF(Y245,"*十種競技*")&gt;0,E243,0)</f>
        <v>0</v>
      </c>
      <c r="AR245" s="218" t="b">
        <f>IF(AQ245=0,FALSE,IF(OR(COUNTIF($AI$7:$AI$406,AQ245)+COUNTIF($AQ245:$AQ$406,AQ245)&gt;1,COUNTIF($AK$7:$AK$406,AQ245)+COUNTIF($AQ$7:$AQ$406,AQ245)&gt;1),TRUE,FALSE))</f>
        <v>0</v>
      </c>
      <c r="AT245" s="218" t="b">
        <f t="shared" si="2226"/>
        <v>0</v>
      </c>
      <c r="AU245" s="274"/>
      <c r="AX245" s="274"/>
      <c r="BD245" s="218" t="b">
        <f t="shared" si="2213"/>
        <v>0</v>
      </c>
      <c r="BF245" s="231" t="b">
        <f t="shared" ref="BF245" si="2729">IF(J245="",FALSE,IF(OR(AND(AU243,L245=""),AND(AU243,L245="",OR(M245&lt;&gt;"",N245&lt;&gt;"",O245&lt;&gt;"",P245&lt;&gt;""))),TRUE,FALSE))</f>
        <v>0</v>
      </c>
      <c r="BG245" s="218" t="b">
        <f t="shared" si="2215"/>
        <v>0</v>
      </c>
      <c r="BH245" s="218" t="b">
        <f t="shared" si="2228"/>
        <v>0</v>
      </c>
      <c r="BI245" s="231" t="b">
        <f t="shared" ref="BI245" si="2730">IF(J245="",FALSE,IF(L245=0,FALSE,IF(AND(AU243,NOT(BF245),OR(M245="",N245="",O245="")),TRUE,FALSE)))</f>
        <v>0</v>
      </c>
      <c r="BJ245" s="240" t="b">
        <f t="shared" si="2230"/>
        <v>0</v>
      </c>
      <c r="BK245" s="231" t="b">
        <f>IF(NOT(BJ245),FALSE,IF(AND(競技会設定!$C$5&lt;=BJ245,BJ245&lt;=競技会設定!$C$6),FALSE,TRUE))</f>
        <v>0</v>
      </c>
      <c r="BL245" s="218" t="b">
        <f>IF(J245="",FALSE,IF(L245=0,FALSE,IF(AND(AU243,NOT(BF245),NOT(BI245),P245=""),TRUE,FALSE)))</f>
        <v>0</v>
      </c>
      <c r="BO245" s="274"/>
    </row>
    <row r="246" spans="1:67" ht="18" customHeight="1" thickBot="1">
      <c r="A246" s="422"/>
      <c r="B246" s="387" t="s">
        <v>7051</v>
      </c>
      <c r="C246" s="387"/>
      <c r="D246" s="213"/>
      <c r="E246" s="388"/>
      <c r="F246" s="389"/>
      <c r="G246" s="390"/>
      <c r="H246" s="141"/>
      <c r="I246" s="213" t="s">
        <v>7065</v>
      </c>
      <c r="J246" s="154"/>
      <c r="K246" s="213" t="s">
        <v>7066</v>
      </c>
      <c r="L246" s="154"/>
      <c r="M246" s="267"/>
      <c r="N246" s="268"/>
      <c r="O246" s="269"/>
      <c r="P246" s="154"/>
      <c r="Q246" s="383"/>
      <c r="R246" s="386"/>
      <c r="S246" s="136"/>
      <c r="T246" s="137"/>
      <c r="U246" s="137"/>
      <c r="V246" s="137"/>
      <c r="W246" s="137"/>
      <c r="X246" s="137"/>
      <c r="Y246" s="218">
        <f t="shared" ref="Y246" si="2731">IF(OR(E243="",J246=""),0,J246&amp;E243)</f>
        <v>0</v>
      </c>
      <c r="Z246" s="218">
        <f>IF(Y246=0,0,COUNTIF($Y$7:Y246,Y246))</f>
        <v>0</v>
      </c>
      <c r="AD246" s="218">
        <f>IFERROR(VLOOKUP(J246,競技会設定!$P$2:$S$22,2,0),0)</f>
        <v>0</v>
      </c>
      <c r="AE246" s="218">
        <f t="shared" ref="AE246" si="2732">IF(E243="",0,IF(AD246=0,0,IF(AD246&lt;3,E243&amp;$AE$6,0)))</f>
        <v>0</v>
      </c>
      <c r="AF246" s="218">
        <f>IF(AE246=0,0,E243&amp;COUNTIF($AE$7:AE246,AE246))</f>
        <v>0</v>
      </c>
      <c r="AG246" s="218">
        <f t="shared" ref="AG246" si="2733">IF(E243="",0,IF(AD246=0,0,IF(AD246&gt;=3,E243&amp;$AG$6,0)))</f>
        <v>0</v>
      </c>
      <c r="AH246" s="218">
        <f>IF(AG246=0,0,E243&amp;COUNTIF($AG$7:AG246,AG246))</f>
        <v>0</v>
      </c>
      <c r="AI246" s="218">
        <f t="shared" si="2191"/>
        <v>0</v>
      </c>
      <c r="AJ246" s="218" t="b">
        <f>IF(AI246=0,FALSE,IF(COUNTIF(AI$7:AI246,AI246)&gt;1,TRUE,FALSE))</f>
        <v>0</v>
      </c>
      <c r="AK246" s="218">
        <f t="shared" ref="AK246" si="2734">IF($AD246=AK$6,$E243,0)</f>
        <v>0</v>
      </c>
      <c r="AL246" s="218" t="b">
        <f>IF(AK246=0,FALSE,IF(COUNTIF(AK$7:AK246,AK246)&gt;1,TRUE,FALSE))</f>
        <v>0</v>
      </c>
      <c r="AM246" s="218">
        <f t="shared" ref="AM246" si="2735">IF($AD246=AM$6,$E243,0)</f>
        <v>0</v>
      </c>
      <c r="AN246" s="218" t="b">
        <f>IF(AM246=0,FALSE,IF(COUNTIF(AM$7:AM246,AM246)&gt;1,TRUE,FALSE))</f>
        <v>0</v>
      </c>
      <c r="AO246" s="218">
        <f t="shared" ref="AO246" si="2736">IF($AD246=AO$6,$E243,0)</f>
        <v>0</v>
      </c>
      <c r="AP246" s="218" t="b">
        <f>IF(AO246=0,FALSE,IF(COUNTIF(AO$7:AO246,AO246)&gt;1,TRUE,FALSE))</f>
        <v>0</v>
      </c>
      <c r="AQ246" s="218">
        <f t="shared" ref="AQ246" si="2737">IF(COUNTIF(Y246,"*十種競技*")&gt;0,E243,0)</f>
        <v>0</v>
      </c>
      <c r="AR246" s="218" t="b">
        <f>IF(AQ246=0,FALSE,IF(OR(COUNTIF($AI$7:$AI$406,AQ246)+COUNTIF($AQ246:$AQ$406,AQ246)&gt;1,COUNTIF($AK$7:$AK$406,AQ246)+COUNTIF($AQ$7:$AQ$406,AQ246)&gt;1),TRUE,FALSE))</f>
        <v>0</v>
      </c>
      <c r="AT246" s="218" t="b">
        <f t="shared" si="2226"/>
        <v>0</v>
      </c>
      <c r="AU246" s="274"/>
      <c r="AX246" s="274"/>
      <c r="BD246" s="218" t="b">
        <f t="shared" si="2213"/>
        <v>0</v>
      </c>
      <c r="BF246" s="231" t="b">
        <f t="shared" ref="BF246" si="2738">IF(J246="",FALSE,IF(OR(AND(AU243,L246=""),AND(AU243,L246="",OR(M246&lt;&gt;"",N246&lt;&gt;"",O246&lt;&gt;"",P246&lt;&gt;""))),TRUE,FALSE))</f>
        <v>0</v>
      </c>
      <c r="BG246" s="218" t="b">
        <f t="shared" si="2215"/>
        <v>0</v>
      </c>
      <c r="BH246" s="218" t="b">
        <f t="shared" si="2228"/>
        <v>0</v>
      </c>
      <c r="BI246" s="231" t="b">
        <f t="shared" ref="BI246" si="2739">IF(J246="",FALSE,IF(L246=0,FALSE,IF(AND(AU243,NOT(BF246),OR(M246="",N246="",O246="")),TRUE,FALSE)))</f>
        <v>0</v>
      </c>
      <c r="BJ246" s="240" t="b">
        <f t="shared" si="2230"/>
        <v>0</v>
      </c>
      <c r="BK246" s="231" t="b">
        <f>IF(NOT(BJ246),FALSE,IF(AND(競技会設定!$C$5&lt;=BJ246,BJ246&lt;=競技会設定!$C$6),FALSE,TRUE))</f>
        <v>0</v>
      </c>
      <c r="BL246" s="218" t="b">
        <f>IF(J246="",FALSE,IF(L246=0,FALSE,IF(AND(AU243,NOT(BF246),NOT(BI246),P246=""),TRUE,FALSE)))</f>
        <v>0</v>
      </c>
      <c r="BO246" s="274"/>
    </row>
    <row r="247" spans="1:67" ht="18" customHeight="1" thickTop="1">
      <c r="A247" s="417">
        <v>61</v>
      </c>
      <c r="B247" s="401" t="s">
        <v>7050</v>
      </c>
      <c r="C247" s="403"/>
      <c r="D247" s="220" t="str">
        <f t="shared" ref="D247" si="2740">IF(C247="","",501&amp;TEXT(C247,"000000"))</f>
        <v/>
      </c>
      <c r="E247" s="396" t="str">
        <f>IF(D247="","",(VLOOKUP(D247,男子登録!$A$2:$N$2001,3,0)))</f>
        <v/>
      </c>
      <c r="F247" s="396" t="str">
        <f>IF(D247="","",(VLOOKUP(D247,男子登録!$A$2:$N$2001,4,0)))</f>
        <v/>
      </c>
      <c r="G247" s="220" t="str">
        <f>IF(C247="","",(VLOOKUP(D247,男子登録!$A$2:$N$2001,8,0)))</f>
        <v/>
      </c>
      <c r="H247" s="220">
        <f>IFERROR(VLOOKUP(D247,男子登録!$A$2:$N$2001,11,0),基本情報!$E$5)</f>
        <v>0</v>
      </c>
      <c r="I247" s="220" t="s">
        <v>7059</v>
      </c>
      <c r="J247" s="148"/>
      <c r="K247" s="220" t="s">
        <v>7060</v>
      </c>
      <c r="L247" s="148"/>
      <c r="M247" s="252"/>
      <c r="N247" s="253"/>
      <c r="O247" s="254"/>
      <c r="P247" s="148"/>
      <c r="Q247" s="398"/>
      <c r="R247" s="391"/>
      <c r="S247" s="136">
        <f t="shared" ref="S247" si="2741">IF(OR(E247="",Q247=""),0,E247)</f>
        <v>0</v>
      </c>
      <c r="T247" s="137">
        <f>IF(S247=0,0,COUNTIF($S$7:S247,"*"))</f>
        <v>0</v>
      </c>
      <c r="U247" s="137">
        <f>IF(S247=0,0,COUNTIF($S$7:S247,S247))</f>
        <v>0</v>
      </c>
      <c r="V247" s="137">
        <f t="shared" si="2429"/>
        <v>0</v>
      </c>
      <c r="W247" s="137">
        <f>IF(V247=0,0,COUNTIF($V$7:V247,"*"))</f>
        <v>0</v>
      </c>
      <c r="X247" s="137">
        <f>IF(V247=0,0,COUNTIF($V$7:V247,V247))</f>
        <v>0</v>
      </c>
      <c r="Y247" s="218">
        <f t="shared" ref="Y247" si="2742">IF(OR(E247="",J247=""),0,J247&amp;E247)</f>
        <v>0</v>
      </c>
      <c r="Z247" s="218">
        <f>IF(Y247=0,0,COUNTIF($Y$7:Y247,Y247))</f>
        <v>0</v>
      </c>
      <c r="AA247" s="218" t="b">
        <f t="shared" ref="AA247" si="2743">IF(COUNTIF(J247:J250,"十種競技")&gt;0,TRUE,FALSE)</f>
        <v>0</v>
      </c>
      <c r="AB247" s="218">
        <f>IF(E247="",0,IF(AA247,COUNTIF($AA$7:AA247,TRUE),0))</f>
        <v>0</v>
      </c>
      <c r="AC247" s="218">
        <f>IFERROR(VLOOKUP("十種競技",J247:L250,3,0),0)</f>
        <v>0</v>
      </c>
      <c r="AD247" s="218">
        <f>IFERROR(VLOOKUP(J247,競技会設定!$P$2:$S$22,2,0),0)</f>
        <v>0</v>
      </c>
      <c r="AE247" s="218">
        <f t="shared" ref="AE247" si="2744">IF(E247="",0,IF(AD247=0,0,IF(AD247&lt;3,E247&amp;$AE$6,0)))</f>
        <v>0</v>
      </c>
      <c r="AF247" s="218">
        <f>IF(AE247=0,0,E247&amp;COUNTIF($AE$7:AE247,AE247))</f>
        <v>0</v>
      </c>
      <c r="AG247" s="218">
        <f t="shared" ref="AG247" si="2745">IF(E247="",0,IF(AD247=0,0,IF(AD247&gt;=3,E247&amp;$AG$6,0)))</f>
        <v>0</v>
      </c>
      <c r="AH247" s="218">
        <f>IF(AG247=0,0,E247&amp;COUNTIF($AG$7:AG247,AG247))</f>
        <v>0</v>
      </c>
      <c r="AI247" s="218">
        <f t="shared" ref="AI247" si="2746">IF(COUNTIF(Y247,"*十種*")&gt;0,0,IF($AD247=AI$6,$E247,0))</f>
        <v>0</v>
      </c>
      <c r="AJ247" s="218" t="b">
        <f>IF(AI247=0,FALSE,IF(COUNTIF(AI$7:AI247,AI247)&gt;1,TRUE,FALSE))</f>
        <v>0</v>
      </c>
      <c r="AK247" s="218">
        <f t="shared" ref="AK247" si="2747">IF($AD247=AK$6,$E247,0)</f>
        <v>0</v>
      </c>
      <c r="AL247" s="218" t="b">
        <f>IF(AK247=0,FALSE,IF(COUNTIF(AK$7:AK247,AK247)&gt;1,TRUE,FALSE))</f>
        <v>0</v>
      </c>
      <c r="AM247" s="218">
        <f t="shared" ref="AM247" si="2748">IF($AD247=AM$6,$E247,0)</f>
        <v>0</v>
      </c>
      <c r="AN247" s="218" t="b">
        <f>IF(AM247=0,FALSE,IF(COUNTIF(AM$7:AM247,AM247)&gt;1,TRUE,FALSE))</f>
        <v>0</v>
      </c>
      <c r="AO247" s="218">
        <f t="shared" ref="AO247" si="2749">IF($AD247=AO$6,$E247,0)</f>
        <v>0</v>
      </c>
      <c r="AP247" s="218" t="b">
        <f>IF(AO247=0,FALSE,IF(COUNTIF(AO$7:AO247,AO247)&gt;1,TRUE,FALSE))</f>
        <v>0</v>
      </c>
      <c r="AQ247" s="218">
        <f t="shared" ref="AQ247" si="2750">IF(COUNTIF(Y247,"*十種競技*")&gt;0,E247,0)</f>
        <v>0</v>
      </c>
      <c r="AR247" s="218" t="b">
        <f>IF(AQ247=0,FALSE,IF(OR(COUNTIF($AI$7:$AI$406,AQ247)+COUNTIF($AQ247:$AQ$406,AQ247)&gt;1,COUNTIF($AK$7:$AK$406,AQ247)+COUNTIF($AQ$7:$AQ$406,AQ247)&gt;1),TRUE,FALSE))</f>
        <v>0</v>
      </c>
      <c r="AS247" s="218" t="b">
        <f t="shared" ref="AS247" si="2751">IF(AND(C247="",E247&lt;&gt;"",F247&lt;&gt;"",E249&lt;&gt;"",G247&lt;&gt;"",G248&lt;&gt;"",G249&lt;&gt;""),TRUE,FALSE)</f>
        <v>0</v>
      </c>
      <c r="AT247" s="218" t="b">
        <f t="shared" si="2226"/>
        <v>0</v>
      </c>
      <c r="AU247" s="274" t="b">
        <f t="shared" ref="AU247" si="2752">IFERROR(IF(D247&amp;E247&amp;F247&amp;E249&amp;G247&amp;G248&amp;G249&amp;J247&amp;J248&amp;J249&amp;J250&amp;L247&amp;L248&amp;L249&amp;L250&amp;M247&amp;M248&amp;M249&amp;M250&amp;N247&amp;N248&amp;N249&amp;N250&amp;O247&amp;O248&amp;O249&amp;O250&amp;P247&amp;P248&amp;P249&amp;P250&amp;Q247&amp;R247="",FALSE,TRUE),FALSE)</f>
        <v>0</v>
      </c>
      <c r="AV247" s="218" t="b">
        <f t="shared" ref="AV247" si="2753">IF(AS247,FALSE,IF(C247="",AU247,FALSE))</f>
        <v>0</v>
      </c>
      <c r="AW247" s="218" t="b">
        <f>IF(C247="",FALSE,IF(C247&gt;2000,TRUE,FALSE))</f>
        <v>0</v>
      </c>
      <c r="AX247" s="274" t="b">
        <f>IF(H247=0,FALSE,IF(EXACT(基本情報!$E$5,H247)=TRUE,FALSE,TRUE))</f>
        <v>0</v>
      </c>
      <c r="AY247" s="218" t="b">
        <f>IF(C247="",FALSE,IF(ISNA(E247)=TRUE,TRUE,FALSE))</f>
        <v>0</v>
      </c>
      <c r="AZ247" s="274" t="b">
        <f>IFERROR(IF(E247="",FALSE,IF(COUNTIF($E$7:E247,E247)&gt;1,TRUE,FALSE)),FALSE)</f>
        <v>0</v>
      </c>
      <c r="BA247" s="218" t="b">
        <f t="shared" ref="BA247" si="2754">IF(OR(J247&amp;J248&amp;J249&amp;J250&amp;Q247&amp;R247="",AT247,AT248,AT249,AT250),AU247,FALSE)</f>
        <v>0</v>
      </c>
      <c r="BB247" s="218" t="b">
        <f>IF(U247&gt;1,TRUE,FALSE)</f>
        <v>0</v>
      </c>
      <c r="BC247" s="218" t="b">
        <f>IF(X247&gt;1,TRUE,FALSE)</f>
        <v>0</v>
      </c>
      <c r="BD247" s="218" t="b">
        <f t="shared" si="2213"/>
        <v>0</v>
      </c>
      <c r="BF247" s="231" t="b">
        <f t="shared" ref="BF247" si="2755">IF(J247="",FALSE,IF(OR(AND(AU247,L247=""),AND(AU247,L247="",OR(M247&lt;&gt;"",N247&lt;&gt;"",O247&lt;&gt;"",P247&lt;&gt;""))),TRUE,FALSE))</f>
        <v>0</v>
      </c>
      <c r="BG247" s="218" t="b">
        <f t="shared" si="2215"/>
        <v>0</v>
      </c>
      <c r="BH247" s="218" t="b">
        <f t="shared" si="2228"/>
        <v>0</v>
      </c>
      <c r="BI247" s="231" t="b">
        <f t="shared" ref="BI247" si="2756">IF(J247="",FALSE,IF(L247=0,FALSE,IF(AND(AU247,NOT(BF247),OR(M247="",N247="",O247="")),TRUE,FALSE)))</f>
        <v>0</v>
      </c>
      <c r="BJ247" s="240" t="b">
        <f t="shared" si="2230"/>
        <v>0</v>
      </c>
      <c r="BK247" s="231" t="b">
        <f>IF(NOT(BJ247),FALSE,IF(AND(競技会設定!$C$5&lt;=BJ247,BJ247&lt;=競技会設定!$C$6),FALSE,TRUE))</f>
        <v>0</v>
      </c>
      <c r="BL247" s="218" t="b">
        <f>IF(J247="",FALSE,IF(L247=0,FALSE,IF(AND(AU247,NOT(BF247),NOT(BI247),P247=""),TRUE,FALSE)))</f>
        <v>0</v>
      </c>
      <c r="BO247" s="274">
        <f t="shared" ref="BO247" si="2757">IF(AND(AU247,SUM(COUNTIF(AV247:BC247,TRUE),COUNTIF(BF247:BL250,TRUE),COUNTIF(BD247:BD250,TRUE))=0,NOT($BE$7)),1,0)</f>
        <v>0</v>
      </c>
    </row>
    <row r="248" spans="1:67" ht="17.399999999999999" customHeight="1">
      <c r="A248" s="418"/>
      <c r="B248" s="402"/>
      <c r="C248" s="404"/>
      <c r="D248" s="221"/>
      <c r="E248" s="397"/>
      <c r="F248" s="397"/>
      <c r="G248" s="221" t="str">
        <f>IF(C247="","",(VLOOKUP(D247,男子登録!$A$2:$N$2001,13,0)))</f>
        <v/>
      </c>
      <c r="H248" s="221"/>
      <c r="I248" s="221" t="s">
        <v>7061</v>
      </c>
      <c r="J248" s="149"/>
      <c r="K248" s="221" t="s">
        <v>7062</v>
      </c>
      <c r="L248" s="149"/>
      <c r="M248" s="255"/>
      <c r="N248" s="256"/>
      <c r="O248" s="257"/>
      <c r="P248" s="149"/>
      <c r="Q248" s="399"/>
      <c r="R248" s="392"/>
      <c r="S248" s="136"/>
      <c r="T248" s="137"/>
      <c r="U248" s="137"/>
      <c r="V248" s="137"/>
      <c r="W248" s="137"/>
      <c r="X248" s="137"/>
      <c r="Y248" s="218">
        <f t="shared" ref="Y248" si="2758">IF(OR(E247="",J248=""),0,J248&amp;E247)</f>
        <v>0</v>
      </c>
      <c r="Z248" s="218">
        <f>IF(Y248=0,0,COUNTIF($Y$7:Y248,Y248))</f>
        <v>0</v>
      </c>
      <c r="AD248" s="218">
        <f>IFERROR(VLOOKUP(J248,競技会設定!$P$2:$S$22,2,0),0)</f>
        <v>0</v>
      </c>
      <c r="AE248" s="218">
        <f t="shared" ref="AE248" si="2759">IF(E247="",0,IF(AD248=0,0,IF(AD248&lt;3,E247&amp;$AE$6,0)))</f>
        <v>0</v>
      </c>
      <c r="AF248" s="218">
        <f>IF(AE248=0,0,E247&amp;COUNTIF($AE$7:AE248,AE248))</f>
        <v>0</v>
      </c>
      <c r="AG248" s="218">
        <f t="shared" ref="AG248" si="2760">IF(E247="",0,IF(AD248=0,0,IF(AD248&gt;=3,E247&amp;$AG$6,0)))</f>
        <v>0</v>
      </c>
      <c r="AH248" s="218">
        <f>IF(AG248=0,0,E247&amp;COUNTIF($AG$7:AG248,AG248))</f>
        <v>0</v>
      </c>
      <c r="AI248" s="218">
        <f t="shared" ref="AI248" si="2761">IF(COUNTIF(Y248,"*十種*")&gt;0,0,IF($AD248=AI$6,$E247,0))</f>
        <v>0</v>
      </c>
      <c r="AJ248" s="218" t="b">
        <f>IF(AI248=0,FALSE,IF(COUNTIF(AI$7:AI248,AI248)&gt;1,TRUE,FALSE))</f>
        <v>0</v>
      </c>
      <c r="AK248" s="218">
        <f t="shared" ref="AK248" si="2762">IF($AD248=AK$6,$E247,0)</f>
        <v>0</v>
      </c>
      <c r="AL248" s="218" t="b">
        <f>IF(AK248=0,FALSE,IF(COUNTIF(AK$7:AK248,AK248)&gt;1,TRUE,FALSE))</f>
        <v>0</v>
      </c>
      <c r="AM248" s="218">
        <f t="shared" ref="AM248" si="2763">IF($AD248=AM$6,$E247,0)</f>
        <v>0</v>
      </c>
      <c r="AN248" s="218" t="b">
        <f>IF(AM248=0,FALSE,IF(COUNTIF(AM$7:AM248,AM248)&gt;1,TRUE,FALSE))</f>
        <v>0</v>
      </c>
      <c r="AO248" s="218">
        <f t="shared" ref="AO248" si="2764">IF($AD248=AO$6,$E247,0)</f>
        <v>0</v>
      </c>
      <c r="AP248" s="218" t="b">
        <f>IF(AO248=0,FALSE,IF(COUNTIF(AO$7:AO248,AO248)&gt;1,TRUE,FALSE))</f>
        <v>0</v>
      </c>
      <c r="AQ248" s="218">
        <f t="shared" ref="AQ248" si="2765">IF(COUNTIF(Y248,"*十種競技*")&gt;0,E247,0)</f>
        <v>0</v>
      </c>
      <c r="AR248" s="218" t="b">
        <f>IF(AQ248=0,FALSE,IF(OR(COUNTIF($AI$7:$AI$406,AQ248)+COUNTIF($AQ248:$AQ$406,AQ248)&gt;1,COUNTIF($AK$7:$AK$406,AQ248)+COUNTIF($AQ$7:$AQ$406,AQ248)&gt;1),TRUE,FALSE))</f>
        <v>0</v>
      </c>
      <c r="AT248" s="218" t="b">
        <f t="shared" si="2226"/>
        <v>0</v>
      </c>
      <c r="AU248" s="274"/>
      <c r="AX248" s="274"/>
      <c r="BD248" s="218" t="b">
        <f t="shared" si="2213"/>
        <v>0</v>
      </c>
      <c r="BF248" s="231" t="b">
        <f t="shared" ref="BF248" si="2766">IF(J248="",FALSE,IF(OR(AND(AU247,L248=""),AND(AU247,L248="",OR(M248&lt;&gt;"",N248&lt;&gt;"",O248&lt;&gt;"",P248&lt;&gt;""))),TRUE,FALSE))</f>
        <v>0</v>
      </c>
      <c r="BG248" s="218" t="b">
        <f t="shared" si="2215"/>
        <v>0</v>
      </c>
      <c r="BH248" s="218" t="b">
        <f t="shared" si="2228"/>
        <v>0</v>
      </c>
      <c r="BI248" s="231" t="b">
        <f t="shared" ref="BI248" si="2767">IF(J248="",FALSE,IF(L248=0,FALSE,IF(AND(AU247,NOT(BF248),OR(M248="",N248="",O248="")),TRUE,FALSE)))</f>
        <v>0</v>
      </c>
      <c r="BJ248" s="240" t="b">
        <f t="shared" si="2230"/>
        <v>0</v>
      </c>
      <c r="BK248" s="231" t="b">
        <f>IF(NOT(BJ248),FALSE,IF(AND(競技会設定!$C$5&lt;=BJ248,BJ248&lt;=競技会設定!$C$6),FALSE,TRUE))</f>
        <v>0</v>
      </c>
      <c r="BL248" s="218" t="b">
        <f>IF(J248="",FALSE,IF(L248=0,FALSE,IF(AND(AU247,NOT(BF248),NOT(BI248),P248=""),TRUE,FALSE)))</f>
        <v>0</v>
      </c>
      <c r="BO248" s="274"/>
    </row>
    <row r="249" spans="1:67" ht="17.399999999999999" customHeight="1">
      <c r="A249" s="418"/>
      <c r="B249" s="402"/>
      <c r="C249" s="404"/>
      <c r="D249" s="221"/>
      <c r="E249" s="394" t="str">
        <f>IF(C247="","",VLOOKUP(D247,男子登録!$A$2:$O$2001,14,0)&amp;" ("&amp;VLOOKUP(D247,男子登録!$A$2:$O$2001,15,0)&amp;")")</f>
        <v/>
      </c>
      <c r="F249" s="394"/>
      <c r="G249" s="222" t="str">
        <f>IF(C247="","",(VLOOKUP(D247,男子登録!$A$2:$N$2001,9,0)))</f>
        <v/>
      </c>
      <c r="H249" s="222"/>
      <c r="I249" s="222" t="s">
        <v>7063</v>
      </c>
      <c r="J249" s="150"/>
      <c r="K249" s="222" t="s">
        <v>7064</v>
      </c>
      <c r="L249" s="150"/>
      <c r="M249" s="255"/>
      <c r="N249" s="256"/>
      <c r="O249" s="257"/>
      <c r="P249" s="149"/>
      <c r="Q249" s="399"/>
      <c r="R249" s="392"/>
      <c r="S249" s="136"/>
      <c r="T249" s="137"/>
      <c r="U249" s="137"/>
      <c r="V249" s="137"/>
      <c r="W249" s="137"/>
      <c r="X249" s="137"/>
      <c r="Y249" s="218">
        <f t="shared" ref="Y249" si="2768">IF(OR(E247="",J249=""),0,J249&amp;E247)</f>
        <v>0</v>
      </c>
      <c r="Z249" s="218">
        <f>IF(Y249=0,0,COUNTIF($Y$7:Y249,Y249))</f>
        <v>0</v>
      </c>
      <c r="AD249" s="218">
        <f>IFERROR(VLOOKUP(J249,競技会設定!$P$2:$S$22,2,0),0)</f>
        <v>0</v>
      </c>
      <c r="AE249" s="218">
        <f t="shared" ref="AE249" si="2769">IF(E247="",0,IF(AD249=0,0,IF(AD249&lt;3,E247&amp;$AE$6,0)))</f>
        <v>0</v>
      </c>
      <c r="AF249" s="218">
        <f>IF(AE249=0,0,E247&amp;COUNTIF($AE$7:AE249,AE249))</f>
        <v>0</v>
      </c>
      <c r="AG249" s="218">
        <f t="shared" ref="AG249" si="2770">IF(E247="",0,IF(AD249=0,0,IF(AD249&gt;=3,E247&amp;$AG$6,0)))</f>
        <v>0</v>
      </c>
      <c r="AH249" s="218">
        <f>IF(AG249=0,0,E247&amp;COUNTIF($AG$7:AG249,AG249))</f>
        <v>0</v>
      </c>
      <c r="AI249" s="218">
        <f t="shared" ref="AI249" si="2771">IF(COUNTIF(Y249,"*十種*")&gt;0,0,IF($AD249=AI$6,$E247,0))</f>
        <v>0</v>
      </c>
      <c r="AJ249" s="218" t="b">
        <f>IF(AI249=0,FALSE,IF(COUNTIF(AI$7:AI249,AI249)&gt;1,TRUE,FALSE))</f>
        <v>0</v>
      </c>
      <c r="AK249" s="218">
        <f t="shared" ref="AK249" si="2772">IF($AD249=AK$6,$E247,0)</f>
        <v>0</v>
      </c>
      <c r="AL249" s="218" t="b">
        <f>IF(AK249=0,FALSE,IF(COUNTIF(AK$7:AK249,AK249)&gt;1,TRUE,FALSE))</f>
        <v>0</v>
      </c>
      <c r="AM249" s="218">
        <f t="shared" ref="AM249" si="2773">IF($AD249=AM$6,$E247,0)</f>
        <v>0</v>
      </c>
      <c r="AN249" s="218" t="b">
        <f>IF(AM249=0,FALSE,IF(COUNTIF(AM$7:AM249,AM249)&gt;1,TRUE,FALSE))</f>
        <v>0</v>
      </c>
      <c r="AO249" s="218">
        <f t="shared" ref="AO249" si="2774">IF($AD249=AO$6,$E247,0)</f>
        <v>0</v>
      </c>
      <c r="AP249" s="218" t="b">
        <f>IF(AO249=0,FALSE,IF(COUNTIF(AO$7:AO249,AO249)&gt;1,TRUE,FALSE))</f>
        <v>0</v>
      </c>
      <c r="AQ249" s="218">
        <f t="shared" ref="AQ249" si="2775">IF(COUNTIF(Y249,"*十種競技*")&gt;0,E247,0)</f>
        <v>0</v>
      </c>
      <c r="AR249" s="218" t="b">
        <f>IF(AQ249=0,FALSE,IF(OR(COUNTIF($AI$7:$AI$406,AQ249)+COUNTIF($AQ249:$AQ$406,AQ249)&gt;1,COUNTIF($AK$7:$AK$406,AQ249)+COUNTIF($AQ$7:$AQ$406,AQ249)&gt;1),TRUE,FALSE))</f>
        <v>0</v>
      </c>
      <c r="AT249" s="218" t="b">
        <f t="shared" si="2226"/>
        <v>0</v>
      </c>
      <c r="AU249" s="274"/>
      <c r="AX249" s="274"/>
      <c r="BD249" s="218" t="b">
        <f t="shared" si="2213"/>
        <v>0</v>
      </c>
      <c r="BF249" s="231" t="b">
        <f t="shared" ref="BF249" si="2776">IF(J249="",FALSE,IF(OR(AND(AU247,L249=""),AND(AU247,L249="",OR(M249&lt;&gt;"",N249&lt;&gt;"",O249&lt;&gt;"",P249&lt;&gt;""))),TRUE,FALSE))</f>
        <v>0</v>
      </c>
      <c r="BG249" s="218" t="b">
        <f t="shared" si="2215"/>
        <v>0</v>
      </c>
      <c r="BH249" s="218" t="b">
        <f t="shared" si="2228"/>
        <v>0</v>
      </c>
      <c r="BI249" s="231" t="b">
        <f t="shared" ref="BI249" si="2777">IF(J249="",FALSE,IF(L249=0,FALSE,IF(AND(AU247,NOT(BF249),OR(M249="",N249="",O249="")),TRUE,FALSE)))</f>
        <v>0</v>
      </c>
      <c r="BJ249" s="240" t="b">
        <f t="shared" si="2230"/>
        <v>0</v>
      </c>
      <c r="BK249" s="231" t="b">
        <f>IF(NOT(BJ249),FALSE,IF(AND(競技会設定!$C$5&lt;=BJ249,BJ249&lt;=競技会設定!$C$6),FALSE,TRUE))</f>
        <v>0</v>
      </c>
      <c r="BL249" s="218" t="b">
        <f>IF(J249="",FALSE,IF(L249=0,FALSE,IF(AND(AU247,NOT(BF249),NOT(BI249),P249=""),TRUE,FALSE)))</f>
        <v>0</v>
      </c>
      <c r="BO249" s="274"/>
    </row>
    <row r="250" spans="1:67" ht="18" customHeight="1" thickBot="1">
      <c r="A250" s="419"/>
      <c r="B250" s="395" t="s">
        <v>7051</v>
      </c>
      <c r="C250" s="395"/>
      <c r="D250" s="221"/>
      <c r="E250" s="372"/>
      <c r="F250" s="372"/>
      <c r="G250" s="372"/>
      <c r="H250" s="214"/>
      <c r="I250" s="214" t="s">
        <v>7065</v>
      </c>
      <c r="J250" s="219"/>
      <c r="K250" s="214" t="s">
        <v>7066</v>
      </c>
      <c r="L250" s="219"/>
      <c r="M250" s="258"/>
      <c r="N250" s="259"/>
      <c r="O250" s="260"/>
      <c r="P250" s="219"/>
      <c r="Q250" s="400"/>
      <c r="R250" s="393"/>
      <c r="S250" s="136"/>
      <c r="T250" s="137"/>
      <c r="U250" s="137"/>
      <c r="V250" s="137"/>
      <c r="W250" s="137"/>
      <c r="X250" s="137"/>
      <c r="Y250" s="218">
        <f t="shared" ref="Y250" si="2778">IF(OR(E247="",J250=""),0,J250&amp;E247)</f>
        <v>0</v>
      </c>
      <c r="Z250" s="218">
        <f>IF(Y250=0,0,COUNTIF($Y$7:Y250,Y250))</f>
        <v>0</v>
      </c>
      <c r="AD250" s="218">
        <f>IFERROR(VLOOKUP(J250,競技会設定!$P$2:$S$22,2,0),0)</f>
        <v>0</v>
      </c>
      <c r="AE250" s="218">
        <f t="shared" ref="AE250" si="2779">IF(E247="",0,IF(AD250=0,0,IF(AD250&lt;3,E247&amp;$AE$6,0)))</f>
        <v>0</v>
      </c>
      <c r="AF250" s="218">
        <f>IF(AE250=0,0,E247&amp;COUNTIF($AE$7:AE250,AE250))</f>
        <v>0</v>
      </c>
      <c r="AG250" s="218">
        <f t="shared" ref="AG250" si="2780">IF(E247="",0,IF(AD250=0,0,IF(AD250&gt;=3,E247&amp;$AG$6,0)))</f>
        <v>0</v>
      </c>
      <c r="AH250" s="218">
        <f>IF(AG250=0,0,E247&amp;COUNTIF($AG$7:AG250,AG250))</f>
        <v>0</v>
      </c>
      <c r="AI250" s="218">
        <f t="shared" ref="AI250" si="2781">IF(COUNTIF(Y250,"*十種*")&gt;0,0,IF($AD250=AI$6,$E247,0))</f>
        <v>0</v>
      </c>
      <c r="AJ250" s="218" t="b">
        <f>IF(AI250=0,FALSE,IF(COUNTIF(AI$7:AI250,AI250)&gt;1,TRUE,FALSE))</f>
        <v>0</v>
      </c>
      <c r="AK250" s="218">
        <f t="shared" ref="AK250" si="2782">IF($AD250=AK$6,$E247,0)</f>
        <v>0</v>
      </c>
      <c r="AL250" s="218" t="b">
        <f>IF(AK250=0,FALSE,IF(COUNTIF(AK$7:AK250,AK250)&gt;1,TRUE,FALSE))</f>
        <v>0</v>
      </c>
      <c r="AM250" s="218">
        <f t="shared" ref="AM250" si="2783">IF($AD250=AM$6,$E247,0)</f>
        <v>0</v>
      </c>
      <c r="AN250" s="218" t="b">
        <f>IF(AM250=0,FALSE,IF(COUNTIF(AM$7:AM250,AM250)&gt;1,TRUE,FALSE))</f>
        <v>0</v>
      </c>
      <c r="AO250" s="218">
        <f t="shared" ref="AO250" si="2784">IF($AD250=AO$6,$E247,0)</f>
        <v>0</v>
      </c>
      <c r="AP250" s="218" t="b">
        <f>IF(AO250=0,FALSE,IF(COUNTIF(AO$7:AO250,AO250)&gt;1,TRUE,FALSE))</f>
        <v>0</v>
      </c>
      <c r="AQ250" s="218">
        <f t="shared" ref="AQ250" si="2785">IF(COUNTIF(Y250,"*十種競技*")&gt;0,E247,0)</f>
        <v>0</v>
      </c>
      <c r="AR250" s="218" t="b">
        <f>IF(AQ250=0,FALSE,IF(OR(COUNTIF($AI$7:$AI$406,AQ250)+COUNTIF($AQ250:$AQ$406,AQ250)&gt;1,COUNTIF($AK$7:$AK$406,AQ250)+COUNTIF($AQ$7:$AQ$406,AQ250)&gt;1),TRUE,FALSE))</f>
        <v>0</v>
      </c>
      <c r="AT250" s="218" t="b">
        <f t="shared" si="2226"/>
        <v>0</v>
      </c>
      <c r="AU250" s="274"/>
      <c r="AX250" s="274"/>
      <c r="BD250" s="218" t="b">
        <f t="shared" si="2213"/>
        <v>0</v>
      </c>
      <c r="BF250" s="231" t="b">
        <f t="shared" ref="BF250" si="2786">IF(J250="",FALSE,IF(OR(AND(AU247,L250=""),AND(AU247,L250="",OR(M250&lt;&gt;"",N250&lt;&gt;"",O250&lt;&gt;"",P250&lt;&gt;""))),TRUE,FALSE))</f>
        <v>0</v>
      </c>
      <c r="BG250" s="218" t="b">
        <f t="shared" si="2215"/>
        <v>0</v>
      </c>
      <c r="BH250" s="218" t="b">
        <f t="shared" si="2228"/>
        <v>0</v>
      </c>
      <c r="BI250" s="231" t="b">
        <f t="shared" ref="BI250" si="2787">IF(J250="",FALSE,IF(L250=0,FALSE,IF(AND(AU247,NOT(BF250),OR(M250="",N250="",O250="")),TRUE,FALSE)))</f>
        <v>0</v>
      </c>
      <c r="BJ250" s="240" t="b">
        <f t="shared" si="2230"/>
        <v>0</v>
      </c>
      <c r="BK250" s="231" t="b">
        <f>IF(NOT(BJ250),FALSE,IF(AND(競技会設定!$C$5&lt;=BJ250,BJ250&lt;=競技会設定!$C$6),FALSE,TRUE))</f>
        <v>0</v>
      </c>
      <c r="BL250" s="218" t="b">
        <f>IF(J250="",FALSE,IF(L250=0,FALSE,IF(AND(AU247,NOT(BF250),NOT(BI250),P250=""),TRUE,FALSE)))</f>
        <v>0</v>
      </c>
      <c r="BO250" s="274"/>
    </row>
    <row r="251" spans="1:67" ht="18" customHeight="1" thickTop="1">
      <c r="A251" s="420">
        <v>62</v>
      </c>
      <c r="B251" s="373" t="s">
        <v>7050</v>
      </c>
      <c r="C251" s="375"/>
      <c r="D251" s="138" t="str">
        <f t="shared" ref="D251" si="2788">IF(C251="","",501&amp;TEXT(C251,"000000"))</f>
        <v/>
      </c>
      <c r="E251" s="377" t="str">
        <f>IF(D251="","",(VLOOKUP(D251,男子登録!$A$2:$N$2001,3,0)))</f>
        <v/>
      </c>
      <c r="F251" s="377" t="str">
        <f>IF(D251="","",(VLOOKUP(D251,男子登録!$A$2:$N$2001,4,0)))</f>
        <v/>
      </c>
      <c r="G251" s="138" t="str">
        <f>IF(C251="","",(VLOOKUP(D251,男子登録!$A$2:$N$2001,8,0)))</f>
        <v/>
      </c>
      <c r="H251" s="138">
        <f>IFERROR(VLOOKUP(D251,男子登録!$A$2:$N$2001,11,0),基本情報!$E$5)</f>
        <v>0</v>
      </c>
      <c r="I251" s="138" t="s">
        <v>7059</v>
      </c>
      <c r="J251" s="151"/>
      <c r="K251" s="138" t="s">
        <v>7060</v>
      </c>
      <c r="L251" s="151"/>
      <c r="M251" s="261"/>
      <c r="N251" s="262"/>
      <c r="O251" s="263"/>
      <c r="P251" s="151"/>
      <c r="Q251" s="381"/>
      <c r="R251" s="384"/>
      <c r="S251" s="136">
        <f t="shared" ref="S251" si="2789">IF(OR(E251="",Q251=""),0,E251)</f>
        <v>0</v>
      </c>
      <c r="T251" s="137">
        <f>IF(S251=0,0,COUNTIF($S$7:S251,"*"))</f>
        <v>0</v>
      </c>
      <c r="U251" s="137">
        <f>IF(S251=0,0,COUNTIF($S$7:S251,S251))</f>
        <v>0</v>
      </c>
      <c r="V251" s="137">
        <f t="shared" si="2429"/>
        <v>0</v>
      </c>
      <c r="W251" s="137">
        <f>IF(V251=0,0,COUNTIF($V$7:V251,"*"))</f>
        <v>0</v>
      </c>
      <c r="X251" s="137">
        <f>IF(V251=0,0,COUNTIF($V$7:V251,V251))</f>
        <v>0</v>
      </c>
      <c r="Y251" s="218">
        <f t="shared" ref="Y251" si="2790">IF(OR(E251="",J251=""),0,J251&amp;E251)</f>
        <v>0</v>
      </c>
      <c r="Z251" s="218">
        <f>IF(Y251=0,0,COUNTIF($Y$7:Y251,Y251))</f>
        <v>0</v>
      </c>
      <c r="AA251" s="218" t="b">
        <f t="shared" ref="AA251" si="2791">IF(COUNTIF(J251:J254,"十種競技")&gt;0,TRUE,FALSE)</f>
        <v>0</v>
      </c>
      <c r="AB251" s="218">
        <f>IF(E251="",0,IF(AA251,COUNTIF($AA$7:AA251,TRUE),0))</f>
        <v>0</v>
      </c>
      <c r="AC251" s="218">
        <f>IFERROR(VLOOKUP("十種競技",J251:L254,3,0),0)</f>
        <v>0</v>
      </c>
      <c r="AD251" s="218">
        <f>IFERROR(VLOOKUP(J251,競技会設定!$P$2:$S$22,2,0),0)</f>
        <v>0</v>
      </c>
      <c r="AE251" s="218">
        <f t="shared" ref="AE251" si="2792">IF(E251="",0,IF(AD251=0,0,IF(AD251&lt;3,E251&amp;$AE$6,0)))</f>
        <v>0</v>
      </c>
      <c r="AF251" s="218">
        <f>IF(AE251=0,0,E251&amp;COUNTIF($AE$7:AE251,AE251))</f>
        <v>0</v>
      </c>
      <c r="AG251" s="218">
        <f t="shared" ref="AG251" si="2793">IF(E251="",0,IF(AD251=0,0,IF(AD251&gt;=3,E251&amp;$AG$6,0)))</f>
        <v>0</v>
      </c>
      <c r="AH251" s="218">
        <f>IF(AG251=0,0,E251&amp;COUNTIF($AG$7:AG251,AG251))</f>
        <v>0</v>
      </c>
      <c r="AI251" s="218">
        <f t="shared" ref="AI251:AI299" si="2794">IF(COUNTIF(Y251,"*十種*")&gt;0,0,IF($AD251=AI$6,$E251,0))</f>
        <v>0</v>
      </c>
      <c r="AJ251" s="218" t="b">
        <f>IF(AI251=0,FALSE,IF(COUNTIF(AI$7:AI251,AI251)&gt;1,TRUE,FALSE))</f>
        <v>0</v>
      </c>
      <c r="AK251" s="218">
        <f t="shared" ref="AK251" si="2795">IF($AD251=AK$6,$E251,0)</f>
        <v>0</v>
      </c>
      <c r="AL251" s="218" t="b">
        <f>IF(AK251=0,FALSE,IF(COUNTIF(AK$7:AK251,AK251)&gt;1,TRUE,FALSE))</f>
        <v>0</v>
      </c>
      <c r="AM251" s="218">
        <f t="shared" ref="AM251" si="2796">IF($AD251=AM$6,$E251,0)</f>
        <v>0</v>
      </c>
      <c r="AN251" s="218" t="b">
        <f>IF(AM251=0,FALSE,IF(COUNTIF(AM$7:AM251,AM251)&gt;1,TRUE,FALSE))</f>
        <v>0</v>
      </c>
      <c r="AO251" s="218">
        <f t="shared" ref="AO251" si="2797">IF($AD251=AO$6,$E251,0)</f>
        <v>0</v>
      </c>
      <c r="AP251" s="218" t="b">
        <f>IF(AO251=0,FALSE,IF(COUNTIF(AO$7:AO251,AO251)&gt;1,TRUE,FALSE))</f>
        <v>0</v>
      </c>
      <c r="AQ251" s="218">
        <f t="shared" ref="AQ251" si="2798">IF(COUNTIF(Y251,"*十種競技*")&gt;0,E251,0)</f>
        <v>0</v>
      </c>
      <c r="AR251" s="218" t="b">
        <f>IF(AQ251=0,FALSE,IF(OR(COUNTIF($AI$7:$AI$406,AQ251)+COUNTIF($AQ251:$AQ$406,AQ251)&gt;1,COUNTIF($AK$7:$AK$406,AQ251)+COUNTIF($AQ$7:$AQ$406,AQ251)&gt;1),TRUE,FALSE))</f>
        <v>0</v>
      </c>
      <c r="AS251" s="218" t="b">
        <f t="shared" ref="AS251" si="2799">IF(AND(C251="",E251&lt;&gt;"",F251&lt;&gt;"",E253&lt;&gt;"",G251&lt;&gt;"",G252&lt;&gt;"",G253&lt;&gt;""),TRUE,FALSE)</f>
        <v>0</v>
      </c>
      <c r="AT251" s="218" t="b">
        <f t="shared" si="2226"/>
        <v>0</v>
      </c>
      <c r="AU251" s="274" t="b">
        <f t="shared" ref="AU251" si="2800">IFERROR(IF(D251&amp;E251&amp;F251&amp;E253&amp;G251&amp;G252&amp;G253&amp;J251&amp;J252&amp;J253&amp;J254&amp;L251&amp;L252&amp;L253&amp;L254&amp;M251&amp;M252&amp;M253&amp;M254&amp;N251&amp;N252&amp;N253&amp;N254&amp;O251&amp;O252&amp;O253&amp;O254&amp;P251&amp;P252&amp;P253&amp;P254&amp;Q251&amp;R251="",FALSE,TRUE),FALSE)</f>
        <v>0</v>
      </c>
      <c r="AV251" s="218" t="b">
        <f t="shared" ref="AV251" si="2801">IF(AS251,FALSE,IF(C251="",AU251,FALSE))</f>
        <v>0</v>
      </c>
      <c r="AW251" s="218" t="b">
        <f>IF(C251="",FALSE,IF(C251&gt;2000,TRUE,FALSE))</f>
        <v>0</v>
      </c>
      <c r="AX251" s="274" t="b">
        <f>IF(H251=0,FALSE,IF(EXACT(基本情報!$E$5,H251)=TRUE,FALSE,TRUE))</f>
        <v>0</v>
      </c>
      <c r="AY251" s="218" t="b">
        <f>IF(C251="",FALSE,IF(ISNA(E251)=TRUE,TRUE,FALSE))</f>
        <v>0</v>
      </c>
      <c r="AZ251" s="274" t="b">
        <f>IFERROR(IF(E251="",FALSE,IF(COUNTIF($E$7:E251,E251)&gt;1,TRUE,FALSE)),FALSE)</f>
        <v>0</v>
      </c>
      <c r="BA251" s="218" t="b">
        <f t="shared" ref="BA251" si="2802">IF(OR(J251&amp;J252&amp;J253&amp;J254&amp;Q251&amp;R251="",AT251,AT252,AT253,AT254),AU251,FALSE)</f>
        <v>0</v>
      </c>
      <c r="BB251" s="218" t="b">
        <f>IF(U251&gt;1,TRUE,FALSE)</f>
        <v>0</v>
      </c>
      <c r="BC251" s="218" t="b">
        <f>IF(X251&gt;1,TRUE,FALSE)</f>
        <v>0</v>
      </c>
      <c r="BD251" s="218" t="b">
        <f t="shared" si="2213"/>
        <v>0</v>
      </c>
      <c r="BF251" s="231" t="b">
        <f t="shared" ref="BF251" si="2803">IF(J251="",FALSE,IF(OR(AND(AU251,L251=""),AND(AU251,L251="",OR(M251&lt;&gt;"",N251&lt;&gt;"",O251&lt;&gt;"",P251&lt;&gt;""))),TRUE,FALSE))</f>
        <v>0</v>
      </c>
      <c r="BG251" s="218" t="b">
        <f t="shared" si="2215"/>
        <v>0</v>
      </c>
      <c r="BH251" s="218" t="b">
        <f t="shared" si="2228"/>
        <v>0</v>
      </c>
      <c r="BI251" s="231" t="b">
        <f t="shared" ref="BI251" si="2804">IF(J251="",FALSE,IF(L251=0,FALSE,IF(AND(AU251,NOT(BF251),OR(M251="",N251="",O251="")),TRUE,FALSE)))</f>
        <v>0</v>
      </c>
      <c r="BJ251" s="240" t="b">
        <f t="shared" si="2230"/>
        <v>0</v>
      </c>
      <c r="BK251" s="231" t="b">
        <f>IF(NOT(BJ251),FALSE,IF(AND(競技会設定!$C$5&lt;=BJ251,BJ251&lt;=競技会設定!$C$6),FALSE,TRUE))</f>
        <v>0</v>
      </c>
      <c r="BL251" s="218" t="b">
        <f>IF(J251="",FALSE,IF(L251=0,FALSE,IF(AND(AU251,NOT(BF251),NOT(BI251),P251=""),TRUE,FALSE)))</f>
        <v>0</v>
      </c>
      <c r="BO251" s="274">
        <f t="shared" ref="BO251" si="2805">IF(AND(AU251,SUM(COUNTIF(AV251:BC251,TRUE),COUNTIF(BF251:BL254,TRUE),COUNTIF(BD251:BD254,TRUE))=0,NOT($BE$7)),1,0)</f>
        <v>0</v>
      </c>
    </row>
    <row r="252" spans="1:67" ht="17.399999999999999" customHeight="1">
      <c r="A252" s="421"/>
      <c r="B252" s="374"/>
      <c r="C252" s="376"/>
      <c r="D252" s="139"/>
      <c r="E252" s="378"/>
      <c r="F252" s="378"/>
      <c r="G252" s="139" t="str">
        <f>IF(C251="","",(VLOOKUP(D251,男子登録!$A$2:$N$2001,13,0)))</f>
        <v/>
      </c>
      <c r="H252" s="139"/>
      <c r="I252" s="139" t="s">
        <v>7061</v>
      </c>
      <c r="J252" s="152"/>
      <c r="K252" s="139" t="s">
        <v>7062</v>
      </c>
      <c r="L252" s="152"/>
      <c r="M252" s="264"/>
      <c r="N252" s="265"/>
      <c r="O252" s="266"/>
      <c r="P252" s="152"/>
      <c r="Q252" s="382"/>
      <c r="R252" s="385"/>
      <c r="S252" s="136"/>
      <c r="T252" s="137"/>
      <c r="U252" s="137"/>
      <c r="V252" s="137"/>
      <c r="W252" s="137"/>
      <c r="X252" s="137"/>
      <c r="Y252" s="218">
        <f t="shared" ref="Y252" si="2806">IF(OR(E251="",J252=""),0,J252&amp;E251)</f>
        <v>0</v>
      </c>
      <c r="Z252" s="218">
        <f>IF(Y252=0,0,COUNTIF($Y$7:Y252,Y252))</f>
        <v>0</v>
      </c>
      <c r="AD252" s="218">
        <f>IFERROR(VLOOKUP(J252,競技会設定!$P$2:$S$22,2,0),0)</f>
        <v>0</v>
      </c>
      <c r="AE252" s="218">
        <f t="shared" ref="AE252" si="2807">IF(E251="",0,IF(AD252=0,0,IF(AD252&lt;3,E251&amp;$AE$6,0)))</f>
        <v>0</v>
      </c>
      <c r="AF252" s="218">
        <f>IF(AE252=0,0,E251&amp;COUNTIF($AE$7:AE252,AE252))</f>
        <v>0</v>
      </c>
      <c r="AG252" s="218">
        <f t="shared" ref="AG252" si="2808">IF(E251="",0,IF(AD252=0,0,IF(AD252&gt;=3,E251&amp;$AG$6,0)))</f>
        <v>0</v>
      </c>
      <c r="AH252" s="218">
        <f>IF(AG252=0,0,E251&amp;COUNTIF($AG$7:AG252,AG252))</f>
        <v>0</v>
      </c>
      <c r="AI252" s="218">
        <f t="shared" ref="AI252:AI300" si="2809">IF(COUNTIF(Y252,"*十種*")&gt;0,0,IF($AD252=AI$6,$E251,0))</f>
        <v>0</v>
      </c>
      <c r="AJ252" s="218" t="b">
        <f>IF(AI252=0,FALSE,IF(COUNTIF(AI$7:AI252,AI252)&gt;1,TRUE,FALSE))</f>
        <v>0</v>
      </c>
      <c r="AK252" s="218">
        <f t="shared" ref="AK252" si="2810">IF($AD252=AK$6,$E251,0)</f>
        <v>0</v>
      </c>
      <c r="AL252" s="218" t="b">
        <f>IF(AK252=0,FALSE,IF(COUNTIF(AK$7:AK252,AK252)&gt;1,TRUE,FALSE))</f>
        <v>0</v>
      </c>
      <c r="AM252" s="218">
        <f t="shared" ref="AM252" si="2811">IF($AD252=AM$6,$E251,0)</f>
        <v>0</v>
      </c>
      <c r="AN252" s="218" t="b">
        <f>IF(AM252=0,FALSE,IF(COUNTIF(AM$7:AM252,AM252)&gt;1,TRUE,FALSE))</f>
        <v>0</v>
      </c>
      <c r="AO252" s="218">
        <f t="shared" ref="AO252" si="2812">IF($AD252=AO$6,$E251,0)</f>
        <v>0</v>
      </c>
      <c r="AP252" s="218" t="b">
        <f>IF(AO252=0,FALSE,IF(COUNTIF(AO$7:AO252,AO252)&gt;1,TRUE,FALSE))</f>
        <v>0</v>
      </c>
      <c r="AQ252" s="218">
        <f t="shared" ref="AQ252" si="2813">IF(COUNTIF(Y252,"*十種競技*")&gt;0,E251,0)</f>
        <v>0</v>
      </c>
      <c r="AR252" s="218" t="b">
        <f>IF(AQ252=0,FALSE,IF(OR(COUNTIF($AI$7:$AI$406,AQ252)+COUNTIF($AQ252:$AQ$406,AQ252)&gt;1,COUNTIF($AK$7:$AK$406,AQ252)+COUNTIF($AQ$7:$AQ$406,AQ252)&gt;1),TRUE,FALSE))</f>
        <v>0</v>
      </c>
      <c r="AT252" s="218" t="b">
        <f t="shared" si="2226"/>
        <v>0</v>
      </c>
      <c r="AU252" s="274"/>
      <c r="AX252" s="274"/>
      <c r="BD252" s="218" t="b">
        <f t="shared" si="2213"/>
        <v>0</v>
      </c>
      <c r="BF252" s="231" t="b">
        <f t="shared" ref="BF252" si="2814">IF(J252="",FALSE,IF(OR(AND(AU251,L252=""),AND(AU251,L252="",OR(M252&lt;&gt;"",N252&lt;&gt;"",O252&lt;&gt;"",P252&lt;&gt;""))),TRUE,FALSE))</f>
        <v>0</v>
      </c>
      <c r="BG252" s="218" t="b">
        <f t="shared" si="2215"/>
        <v>0</v>
      </c>
      <c r="BH252" s="218" t="b">
        <f t="shared" si="2228"/>
        <v>0</v>
      </c>
      <c r="BI252" s="231" t="b">
        <f t="shared" ref="BI252" si="2815">IF(J252="",FALSE,IF(L252=0,FALSE,IF(AND(AU251,NOT(BF252),OR(M252="",N252="",O252="")),TRUE,FALSE)))</f>
        <v>0</v>
      </c>
      <c r="BJ252" s="240" t="b">
        <f t="shared" si="2230"/>
        <v>0</v>
      </c>
      <c r="BK252" s="231" t="b">
        <f>IF(NOT(BJ252),FALSE,IF(AND(競技会設定!$C$5&lt;=BJ252,BJ252&lt;=競技会設定!$C$6),FALSE,TRUE))</f>
        <v>0</v>
      </c>
      <c r="BL252" s="218" t="b">
        <f>IF(J252="",FALSE,IF(L252=0,FALSE,IF(AND(AU251,NOT(BF252),NOT(BI252),P252=""),TRUE,FALSE)))</f>
        <v>0</v>
      </c>
      <c r="BO252" s="274"/>
    </row>
    <row r="253" spans="1:67" ht="17.399999999999999" customHeight="1">
      <c r="A253" s="421"/>
      <c r="B253" s="374"/>
      <c r="C253" s="376"/>
      <c r="D253" s="140"/>
      <c r="E253" s="379" t="str">
        <f>IF(C251="","",VLOOKUP(D251,男子登録!$A$2:$O$2001,14,0)&amp;" ("&amp;VLOOKUP(D251,男子登録!$A$2:$O$2001,15,0)&amp;")")</f>
        <v/>
      </c>
      <c r="F253" s="380"/>
      <c r="G253" s="140" t="str">
        <f>IF(C251="","",(VLOOKUP(D251,男子登録!$A$2:$N$2001,9,0)))</f>
        <v/>
      </c>
      <c r="H253" s="140"/>
      <c r="I253" s="140" t="s">
        <v>7063</v>
      </c>
      <c r="J253" s="153"/>
      <c r="K253" s="140" t="s">
        <v>7064</v>
      </c>
      <c r="L253" s="153"/>
      <c r="M253" s="264"/>
      <c r="N253" s="265"/>
      <c r="O253" s="266"/>
      <c r="P253" s="152"/>
      <c r="Q253" s="382"/>
      <c r="R253" s="385"/>
      <c r="S253" s="136"/>
      <c r="T253" s="137"/>
      <c r="U253" s="137"/>
      <c r="V253" s="137"/>
      <c r="W253" s="137"/>
      <c r="X253" s="137"/>
      <c r="Y253" s="218">
        <f t="shared" ref="Y253" si="2816">IF(OR(E251="",J253=""),0,J253&amp;E251)</f>
        <v>0</v>
      </c>
      <c r="Z253" s="218">
        <f>IF(Y253=0,0,COUNTIF($Y$7:Y253,Y253))</f>
        <v>0</v>
      </c>
      <c r="AD253" s="218">
        <f>IFERROR(VLOOKUP(J253,競技会設定!$P$2:$S$22,2,0),0)</f>
        <v>0</v>
      </c>
      <c r="AE253" s="218">
        <f t="shared" ref="AE253" si="2817">IF(E251="",0,IF(AD253=0,0,IF(AD253&lt;3,E251&amp;$AE$6,0)))</f>
        <v>0</v>
      </c>
      <c r="AF253" s="218">
        <f>IF(AE253=0,0,E251&amp;COUNTIF($AE$7:AE253,AE253))</f>
        <v>0</v>
      </c>
      <c r="AG253" s="218">
        <f t="shared" ref="AG253" si="2818">IF(E251="",0,IF(AD253=0,0,IF(AD253&gt;=3,E251&amp;$AG$6,0)))</f>
        <v>0</v>
      </c>
      <c r="AH253" s="218">
        <f>IF(AG253=0,0,E251&amp;COUNTIF($AG$7:AG253,AG253))</f>
        <v>0</v>
      </c>
      <c r="AI253" s="218">
        <f t="shared" ref="AI253:AI301" si="2819">IF(COUNTIF(Y253,"*十種*")&gt;0,0,IF($AD253=AI$6,$E251,0))</f>
        <v>0</v>
      </c>
      <c r="AJ253" s="218" t="b">
        <f>IF(AI253=0,FALSE,IF(COUNTIF(AI$7:AI253,AI253)&gt;1,TRUE,FALSE))</f>
        <v>0</v>
      </c>
      <c r="AK253" s="218">
        <f t="shared" ref="AK253" si="2820">IF($AD253=AK$6,$E251,0)</f>
        <v>0</v>
      </c>
      <c r="AL253" s="218" t="b">
        <f>IF(AK253=0,FALSE,IF(COUNTIF(AK$7:AK253,AK253)&gt;1,TRUE,FALSE))</f>
        <v>0</v>
      </c>
      <c r="AM253" s="218">
        <f t="shared" ref="AM253" si="2821">IF($AD253=AM$6,$E251,0)</f>
        <v>0</v>
      </c>
      <c r="AN253" s="218" t="b">
        <f>IF(AM253=0,FALSE,IF(COUNTIF(AM$7:AM253,AM253)&gt;1,TRUE,FALSE))</f>
        <v>0</v>
      </c>
      <c r="AO253" s="218">
        <f t="shared" ref="AO253" si="2822">IF($AD253=AO$6,$E251,0)</f>
        <v>0</v>
      </c>
      <c r="AP253" s="218" t="b">
        <f>IF(AO253=0,FALSE,IF(COUNTIF(AO$7:AO253,AO253)&gt;1,TRUE,FALSE))</f>
        <v>0</v>
      </c>
      <c r="AQ253" s="218">
        <f t="shared" ref="AQ253" si="2823">IF(COUNTIF(Y253,"*十種競技*")&gt;0,E251,0)</f>
        <v>0</v>
      </c>
      <c r="AR253" s="218" t="b">
        <f>IF(AQ253=0,FALSE,IF(OR(COUNTIF($AI$7:$AI$406,AQ253)+COUNTIF($AQ253:$AQ$406,AQ253)&gt;1,COUNTIF($AK$7:$AK$406,AQ253)+COUNTIF($AQ$7:$AQ$406,AQ253)&gt;1),TRUE,FALSE))</f>
        <v>0</v>
      </c>
      <c r="AT253" s="218" t="b">
        <f t="shared" si="2226"/>
        <v>0</v>
      </c>
      <c r="AU253" s="274"/>
      <c r="AX253" s="274"/>
      <c r="BD253" s="218" t="b">
        <f t="shared" si="2213"/>
        <v>0</v>
      </c>
      <c r="BF253" s="231" t="b">
        <f t="shared" ref="BF253" si="2824">IF(J253="",FALSE,IF(OR(AND(AU251,L253=""),AND(AU251,L253="",OR(M253&lt;&gt;"",N253&lt;&gt;"",O253&lt;&gt;"",P253&lt;&gt;""))),TRUE,FALSE))</f>
        <v>0</v>
      </c>
      <c r="BG253" s="218" t="b">
        <f t="shared" si="2215"/>
        <v>0</v>
      </c>
      <c r="BH253" s="218" t="b">
        <f t="shared" si="2228"/>
        <v>0</v>
      </c>
      <c r="BI253" s="231" t="b">
        <f t="shared" ref="BI253" si="2825">IF(J253="",FALSE,IF(L253=0,FALSE,IF(AND(AU251,NOT(BF253),OR(M253="",N253="",O253="")),TRUE,FALSE)))</f>
        <v>0</v>
      </c>
      <c r="BJ253" s="240" t="b">
        <f t="shared" si="2230"/>
        <v>0</v>
      </c>
      <c r="BK253" s="231" t="b">
        <f>IF(NOT(BJ253),FALSE,IF(AND(競技会設定!$C$5&lt;=BJ253,BJ253&lt;=競技会設定!$C$6),FALSE,TRUE))</f>
        <v>0</v>
      </c>
      <c r="BL253" s="218" t="b">
        <f>IF(J253="",FALSE,IF(L253=0,FALSE,IF(AND(AU251,NOT(BF253),NOT(BI253),P253=""),TRUE,FALSE)))</f>
        <v>0</v>
      </c>
      <c r="BO253" s="274"/>
    </row>
    <row r="254" spans="1:67" ht="18" customHeight="1" thickBot="1">
      <c r="A254" s="422"/>
      <c r="B254" s="387" t="s">
        <v>7051</v>
      </c>
      <c r="C254" s="387"/>
      <c r="D254" s="213"/>
      <c r="E254" s="388"/>
      <c r="F254" s="389"/>
      <c r="G254" s="390"/>
      <c r="H254" s="141"/>
      <c r="I254" s="213" t="s">
        <v>7065</v>
      </c>
      <c r="J254" s="154"/>
      <c r="K254" s="213" t="s">
        <v>7066</v>
      </c>
      <c r="L254" s="154"/>
      <c r="M254" s="267"/>
      <c r="N254" s="268"/>
      <c r="O254" s="269"/>
      <c r="P254" s="154"/>
      <c r="Q254" s="383"/>
      <c r="R254" s="386"/>
      <c r="S254" s="136"/>
      <c r="T254" s="137"/>
      <c r="U254" s="137"/>
      <c r="V254" s="137"/>
      <c r="W254" s="137"/>
      <c r="X254" s="137"/>
      <c r="Y254" s="218">
        <f t="shared" ref="Y254" si="2826">IF(OR(E251="",J254=""),0,J254&amp;E251)</f>
        <v>0</v>
      </c>
      <c r="Z254" s="218">
        <f>IF(Y254=0,0,COUNTIF($Y$7:Y254,Y254))</f>
        <v>0</v>
      </c>
      <c r="AD254" s="218">
        <f>IFERROR(VLOOKUP(J254,競技会設定!$P$2:$S$22,2,0),0)</f>
        <v>0</v>
      </c>
      <c r="AE254" s="218">
        <f t="shared" ref="AE254" si="2827">IF(E251="",0,IF(AD254=0,0,IF(AD254&lt;3,E251&amp;$AE$6,0)))</f>
        <v>0</v>
      </c>
      <c r="AF254" s="218">
        <f>IF(AE254=0,0,E251&amp;COUNTIF($AE$7:AE254,AE254))</f>
        <v>0</v>
      </c>
      <c r="AG254" s="218">
        <f t="shared" ref="AG254" si="2828">IF(E251="",0,IF(AD254=0,0,IF(AD254&gt;=3,E251&amp;$AG$6,0)))</f>
        <v>0</v>
      </c>
      <c r="AH254" s="218">
        <f>IF(AG254=0,0,E251&amp;COUNTIF($AG$7:AG254,AG254))</f>
        <v>0</v>
      </c>
      <c r="AI254" s="218">
        <f t="shared" ref="AI254:AI302" si="2829">IF(COUNTIF(Y254,"*十種*")&gt;0,0,IF($AD254=AI$6,$E251,0))</f>
        <v>0</v>
      </c>
      <c r="AJ254" s="218" t="b">
        <f>IF(AI254=0,FALSE,IF(COUNTIF(AI$7:AI254,AI254)&gt;1,TRUE,FALSE))</f>
        <v>0</v>
      </c>
      <c r="AK254" s="218">
        <f t="shared" ref="AK254" si="2830">IF($AD254=AK$6,$E251,0)</f>
        <v>0</v>
      </c>
      <c r="AL254" s="218" t="b">
        <f>IF(AK254=0,FALSE,IF(COUNTIF(AK$7:AK254,AK254)&gt;1,TRUE,FALSE))</f>
        <v>0</v>
      </c>
      <c r="AM254" s="218">
        <f t="shared" ref="AM254" si="2831">IF($AD254=AM$6,$E251,0)</f>
        <v>0</v>
      </c>
      <c r="AN254" s="218" t="b">
        <f>IF(AM254=0,FALSE,IF(COUNTIF(AM$7:AM254,AM254)&gt;1,TRUE,FALSE))</f>
        <v>0</v>
      </c>
      <c r="AO254" s="218">
        <f t="shared" ref="AO254" si="2832">IF($AD254=AO$6,$E251,0)</f>
        <v>0</v>
      </c>
      <c r="AP254" s="218" t="b">
        <f>IF(AO254=0,FALSE,IF(COUNTIF(AO$7:AO254,AO254)&gt;1,TRUE,FALSE))</f>
        <v>0</v>
      </c>
      <c r="AQ254" s="218">
        <f t="shared" ref="AQ254" si="2833">IF(COUNTIF(Y254,"*十種競技*")&gt;0,E251,0)</f>
        <v>0</v>
      </c>
      <c r="AR254" s="218" t="b">
        <f>IF(AQ254=0,FALSE,IF(OR(COUNTIF($AI$7:$AI$406,AQ254)+COUNTIF($AQ254:$AQ$406,AQ254)&gt;1,COUNTIF($AK$7:$AK$406,AQ254)+COUNTIF($AQ$7:$AQ$406,AQ254)&gt;1),TRUE,FALSE))</f>
        <v>0</v>
      </c>
      <c r="AT254" s="218" t="b">
        <f t="shared" si="2226"/>
        <v>0</v>
      </c>
      <c r="AU254" s="274"/>
      <c r="AX254" s="274"/>
      <c r="BD254" s="218" t="b">
        <f t="shared" si="2213"/>
        <v>0</v>
      </c>
      <c r="BF254" s="231" t="b">
        <f t="shared" ref="BF254" si="2834">IF(J254="",FALSE,IF(OR(AND(AU251,L254=""),AND(AU251,L254="",OR(M254&lt;&gt;"",N254&lt;&gt;"",O254&lt;&gt;"",P254&lt;&gt;""))),TRUE,FALSE))</f>
        <v>0</v>
      </c>
      <c r="BG254" s="218" t="b">
        <f t="shared" si="2215"/>
        <v>0</v>
      </c>
      <c r="BH254" s="218" t="b">
        <f t="shared" si="2228"/>
        <v>0</v>
      </c>
      <c r="BI254" s="231" t="b">
        <f t="shared" ref="BI254" si="2835">IF(J254="",FALSE,IF(L254=0,FALSE,IF(AND(AU251,NOT(BF254),OR(M254="",N254="",O254="")),TRUE,FALSE)))</f>
        <v>0</v>
      </c>
      <c r="BJ254" s="240" t="b">
        <f t="shared" si="2230"/>
        <v>0</v>
      </c>
      <c r="BK254" s="231" t="b">
        <f>IF(NOT(BJ254),FALSE,IF(AND(競技会設定!$C$5&lt;=BJ254,BJ254&lt;=競技会設定!$C$6),FALSE,TRUE))</f>
        <v>0</v>
      </c>
      <c r="BL254" s="218" t="b">
        <f>IF(J254="",FALSE,IF(L254=0,FALSE,IF(AND(AU251,NOT(BF254),NOT(BI254),P254=""),TRUE,FALSE)))</f>
        <v>0</v>
      </c>
      <c r="BO254" s="274"/>
    </row>
    <row r="255" spans="1:67" ht="18" customHeight="1" thickTop="1">
      <c r="A255" s="417">
        <v>63</v>
      </c>
      <c r="B255" s="401" t="s">
        <v>7050</v>
      </c>
      <c r="C255" s="403"/>
      <c r="D255" s="220" t="str">
        <f t="shared" ref="D255" si="2836">IF(C255="","",501&amp;TEXT(C255,"000000"))</f>
        <v/>
      </c>
      <c r="E255" s="396" t="str">
        <f>IF(D255="","",(VLOOKUP(D255,男子登録!$A$2:$N$2001,3,0)))</f>
        <v/>
      </c>
      <c r="F255" s="396" t="str">
        <f>IF(D255="","",(VLOOKUP(D255,男子登録!$A$2:$N$2001,4,0)))</f>
        <v/>
      </c>
      <c r="G255" s="220" t="str">
        <f>IF(C255="","",(VLOOKUP(D255,男子登録!$A$2:$N$2001,8,0)))</f>
        <v/>
      </c>
      <c r="H255" s="220">
        <f>IFERROR(VLOOKUP(D255,男子登録!$A$2:$N$2001,11,0),基本情報!$E$5)</f>
        <v>0</v>
      </c>
      <c r="I255" s="220" t="s">
        <v>7059</v>
      </c>
      <c r="J255" s="148"/>
      <c r="K255" s="220" t="s">
        <v>7060</v>
      </c>
      <c r="L255" s="148"/>
      <c r="M255" s="252"/>
      <c r="N255" s="253"/>
      <c r="O255" s="254"/>
      <c r="P255" s="148"/>
      <c r="Q255" s="398"/>
      <c r="R255" s="391"/>
      <c r="S255" s="136">
        <f t="shared" ref="S255" si="2837">IF(OR(E255="",Q255=""),0,E255)</f>
        <v>0</v>
      </c>
      <c r="T255" s="137">
        <f>IF(S255=0,0,COUNTIF($S$7:S255,"*"))</f>
        <v>0</v>
      </c>
      <c r="U255" s="137">
        <f>IF(S255=0,0,COUNTIF($S$7:S255,S255))</f>
        <v>0</v>
      </c>
      <c r="V255" s="137">
        <f t="shared" si="2429"/>
        <v>0</v>
      </c>
      <c r="W255" s="137">
        <f>IF(V255=0,0,COUNTIF($V$7:V255,"*"))</f>
        <v>0</v>
      </c>
      <c r="X255" s="137">
        <f>IF(V255=0,0,COUNTIF($V$7:V255,V255))</f>
        <v>0</v>
      </c>
      <c r="Y255" s="218">
        <f t="shared" ref="Y255" si="2838">IF(OR(E255="",J255=""),0,J255&amp;E255)</f>
        <v>0</v>
      </c>
      <c r="Z255" s="218">
        <f>IF(Y255=0,0,COUNTIF($Y$7:Y255,Y255))</f>
        <v>0</v>
      </c>
      <c r="AA255" s="218" t="b">
        <f t="shared" ref="AA255" si="2839">IF(COUNTIF(J255:J258,"十種競技")&gt;0,TRUE,FALSE)</f>
        <v>0</v>
      </c>
      <c r="AB255" s="218">
        <f>IF(E255="",0,IF(AA255,COUNTIF($AA$7:AA255,TRUE),0))</f>
        <v>0</v>
      </c>
      <c r="AC255" s="218">
        <f>IFERROR(VLOOKUP("十種競技",J255:L258,3,0),0)</f>
        <v>0</v>
      </c>
      <c r="AD255" s="218">
        <f>IFERROR(VLOOKUP(J255,競技会設定!$P$2:$S$22,2,0),0)</f>
        <v>0</v>
      </c>
      <c r="AE255" s="218">
        <f t="shared" ref="AE255" si="2840">IF(E255="",0,IF(AD255=0,0,IF(AD255&lt;3,E255&amp;$AE$6,0)))</f>
        <v>0</v>
      </c>
      <c r="AF255" s="218">
        <f>IF(AE255=0,0,E255&amp;COUNTIF($AE$7:AE255,AE255))</f>
        <v>0</v>
      </c>
      <c r="AG255" s="218">
        <f t="shared" ref="AG255" si="2841">IF(E255="",0,IF(AD255=0,0,IF(AD255&gt;=3,E255&amp;$AG$6,0)))</f>
        <v>0</v>
      </c>
      <c r="AH255" s="218">
        <f>IF(AG255=0,0,E255&amp;COUNTIF($AG$7:AG255,AG255))</f>
        <v>0</v>
      </c>
      <c r="AI255" s="218">
        <f t="shared" ref="AI255:AI303" si="2842">IF(COUNTIF(Y255,"*十種*")&gt;0,0,IF($AD255=AI$6,$E255,0))</f>
        <v>0</v>
      </c>
      <c r="AJ255" s="218" t="b">
        <f>IF(AI255=0,FALSE,IF(COUNTIF(AI$7:AI255,AI255)&gt;1,TRUE,FALSE))</f>
        <v>0</v>
      </c>
      <c r="AK255" s="218">
        <f t="shared" ref="AK255" si="2843">IF($AD255=AK$6,$E255,0)</f>
        <v>0</v>
      </c>
      <c r="AL255" s="218" t="b">
        <f>IF(AK255=0,FALSE,IF(COUNTIF(AK$7:AK255,AK255)&gt;1,TRUE,FALSE))</f>
        <v>0</v>
      </c>
      <c r="AM255" s="218">
        <f t="shared" ref="AM255" si="2844">IF($AD255=AM$6,$E255,0)</f>
        <v>0</v>
      </c>
      <c r="AN255" s="218" t="b">
        <f>IF(AM255=0,FALSE,IF(COUNTIF(AM$7:AM255,AM255)&gt;1,TRUE,FALSE))</f>
        <v>0</v>
      </c>
      <c r="AO255" s="218">
        <f t="shared" ref="AO255" si="2845">IF($AD255=AO$6,$E255,0)</f>
        <v>0</v>
      </c>
      <c r="AP255" s="218" t="b">
        <f>IF(AO255=0,FALSE,IF(COUNTIF(AO$7:AO255,AO255)&gt;1,TRUE,FALSE))</f>
        <v>0</v>
      </c>
      <c r="AQ255" s="218">
        <f t="shared" ref="AQ255" si="2846">IF(COUNTIF(Y255,"*十種競技*")&gt;0,E255,0)</f>
        <v>0</v>
      </c>
      <c r="AR255" s="218" t="b">
        <f>IF(AQ255=0,FALSE,IF(OR(COUNTIF($AI$7:$AI$406,AQ255)+COUNTIF($AQ255:$AQ$406,AQ255)&gt;1,COUNTIF($AK$7:$AK$406,AQ255)+COUNTIF($AQ$7:$AQ$406,AQ255)&gt;1),TRUE,FALSE))</f>
        <v>0</v>
      </c>
      <c r="AS255" s="218" t="b">
        <f t="shared" ref="AS255" si="2847">IF(AND(C255="",E255&lt;&gt;"",F255&lt;&gt;"",E257&lt;&gt;"",G255&lt;&gt;"",G256&lt;&gt;"",G257&lt;&gt;""),TRUE,FALSE)</f>
        <v>0</v>
      </c>
      <c r="AT255" s="218" t="b">
        <f t="shared" si="2226"/>
        <v>0</v>
      </c>
      <c r="AU255" s="274" t="b">
        <f t="shared" ref="AU255" si="2848">IFERROR(IF(D255&amp;E255&amp;F255&amp;E257&amp;G255&amp;G256&amp;G257&amp;J255&amp;J256&amp;J257&amp;J258&amp;L255&amp;L256&amp;L257&amp;L258&amp;M255&amp;M256&amp;M257&amp;M258&amp;N255&amp;N256&amp;N257&amp;N258&amp;O255&amp;O256&amp;O257&amp;O258&amp;P255&amp;P256&amp;P257&amp;P258&amp;Q255&amp;R255="",FALSE,TRUE),FALSE)</f>
        <v>0</v>
      </c>
      <c r="AV255" s="218" t="b">
        <f t="shared" ref="AV255" si="2849">IF(AS255,FALSE,IF(C255="",AU255,FALSE))</f>
        <v>0</v>
      </c>
      <c r="AW255" s="218" t="b">
        <f>IF(C255="",FALSE,IF(C255&gt;2000,TRUE,FALSE))</f>
        <v>0</v>
      </c>
      <c r="AX255" s="274" t="b">
        <f>IF(H255=0,FALSE,IF(EXACT(基本情報!$E$5,H255)=TRUE,FALSE,TRUE))</f>
        <v>0</v>
      </c>
      <c r="AY255" s="218" t="b">
        <f>IF(C255="",FALSE,IF(ISNA(E255)=TRUE,TRUE,FALSE))</f>
        <v>0</v>
      </c>
      <c r="AZ255" s="274" t="b">
        <f>IFERROR(IF(E255="",FALSE,IF(COUNTIF($E$7:E255,E255)&gt;1,TRUE,FALSE)),FALSE)</f>
        <v>0</v>
      </c>
      <c r="BA255" s="218" t="b">
        <f t="shared" ref="BA255" si="2850">IF(OR(J255&amp;J256&amp;J257&amp;J258&amp;Q255&amp;R255="",AT255,AT256,AT257,AT258),AU255,FALSE)</f>
        <v>0</v>
      </c>
      <c r="BB255" s="218" t="b">
        <f>IF(U255&gt;1,TRUE,FALSE)</f>
        <v>0</v>
      </c>
      <c r="BC255" s="218" t="b">
        <f>IF(X255&gt;1,TRUE,FALSE)</f>
        <v>0</v>
      </c>
      <c r="BD255" s="218" t="b">
        <f t="shared" si="2213"/>
        <v>0</v>
      </c>
      <c r="BF255" s="231" t="b">
        <f t="shared" ref="BF255" si="2851">IF(J255="",FALSE,IF(OR(AND(AU255,L255=""),AND(AU255,L255="",OR(M255&lt;&gt;"",N255&lt;&gt;"",O255&lt;&gt;"",P255&lt;&gt;""))),TRUE,FALSE))</f>
        <v>0</v>
      </c>
      <c r="BG255" s="218" t="b">
        <f t="shared" si="2215"/>
        <v>0</v>
      </c>
      <c r="BH255" s="218" t="b">
        <f t="shared" si="2228"/>
        <v>0</v>
      </c>
      <c r="BI255" s="231" t="b">
        <f t="shared" ref="BI255" si="2852">IF(J255="",FALSE,IF(L255=0,FALSE,IF(AND(AU255,NOT(BF255),OR(M255="",N255="",O255="")),TRUE,FALSE)))</f>
        <v>0</v>
      </c>
      <c r="BJ255" s="240" t="b">
        <f t="shared" si="2230"/>
        <v>0</v>
      </c>
      <c r="BK255" s="231" t="b">
        <f>IF(NOT(BJ255),FALSE,IF(AND(競技会設定!$C$5&lt;=BJ255,BJ255&lt;=競技会設定!$C$6),FALSE,TRUE))</f>
        <v>0</v>
      </c>
      <c r="BL255" s="218" t="b">
        <f>IF(J255="",FALSE,IF(L255=0,FALSE,IF(AND(AU255,NOT(BF255),NOT(BI255),P255=""),TRUE,FALSE)))</f>
        <v>0</v>
      </c>
      <c r="BO255" s="274">
        <f t="shared" ref="BO255" si="2853">IF(AND(AU255,SUM(COUNTIF(AV255:BC255,TRUE),COUNTIF(BF255:BL258,TRUE),COUNTIF(BD255:BD258,TRUE))=0,NOT($BE$7)),1,0)</f>
        <v>0</v>
      </c>
    </row>
    <row r="256" spans="1:67" ht="17.399999999999999" customHeight="1">
      <c r="A256" s="418"/>
      <c r="B256" s="402"/>
      <c r="C256" s="404"/>
      <c r="D256" s="221"/>
      <c r="E256" s="397"/>
      <c r="F256" s="397"/>
      <c r="G256" s="221" t="str">
        <f>IF(C255="","",(VLOOKUP(D255,男子登録!$A$2:$N$2001,13,0)))</f>
        <v/>
      </c>
      <c r="H256" s="221"/>
      <c r="I256" s="221" t="s">
        <v>7061</v>
      </c>
      <c r="J256" s="149"/>
      <c r="K256" s="221" t="s">
        <v>7062</v>
      </c>
      <c r="L256" s="149"/>
      <c r="M256" s="255"/>
      <c r="N256" s="256"/>
      <c r="O256" s="257"/>
      <c r="P256" s="149"/>
      <c r="Q256" s="399"/>
      <c r="R256" s="392"/>
      <c r="S256" s="136"/>
      <c r="T256" s="137"/>
      <c r="U256" s="137"/>
      <c r="V256" s="137"/>
      <c r="W256" s="137"/>
      <c r="X256" s="137"/>
      <c r="Y256" s="218">
        <f t="shared" ref="Y256" si="2854">IF(OR(E255="",J256=""),0,J256&amp;E255)</f>
        <v>0</v>
      </c>
      <c r="Z256" s="218">
        <f>IF(Y256=0,0,COUNTIF($Y$7:Y256,Y256))</f>
        <v>0</v>
      </c>
      <c r="AD256" s="218">
        <f>IFERROR(VLOOKUP(J256,競技会設定!$P$2:$S$22,2,0),0)</f>
        <v>0</v>
      </c>
      <c r="AE256" s="218">
        <f t="shared" ref="AE256" si="2855">IF(E255="",0,IF(AD256=0,0,IF(AD256&lt;3,E255&amp;$AE$6,0)))</f>
        <v>0</v>
      </c>
      <c r="AF256" s="218">
        <f>IF(AE256=0,0,E255&amp;COUNTIF($AE$7:AE256,AE256))</f>
        <v>0</v>
      </c>
      <c r="AG256" s="218">
        <f t="shared" ref="AG256" si="2856">IF(E255="",0,IF(AD256=0,0,IF(AD256&gt;=3,E255&amp;$AG$6,0)))</f>
        <v>0</v>
      </c>
      <c r="AH256" s="218">
        <f>IF(AG256=0,0,E255&amp;COUNTIF($AG$7:AG256,AG256))</f>
        <v>0</v>
      </c>
      <c r="AI256" s="218">
        <f t="shared" ref="AI256:AI304" si="2857">IF(COUNTIF(Y256,"*十種*")&gt;0,0,IF($AD256=AI$6,$E255,0))</f>
        <v>0</v>
      </c>
      <c r="AJ256" s="218" t="b">
        <f>IF(AI256=0,FALSE,IF(COUNTIF(AI$7:AI256,AI256)&gt;1,TRUE,FALSE))</f>
        <v>0</v>
      </c>
      <c r="AK256" s="218">
        <f t="shared" ref="AK256" si="2858">IF($AD256=AK$6,$E255,0)</f>
        <v>0</v>
      </c>
      <c r="AL256" s="218" t="b">
        <f>IF(AK256=0,FALSE,IF(COUNTIF(AK$7:AK256,AK256)&gt;1,TRUE,FALSE))</f>
        <v>0</v>
      </c>
      <c r="AM256" s="218">
        <f t="shared" ref="AM256" si="2859">IF($AD256=AM$6,$E255,0)</f>
        <v>0</v>
      </c>
      <c r="AN256" s="218" t="b">
        <f>IF(AM256=0,FALSE,IF(COUNTIF(AM$7:AM256,AM256)&gt;1,TRUE,FALSE))</f>
        <v>0</v>
      </c>
      <c r="AO256" s="218">
        <f t="shared" ref="AO256" si="2860">IF($AD256=AO$6,$E255,0)</f>
        <v>0</v>
      </c>
      <c r="AP256" s="218" t="b">
        <f>IF(AO256=0,FALSE,IF(COUNTIF(AO$7:AO256,AO256)&gt;1,TRUE,FALSE))</f>
        <v>0</v>
      </c>
      <c r="AQ256" s="218">
        <f t="shared" ref="AQ256" si="2861">IF(COUNTIF(Y256,"*十種競技*")&gt;0,E255,0)</f>
        <v>0</v>
      </c>
      <c r="AR256" s="218" t="b">
        <f>IF(AQ256=0,FALSE,IF(OR(COUNTIF($AI$7:$AI$406,AQ256)+COUNTIF($AQ256:$AQ$406,AQ256)&gt;1,COUNTIF($AK$7:$AK$406,AQ256)+COUNTIF($AQ$7:$AQ$406,AQ256)&gt;1),TRUE,FALSE))</f>
        <v>0</v>
      </c>
      <c r="AT256" s="218" t="b">
        <f t="shared" si="2226"/>
        <v>0</v>
      </c>
      <c r="AU256" s="274"/>
      <c r="AX256" s="274"/>
      <c r="BD256" s="218" t="b">
        <f t="shared" si="2213"/>
        <v>0</v>
      </c>
      <c r="BF256" s="231" t="b">
        <f t="shared" ref="BF256" si="2862">IF(J256="",FALSE,IF(OR(AND(AU255,L256=""),AND(AU255,L256="",OR(M256&lt;&gt;"",N256&lt;&gt;"",O256&lt;&gt;"",P256&lt;&gt;""))),TRUE,FALSE))</f>
        <v>0</v>
      </c>
      <c r="BG256" s="218" t="b">
        <f t="shared" si="2215"/>
        <v>0</v>
      </c>
      <c r="BH256" s="218" t="b">
        <f t="shared" si="2228"/>
        <v>0</v>
      </c>
      <c r="BI256" s="231" t="b">
        <f t="shared" ref="BI256" si="2863">IF(J256="",FALSE,IF(L256=0,FALSE,IF(AND(AU255,NOT(BF256),OR(M256="",N256="",O256="")),TRUE,FALSE)))</f>
        <v>0</v>
      </c>
      <c r="BJ256" s="240" t="b">
        <f t="shared" si="2230"/>
        <v>0</v>
      </c>
      <c r="BK256" s="231" t="b">
        <f>IF(NOT(BJ256),FALSE,IF(AND(競技会設定!$C$5&lt;=BJ256,BJ256&lt;=競技会設定!$C$6),FALSE,TRUE))</f>
        <v>0</v>
      </c>
      <c r="BL256" s="218" t="b">
        <f>IF(J256="",FALSE,IF(L256=0,FALSE,IF(AND(AU255,NOT(BF256),NOT(BI256),P256=""),TRUE,FALSE)))</f>
        <v>0</v>
      </c>
      <c r="BO256" s="274"/>
    </row>
    <row r="257" spans="1:67" ht="17.399999999999999" customHeight="1">
      <c r="A257" s="418"/>
      <c r="B257" s="402"/>
      <c r="C257" s="404"/>
      <c r="D257" s="221"/>
      <c r="E257" s="394" t="str">
        <f>IF(C255="","",VLOOKUP(D255,男子登録!$A$2:$O$2001,14,0)&amp;" ("&amp;VLOOKUP(D255,男子登録!$A$2:$O$2001,15,0)&amp;")")</f>
        <v/>
      </c>
      <c r="F257" s="394"/>
      <c r="G257" s="222" t="str">
        <f>IF(C255="","",(VLOOKUP(D255,男子登録!$A$2:$N$2001,9,0)))</f>
        <v/>
      </c>
      <c r="H257" s="222"/>
      <c r="I257" s="222" t="s">
        <v>7063</v>
      </c>
      <c r="J257" s="150"/>
      <c r="K257" s="222" t="s">
        <v>7064</v>
      </c>
      <c r="L257" s="150"/>
      <c r="M257" s="255"/>
      <c r="N257" s="256"/>
      <c r="O257" s="257"/>
      <c r="P257" s="149"/>
      <c r="Q257" s="399"/>
      <c r="R257" s="392"/>
      <c r="S257" s="136"/>
      <c r="T257" s="137"/>
      <c r="U257" s="137"/>
      <c r="V257" s="137"/>
      <c r="W257" s="137"/>
      <c r="X257" s="137"/>
      <c r="Y257" s="218">
        <f t="shared" ref="Y257" si="2864">IF(OR(E255="",J257=""),0,J257&amp;E255)</f>
        <v>0</v>
      </c>
      <c r="Z257" s="218">
        <f>IF(Y257=0,0,COUNTIF($Y$7:Y257,Y257))</f>
        <v>0</v>
      </c>
      <c r="AD257" s="218">
        <f>IFERROR(VLOOKUP(J257,競技会設定!$P$2:$S$22,2,0),0)</f>
        <v>0</v>
      </c>
      <c r="AE257" s="218">
        <f t="shared" ref="AE257" si="2865">IF(E255="",0,IF(AD257=0,0,IF(AD257&lt;3,E255&amp;$AE$6,0)))</f>
        <v>0</v>
      </c>
      <c r="AF257" s="218">
        <f>IF(AE257=0,0,E255&amp;COUNTIF($AE$7:AE257,AE257))</f>
        <v>0</v>
      </c>
      <c r="AG257" s="218">
        <f t="shared" ref="AG257" si="2866">IF(E255="",0,IF(AD257=0,0,IF(AD257&gt;=3,E255&amp;$AG$6,0)))</f>
        <v>0</v>
      </c>
      <c r="AH257" s="218">
        <f>IF(AG257=0,0,E255&amp;COUNTIF($AG$7:AG257,AG257))</f>
        <v>0</v>
      </c>
      <c r="AI257" s="218">
        <f t="shared" ref="AI257:AI305" si="2867">IF(COUNTIF(Y257,"*十種*")&gt;0,0,IF($AD257=AI$6,$E255,0))</f>
        <v>0</v>
      </c>
      <c r="AJ257" s="218" t="b">
        <f>IF(AI257=0,FALSE,IF(COUNTIF(AI$7:AI257,AI257)&gt;1,TRUE,FALSE))</f>
        <v>0</v>
      </c>
      <c r="AK257" s="218">
        <f t="shared" ref="AK257" si="2868">IF($AD257=AK$6,$E255,0)</f>
        <v>0</v>
      </c>
      <c r="AL257" s="218" t="b">
        <f>IF(AK257=0,FALSE,IF(COUNTIF(AK$7:AK257,AK257)&gt;1,TRUE,FALSE))</f>
        <v>0</v>
      </c>
      <c r="AM257" s="218">
        <f t="shared" ref="AM257" si="2869">IF($AD257=AM$6,$E255,0)</f>
        <v>0</v>
      </c>
      <c r="AN257" s="218" t="b">
        <f>IF(AM257=0,FALSE,IF(COUNTIF(AM$7:AM257,AM257)&gt;1,TRUE,FALSE))</f>
        <v>0</v>
      </c>
      <c r="AO257" s="218">
        <f t="shared" ref="AO257" si="2870">IF($AD257=AO$6,$E255,0)</f>
        <v>0</v>
      </c>
      <c r="AP257" s="218" t="b">
        <f>IF(AO257=0,FALSE,IF(COUNTIF(AO$7:AO257,AO257)&gt;1,TRUE,FALSE))</f>
        <v>0</v>
      </c>
      <c r="AQ257" s="218">
        <f t="shared" ref="AQ257" si="2871">IF(COUNTIF(Y257,"*十種競技*")&gt;0,E255,0)</f>
        <v>0</v>
      </c>
      <c r="AR257" s="218" t="b">
        <f>IF(AQ257=0,FALSE,IF(OR(COUNTIF($AI$7:$AI$406,AQ257)+COUNTIF($AQ257:$AQ$406,AQ257)&gt;1,COUNTIF($AK$7:$AK$406,AQ257)+COUNTIF($AQ$7:$AQ$406,AQ257)&gt;1),TRUE,FALSE))</f>
        <v>0</v>
      </c>
      <c r="AT257" s="218" t="b">
        <f t="shared" si="2226"/>
        <v>0</v>
      </c>
      <c r="AU257" s="274"/>
      <c r="AX257" s="274"/>
      <c r="BD257" s="218" t="b">
        <f t="shared" si="2213"/>
        <v>0</v>
      </c>
      <c r="BF257" s="231" t="b">
        <f t="shared" ref="BF257" si="2872">IF(J257="",FALSE,IF(OR(AND(AU255,L257=""),AND(AU255,L257="",OR(M257&lt;&gt;"",N257&lt;&gt;"",O257&lt;&gt;"",P257&lt;&gt;""))),TRUE,FALSE))</f>
        <v>0</v>
      </c>
      <c r="BG257" s="218" t="b">
        <f t="shared" si="2215"/>
        <v>0</v>
      </c>
      <c r="BH257" s="218" t="b">
        <f t="shared" si="2228"/>
        <v>0</v>
      </c>
      <c r="BI257" s="231" t="b">
        <f t="shared" ref="BI257" si="2873">IF(J257="",FALSE,IF(L257=0,FALSE,IF(AND(AU255,NOT(BF257),OR(M257="",N257="",O257="")),TRUE,FALSE)))</f>
        <v>0</v>
      </c>
      <c r="BJ257" s="240" t="b">
        <f t="shared" si="2230"/>
        <v>0</v>
      </c>
      <c r="BK257" s="231" t="b">
        <f>IF(NOT(BJ257),FALSE,IF(AND(競技会設定!$C$5&lt;=BJ257,BJ257&lt;=競技会設定!$C$6),FALSE,TRUE))</f>
        <v>0</v>
      </c>
      <c r="BL257" s="218" t="b">
        <f>IF(J257="",FALSE,IF(L257=0,FALSE,IF(AND(AU255,NOT(BF257),NOT(BI257),P257=""),TRUE,FALSE)))</f>
        <v>0</v>
      </c>
      <c r="BO257" s="274"/>
    </row>
    <row r="258" spans="1:67" ht="18" customHeight="1" thickBot="1">
      <c r="A258" s="419"/>
      <c r="B258" s="395" t="s">
        <v>7051</v>
      </c>
      <c r="C258" s="395"/>
      <c r="D258" s="221"/>
      <c r="E258" s="372"/>
      <c r="F258" s="372"/>
      <c r="G258" s="372"/>
      <c r="H258" s="214"/>
      <c r="I258" s="214" t="s">
        <v>7065</v>
      </c>
      <c r="J258" s="219"/>
      <c r="K258" s="214" t="s">
        <v>7066</v>
      </c>
      <c r="L258" s="219"/>
      <c r="M258" s="258"/>
      <c r="N258" s="259"/>
      <c r="O258" s="260"/>
      <c r="P258" s="219"/>
      <c r="Q258" s="400"/>
      <c r="R258" s="393"/>
      <c r="S258" s="136"/>
      <c r="T258" s="137"/>
      <c r="U258" s="137"/>
      <c r="V258" s="137"/>
      <c r="W258" s="137"/>
      <c r="X258" s="137"/>
      <c r="Y258" s="218">
        <f t="shared" ref="Y258" si="2874">IF(OR(E255="",J258=""),0,J258&amp;E255)</f>
        <v>0</v>
      </c>
      <c r="Z258" s="218">
        <f>IF(Y258=0,0,COUNTIF($Y$7:Y258,Y258))</f>
        <v>0</v>
      </c>
      <c r="AD258" s="218">
        <f>IFERROR(VLOOKUP(J258,競技会設定!$P$2:$S$22,2,0),0)</f>
        <v>0</v>
      </c>
      <c r="AE258" s="218">
        <f t="shared" ref="AE258" si="2875">IF(E255="",0,IF(AD258=0,0,IF(AD258&lt;3,E255&amp;$AE$6,0)))</f>
        <v>0</v>
      </c>
      <c r="AF258" s="218">
        <f>IF(AE258=0,0,E255&amp;COUNTIF($AE$7:AE258,AE258))</f>
        <v>0</v>
      </c>
      <c r="AG258" s="218">
        <f t="shared" ref="AG258" si="2876">IF(E255="",0,IF(AD258=0,0,IF(AD258&gt;=3,E255&amp;$AG$6,0)))</f>
        <v>0</v>
      </c>
      <c r="AH258" s="218">
        <f>IF(AG258=0,0,E255&amp;COUNTIF($AG$7:AG258,AG258))</f>
        <v>0</v>
      </c>
      <c r="AI258" s="218">
        <f t="shared" ref="AI258:AI306" si="2877">IF(COUNTIF(Y258,"*十種*")&gt;0,0,IF($AD258=AI$6,$E255,0))</f>
        <v>0</v>
      </c>
      <c r="AJ258" s="218" t="b">
        <f>IF(AI258=0,FALSE,IF(COUNTIF(AI$7:AI258,AI258)&gt;1,TRUE,FALSE))</f>
        <v>0</v>
      </c>
      <c r="AK258" s="218">
        <f t="shared" ref="AK258" si="2878">IF($AD258=AK$6,$E255,0)</f>
        <v>0</v>
      </c>
      <c r="AL258" s="218" t="b">
        <f>IF(AK258=0,FALSE,IF(COUNTIF(AK$7:AK258,AK258)&gt;1,TRUE,FALSE))</f>
        <v>0</v>
      </c>
      <c r="AM258" s="218">
        <f t="shared" ref="AM258" si="2879">IF($AD258=AM$6,$E255,0)</f>
        <v>0</v>
      </c>
      <c r="AN258" s="218" t="b">
        <f>IF(AM258=0,FALSE,IF(COUNTIF(AM$7:AM258,AM258)&gt;1,TRUE,FALSE))</f>
        <v>0</v>
      </c>
      <c r="AO258" s="218">
        <f t="shared" ref="AO258" si="2880">IF($AD258=AO$6,$E255,0)</f>
        <v>0</v>
      </c>
      <c r="AP258" s="218" t="b">
        <f>IF(AO258=0,FALSE,IF(COUNTIF(AO$7:AO258,AO258)&gt;1,TRUE,FALSE))</f>
        <v>0</v>
      </c>
      <c r="AQ258" s="218">
        <f t="shared" ref="AQ258" si="2881">IF(COUNTIF(Y258,"*十種競技*")&gt;0,E255,0)</f>
        <v>0</v>
      </c>
      <c r="AR258" s="218" t="b">
        <f>IF(AQ258=0,FALSE,IF(OR(COUNTIF($AI$7:$AI$406,AQ258)+COUNTIF($AQ258:$AQ$406,AQ258)&gt;1,COUNTIF($AK$7:$AK$406,AQ258)+COUNTIF($AQ$7:$AQ$406,AQ258)&gt;1),TRUE,FALSE))</f>
        <v>0</v>
      </c>
      <c r="AT258" s="218" t="b">
        <f t="shared" si="2226"/>
        <v>0</v>
      </c>
      <c r="AU258" s="274"/>
      <c r="AX258" s="274"/>
      <c r="BD258" s="218" t="b">
        <f t="shared" si="2213"/>
        <v>0</v>
      </c>
      <c r="BF258" s="231" t="b">
        <f t="shared" ref="BF258" si="2882">IF(J258="",FALSE,IF(OR(AND(AU255,L258=""),AND(AU255,L258="",OR(M258&lt;&gt;"",N258&lt;&gt;"",O258&lt;&gt;"",P258&lt;&gt;""))),TRUE,FALSE))</f>
        <v>0</v>
      </c>
      <c r="BG258" s="218" t="b">
        <f t="shared" si="2215"/>
        <v>0</v>
      </c>
      <c r="BH258" s="218" t="b">
        <f t="shared" si="2228"/>
        <v>0</v>
      </c>
      <c r="BI258" s="231" t="b">
        <f t="shared" ref="BI258" si="2883">IF(J258="",FALSE,IF(L258=0,FALSE,IF(AND(AU255,NOT(BF258),OR(M258="",N258="",O258="")),TRUE,FALSE)))</f>
        <v>0</v>
      </c>
      <c r="BJ258" s="240" t="b">
        <f t="shared" si="2230"/>
        <v>0</v>
      </c>
      <c r="BK258" s="231" t="b">
        <f>IF(NOT(BJ258),FALSE,IF(AND(競技会設定!$C$5&lt;=BJ258,BJ258&lt;=競技会設定!$C$6),FALSE,TRUE))</f>
        <v>0</v>
      </c>
      <c r="BL258" s="218" t="b">
        <f>IF(J258="",FALSE,IF(L258=0,FALSE,IF(AND(AU255,NOT(BF258),NOT(BI258),P258=""),TRUE,FALSE)))</f>
        <v>0</v>
      </c>
      <c r="BO258" s="274"/>
    </row>
    <row r="259" spans="1:67" ht="18" customHeight="1" thickTop="1">
      <c r="A259" s="420">
        <v>64</v>
      </c>
      <c r="B259" s="373" t="s">
        <v>7050</v>
      </c>
      <c r="C259" s="375"/>
      <c r="D259" s="138" t="str">
        <f t="shared" ref="D259" si="2884">IF(C259="","",501&amp;TEXT(C259,"000000"))</f>
        <v/>
      </c>
      <c r="E259" s="377" t="str">
        <f>IF(D259="","",(VLOOKUP(D259,男子登録!$A$2:$N$2001,3,0)))</f>
        <v/>
      </c>
      <c r="F259" s="377" t="str">
        <f>IF(D259="","",(VLOOKUP(D259,男子登録!$A$2:$N$2001,4,0)))</f>
        <v/>
      </c>
      <c r="G259" s="138" t="str">
        <f>IF(C259="","",(VLOOKUP(D259,男子登録!$A$2:$N$2001,8,0)))</f>
        <v/>
      </c>
      <c r="H259" s="138">
        <f>IFERROR(VLOOKUP(D259,男子登録!$A$2:$N$2001,11,0),基本情報!$E$5)</f>
        <v>0</v>
      </c>
      <c r="I259" s="138" t="s">
        <v>7059</v>
      </c>
      <c r="J259" s="151"/>
      <c r="K259" s="138" t="s">
        <v>7060</v>
      </c>
      <c r="L259" s="151"/>
      <c r="M259" s="261"/>
      <c r="N259" s="262"/>
      <c r="O259" s="263"/>
      <c r="P259" s="151"/>
      <c r="Q259" s="381"/>
      <c r="R259" s="384"/>
      <c r="S259" s="136">
        <f t="shared" ref="S259" si="2885">IF(OR(E259="",Q259=""),0,E259)</f>
        <v>0</v>
      </c>
      <c r="T259" s="137">
        <f>IF(S259=0,0,COUNTIF($S$7:S259,"*"))</f>
        <v>0</v>
      </c>
      <c r="U259" s="137">
        <f>IF(S259=0,0,COUNTIF($S$7:S259,S259))</f>
        <v>0</v>
      </c>
      <c r="V259" s="137">
        <f t="shared" si="2429"/>
        <v>0</v>
      </c>
      <c r="W259" s="137">
        <f>IF(V259=0,0,COUNTIF($V$7:V259,"*"))</f>
        <v>0</v>
      </c>
      <c r="X259" s="137">
        <f>IF(V259=0,0,COUNTIF($V$7:V259,V259))</f>
        <v>0</v>
      </c>
      <c r="Y259" s="218">
        <f t="shared" ref="Y259" si="2886">IF(OR(E259="",J259=""),0,J259&amp;E259)</f>
        <v>0</v>
      </c>
      <c r="Z259" s="218">
        <f>IF(Y259=0,0,COUNTIF($Y$7:Y259,Y259))</f>
        <v>0</v>
      </c>
      <c r="AA259" s="218" t="b">
        <f t="shared" ref="AA259" si="2887">IF(COUNTIF(J259:J262,"十種競技")&gt;0,TRUE,FALSE)</f>
        <v>0</v>
      </c>
      <c r="AB259" s="218">
        <f>IF(E259="",0,IF(AA259,COUNTIF($AA$7:AA259,TRUE),0))</f>
        <v>0</v>
      </c>
      <c r="AC259" s="218">
        <f>IFERROR(VLOOKUP("十種競技",J259:L262,3,0),0)</f>
        <v>0</v>
      </c>
      <c r="AD259" s="218">
        <f>IFERROR(VLOOKUP(J259,競技会設定!$P$2:$S$22,2,0),0)</f>
        <v>0</v>
      </c>
      <c r="AE259" s="218">
        <f t="shared" ref="AE259" si="2888">IF(E259="",0,IF(AD259=0,0,IF(AD259&lt;3,E259&amp;$AE$6,0)))</f>
        <v>0</v>
      </c>
      <c r="AF259" s="218">
        <f>IF(AE259=0,0,E259&amp;COUNTIF($AE$7:AE259,AE259))</f>
        <v>0</v>
      </c>
      <c r="AG259" s="218">
        <f t="shared" ref="AG259" si="2889">IF(E259="",0,IF(AD259=0,0,IF(AD259&gt;=3,E259&amp;$AG$6,0)))</f>
        <v>0</v>
      </c>
      <c r="AH259" s="218">
        <f>IF(AG259=0,0,E259&amp;COUNTIF($AG$7:AG259,AG259))</f>
        <v>0</v>
      </c>
      <c r="AI259" s="218">
        <f t="shared" ref="AI259:AI307" si="2890">IF(COUNTIF(Y259,"*十種*")&gt;0,0,IF($AD259=AI$6,$E259,0))</f>
        <v>0</v>
      </c>
      <c r="AJ259" s="218" t="b">
        <f>IF(AI259=0,FALSE,IF(COUNTIF(AI$7:AI259,AI259)&gt;1,TRUE,FALSE))</f>
        <v>0</v>
      </c>
      <c r="AK259" s="218">
        <f t="shared" ref="AK259" si="2891">IF($AD259=AK$6,$E259,0)</f>
        <v>0</v>
      </c>
      <c r="AL259" s="218" t="b">
        <f>IF(AK259=0,FALSE,IF(COUNTIF(AK$7:AK259,AK259)&gt;1,TRUE,FALSE))</f>
        <v>0</v>
      </c>
      <c r="AM259" s="218">
        <f t="shared" ref="AM259" si="2892">IF($AD259=AM$6,$E259,0)</f>
        <v>0</v>
      </c>
      <c r="AN259" s="218" t="b">
        <f>IF(AM259=0,FALSE,IF(COUNTIF(AM$7:AM259,AM259)&gt;1,TRUE,FALSE))</f>
        <v>0</v>
      </c>
      <c r="AO259" s="218">
        <f t="shared" ref="AO259" si="2893">IF($AD259=AO$6,$E259,0)</f>
        <v>0</v>
      </c>
      <c r="AP259" s="218" t="b">
        <f>IF(AO259=0,FALSE,IF(COUNTIF(AO$7:AO259,AO259)&gt;1,TRUE,FALSE))</f>
        <v>0</v>
      </c>
      <c r="AQ259" s="218">
        <f t="shared" ref="AQ259" si="2894">IF(COUNTIF(Y259,"*十種競技*")&gt;0,E259,0)</f>
        <v>0</v>
      </c>
      <c r="AR259" s="218" t="b">
        <f>IF(AQ259=0,FALSE,IF(OR(COUNTIF($AI$7:$AI$406,AQ259)+COUNTIF($AQ259:$AQ$406,AQ259)&gt;1,COUNTIF($AK$7:$AK$406,AQ259)+COUNTIF($AQ$7:$AQ$406,AQ259)&gt;1),TRUE,FALSE))</f>
        <v>0</v>
      </c>
      <c r="AS259" s="218" t="b">
        <f t="shared" ref="AS259" si="2895">IF(AND(C259="",E259&lt;&gt;"",F259&lt;&gt;"",E261&lt;&gt;"",G259&lt;&gt;"",G260&lt;&gt;"",G261&lt;&gt;""),TRUE,FALSE)</f>
        <v>0</v>
      </c>
      <c r="AT259" s="218" t="b">
        <f t="shared" si="2226"/>
        <v>0</v>
      </c>
      <c r="AU259" s="274" t="b">
        <f t="shared" ref="AU259" si="2896">IFERROR(IF(D259&amp;E259&amp;F259&amp;E261&amp;G259&amp;G260&amp;G261&amp;J259&amp;J260&amp;J261&amp;J262&amp;L259&amp;L260&amp;L261&amp;L262&amp;M259&amp;M260&amp;M261&amp;M262&amp;N259&amp;N260&amp;N261&amp;N262&amp;O259&amp;O260&amp;O261&amp;O262&amp;P259&amp;P260&amp;P261&amp;P262&amp;Q259&amp;R259="",FALSE,TRUE),FALSE)</f>
        <v>0</v>
      </c>
      <c r="AV259" s="218" t="b">
        <f t="shared" ref="AV259" si="2897">IF(AS259,FALSE,IF(C259="",AU259,FALSE))</f>
        <v>0</v>
      </c>
      <c r="AW259" s="218" t="b">
        <f>IF(C259="",FALSE,IF(C259&gt;2000,TRUE,FALSE))</f>
        <v>0</v>
      </c>
      <c r="AX259" s="274" t="b">
        <f>IF(H259=0,FALSE,IF(EXACT(基本情報!$E$5,H259)=TRUE,FALSE,TRUE))</f>
        <v>0</v>
      </c>
      <c r="AY259" s="218" t="b">
        <f>IF(C259="",FALSE,IF(ISNA(E259)=TRUE,TRUE,FALSE))</f>
        <v>0</v>
      </c>
      <c r="AZ259" s="274" t="b">
        <f>IFERROR(IF(E259="",FALSE,IF(COUNTIF($E$7:E259,E259)&gt;1,TRUE,FALSE)),FALSE)</f>
        <v>0</v>
      </c>
      <c r="BA259" s="218" t="b">
        <f t="shared" ref="BA259" si="2898">IF(OR(J259&amp;J260&amp;J261&amp;J262&amp;Q259&amp;R259="",AT259,AT260,AT261,AT262),AU259,FALSE)</f>
        <v>0</v>
      </c>
      <c r="BB259" s="218" t="b">
        <f>IF(U259&gt;1,TRUE,FALSE)</f>
        <v>0</v>
      </c>
      <c r="BC259" s="218" t="b">
        <f>IF(X259&gt;1,TRUE,FALSE)</f>
        <v>0</v>
      </c>
      <c r="BD259" s="218" t="b">
        <f t="shared" si="2213"/>
        <v>0</v>
      </c>
      <c r="BF259" s="231" t="b">
        <f t="shared" ref="BF259" si="2899">IF(J259="",FALSE,IF(OR(AND(AU259,L259=""),AND(AU259,L259="",OR(M259&lt;&gt;"",N259&lt;&gt;"",O259&lt;&gt;"",P259&lt;&gt;""))),TRUE,FALSE))</f>
        <v>0</v>
      </c>
      <c r="BG259" s="218" t="b">
        <f t="shared" si="2215"/>
        <v>0</v>
      </c>
      <c r="BH259" s="218" t="b">
        <f t="shared" si="2228"/>
        <v>0</v>
      </c>
      <c r="BI259" s="231" t="b">
        <f t="shared" ref="BI259" si="2900">IF(J259="",FALSE,IF(L259=0,FALSE,IF(AND(AU259,NOT(BF259),OR(M259="",N259="",O259="")),TRUE,FALSE)))</f>
        <v>0</v>
      </c>
      <c r="BJ259" s="240" t="b">
        <f t="shared" si="2230"/>
        <v>0</v>
      </c>
      <c r="BK259" s="231" t="b">
        <f>IF(NOT(BJ259),FALSE,IF(AND(競技会設定!$C$5&lt;=BJ259,BJ259&lt;=競技会設定!$C$6),FALSE,TRUE))</f>
        <v>0</v>
      </c>
      <c r="BL259" s="218" t="b">
        <f>IF(J259="",FALSE,IF(L259=0,FALSE,IF(AND(AU259,NOT(BF259),NOT(BI259),P259=""),TRUE,FALSE)))</f>
        <v>0</v>
      </c>
      <c r="BO259" s="274">
        <f t="shared" ref="BO259" si="2901">IF(AND(AU259,SUM(COUNTIF(AV259:BC259,TRUE),COUNTIF(BF259:BL262,TRUE),COUNTIF(BD259:BD262,TRUE))=0,NOT($BE$7)),1,0)</f>
        <v>0</v>
      </c>
    </row>
    <row r="260" spans="1:67" ht="17.399999999999999" customHeight="1">
      <c r="A260" s="421"/>
      <c r="B260" s="374"/>
      <c r="C260" s="376"/>
      <c r="D260" s="139"/>
      <c r="E260" s="378"/>
      <c r="F260" s="378"/>
      <c r="G260" s="139" t="str">
        <f>IF(C259="","",(VLOOKUP(D259,男子登録!$A$2:$N$2001,13,0)))</f>
        <v/>
      </c>
      <c r="H260" s="139"/>
      <c r="I260" s="139" t="s">
        <v>7061</v>
      </c>
      <c r="J260" s="152"/>
      <c r="K260" s="139" t="s">
        <v>7062</v>
      </c>
      <c r="L260" s="152"/>
      <c r="M260" s="264"/>
      <c r="N260" s="265"/>
      <c r="O260" s="266"/>
      <c r="P260" s="152"/>
      <c r="Q260" s="382"/>
      <c r="R260" s="385"/>
      <c r="S260" s="136"/>
      <c r="T260" s="137"/>
      <c r="U260" s="137"/>
      <c r="V260" s="137"/>
      <c r="W260" s="137"/>
      <c r="X260" s="137"/>
      <c r="Y260" s="218">
        <f t="shared" ref="Y260" si="2902">IF(OR(E259="",J260=""),0,J260&amp;E259)</f>
        <v>0</v>
      </c>
      <c r="Z260" s="218">
        <f>IF(Y260=0,0,COUNTIF($Y$7:Y260,Y260))</f>
        <v>0</v>
      </c>
      <c r="AD260" s="218">
        <f>IFERROR(VLOOKUP(J260,競技会設定!$P$2:$S$22,2,0),0)</f>
        <v>0</v>
      </c>
      <c r="AE260" s="218">
        <f t="shared" ref="AE260" si="2903">IF(E259="",0,IF(AD260=0,0,IF(AD260&lt;3,E259&amp;$AE$6,0)))</f>
        <v>0</v>
      </c>
      <c r="AF260" s="218">
        <f>IF(AE260=0,0,E259&amp;COUNTIF($AE$7:AE260,AE260))</f>
        <v>0</v>
      </c>
      <c r="AG260" s="218">
        <f t="shared" ref="AG260" si="2904">IF(E259="",0,IF(AD260=0,0,IF(AD260&gt;=3,E259&amp;$AG$6,0)))</f>
        <v>0</v>
      </c>
      <c r="AH260" s="218">
        <f>IF(AG260=0,0,E259&amp;COUNTIF($AG$7:AG260,AG260))</f>
        <v>0</v>
      </c>
      <c r="AI260" s="218">
        <f t="shared" ref="AI260:AI308" si="2905">IF(COUNTIF(Y260,"*十種*")&gt;0,0,IF($AD260=AI$6,$E259,0))</f>
        <v>0</v>
      </c>
      <c r="AJ260" s="218" t="b">
        <f>IF(AI260=0,FALSE,IF(COUNTIF(AI$7:AI260,AI260)&gt;1,TRUE,FALSE))</f>
        <v>0</v>
      </c>
      <c r="AK260" s="218">
        <f t="shared" ref="AK260" si="2906">IF($AD260=AK$6,$E259,0)</f>
        <v>0</v>
      </c>
      <c r="AL260" s="218" t="b">
        <f>IF(AK260=0,FALSE,IF(COUNTIF(AK$7:AK260,AK260)&gt;1,TRUE,FALSE))</f>
        <v>0</v>
      </c>
      <c r="AM260" s="218">
        <f t="shared" ref="AM260" si="2907">IF($AD260=AM$6,$E259,0)</f>
        <v>0</v>
      </c>
      <c r="AN260" s="218" t="b">
        <f>IF(AM260=0,FALSE,IF(COUNTIF(AM$7:AM260,AM260)&gt;1,TRUE,FALSE))</f>
        <v>0</v>
      </c>
      <c r="AO260" s="218">
        <f t="shared" ref="AO260" si="2908">IF($AD260=AO$6,$E259,0)</f>
        <v>0</v>
      </c>
      <c r="AP260" s="218" t="b">
        <f>IF(AO260=0,FALSE,IF(COUNTIF(AO$7:AO260,AO260)&gt;1,TRUE,FALSE))</f>
        <v>0</v>
      </c>
      <c r="AQ260" s="218">
        <f t="shared" ref="AQ260" si="2909">IF(COUNTIF(Y260,"*十種競技*")&gt;0,E259,0)</f>
        <v>0</v>
      </c>
      <c r="AR260" s="218" t="b">
        <f>IF(AQ260=0,FALSE,IF(OR(COUNTIF($AI$7:$AI$406,AQ260)+COUNTIF($AQ260:$AQ$406,AQ260)&gt;1,COUNTIF($AK$7:$AK$406,AQ260)+COUNTIF($AQ$7:$AQ$406,AQ260)&gt;1),TRUE,FALSE))</f>
        <v>0</v>
      </c>
      <c r="AT260" s="218" t="b">
        <f t="shared" si="2226"/>
        <v>0</v>
      </c>
      <c r="AU260" s="274"/>
      <c r="AX260" s="274"/>
      <c r="BD260" s="218" t="b">
        <f t="shared" si="2213"/>
        <v>0</v>
      </c>
      <c r="BF260" s="231" t="b">
        <f t="shared" ref="BF260" si="2910">IF(J260="",FALSE,IF(OR(AND(AU259,L260=""),AND(AU259,L260="",OR(M260&lt;&gt;"",N260&lt;&gt;"",O260&lt;&gt;"",P260&lt;&gt;""))),TRUE,FALSE))</f>
        <v>0</v>
      </c>
      <c r="BG260" s="218" t="b">
        <f t="shared" si="2215"/>
        <v>0</v>
      </c>
      <c r="BH260" s="218" t="b">
        <f t="shared" si="2228"/>
        <v>0</v>
      </c>
      <c r="BI260" s="231" t="b">
        <f t="shared" ref="BI260" si="2911">IF(J260="",FALSE,IF(L260=0,FALSE,IF(AND(AU259,NOT(BF260),OR(M260="",N260="",O260="")),TRUE,FALSE)))</f>
        <v>0</v>
      </c>
      <c r="BJ260" s="240" t="b">
        <f t="shared" si="2230"/>
        <v>0</v>
      </c>
      <c r="BK260" s="231" t="b">
        <f>IF(NOT(BJ260),FALSE,IF(AND(競技会設定!$C$5&lt;=BJ260,BJ260&lt;=競技会設定!$C$6),FALSE,TRUE))</f>
        <v>0</v>
      </c>
      <c r="BL260" s="218" t="b">
        <f>IF(J260="",FALSE,IF(L260=0,FALSE,IF(AND(AU259,NOT(BF260),NOT(BI260),P260=""),TRUE,FALSE)))</f>
        <v>0</v>
      </c>
      <c r="BO260" s="274"/>
    </row>
    <row r="261" spans="1:67" ht="17.399999999999999" customHeight="1">
      <c r="A261" s="421"/>
      <c r="B261" s="374"/>
      <c r="C261" s="376"/>
      <c r="D261" s="140"/>
      <c r="E261" s="379" t="str">
        <f>IF(C259="","",VLOOKUP(D259,男子登録!$A$2:$O$2001,14,0)&amp;" ("&amp;VLOOKUP(D259,男子登録!$A$2:$O$2001,15,0)&amp;")")</f>
        <v/>
      </c>
      <c r="F261" s="380"/>
      <c r="G261" s="140" t="str">
        <f>IF(C259="","",(VLOOKUP(D259,男子登録!$A$2:$N$2001,9,0)))</f>
        <v/>
      </c>
      <c r="H261" s="140"/>
      <c r="I261" s="140" t="s">
        <v>7063</v>
      </c>
      <c r="J261" s="153"/>
      <c r="K261" s="140" t="s">
        <v>7064</v>
      </c>
      <c r="L261" s="153"/>
      <c r="M261" s="264"/>
      <c r="N261" s="265"/>
      <c r="O261" s="266"/>
      <c r="P261" s="152"/>
      <c r="Q261" s="382"/>
      <c r="R261" s="385"/>
      <c r="S261" s="136"/>
      <c r="T261" s="137"/>
      <c r="U261" s="137"/>
      <c r="V261" s="137"/>
      <c r="W261" s="137"/>
      <c r="X261" s="137"/>
      <c r="Y261" s="218">
        <f t="shared" ref="Y261" si="2912">IF(OR(E259="",J261=""),0,J261&amp;E259)</f>
        <v>0</v>
      </c>
      <c r="Z261" s="218">
        <f>IF(Y261=0,0,COUNTIF($Y$7:Y261,Y261))</f>
        <v>0</v>
      </c>
      <c r="AD261" s="218">
        <f>IFERROR(VLOOKUP(J261,競技会設定!$P$2:$S$22,2,0),0)</f>
        <v>0</v>
      </c>
      <c r="AE261" s="218">
        <f t="shared" ref="AE261" si="2913">IF(E259="",0,IF(AD261=0,0,IF(AD261&lt;3,E259&amp;$AE$6,0)))</f>
        <v>0</v>
      </c>
      <c r="AF261" s="218">
        <f>IF(AE261=0,0,E259&amp;COUNTIF($AE$7:AE261,AE261))</f>
        <v>0</v>
      </c>
      <c r="AG261" s="218">
        <f t="shared" ref="AG261" si="2914">IF(E259="",0,IF(AD261=0,0,IF(AD261&gt;=3,E259&amp;$AG$6,0)))</f>
        <v>0</v>
      </c>
      <c r="AH261" s="218">
        <f>IF(AG261=0,0,E259&amp;COUNTIF($AG$7:AG261,AG261))</f>
        <v>0</v>
      </c>
      <c r="AI261" s="218">
        <f t="shared" ref="AI261:AI309" si="2915">IF(COUNTIF(Y261,"*十種*")&gt;0,0,IF($AD261=AI$6,$E259,0))</f>
        <v>0</v>
      </c>
      <c r="AJ261" s="218" t="b">
        <f>IF(AI261=0,FALSE,IF(COUNTIF(AI$7:AI261,AI261)&gt;1,TRUE,FALSE))</f>
        <v>0</v>
      </c>
      <c r="AK261" s="218">
        <f t="shared" ref="AK261" si="2916">IF($AD261=AK$6,$E259,0)</f>
        <v>0</v>
      </c>
      <c r="AL261" s="218" t="b">
        <f>IF(AK261=0,FALSE,IF(COUNTIF(AK$7:AK261,AK261)&gt;1,TRUE,FALSE))</f>
        <v>0</v>
      </c>
      <c r="AM261" s="218">
        <f t="shared" ref="AM261" si="2917">IF($AD261=AM$6,$E259,0)</f>
        <v>0</v>
      </c>
      <c r="AN261" s="218" t="b">
        <f>IF(AM261=0,FALSE,IF(COUNTIF(AM$7:AM261,AM261)&gt;1,TRUE,FALSE))</f>
        <v>0</v>
      </c>
      <c r="AO261" s="218">
        <f t="shared" ref="AO261" si="2918">IF($AD261=AO$6,$E259,0)</f>
        <v>0</v>
      </c>
      <c r="AP261" s="218" t="b">
        <f>IF(AO261=0,FALSE,IF(COUNTIF(AO$7:AO261,AO261)&gt;1,TRUE,FALSE))</f>
        <v>0</v>
      </c>
      <c r="AQ261" s="218">
        <f t="shared" ref="AQ261" si="2919">IF(COUNTIF(Y261,"*十種競技*")&gt;0,E259,0)</f>
        <v>0</v>
      </c>
      <c r="AR261" s="218" t="b">
        <f>IF(AQ261=0,FALSE,IF(OR(COUNTIF($AI$7:$AI$406,AQ261)+COUNTIF($AQ261:$AQ$406,AQ261)&gt;1,COUNTIF($AK$7:$AK$406,AQ261)+COUNTIF($AQ$7:$AQ$406,AQ261)&gt;1),TRUE,FALSE))</f>
        <v>0</v>
      </c>
      <c r="AT261" s="218" t="b">
        <f t="shared" si="2226"/>
        <v>0</v>
      </c>
      <c r="AU261" s="274"/>
      <c r="AX261" s="274"/>
      <c r="BD261" s="218" t="b">
        <f t="shared" si="2213"/>
        <v>0</v>
      </c>
      <c r="BF261" s="231" t="b">
        <f t="shared" ref="BF261" si="2920">IF(J261="",FALSE,IF(OR(AND(AU259,L261=""),AND(AU259,L261="",OR(M261&lt;&gt;"",N261&lt;&gt;"",O261&lt;&gt;"",P261&lt;&gt;""))),TRUE,FALSE))</f>
        <v>0</v>
      </c>
      <c r="BG261" s="218" t="b">
        <f t="shared" si="2215"/>
        <v>0</v>
      </c>
      <c r="BH261" s="218" t="b">
        <f t="shared" si="2228"/>
        <v>0</v>
      </c>
      <c r="BI261" s="231" t="b">
        <f t="shared" ref="BI261" si="2921">IF(J261="",FALSE,IF(L261=0,FALSE,IF(AND(AU259,NOT(BF261),OR(M261="",N261="",O261="")),TRUE,FALSE)))</f>
        <v>0</v>
      </c>
      <c r="BJ261" s="240" t="b">
        <f t="shared" si="2230"/>
        <v>0</v>
      </c>
      <c r="BK261" s="231" t="b">
        <f>IF(NOT(BJ261),FALSE,IF(AND(競技会設定!$C$5&lt;=BJ261,BJ261&lt;=競技会設定!$C$6),FALSE,TRUE))</f>
        <v>0</v>
      </c>
      <c r="BL261" s="218" t="b">
        <f>IF(J261="",FALSE,IF(L261=0,FALSE,IF(AND(AU259,NOT(BF261),NOT(BI261),P261=""),TRUE,FALSE)))</f>
        <v>0</v>
      </c>
      <c r="BO261" s="274"/>
    </row>
    <row r="262" spans="1:67" ht="18" customHeight="1" thickBot="1">
      <c r="A262" s="422"/>
      <c r="B262" s="387" t="s">
        <v>7051</v>
      </c>
      <c r="C262" s="387"/>
      <c r="D262" s="213"/>
      <c r="E262" s="388"/>
      <c r="F262" s="389"/>
      <c r="G262" s="390"/>
      <c r="H262" s="141"/>
      <c r="I262" s="213" t="s">
        <v>7065</v>
      </c>
      <c r="J262" s="154"/>
      <c r="K262" s="213" t="s">
        <v>7066</v>
      </c>
      <c r="L262" s="154"/>
      <c r="M262" s="267"/>
      <c r="N262" s="268"/>
      <c r="O262" s="269"/>
      <c r="P262" s="154"/>
      <c r="Q262" s="383"/>
      <c r="R262" s="386"/>
      <c r="S262" s="136"/>
      <c r="T262" s="137"/>
      <c r="U262" s="137"/>
      <c r="V262" s="137"/>
      <c r="W262" s="137"/>
      <c r="X262" s="137"/>
      <c r="Y262" s="218">
        <f t="shared" ref="Y262" si="2922">IF(OR(E259="",J262=""),0,J262&amp;E259)</f>
        <v>0</v>
      </c>
      <c r="Z262" s="218">
        <f>IF(Y262=0,0,COUNTIF($Y$7:Y262,Y262))</f>
        <v>0</v>
      </c>
      <c r="AD262" s="218">
        <f>IFERROR(VLOOKUP(J262,競技会設定!$P$2:$S$22,2,0),0)</f>
        <v>0</v>
      </c>
      <c r="AE262" s="218">
        <f t="shared" ref="AE262" si="2923">IF(E259="",0,IF(AD262=0,0,IF(AD262&lt;3,E259&amp;$AE$6,0)))</f>
        <v>0</v>
      </c>
      <c r="AF262" s="218">
        <f>IF(AE262=0,0,E259&amp;COUNTIF($AE$7:AE262,AE262))</f>
        <v>0</v>
      </c>
      <c r="AG262" s="218">
        <f t="shared" ref="AG262" si="2924">IF(E259="",0,IF(AD262=0,0,IF(AD262&gt;=3,E259&amp;$AG$6,0)))</f>
        <v>0</v>
      </c>
      <c r="AH262" s="218">
        <f>IF(AG262=0,0,E259&amp;COUNTIF($AG$7:AG262,AG262))</f>
        <v>0</v>
      </c>
      <c r="AI262" s="218">
        <f t="shared" ref="AI262:AI310" si="2925">IF(COUNTIF(Y262,"*十種*")&gt;0,0,IF($AD262=AI$6,$E259,0))</f>
        <v>0</v>
      </c>
      <c r="AJ262" s="218" t="b">
        <f>IF(AI262=0,FALSE,IF(COUNTIF(AI$7:AI262,AI262)&gt;1,TRUE,FALSE))</f>
        <v>0</v>
      </c>
      <c r="AK262" s="218">
        <f t="shared" ref="AK262" si="2926">IF($AD262=AK$6,$E259,0)</f>
        <v>0</v>
      </c>
      <c r="AL262" s="218" t="b">
        <f>IF(AK262=0,FALSE,IF(COUNTIF(AK$7:AK262,AK262)&gt;1,TRUE,FALSE))</f>
        <v>0</v>
      </c>
      <c r="AM262" s="218">
        <f t="shared" ref="AM262" si="2927">IF($AD262=AM$6,$E259,0)</f>
        <v>0</v>
      </c>
      <c r="AN262" s="218" t="b">
        <f>IF(AM262=0,FALSE,IF(COUNTIF(AM$7:AM262,AM262)&gt;1,TRUE,FALSE))</f>
        <v>0</v>
      </c>
      <c r="AO262" s="218">
        <f t="shared" ref="AO262" si="2928">IF($AD262=AO$6,$E259,0)</f>
        <v>0</v>
      </c>
      <c r="AP262" s="218" t="b">
        <f>IF(AO262=0,FALSE,IF(COUNTIF(AO$7:AO262,AO262)&gt;1,TRUE,FALSE))</f>
        <v>0</v>
      </c>
      <c r="AQ262" s="218">
        <f t="shared" ref="AQ262" si="2929">IF(COUNTIF(Y262,"*十種競技*")&gt;0,E259,0)</f>
        <v>0</v>
      </c>
      <c r="AR262" s="218" t="b">
        <f>IF(AQ262=0,FALSE,IF(OR(COUNTIF($AI$7:$AI$406,AQ262)+COUNTIF($AQ262:$AQ$406,AQ262)&gt;1,COUNTIF($AK$7:$AK$406,AQ262)+COUNTIF($AQ$7:$AQ$406,AQ262)&gt;1),TRUE,FALSE))</f>
        <v>0</v>
      </c>
      <c r="AT262" s="218" t="b">
        <f t="shared" si="2226"/>
        <v>0</v>
      </c>
      <c r="AU262" s="274"/>
      <c r="AX262" s="274"/>
      <c r="BD262" s="218" t="b">
        <f t="shared" si="2213"/>
        <v>0</v>
      </c>
      <c r="BF262" s="231" t="b">
        <f t="shared" ref="BF262" si="2930">IF(J262="",FALSE,IF(OR(AND(AU259,L262=""),AND(AU259,L262="",OR(M262&lt;&gt;"",N262&lt;&gt;"",O262&lt;&gt;"",P262&lt;&gt;""))),TRUE,FALSE))</f>
        <v>0</v>
      </c>
      <c r="BG262" s="218" t="b">
        <f t="shared" si="2215"/>
        <v>0</v>
      </c>
      <c r="BH262" s="218" t="b">
        <f t="shared" si="2228"/>
        <v>0</v>
      </c>
      <c r="BI262" s="231" t="b">
        <f t="shared" ref="BI262" si="2931">IF(J262="",FALSE,IF(L262=0,FALSE,IF(AND(AU259,NOT(BF262),OR(M262="",N262="",O262="")),TRUE,FALSE)))</f>
        <v>0</v>
      </c>
      <c r="BJ262" s="240" t="b">
        <f t="shared" si="2230"/>
        <v>0</v>
      </c>
      <c r="BK262" s="231" t="b">
        <f>IF(NOT(BJ262),FALSE,IF(AND(競技会設定!$C$5&lt;=BJ262,BJ262&lt;=競技会設定!$C$6),FALSE,TRUE))</f>
        <v>0</v>
      </c>
      <c r="BL262" s="218" t="b">
        <f>IF(J262="",FALSE,IF(L262=0,FALSE,IF(AND(AU259,NOT(BF262),NOT(BI262),P262=""),TRUE,FALSE)))</f>
        <v>0</v>
      </c>
      <c r="BO262" s="274"/>
    </row>
    <row r="263" spans="1:67" ht="18" customHeight="1" thickTop="1">
      <c r="A263" s="417">
        <v>65</v>
      </c>
      <c r="B263" s="401" t="s">
        <v>7050</v>
      </c>
      <c r="C263" s="403"/>
      <c r="D263" s="220" t="str">
        <f t="shared" ref="D263" si="2932">IF(C263="","",501&amp;TEXT(C263,"000000"))</f>
        <v/>
      </c>
      <c r="E263" s="396" t="str">
        <f>IF(D263="","",(VLOOKUP(D263,男子登録!$A$2:$N$2001,3,0)))</f>
        <v/>
      </c>
      <c r="F263" s="396" t="str">
        <f>IF(D263="","",(VLOOKUP(D263,男子登録!$A$2:$N$2001,4,0)))</f>
        <v/>
      </c>
      <c r="G263" s="220" t="str">
        <f>IF(C263="","",(VLOOKUP(D263,男子登録!$A$2:$N$2001,8,0)))</f>
        <v/>
      </c>
      <c r="H263" s="220">
        <f>IFERROR(VLOOKUP(D263,男子登録!$A$2:$N$2001,11,0),基本情報!$E$5)</f>
        <v>0</v>
      </c>
      <c r="I263" s="220" t="s">
        <v>7059</v>
      </c>
      <c r="J263" s="148"/>
      <c r="K263" s="220" t="s">
        <v>7060</v>
      </c>
      <c r="L263" s="148"/>
      <c r="M263" s="252"/>
      <c r="N263" s="253"/>
      <c r="O263" s="254"/>
      <c r="P263" s="148"/>
      <c r="Q263" s="398"/>
      <c r="R263" s="391"/>
      <c r="S263" s="136">
        <f t="shared" ref="S263" si="2933">IF(OR(E263="",Q263=""),0,E263)</f>
        <v>0</v>
      </c>
      <c r="T263" s="137">
        <f>IF(S263=0,0,COUNTIF($S$7:S263,"*"))</f>
        <v>0</v>
      </c>
      <c r="U263" s="137">
        <f>IF(S263=0,0,COUNTIF($S$7:S263,S263))</f>
        <v>0</v>
      </c>
      <c r="V263" s="137">
        <f t="shared" si="2429"/>
        <v>0</v>
      </c>
      <c r="W263" s="137">
        <f>IF(V263=0,0,COUNTIF($V$7:V263,"*"))</f>
        <v>0</v>
      </c>
      <c r="X263" s="137">
        <f>IF(V263=0,0,COUNTIF($V$7:V263,V263))</f>
        <v>0</v>
      </c>
      <c r="Y263" s="218">
        <f t="shared" ref="Y263" si="2934">IF(OR(E263="",J263=""),0,J263&amp;E263)</f>
        <v>0</v>
      </c>
      <c r="Z263" s="218">
        <f>IF(Y263=0,0,COUNTIF($Y$7:Y263,Y263))</f>
        <v>0</v>
      </c>
      <c r="AA263" s="218" t="b">
        <f t="shared" ref="AA263" si="2935">IF(COUNTIF(J263:J266,"十種競技")&gt;0,TRUE,FALSE)</f>
        <v>0</v>
      </c>
      <c r="AB263" s="218">
        <f>IF(E263="",0,IF(AA263,COUNTIF($AA$7:AA263,TRUE),0))</f>
        <v>0</v>
      </c>
      <c r="AC263" s="218">
        <f>IFERROR(VLOOKUP("十種競技",J263:L266,3,0),0)</f>
        <v>0</v>
      </c>
      <c r="AD263" s="218">
        <f>IFERROR(VLOOKUP(J263,競技会設定!$P$2:$S$22,2,0),0)</f>
        <v>0</v>
      </c>
      <c r="AE263" s="218">
        <f t="shared" ref="AE263" si="2936">IF(E263="",0,IF(AD263=0,0,IF(AD263&lt;3,E263&amp;$AE$6,0)))</f>
        <v>0</v>
      </c>
      <c r="AF263" s="218">
        <f>IF(AE263=0,0,E263&amp;COUNTIF($AE$7:AE263,AE263))</f>
        <v>0</v>
      </c>
      <c r="AG263" s="218">
        <f t="shared" ref="AG263" si="2937">IF(E263="",0,IF(AD263=0,0,IF(AD263&gt;=3,E263&amp;$AG$6,0)))</f>
        <v>0</v>
      </c>
      <c r="AH263" s="218">
        <f>IF(AG263=0,0,E263&amp;COUNTIF($AG$7:AG263,AG263))</f>
        <v>0</v>
      </c>
      <c r="AI263" s="218">
        <f t="shared" ref="AI263:AI311" si="2938">IF(COUNTIF(Y263,"*十種*")&gt;0,0,IF($AD263=AI$6,$E263,0))</f>
        <v>0</v>
      </c>
      <c r="AJ263" s="218" t="b">
        <f>IF(AI263=0,FALSE,IF(COUNTIF(AI$7:AI263,AI263)&gt;1,TRUE,FALSE))</f>
        <v>0</v>
      </c>
      <c r="AK263" s="218">
        <f t="shared" ref="AK263" si="2939">IF($AD263=AK$6,$E263,0)</f>
        <v>0</v>
      </c>
      <c r="AL263" s="218" t="b">
        <f>IF(AK263=0,FALSE,IF(COUNTIF(AK$7:AK263,AK263)&gt;1,TRUE,FALSE))</f>
        <v>0</v>
      </c>
      <c r="AM263" s="218">
        <f t="shared" ref="AM263" si="2940">IF($AD263=AM$6,$E263,0)</f>
        <v>0</v>
      </c>
      <c r="AN263" s="218" t="b">
        <f>IF(AM263=0,FALSE,IF(COUNTIF(AM$7:AM263,AM263)&gt;1,TRUE,FALSE))</f>
        <v>0</v>
      </c>
      <c r="AO263" s="218">
        <f t="shared" ref="AO263" si="2941">IF($AD263=AO$6,$E263,0)</f>
        <v>0</v>
      </c>
      <c r="AP263" s="218" t="b">
        <f>IF(AO263=0,FALSE,IF(COUNTIF(AO$7:AO263,AO263)&gt;1,TRUE,FALSE))</f>
        <v>0</v>
      </c>
      <c r="AQ263" s="218">
        <f t="shared" ref="AQ263" si="2942">IF(COUNTIF(Y263,"*十種競技*")&gt;0,E263,0)</f>
        <v>0</v>
      </c>
      <c r="AR263" s="218" t="b">
        <f>IF(AQ263=0,FALSE,IF(OR(COUNTIF($AI$7:$AI$406,AQ263)+COUNTIF($AQ263:$AQ$406,AQ263)&gt;1,COUNTIF($AK$7:$AK$406,AQ263)+COUNTIF($AQ$7:$AQ$406,AQ263)&gt;1),TRUE,FALSE))</f>
        <v>0</v>
      </c>
      <c r="AS263" s="218" t="b">
        <f t="shared" ref="AS263" si="2943">IF(AND(C263="",E263&lt;&gt;"",F263&lt;&gt;"",E265&lt;&gt;"",G263&lt;&gt;"",G264&lt;&gt;"",G265&lt;&gt;""),TRUE,FALSE)</f>
        <v>0</v>
      </c>
      <c r="AT263" s="218" t="b">
        <f t="shared" si="2226"/>
        <v>0</v>
      </c>
      <c r="AU263" s="274" t="b">
        <f t="shared" ref="AU263" si="2944">IFERROR(IF(D263&amp;E263&amp;F263&amp;E265&amp;G263&amp;G264&amp;G265&amp;J263&amp;J264&amp;J265&amp;J266&amp;L263&amp;L264&amp;L265&amp;L266&amp;M263&amp;M264&amp;M265&amp;M266&amp;N263&amp;N264&amp;N265&amp;N266&amp;O263&amp;O264&amp;O265&amp;O266&amp;P263&amp;P264&amp;P265&amp;P266&amp;Q263&amp;R263="",FALSE,TRUE),FALSE)</f>
        <v>0</v>
      </c>
      <c r="AV263" s="218" t="b">
        <f t="shared" ref="AV263" si="2945">IF(AS263,FALSE,IF(C263="",AU263,FALSE))</f>
        <v>0</v>
      </c>
      <c r="AW263" s="218" t="b">
        <f>IF(C263="",FALSE,IF(C263&gt;2000,TRUE,FALSE))</f>
        <v>0</v>
      </c>
      <c r="AX263" s="274" t="b">
        <f>IF(H263=0,FALSE,IF(EXACT(基本情報!$E$5,H263)=TRUE,FALSE,TRUE))</f>
        <v>0</v>
      </c>
      <c r="AY263" s="218" t="b">
        <f>IF(C263="",FALSE,IF(ISNA(E263)=TRUE,TRUE,FALSE))</f>
        <v>0</v>
      </c>
      <c r="AZ263" s="274" t="b">
        <f>IFERROR(IF(E263="",FALSE,IF(COUNTIF($E$7:E263,E263)&gt;1,TRUE,FALSE)),FALSE)</f>
        <v>0</v>
      </c>
      <c r="BA263" s="218" t="b">
        <f t="shared" ref="BA263" si="2946">IF(OR(J263&amp;J264&amp;J265&amp;J266&amp;Q263&amp;R263="",AT263,AT264,AT265,AT266),AU263,FALSE)</f>
        <v>0</v>
      </c>
      <c r="BB263" s="218" t="b">
        <f>IF(U263&gt;1,TRUE,FALSE)</f>
        <v>0</v>
      </c>
      <c r="BC263" s="218" t="b">
        <f>IF(X263&gt;1,TRUE,FALSE)</f>
        <v>0</v>
      </c>
      <c r="BD263" s="218" t="b">
        <f t="shared" ref="BD263:BD326" si="2947">IF(Z263&gt;1,TRUE,FALSE)</f>
        <v>0</v>
      </c>
      <c r="BF263" s="231" t="b">
        <f t="shared" ref="BF263" si="2948">IF(J263="",FALSE,IF(OR(AND(AU263,L263=""),AND(AU263,L263="",OR(M263&lt;&gt;"",N263&lt;&gt;"",O263&lt;&gt;"",P263&lt;&gt;""))),TRUE,FALSE))</f>
        <v>0</v>
      </c>
      <c r="BG263" s="218" t="b">
        <f t="shared" ref="BG263:BG326" si="2949">IF(J263="",FALSE,IF(ISNUMBER(L263)&lt;&gt;TRUE,TRUE,IFERROR(IF(MOD(L263,1)=0,FALSE,TRUE),FALSE)))</f>
        <v>0</v>
      </c>
      <c r="BH263" s="218" t="b">
        <f t="shared" si="2228"/>
        <v>0</v>
      </c>
      <c r="BI263" s="231" t="b">
        <f t="shared" ref="BI263" si="2950">IF(J263="",FALSE,IF(L263=0,FALSE,IF(AND(AU263,NOT(BF263),OR(M263="",N263="",O263="")),TRUE,FALSE)))</f>
        <v>0</v>
      </c>
      <c r="BJ263" s="240" t="b">
        <f t="shared" si="2230"/>
        <v>0</v>
      </c>
      <c r="BK263" s="231" t="b">
        <f>IF(NOT(BJ263),FALSE,IF(AND(競技会設定!$C$5&lt;=BJ263,BJ263&lt;=競技会設定!$C$6),FALSE,TRUE))</f>
        <v>0</v>
      </c>
      <c r="BL263" s="218" t="b">
        <f>IF(J263="",FALSE,IF(L263=0,FALSE,IF(AND(AU263,NOT(BF263),NOT(BI263),P263=""),TRUE,FALSE)))</f>
        <v>0</v>
      </c>
      <c r="BO263" s="274">
        <f t="shared" ref="BO263" si="2951">IF(AND(AU263,SUM(COUNTIF(AV263:BC263,TRUE),COUNTIF(BF263:BL266,TRUE),COUNTIF(BD263:BD266,TRUE))=0,NOT($BE$7)),1,0)</f>
        <v>0</v>
      </c>
    </row>
    <row r="264" spans="1:67" ht="17.399999999999999" customHeight="1">
      <c r="A264" s="418"/>
      <c r="B264" s="402"/>
      <c r="C264" s="404"/>
      <c r="D264" s="221"/>
      <c r="E264" s="397"/>
      <c r="F264" s="397"/>
      <c r="G264" s="221" t="str">
        <f>IF(C263="","",(VLOOKUP(D263,男子登録!$A$2:$N$2001,13,0)))</f>
        <v/>
      </c>
      <c r="H264" s="221"/>
      <c r="I264" s="221" t="s">
        <v>7061</v>
      </c>
      <c r="J264" s="149"/>
      <c r="K264" s="221" t="s">
        <v>7062</v>
      </c>
      <c r="L264" s="149"/>
      <c r="M264" s="255"/>
      <c r="N264" s="256"/>
      <c r="O264" s="257"/>
      <c r="P264" s="149"/>
      <c r="Q264" s="399"/>
      <c r="R264" s="392"/>
      <c r="S264" s="136"/>
      <c r="T264" s="137"/>
      <c r="U264" s="137"/>
      <c r="V264" s="137"/>
      <c r="W264" s="137"/>
      <c r="X264" s="137"/>
      <c r="Y264" s="218">
        <f t="shared" ref="Y264" si="2952">IF(OR(E263="",J264=""),0,J264&amp;E263)</f>
        <v>0</v>
      </c>
      <c r="Z264" s="218">
        <f>IF(Y264=0,0,COUNTIF($Y$7:Y264,Y264))</f>
        <v>0</v>
      </c>
      <c r="AD264" s="218">
        <f>IFERROR(VLOOKUP(J264,競技会設定!$P$2:$S$22,2,0),0)</f>
        <v>0</v>
      </c>
      <c r="AE264" s="218">
        <f t="shared" ref="AE264" si="2953">IF(E263="",0,IF(AD264=0,0,IF(AD264&lt;3,E263&amp;$AE$6,0)))</f>
        <v>0</v>
      </c>
      <c r="AF264" s="218">
        <f>IF(AE264=0,0,E263&amp;COUNTIF($AE$7:AE264,AE264))</f>
        <v>0</v>
      </c>
      <c r="AG264" s="218">
        <f t="shared" ref="AG264" si="2954">IF(E263="",0,IF(AD264=0,0,IF(AD264&gt;=3,E263&amp;$AG$6,0)))</f>
        <v>0</v>
      </c>
      <c r="AH264" s="218">
        <f>IF(AG264=0,0,E263&amp;COUNTIF($AG$7:AG264,AG264))</f>
        <v>0</v>
      </c>
      <c r="AI264" s="218">
        <f t="shared" ref="AI264:AI312" si="2955">IF(COUNTIF(Y264,"*十種*")&gt;0,0,IF($AD264=AI$6,$E263,0))</f>
        <v>0</v>
      </c>
      <c r="AJ264" s="218" t="b">
        <f>IF(AI264=0,FALSE,IF(COUNTIF(AI$7:AI264,AI264)&gt;1,TRUE,FALSE))</f>
        <v>0</v>
      </c>
      <c r="AK264" s="218">
        <f t="shared" ref="AK264" si="2956">IF($AD264=AK$6,$E263,0)</f>
        <v>0</v>
      </c>
      <c r="AL264" s="218" t="b">
        <f>IF(AK264=0,FALSE,IF(COUNTIF(AK$7:AK264,AK264)&gt;1,TRUE,FALSE))</f>
        <v>0</v>
      </c>
      <c r="AM264" s="218">
        <f t="shared" ref="AM264" si="2957">IF($AD264=AM$6,$E263,0)</f>
        <v>0</v>
      </c>
      <c r="AN264" s="218" t="b">
        <f>IF(AM264=0,FALSE,IF(COUNTIF(AM$7:AM264,AM264)&gt;1,TRUE,FALSE))</f>
        <v>0</v>
      </c>
      <c r="AO264" s="218">
        <f t="shared" ref="AO264" si="2958">IF($AD264=AO$6,$E263,0)</f>
        <v>0</v>
      </c>
      <c r="AP264" s="218" t="b">
        <f>IF(AO264=0,FALSE,IF(COUNTIF(AO$7:AO264,AO264)&gt;1,TRUE,FALSE))</f>
        <v>0</v>
      </c>
      <c r="AQ264" s="218">
        <f t="shared" ref="AQ264" si="2959">IF(COUNTIF(Y264,"*十種競技*")&gt;0,E263,0)</f>
        <v>0</v>
      </c>
      <c r="AR264" s="218" t="b">
        <f>IF(AQ264=0,FALSE,IF(OR(COUNTIF($AI$7:$AI$406,AQ264)+COUNTIF($AQ264:$AQ$406,AQ264)&gt;1,COUNTIF($AK$7:$AK$406,AQ264)+COUNTIF($AQ$7:$AQ$406,AQ264)&gt;1),TRUE,FALSE))</f>
        <v>0</v>
      </c>
      <c r="AT264" s="218" t="b">
        <f t="shared" ref="AT264:AT327" si="2960">IF(AND(J264="",OR(L264&lt;&gt;"",M264&lt;&gt;"",P264&lt;&gt;"")),TRUE,FALSE)</f>
        <v>0</v>
      </c>
      <c r="AU264" s="274"/>
      <c r="AX264" s="274"/>
      <c r="BD264" s="218" t="b">
        <f t="shared" si="2947"/>
        <v>0</v>
      </c>
      <c r="BF264" s="231" t="b">
        <f t="shared" ref="BF264" si="2961">IF(J264="",FALSE,IF(OR(AND(AU263,L264=""),AND(AU263,L264="",OR(M264&lt;&gt;"",N264&lt;&gt;"",O264&lt;&gt;"",P264&lt;&gt;""))),TRUE,FALSE))</f>
        <v>0</v>
      </c>
      <c r="BG264" s="218" t="b">
        <f t="shared" si="2949"/>
        <v>0</v>
      </c>
      <c r="BH264" s="218" t="b">
        <f t="shared" ref="BH264:BH327" si="2962">IF(COUNTIF(J264,"*m*")=0,FALSE,IF(VALUE(RIGHT(INT(L264/100),2))&gt;59,TRUE,IF(VALUE(RIGHT(INT(L264/10000),2))&gt;59,TRUE,FALSE)))</f>
        <v>0</v>
      </c>
      <c r="BI264" s="231" t="b">
        <f t="shared" ref="BI264" si="2963">IF(J264="",FALSE,IF(L264=0,FALSE,IF(AND(AU263,NOT(BF264),OR(M264="",N264="",O264="")),TRUE,FALSE)))</f>
        <v>0</v>
      </c>
      <c r="BJ264" s="240" t="b">
        <f t="shared" ref="BJ264:BJ327" si="2964">IF(OR(M264="",N264="",O264=""),FALSE,DATE(M264,N264,O264))</f>
        <v>0</v>
      </c>
      <c r="BK264" s="231" t="b">
        <f>IF(NOT(BJ264),FALSE,IF(AND(競技会設定!$C$5&lt;=BJ264,BJ264&lt;=競技会設定!$C$6),FALSE,TRUE))</f>
        <v>0</v>
      </c>
      <c r="BL264" s="218" t="b">
        <f>IF(J264="",FALSE,IF(L264=0,FALSE,IF(AND(AU263,NOT(BF264),NOT(BI264),P264=""),TRUE,FALSE)))</f>
        <v>0</v>
      </c>
      <c r="BO264" s="274"/>
    </row>
    <row r="265" spans="1:67" ht="17.399999999999999" customHeight="1">
      <c r="A265" s="418"/>
      <c r="B265" s="402"/>
      <c r="C265" s="404"/>
      <c r="D265" s="221"/>
      <c r="E265" s="394" t="str">
        <f>IF(C263="","",VLOOKUP(D263,男子登録!$A$2:$O$2001,14,0)&amp;" ("&amp;VLOOKUP(D263,男子登録!$A$2:$O$2001,15,0)&amp;")")</f>
        <v/>
      </c>
      <c r="F265" s="394"/>
      <c r="G265" s="222" t="str">
        <f>IF(C263="","",(VLOOKUP(D263,男子登録!$A$2:$N$2001,9,0)))</f>
        <v/>
      </c>
      <c r="H265" s="222"/>
      <c r="I265" s="222" t="s">
        <v>7063</v>
      </c>
      <c r="J265" s="150"/>
      <c r="K265" s="222" t="s">
        <v>7064</v>
      </c>
      <c r="L265" s="150"/>
      <c r="M265" s="255"/>
      <c r="N265" s="256"/>
      <c r="O265" s="257"/>
      <c r="P265" s="149"/>
      <c r="Q265" s="399"/>
      <c r="R265" s="392"/>
      <c r="S265" s="136"/>
      <c r="T265" s="137"/>
      <c r="U265" s="137"/>
      <c r="V265" s="137"/>
      <c r="W265" s="137"/>
      <c r="X265" s="137"/>
      <c r="Y265" s="218">
        <f t="shared" ref="Y265" si="2965">IF(OR(E263="",J265=""),0,J265&amp;E263)</f>
        <v>0</v>
      </c>
      <c r="Z265" s="218">
        <f>IF(Y265=0,0,COUNTIF($Y$7:Y265,Y265))</f>
        <v>0</v>
      </c>
      <c r="AD265" s="218">
        <f>IFERROR(VLOOKUP(J265,競技会設定!$P$2:$S$22,2,0),0)</f>
        <v>0</v>
      </c>
      <c r="AE265" s="218">
        <f t="shared" ref="AE265" si="2966">IF(E263="",0,IF(AD265=0,0,IF(AD265&lt;3,E263&amp;$AE$6,0)))</f>
        <v>0</v>
      </c>
      <c r="AF265" s="218">
        <f>IF(AE265=0,0,E263&amp;COUNTIF($AE$7:AE265,AE265))</f>
        <v>0</v>
      </c>
      <c r="AG265" s="218">
        <f t="shared" ref="AG265" si="2967">IF(E263="",0,IF(AD265=0,0,IF(AD265&gt;=3,E263&amp;$AG$6,0)))</f>
        <v>0</v>
      </c>
      <c r="AH265" s="218">
        <f>IF(AG265=0,0,E263&amp;COUNTIF($AG$7:AG265,AG265))</f>
        <v>0</v>
      </c>
      <c r="AI265" s="218">
        <f t="shared" ref="AI265:AI313" si="2968">IF(COUNTIF(Y265,"*十種*")&gt;0,0,IF($AD265=AI$6,$E263,0))</f>
        <v>0</v>
      </c>
      <c r="AJ265" s="218" t="b">
        <f>IF(AI265=0,FALSE,IF(COUNTIF(AI$7:AI265,AI265)&gt;1,TRUE,FALSE))</f>
        <v>0</v>
      </c>
      <c r="AK265" s="218">
        <f t="shared" ref="AK265" si="2969">IF($AD265=AK$6,$E263,0)</f>
        <v>0</v>
      </c>
      <c r="AL265" s="218" t="b">
        <f>IF(AK265=0,FALSE,IF(COUNTIF(AK$7:AK265,AK265)&gt;1,TRUE,FALSE))</f>
        <v>0</v>
      </c>
      <c r="AM265" s="218">
        <f t="shared" ref="AM265" si="2970">IF($AD265=AM$6,$E263,0)</f>
        <v>0</v>
      </c>
      <c r="AN265" s="218" t="b">
        <f>IF(AM265=0,FALSE,IF(COUNTIF(AM$7:AM265,AM265)&gt;1,TRUE,FALSE))</f>
        <v>0</v>
      </c>
      <c r="AO265" s="218">
        <f t="shared" ref="AO265" si="2971">IF($AD265=AO$6,$E263,0)</f>
        <v>0</v>
      </c>
      <c r="AP265" s="218" t="b">
        <f>IF(AO265=0,FALSE,IF(COUNTIF(AO$7:AO265,AO265)&gt;1,TRUE,FALSE))</f>
        <v>0</v>
      </c>
      <c r="AQ265" s="218">
        <f t="shared" ref="AQ265" si="2972">IF(COUNTIF(Y265,"*十種競技*")&gt;0,E263,0)</f>
        <v>0</v>
      </c>
      <c r="AR265" s="218" t="b">
        <f>IF(AQ265=0,FALSE,IF(OR(COUNTIF($AI$7:$AI$406,AQ265)+COUNTIF($AQ265:$AQ$406,AQ265)&gt;1,COUNTIF($AK$7:$AK$406,AQ265)+COUNTIF($AQ$7:$AQ$406,AQ265)&gt;1),TRUE,FALSE))</f>
        <v>0</v>
      </c>
      <c r="AT265" s="218" t="b">
        <f t="shared" si="2960"/>
        <v>0</v>
      </c>
      <c r="AU265" s="274"/>
      <c r="AX265" s="274"/>
      <c r="BD265" s="218" t="b">
        <f t="shared" si="2947"/>
        <v>0</v>
      </c>
      <c r="BF265" s="231" t="b">
        <f t="shared" ref="BF265" si="2973">IF(J265="",FALSE,IF(OR(AND(AU263,L265=""),AND(AU263,L265="",OR(M265&lt;&gt;"",N265&lt;&gt;"",O265&lt;&gt;"",P265&lt;&gt;""))),TRUE,FALSE))</f>
        <v>0</v>
      </c>
      <c r="BG265" s="218" t="b">
        <f t="shared" si="2949"/>
        <v>0</v>
      </c>
      <c r="BH265" s="218" t="b">
        <f t="shared" si="2962"/>
        <v>0</v>
      </c>
      <c r="BI265" s="231" t="b">
        <f t="shared" ref="BI265" si="2974">IF(J265="",FALSE,IF(L265=0,FALSE,IF(AND(AU263,NOT(BF265),OR(M265="",N265="",O265="")),TRUE,FALSE)))</f>
        <v>0</v>
      </c>
      <c r="BJ265" s="240" t="b">
        <f t="shared" si="2964"/>
        <v>0</v>
      </c>
      <c r="BK265" s="231" t="b">
        <f>IF(NOT(BJ265),FALSE,IF(AND(競技会設定!$C$5&lt;=BJ265,BJ265&lt;=競技会設定!$C$6),FALSE,TRUE))</f>
        <v>0</v>
      </c>
      <c r="BL265" s="218" t="b">
        <f>IF(J265="",FALSE,IF(L265=0,FALSE,IF(AND(AU263,NOT(BF265),NOT(BI265),P265=""),TRUE,FALSE)))</f>
        <v>0</v>
      </c>
      <c r="BO265" s="274"/>
    </row>
    <row r="266" spans="1:67" ht="18" customHeight="1" thickBot="1">
      <c r="A266" s="419"/>
      <c r="B266" s="395" t="s">
        <v>7051</v>
      </c>
      <c r="C266" s="395"/>
      <c r="D266" s="221"/>
      <c r="E266" s="372"/>
      <c r="F266" s="372"/>
      <c r="G266" s="372"/>
      <c r="H266" s="214"/>
      <c r="I266" s="214" t="s">
        <v>7065</v>
      </c>
      <c r="J266" s="219"/>
      <c r="K266" s="214" t="s">
        <v>7066</v>
      </c>
      <c r="L266" s="219"/>
      <c r="M266" s="258"/>
      <c r="N266" s="259"/>
      <c r="O266" s="260"/>
      <c r="P266" s="219"/>
      <c r="Q266" s="400"/>
      <c r="R266" s="393"/>
      <c r="S266" s="136"/>
      <c r="T266" s="137"/>
      <c r="U266" s="137"/>
      <c r="V266" s="137"/>
      <c r="W266" s="137"/>
      <c r="X266" s="137"/>
      <c r="Y266" s="218">
        <f t="shared" ref="Y266" si="2975">IF(OR(E263="",J266=""),0,J266&amp;E263)</f>
        <v>0</v>
      </c>
      <c r="Z266" s="218">
        <f>IF(Y266=0,0,COUNTIF($Y$7:Y266,Y266))</f>
        <v>0</v>
      </c>
      <c r="AD266" s="218">
        <f>IFERROR(VLOOKUP(J266,競技会設定!$P$2:$S$22,2,0),0)</f>
        <v>0</v>
      </c>
      <c r="AE266" s="218">
        <f t="shared" ref="AE266" si="2976">IF(E263="",0,IF(AD266=0,0,IF(AD266&lt;3,E263&amp;$AE$6,0)))</f>
        <v>0</v>
      </c>
      <c r="AF266" s="218">
        <f>IF(AE266=0,0,E263&amp;COUNTIF($AE$7:AE266,AE266))</f>
        <v>0</v>
      </c>
      <c r="AG266" s="218">
        <f t="shared" ref="AG266" si="2977">IF(E263="",0,IF(AD266=0,0,IF(AD266&gt;=3,E263&amp;$AG$6,0)))</f>
        <v>0</v>
      </c>
      <c r="AH266" s="218">
        <f>IF(AG266=0,0,E263&amp;COUNTIF($AG$7:AG266,AG266))</f>
        <v>0</v>
      </c>
      <c r="AI266" s="218">
        <f t="shared" ref="AI266:AI314" si="2978">IF(COUNTIF(Y266,"*十種*")&gt;0,0,IF($AD266=AI$6,$E263,0))</f>
        <v>0</v>
      </c>
      <c r="AJ266" s="218" t="b">
        <f>IF(AI266=0,FALSE,IF(COUNTIF(AI$7:AI266,AI266)&gt;1,TRUE,FALSE))</f>
        <v>0</v>
      </c>
      <c r="AK266" s="218">
        <f t="shared" ref="AK266" si="2979">IF($AD266=AK$6,$E263,0)</f>
        <v>0</v>
      </c>
      <c r="AL266" s="218" t="b">
        <f>IF(AK266=0,FALSE,IF(COUNTIF(AK$7:AK266,AK266)&gt;1,TRUE,FALSE))</f>
        <v>0</v>
      </c>
      <c r="AM266" s="218">
        <f t="shared" ref="AM266" si="2980">IF($AD266=AM$6,$E263,0)</f>
        <v>0</v>
      </c>
      <c r="AN266" s="218" t="b">
        <f>IF(AM266=0,FALSE,IF(COUNTIF(AM$7:AM266,AM266)&gt;1,TRUE,FALSE))</f>
        <v>0</v>
      </c>
      <c r="AO266" s="218">
        <f t="shared" ref="AO266" si="2981">IF($AD266=AO$6,$E263,0)</f>
        <v>0</v>
      </c>
      <c r="AP266" s="218" t="b">
        <f>IF(AO266=0,FALSE,IF(COUNTIF(AO$7:AO266,AO266)&gt;1,TRUE,FALSE))</f>
        <v>0</v>
      </c>
      <c r="AQ266" s="218">
        <f t="shared" ref="AQ266" si="2982">IF(COUNTIF(Y266,"*十種競技*")&gt;0,E263,0)</f>
        <v>0</v>
      </c>
      <c r="AR266" s="218" t="b">
        <f>IF(AQ266=0,FALSE,IF(OR(COUNTIF($AI$7:$AI$406,AQ266)+COUNTIF($AQ266:$AQ$406,AQ266)&gt;1,COUNTIF($AK$7:$AK$406,AQ266)+COUNTIF($AQ$7:$AQ$406,AQ266)&gt;1),TRUE,FALSE))</f>
        <v>0</v>
      </c>
      <c r="AT266" s="218" t="b">
        <f t="shared" si="2960"/>
        <v>0</v>
      </c>
      <c r="AU266" s="274"/>
      <c r="AX266" s="274"/>
      <c r="BD266" s="218" t="b">
        <f t="shared" si="2947"/>
        <v>0</v>
      </c>
      <c r="BF266" s="231" t="b">
        <f t="shared" ref="BF266" si="2983">IF(J266="",FALSE,IF(OR(AND(AU263,L266=""),AND(AU263,L266="",OR(M266&lt;&gt;"",N266&lt;&gt;"",O266&lt;&gt;"",P266&lt;&gt;""))),TRUE,FALSE))</f>
        <v>0</v>
      </c>
      <c r="BG266" s="218" t="b">
        <f t="shared" si="2949"/>
        <v>0</v>
      </c>
      <c r="BH266" s="218" t="b">
        <f t="shared" si="2962"/>
        <v>0</v>
      </c>
      <c r="BI266" s="231" t="b">
        <f t="shared" ref="BI266" si="2984">IF(J266="",FALSE,IF(L266=0,FALSE,IF(AND(AU263,NOT(BF266),OR(M266="",N266="",O266="")),TRUE,FALSE)))</f>
        <v>0</v>
      </c>
      <c r="BJ266" s="240" t="b">
        <f t="shared" si="2964"/>
        <v>0</v>
      </c>
      <c r="BK266" s="231" t="b">
        <f>IF(NOT(BJ266),FALSE,IF(AND(競技会設定!$C$5&lt;=BJ266,BJ266&lt;=競技会設定!$C$6),FALSE,TRUE))</f>
        <v>0</v>
      </c>
      <c r="BL266" s="218" t="b">
        <f>IF(J266="",FALSE,IF(L266=0,FALSE,IF(AND(AU263,NOT(BF266),NOT(BI266),P266=""),TRUE,FALSE)))</f>
        <v>0</v>
      </c>
      <c r="BO266" s="274"/>
    </row>
    <row r="267" spans="1:67" ht="18" customHeight="1" thickTop="1">
      <c r="A267" s="420">
        <v>66</v>
      </c>
      <c r="B267" s="373" t="s">
        <v>7050</v>
      </c>
      <c r="C267" s="375"/>
      <c r="D267" s="138" t="str">
        <f t="shared" ref="D267" si="2985">IF(C267="","",501&amp;TEXT(C267,"000000"))</f>
        <v/>
      </c>
      <c r="E267" s="377" t="str">
        <f>IF(D267="","",(VLOOKUP(D267,男子登録!$A$2:$N$2001,3,0)))</f>
        <v/>
      </c>
      <c r="F267" s="377" t="str">
        <f>IF(D267="","",(VLOOKUP(D267,男子登録!$A$2:$N$2001,4,0)))</f>
        <v/>
      </c>
      <c r="G267" s="138" t="str">
        <f>IF(C267="","",(VLOOKUP(D267,男子登録!$A$2:$N$2001,8,0)))</f>
        <v/>
      </c>
      <c r="H267" s="138">
        <f>IFERROR(VLOOKUP(D267,男子登録!$A$2:$N$2001,11,0),基本情報!$E$5)</f>
        <v>0</v>
      </c>
      <c r="I267" s="138" t="s">
        <v>7059</v>
      </c>
      <c r="J267" s="151"/>
      <c r="K267" s="138" t="s">
        <v>7060</v>
      </c>
      <c r="L267" s="151"/>
      <c r="M267" s="261"/>
      <c r="N267" s="262"/>
      <c r="O267" s="263"/>
      <c r="P267" s="151"/>
      <c r="Q267" s="381"/>
      <c r="R267" s="384"/>
      <c r="S267" s="136">
        <f t="shared" ref="S267" si="2986">IF(OR(E267="",Q267=""),0,E267)</f>
        <v>0</v>
      </c>
      <c r="T267" s="137">
        <f>IF(S267=0,0,COUNTIF($S$7:S267,"*"))</f>
        <v>0</v>
      </c>
      <c r="U267" s="137">
        <f>IF(S267=0,0,COUNTIF($S$7:S267,S267))</f>
        <v>0</v>
      </c>
      <c r="V267" s="137">
        <f t="shared" si="2429"/>
        <v>0</v>
      </c>
      <c r="W267" s="137">
        <f>IF(V267=0,0,COUNTIF($V$7:V267,"*"))</f>
        <v>0</v>
      </c>
      <c r="X267" s="137">
        <f>IF(V267=0,0,COUNTIF($V$7:V267,V267))</f>
        <v>0</v>
      </c>
      <c r="Y267" s="218">
        <f t="shared" ref="Y267" si="2987">IF(OR(E267="",J267=""),0,J267&amp;E267)</f>
        <v>0</v>
      </c>
      <c r="Z267" s="218">
        <f>IF(Y267=0,0,COUNTIF($Y$7:Y267,Y267))</f>
        <v>0</v>
      </c>
      <c r="AA267" s="218" t="b">
        <f t="shared" ref="AA267" si="2988">IF(COUNTIF(J267:J270,"十種競技")&gt;0,TRUE,FALSE)</f>
        <v>0</v>
      </c>
      <c r="AB267" s="218">
        <f>IF(E267="",0,IF(AA267,COUNTIF($AA$7:AA267,TRUE),0))</f>
        <v>0</v>
      </c>
      <c r="AC267" s="218">
        <f>IFERROR(VLOOKUP("十種競技",J267:L270,3,0),0)</f>
        <v>0</v>
      </c>
      <c r="AD267" s="218">
        <f>IFERROR(VLOOKUP(J267,競技会設定!$P$2:$S$22,2,0),0)</f>
        <v>0</v>
      </c>
      <c r="AE267" s="218">
        <f t="shared" ref="AE267" si="2989">IF(E267="",0,IF(AD267=0,0,IF(AD267&lt;3,E267&amp;$AE$6,0)))</f>
        <v>0</v>
      </c>
      <c r="AF267" s="218">
        <f>IF(AE267=0,0,E267&amp;COUNTIF($AE$7:AE267,AE267))</f>
        <v>0</v>
      </c>
      <c r="AG267" s="218">
        <f t="shared" ref="AG267" si="2990">IF(E267="",0,IF(AD267=0,0,IF(AD267&gt;=3,E267&amp;$AG$6,0)))</f>
        <v>0</v>
      </c>
      <c r="AH267" s="218">
        <f>IF(AG267=0,0,E267&amp;COUNTIF($AG$7:AG267,AG267))</f>
        <v>0</v>
      </c>
      <c r="AI267" s="218">
        <f t="shared" ref="AI267:AI315" si="2991">IF(COUNTIF(Y267,"*十種*")&gt;0,0,IF($AD267=AI$6,$E267,0))</f>
        <v>0</v>
      </c>
      <c r="AJ267" s="218" t="b">
        <f>IF(AI267=0,FALSE,IF(COUNTIF(AI$7:AI267,AI267)&gt;1,TRUE,FALSE))</f>
        <v>0</v>
      </c>
      <c r="AK267" s="218">
        <f t="shared" ref="AK267" si="2992">IF($AD267=AK$6,$E267,0)</f>
        <v>0</v>
      </c>
      <c r="AL267" s="218" t="b">
        <f>IF(AK267=0,FALSE,IF(COUNTIF(AK$7:AK267,AK267)&gt;1,TRUE,FALSE))</f>
        <v>0</v>
      </c>
      <c r="AM267" s="218">
        <f t="shared" ref="AM267" si="2993">IF($AD267=AM$6,$E267,0)</f>
        <v>0</v>
      </c>
      <c r="AN267" s="218" t="b">
        <f>IF(AM267=0,FALSE,IF(COUNTIF(AM$7:AM267,AM267)&gt;1,TRUE,FALSE))</f>
        <v>0</v>
      </c>
      <c r="AO267" s="218">
        <f t="shared" ref="AO267" si="2994">IF($AD267=AO$6,$E267,0)</f>
        <v>0</v>
      </c>
      <c r="AP267" s="218" t="b">
        <f>IF(AO267=0,FALSE,IF(COUNTIF(AO$7:AO267,AO267)&gt;1,TRUE,FALSE))</f>
        <v>0</v>
      </c>
      <c r="AQ267" s="218">
        <f t="shared" ref="AQ267" si="2995">IF(COUNTIF(Y267,"*十種競技*")&gt;0,E267,0)</f>
        <v>0</v>
      </c>
      <c r="AR267" s="218" t="b">
        <f>IF(AQ267=0,FALSE,IF(OR(COUNTIF($AI$7:$AI$406,AQ267)+COUNTIF($AQ267:$AQ$406,AQ267)&gt;1,COUNTIF($AK$7:$AK$406,AQ267)+COUNTIF($AQ$7:$AQ$406,AQ267)&gt;1),TRUE,FALSE))</f>
        <v>0</v>
      </c>
      <c r="AS267" s="218" t="b">
        <f t="shared" ref="AS267" si="2996">IF(AND(C267="",E267&lt;&gt;"",F267&lt;&gt;"",E269&lt;&gt;"",G267&lt;&gt;"",G268&lt;&gt;"",G269&lt;&gt;""),TRUE,FALSE)</f>
        <v>0</v>
      </c>
      <c r="AT267" s="218" t="b">
        <f t="shared" si="2960"/>
        <v>0</v>
      </c>
      <c r="AU267" s="274" t="b">
        <f t="shared" ref="AU267" si="2997">IFERROR(IF(D267&amp;E267&amp;F267&amp;E269&amp;G267&amp;G268&amp;G269&amp;J267&amp;J268&amp;J269&amp;J270&amp;L267&amp;L268&amp;L269&amp;L270&amp;M267&amp;M268&amp;M269&amp;M270&amp;N267&amp;N268&amp;N269&amp;N270&amp;O267&amp;O268&amp;O269&amp;O270&amp;P267&amp;P268&amp;P269&amp;P270&amp;Q267&amp;R267="",FALSE,TRUE),FALSE)</f>
        <v>0</v>
      </c>
      <c r="AV267" s="218" t="b">
        <f t="shared" ref="AV267" si="2998">IF(AS267,FALSE,IF(C267="",AU267,FALSE))</f>
        <v>0</v>
      </c>
      <c r="AW267" s="218" t="b">
        <f>IF(C267="",FALSE,IF(C267&gt;2000,TRUE,FALSE))</f>
        <v>0</v>
      </c>
      <c r="AX267" s="274" t="b">
        <f>IF(H267=0,FALSE,IF(EXACT(基本情報!$E$5,H267)=TRUE,FALSE,TRUE))</f>
        <v>0</v>
      </c>
      <c r="AY267" s="218" t="b">
        <f>IF(C267="",FALSE,IF(ISNA(E267)=TRUE,TRUE,FALSE))</f>
        <v>0</v>
      </c>
      <c r="AZ267" s="274" t="b">
        <f>IFERROR(IF(E267="",FALSE,IF(COUNTIF($E$7:E267,E267)&gt;1,TRUE,FALSE)),FALSE)</f>
        <v>0</v>
      </c>
      <c r="BA267" s="218" t="b">
        <f t="shared" ref="BA267" si="2999">IF(OR(J267&amp;J268&amp;J269&amp;J270&amp;Q267&amp;R267="",AT267,AT268,AT269,AT270),AU267,FALSE)</f>
        <v>0</v>
      </c>
      <c r="BB267" s="218" t="b">
        <f>IF(U267&gt;1,TRUE,FALSE)</f>
        <v>0</v>
      </c>
      <c r="BC267" s="218" t="b">
        <f>IF(X267&gt;1,TRUE,FALSE)</f>
        <v>0</v>
      </c>
      <c r="BD267" s="218" t="b">
        <f t="shared" si="2947"/>
        <v>0</v>
      </c>
      <c r="BF267" s="231" t="b">
        <f t="shared" ref="BF267" si="3000">IF(J267="",FALSE,IF(OR(AND(AU267,L267=""),AND(AU267,L267="",OR(M267&lt;&gt;"",N267&lt;&gt;"",O267&lt;&gt;"",P267&lt;&gt;""))),TRUE,FALSE))</f>
        <v>0</v>
      </c>
      <c r="BG267" s="218" t="b">
        <f t="shared" si="2949"/>
        <v>0</v>
      </c>
      <c r="BH267" s="218" t="b">
        <f t="shared" si="2962"/>
        <v>0</v>
      </c>
      <c r="BI267" s="231" t="b">
        <f t="shared" ref="BI267" si="3001">IF(J267="",FALSE,IF(L267=0,FALSE,IF(AND(AU267,NOT(BF267),OR(M267="",N267="",O267="")),TRUE,FALSE)))</f>
        <v>0</v>
      </c>
      <c r="BJ267" s="240" t="b">
        <f t="shared" si="2964"/>
        <v>0</v>
      </c>
      <c r="BK267" s="231" t="b">
        <f>IF(NOT(BJ267),FALSE,IF(AND(競技会設定!$C$5&lt;=BJ267,BJ267&lt;=競技会設定!$C$6),FALSE,TRUE))</f>
        <v>0</v>
      </c>
      <c r="BL267" s="218" t="b">
        <f>IF(J267="",FALSE,IF(L267=0,FALSE,IF(AND(AU267,NOT(BF267),NOT(BI267),P267=""),TRUE,FALSE)))</f>
        <v>0</v>
      </c>
      <c r="BO267" s="274">
        <f t="shared" ref="BO267" si="3002">IF(AND(AU267,SUM(COUNTIF(AV267:BC267,TRUE),COUNTIF(BF267:BL270,TRUE),COUNTIF(BD267:BD270,TRUE))=0,NOT($BE$7)),1,0)</f>
        <v>0</v>
      </c>
    </row>
    <row r="268" spans="1:67" ht="17.399999999999999" customHeight="1">
      <c r="A268" s="421"/>
      <c r="B268" s="374"/>
      <c r="C268" s="376"/>
      <c r="D268" s="139"/>
      <c r="E268" s="378"/>
      <c r="F268" s="378"/>
      <c r="G268" s="139" t="str">
        <f>IF(C267="","",(VLOOKUP(D267,男子登録!$A$2:$N$2001,13,0)))</f>
        <v/>
      </c>
      <c r="H268" s="139"/>
      <c r="I268" s="139" t="s">
        <v>7061</v>
      </c>
      <c r="J268" s="152"/>
      <c r="K268" s="139" t="s">
        <v>7062</v>
      </c>
      <c r="L268" s="152"/>
      <c r="M268" s="264"/>
      <c r="N268" s="265"/>
      <c r="O268" s="266"/>
      <c r="P268" s="152"/>
      <c r="Q268" s="382"/>
      <c r="R268" s="385"/>
      <c r="S268" s="136"/>
      <c r="T268" s="137"/>
      <c r="U268" s="137"/>
      <c r="V268" s="137"/>
      <c r="W268" s="137"/>
      <c r="X268" s="137"/>
      <c r="Y268" s="218">
        <f t="shared" ref="Y268" si="3003">IF(OR(E267="",J268=""),0,J268&amp;E267)</f>
        <v>0</v>
      </c>
      <c r="Z268" s="218">
        <f>IF(Y268=0,0,COUNTIF($Y$7:Y268,Y268))</f>
        <v>0</v>
      </c>
      <c r="AD268" s="218">
        <f>IFERROR(VLOOKUP(J268,競技会設定!$P$2:$S$22,2,0),0)</f>
        <v>0</v>
      </c>
      <c r="AE268" s="218">
        <f t="shared" ref="AE268" si="3004">IF(E267="",0,IF(AD268=0,0,IF(AD268&lt;3,E267&amp;$AE$6,0)))</f>
        <v>0</v>
      </c>
      <c r="AF268" s="218">
        <f>IF(AE268=0,0,E267&amp;COUNTIF($AE$7:AE268,AE268))</f>
        <v>0</v>
      </c>
      <c r="AG268" s="218">
        <f t="shared" ref="AG268" si="3005">IF(E267="",0,IF(AD268=0,0,IF(AD268&gt;=3,E267&amp;$AG$6,0)))</f>
        <v>0</v>
      </c>
      <c r="AH268" s="218">
        <f>IF(AG268=0,0,E267&amp;COUNTIF($AG$7:AG268,AG268))</f>
        <v>0</v>
      </c>
      <c r="AI268" s="218">
        <f t="shared" ref="AI268:AI316" si="3006">IF(COUNTIF(Y268,"*十種*")&gt;0,0,IF($AD268=AI$6,$E267,0))</f>
        <v>0</v>
      </c>
      <c r="AJ268" s="218" t="b">
        <f>IF(AI268=0,FALSE,IF(COUNTIF(AI$7:AI268,AI268)&gt;1,TRUE,FALSE))</f>
        <v>0</v>
      </c>
      <c r="AK268" s="218">
        <f t="shared" ref="AK268" si="3007">IF($AD268=AK$6,$E267,0)</f>
        <v>0</v>
      </c>
      <c r="AL268" s="218" t="b">
        <f>IF(AK268=0,FALSE,IF(COUNTIF(AK$7:AK268,AK268)&gt;1,TRUE,FALSE))</f>
        <v>0</v>
      </c>
      <c r="AM268" s="218">
        <f t="shared" ref="AM268" si="3008">IF($AD268=AM$6,$E267,0)</f>
        <v>0</v>
      </c>
      <c r="AN268" s="218" t="b">
        <f>IF(AM268=0,FALSE,IF(COUNTIF(AM$7:AM268,AM268)&gt;1,TRUE,FALSE))</f>
        <v>0</v>
      </c>
      <c r="AO268" s="218">
        <f t="shared" ref="AO268" si="3009">IF($AD268=AO$6,$E267,0)</f>
        <v>0</v>
      </c>
      <c r="AP268" s="218" t="b">
        <f>IF(AO268=0,FALSE,IF(COUNTIF(AO$7:AO268,AO268)&gt;1,TRUE,FALSE))</f>
        <v>0</v>
      </c>
      <c r="AQ268" s="218">
        <f t="shared" ref="AQ268" si="3010">IF(COUNTIF(Y268,"*十種競技*")&gt;0,E267,0)</f>
        <v>0</v>
      </c>
      <c r="AR268" s="218" t="b">
        <f>IF(AQ268=0,FALSE,IF(OR(COUNTIF($AI$7:$AI$406,AQ268)+COUNTIF($AQ268:$AQ$406,AQ268)&gt;1,COUNTIF($AK$7:$AK$406,AQ268)+COUNTIF($AQ$7:$AQ$406,AQ268)&gt;1),TRUE,FALSE))</f>
        <v>0</v>
      </c>
      <c r="AT268" s="218" t="b">
        <f t="shared" si="2960"/>
        <v>0</v>
      </c>
      <c r="AU268" s="274"/>
      <c r="AX268" s="274"/>
      <c r="BD268" s="218" t="b">
        <f t="shared" si="2947"/>
        <v>0</v>
      </c>
      <c r="BF268" s="231" t="b">
        <f t="shared" ref="BF268" si="3011">IF(J268="",FALSE,IF(OR(AND(AU267,L268=""),AND(AU267,L268="",OR(M268&lt;&gt;"",N268&lt;&gt;"",O268&lt;&gt;"",P268&lt;&gt;""))),TRUE,FALSE))</f>
        <v>0</v>
      </c>
      <c r="BG268" s="218" t="b">
        <f t="shared" si="2949"/>
        <v>0</v>
      </c>
      <c r="BH268" s="218" t="b">
        <f t="shared" si="2962"/>
        <v>0</v>
      </c>
      <c r="BI268" s="231" t="b">
        <f t="shared" ref="BI268" si="3012">IF(J268="",FALSE,IF(L268=0,FALSE,IF(AND(AU267,NOT(BF268),OR(M268="",N268="",O268="")),TRUE,FALSE)))</f>
        <v>0</v>
      </c>
      <c r="BJ268" s="240" t="b">
        <f t="shared" si="2964"/>
        <v>0</v>
      </c>
      <c r="BK268" s="231" t="b">
        <f>IF(NOT(BJ268),FALSE,IF(AND(競技会設定!$C$5&lt;=BJ268,BJ268&lt;=競技会設定!$C$6),FALSE,TRUE))</f>
        <v>0</v>
      </c>
      <c r="BL268" s="218" t="b">
        <f>IF(J268="",FALSE,IF(L268=0,FALSE,IF(AND(AU267,NOT(BF268),NOT(BI268),P268=""),TRUE,FALSE)))</f>
        <v>0</v>
      </c>
      <c r="BO268" s="274"/>
    </row>
    <row r="269" spans="1:67" ht="17.399999999999999" customHeight="1">
      <c r="A269" s="421"/>
      <c r="B269" s="374"/>
      <c r="C269" s="376"/>
      <c r="D269" s="140"/>
      <c r="E269" s="379" t="str">
        <f>IF(C267="","",VLOOKUP(D267,男子登録!$A$2:$O$2001,14,0)&amp;" ("&amp;VLOOKUP(D267,男子登録!$A$2:$O$2001,15,0)&amp;")")</f>
        <v/>
      </c>
      <c r="F269" s="380"/>
      <c r="G269" s="140" t="str">
        <f>IF(C267="","",(VLOOKUP(D267,男子登録!$A$2:$N$2001,9,0)))</f>
        <v/>
      </c>
      <c r="H269" s="140"/>
      <c r="I269" s="140" t="s">
        <v>7063</v>
      </c>
      <c r="J269" s="153"/>
      <c r="K269" s="140" t="s">
        <v>7064</v>
      </c>
      <c r="L269" s="153"/>
      <c r="M269" s="264"/>
      <c r="N269" s="265"/>
      <c r="O269" s="266"/>
      <c r="P269" s="152"/>
      <c r="Q269" s="382"/>
      <c r="R269" s="385"/>
      <c r="S269" s="136"/>
      <c r="T269" s="137"/>
      <c r="U269" s="137"/>
      <c r="V269" s="137"/>
      <c r="W269" s="137"/>
      <c r="X269" s="137"/>
      <c r="Y269" s="218">
        <f t="shared" ref="Y269" si="3013">IF(OR(E267="",J269=""),0,J269&amp;E267)</f>
        <v>0</v>
      </c>
      <c r="Z269" s="218">
        <f>IF(Y269=0,0,COUNTIF($Y$7:Y269,Y269))</f>
        <v>0</v>
      </c>
      <c r="AD269" s="218">
        <f>IFERROR(VLOOKUP(J269,競技会設定!$P$2:$S$22,2,0),0)</f>
        <v>0</v>
      </c>
      <c r="AE269" s="218">
        <f t="shared" ref="AE269" si="3014">IF(E267="",0,IF(AD269=0,0,IF(AD269&lt;3,E267&amp;$AE$6,0)))</f>
        <v>0</v>
      </c>
      <c r="AF269" s="218">
        <f>IF(AE269=0,0,E267&amp;COUNTIF($AE$7:AE269,AE269))</f>
        <v>0</v>
      </c>
      <c r="AG269" s="218">
        <f t="shared" ref="AG269" si="3015">IF(E267="",0,IF(AD269=0,0,IF(AD269&gt;=3,E267&amp;$AG$6,0)))</f>
        <v>0</v>
      </c>
      <c r="AH269" s="218">
        <f>IF(AG269=0,0,E267&amp;COUNTIF($AG$7:AG269,AG269))</f>
        <v>0</v>
      </c>
      <c r="AI269" s="218">
        <f t="shared" ref="AI269:AI317" si="3016">IF(COUNTIF(Y269,"*十種*")&gt;0,0,IF($AD269=AI$6,$E267,0))</f>
        <v>0</v>
      </c>
      <c r="AJ269" s="218" t="b">
        <f>IF(AI269=0,FALSE,IF(COUNTIF(AI$7:AI269,AI269)&gt;1,TRUE,FALSE))</f>
        <v>0</v>
      </c>
      <c r="AK269" s="218">
        <f t="shared" ref="AK269" si="3017">IF($AD269=AK$6,$E267,0)</f>
        <v>0</v>
      </c>
      <c r="AL269" s="218" t="b">
        <f>IF(AK269=0,FALSE,IF(COUNTIF(AK$7:AK269,AK269)&gt;1,TRUE,FALSE))</f>
        <v>0</v>
      </c>
      <c r="AM269" s="218">
        <f t="shared" ref="AM269" si="3018">IF($AD269=AM$6,$E267,0)</f>
        <v>0</v>
      </c>
      <c r="AN269" s="218" t="b">
        <f>IF(AM269=0,FALSE,IF(COUNTIF(AM$7:AM269,AM269)&gt;1,TRUE,FALSE))</f>
        <v>0</v>
      </c>
      <c r="AO269" s="218">
        <f t="shared" ref="AO269" si="3019">IF($AD269=AO$6,$E267,0)</f>
        <v>0</v>
      </c>
      <c r="AP269" s="218" t="b">
        <f>IF(AO269=0,FALSE,IF(COUNTIF(AO$7:AO269,AO269)&gt;1,TRUE,FALSE))</f>
        <v>0</v>
      </c>
      <c r="AQ269" s="218">
        <f t="shared" ref="AQ269" si="3020">IF(COUNTIF(Y269,"*十種競技*")&gt;0,E267,0)</f>
        <v>0</v>
      </c>
      <c r="AR269" s="218" t="b">
        <f>IF(AQ269=0,FALSE,IF(OR(COUNTIF($AI$7:$AI$406,AQ269)+COUNTIF($AQ269:$AQ$406,AQ269)&gt;1,COUNTIF($AK$7:$AK$406,AQ269)+COUNTIF($AQ$7:$AQ$406,AQ269)&gt;1),TRUE,FALSE))</f>
        <v>0</v>
      </c>
      <c r="AT269" s="218" t="b">
        <f t="shared" si="2960"/>
        <v>0</v>
      </c>
      <c r="AU269" s="274"/>
      <c r="AX269" s="274"/>
      <c r="BD269" s="218" t="b">
        <f t="shared" si="2947"/>
        <v>0</v>
      </c>
      <c r="BF269" s="231" t="b">
        <f t="shared" ref="BF269" si="3021">IF(J269="",FALSE,IF(OR(AND(AU267,L269=""),AND(AU267,L269="",OR(M269&lt;&gt;"",N269&lt;&gt;"",O269&lt;&gt;"",P269&lt;&gt;""))),TRUE,FALSE))</f>
        <v>0</v>
      </c>
      <c r="BG269" s="218" t="b">
        <f t="shared" si="2949"/>
        <v>0</v>
      </c>
      <c r="BH269" s="218" t="b">
        <f t="shared" si="2962"/>
        <v>0</v>
      </c>
      <c r="BI269" s="231" t="b">
        <f t="shared" ref="BI269" si="3022">IF(J269="",FALSE,IF(L269=0,FALSE,IF(AND(AU267,NOT(BF269),OR(M269="",N269="",O269="")),TRUE,FALSE)))</f>
        <v>0</v>
      </c>
      <c r="BJ269" s="240" t="b">
        <f t="shared" si="2964"/>
        <v>0</v>
      </c>
      <c r="BK269" s="231" t="b">
        <f>IF(NOT(BJ269),FALSE,IF(AND(競技会設定!$C$5&lt;=BJ269,BJ269&lt;=競技会設定!$C$6),FALSE,TRUE))</f>
        <v>0</v>
      </c>
      <c r="BL269" s="218" t="b">
        <f>IF(J269="",FALSE,IF(L269=0,FALSE,IF(AND(AU267,NOT(BF269),NOT(BI269),P269=""),TRUE,FALSE)))</f>
        <v>0</v>
      </c>
      <c r="BO269" s="274"/>
    </row>
    <row r="270" spans="1:67" ht="18" customHeight="1" thickBot="1">
      <c r="A270" s="422"/>
      <c r="B270" s="387" t="s">
        <v>7051</v>
      </c>
      <c r="C270" s="387"/>
      <c r="D270" s="213"/>
      <c r="E270" s="388"/>
      <c r="F270" s="389"/>
      <c r="G270" s="390"/>
      <c r="H270" s="141"/>
      <c r="I270" s="213" t="s">
        <v>7065</v>
      </c>
      <c r="J270" s="154"/>
      <c r="K270" s="213" t="s">
        <v>7066</v>
      </c>
      <c r="L270" s="154"/>
      <c r="M270" s="267"/>
      <c r="N270" s="268"/>
      <c r="O270" s="269"/>
      <c r="P270" s="154"/>
      <c r="Q270" s="383"/>
      <c r="R270" s="386"/>
      <c r="S270" s="136"/>
      <c r="T270" s="137"/>
      <c r="U270" s="137"/>
      <c r="V270" s="137"/>
      <c r="W270" s="137"/>
      <c r="X270" s="137"/>
      <c r="Y270" s="218">
        <f t="shared" ref="Y270" si="3023">IF(OR(E267="",J270=""),0,J270&amp;E267)</f>
        <v>0</v>
      </c>
      <c r="Z270" s="218">
        <f>IF(Y270=0,0,COUNTIF($Y$7:Y270,Y270))</f>
        <v>0</v>
      </c>
      <c r="AD270" s="218">
        <f>IFERROR(VLOOKUP(J270,競技会設定!$P$2:$S$22,2,0),0)</f>
        <v>0</v>
      </c>
      <c r="AE270" s="218">
        <f t="shared" ref="AE270" si="3024">IF(E267="",0,IF(AD270=0,0,IF(AD270&lt;3,E267&amp;$AE$6,0)))</f>
        <v>0</v>
      </c>
      <c r="AF270" s="218">
        <f>IF(AE270=0,0,E267&amp;COUNTIF($AE$7:AE270,AE270))</f>
        <v>0</v>
      </c>
      <c r="AG270" s="218">
        <f t="shared" ref="AG270" si="3025">IF(E267="",0,IF(AD270=0,0,IF(AD270&gt;=3,E267&amp;$AG$6,0)))</f>
        <v>0</v>
      </c>
      <c r="AH270" s="218">
        <f>IF(AG270=0,0,E267&amp;COUNTIF($AG$7:AG270,AG270))</f>
        <v>0</v>
      </c>
      <c r="AI270" s="218">
        <f t="shared" ref="AI270:AI318" si="3026">IF(COUNTIF(Y270,"*十種*")&gt;0,0,IF($AD270=AI$6,$E267,0))</f>
        <v>0</v>
      </c>
      <c r="AJ270" s="218" t="b">
        <f>IF(AI270=0,FALSE,IF(COUNTIF(AI$7:AI270,AI270)&gt;1,TRUE,FALSE))</f>
        <v>0</v>
      </c>
      <c r="AK270" s="218">
        <f t="shared" ref="AK270" si="3027">IF($AD270=AK$6,$E267,0)</f>
        <v>0</v>
      </c>
      <c r="AL270" s="218" t="b">
        <f>IF(AK270=0,FALSE,IF(COUNTIF(AK$7:AK270,AK270)&gt;1,TRUE,FALSE))</f>
        <v>0</v>
      </c>
      <c r="AM270" s="218">
        <f t="shared" ref="AM270" si="3028">IF($AD270=AM$6,$E267,0)</f>
        <v>0</v>
      </c>
      <c r="AN270" s="218" t="b">
        <f>IF(AM270=0,FALSE,IF(COUNTIF(AM$7:AM270,AM270)&gt;1,TRUE,FALSE))</f>
        <v>0</v>
      </c>
      <c r="AO270" s="218">
        <f t="shared" ref="AO270" si="3029">IF($AD270=AO$6,$E267,0)</f>
        <v>0</v>
      </c>
      <c r="AP270" s="218" t="b">
        <f>IF(AO270=0,FALSE,IF(COUNTIF(AO$7:AO270,AO270)&gt;1,TRUE,FALSE))</f>
        <v>0</v>
      </c>
      <c r="AQ270" s="218">
        <f t="shared" ref="AQ270" si="3030">IF(COUNTIF(Y270,"*十種競技*")&gt;0,E267,0)</f>
        <v>0</v>
      </c>
      <c r="AR270" s="218" t="b">
        <f>IF(AQ270=0,FALSE,IF(OR(COUNTIF($AI$7:$AI$406,AQ270)+COUNTIF($AQ270:$AQ$406,AQ270)&gt;1,COUNTIF($AK$7:$AK$406,AQ270)+COUNTIF($AQ$7:$AQ$406,AQ270)&gt;1),TRUE,FALSE))</f>
        <v>0</v>
      </c>
      <c r="AT270" s="218" t="b">
        <f t="shared" si="2960"/>
        <v>0</v>
      </c>
      <c r="AU270" s="274"/>
      <c r="AX270" s="274"/>
      <c r="BD270" s="218" t="b">
        <f t="shared" si="2947"/>
        <v>0</v>
      </c>
      <c r="BF270" s="231" t="b">
        <f t="shared" ref="BF270" si="3031">IF(J270="",FALSE,IF(OR(AND(AU267,L270=""),AND(AU267,L270="",OR(M270&lt;&gt;"",N270&lt;&gt;"",O270&lt;&gt;"",P270&lt;&gt;""))),TRUE,FALSE))</f>
        <v>0</v>
      </c>
      <c r="BG270" s="218" t="b">
        <f t="shared" si="2949"/>
        <v>0</v>
      </c>
      <c r="BH270" s="218" t="b">
        <f t="shared" si="2962"/>
        <v>0</v>
      </c>
      <c r="BI270" s="231" t="b">
        <f t="shared" ref="BI270" si="3032">IF(J270="",FALSE,IF(L270=0,FALSE,IF(AND(AU267,NOT(BF270),OR(M270="",N270="",O270="")),TRUE,FALSE)))</f>
        <v>0</v>
      </c>
      <c r="BJ270" s="240" t="b">
        <f t="shared" si="2964"/>
        <v>0</v>
      </c>
      <c r="BK270" s="231" t="b">
        <f>IF(NOT(BJ270),FALSE,IF(AND(競技会設定!$C$5&lt;=BJ270,BJ270&lt;=競技会設定!$C$6),FALSE,TRUE))</f>
        <v>0</v>
      </c>
      <c r="BL270" s="218" t="b">
        <f>IF(J270="",FALSE,IF(L270=0,FALSE,IF(AND(AU267,NOT(BF270),NOT(BI270),P270=""),TRUE,FALSE)))</f>
        <v>0</v>
      </c>
      <c r="BO270" s="274"/>
    </row>
    <row r="271" spans="1:67" ht="18" customHeight="1" thickTop="1">
      <c r="A271" s="417">
        <v>67</v>
      </c>
      <c r="B271" s="401" t="s">
        <v>7050</v>
      </c>
      <c r="C271" s="403"/>
      <c r="D271" s="220" t="str">
        <f t="shared" ref="D271" si="3033">IF(C271="","",501&amp;TEXT(C271,"000000"))</f>
        <v/>
      </c>
      <c r="E271" s="396" t="str">
        <f>IF(D271="","",(VLOOKUP(D271,男子登録!$A$2:$N$2001,3,0)))</f>
        <v/>
      </c>
      <c r="F271" s="396" t="str">
        <f>IF(D271="","",(VLOOKUP(D271,男子登録!$A$2:$N$2001,4,0)))</f>
        <v/>
      </c>
      <c r="G271" s="220" t="str">
        <f>IF(C271="","",(VLOOKUP(D271,男子登録!$A$2:$N$2001,8,0)))</f>
        <v/>
      </c>
      <c r="H271" s="220">
        <f>IFERROR(VLOOKUP(D271,男子登録!$A$2:$N$2001,11,0),基本情報!$E$5)</f>
        <v>0</v>
      </c>
      <c r="I271" s="220" t="s">
        <v>7059</v>
      </c>
      <c r="J271" s="148"/>
      <c r="K271" s="220" t="s">
        <v>7060</v>
      </c>
      <c r="L271" s="148"/>
      <c r="M271" s="252"/>
      <c r="N271" s="253"/>
      <c r="O271" s="254"/>
      <c r="P271" s="148"/>
      <c r="Q271" s="398"/>
      <c r="R271" s="391"/>
      <c r="S271" s="136">
        <f t="shared" ref="S271" si="3034">IF(OR(E271="",Q271=""),0,E271)</f>
        <v>0</v>
      </c>
      <c r="T271" s="137">
        <f>IF(S271=0,0,COUNTIF($S$7:S271,"*"))</f>
        <v>0</v>
      </c>
      <c r="U271" s="137">
        <f>IF(S271=0,0,COUNTIF($S$7:S271,S271))</f>
        <v>0</v>
      </c>
      <c r="V271" s="137">
        <f t="shared" si="2429"/>
        <v>0</v>
      </c>
      <c r="W271" s="137">
        <f>IF(V271=0,0,COUNTIF($V$7:V271,"*"))</f>
        <v>0</v>
      </c>
      <c r="X271" s="137">
        <f>IF(V271=0,0,COUNTIF($V$7:V271,V271))</f>
        <v>0</v>
      </c>
      <c r="Y271" s="218">
        <f t="shared" ref="Y271" si="3035">IF(OR(E271="",J271=""),0,J271&amp;E271)</f>
        <v>0</v>
      </c>
      <c r="Z271" s="218">
        <f>IF(Y271=0,0,COUNTIF($Y$7:Y271,Y271))</f>
        <v>0</v>
      </c>
      <c r="AA271" s="218" t="b">
        <f t="shared" ref="AA271" si="3036">IF(COUNTIF(J271:J274,"十種競技")&gt;0,TRUE,FALSE)</f>
        <v>0</v>
      </c>
      <c r="AB271" s="218">
        <f>IF(E271="",0,IF(AA271,COUNTIF($AA$7:AA271,TRUE),0))</f>
        <v>0</v>
      </c>
      <c r="AC271" s="218">
        <f>IFERROR(VLOOKUP("十種競技",J271:L274,3,0),0)</f>
        <v>0</v>
      </c>
      <c r="AD271" s="218">
        <f>IFERROR(VLOOKUP(J271,競技会設定!$P$2:$S$22,2,0),0)</f>
        <v>0</v>
      </c>
      <c r="AE271" s="218">
        <f t="shared" ref="AE271" si="3037">IF(E271="",0,IF(AD271=0,0,IF(AD271&lt;3,E271&amp;$AE$6,0)))</f>
        <v>0</v>
      </c>
      <c r="AF271" s="218">
        <f>IF(AE271=0,0,E271&amp;COUNTIF($AE$7:AE271,AE271))</f>
        <v>0</v>
      </c>
      <c r="AG271" s="218">
        <f t="shared" ref="AG271" si="3038">IF(E271="",0,IF(AD271=0,0,IF(AD271&gt;=3,E271&amp;$AG$6,0)))</f>
        <v>0</v>
      </c>
      <c r="AH271" s="218">
        <f>IF(AG271=0,0,E271&amp;COUNTIF($AG$7:AG271,AG271))</f>
        <v>0</v>
      </c>
      <c r="AI271" s="218">
        <f t="shared" ref="AI271" si="3039">IF(COUNTIF(Y271,"*十種*")&gt;0,0,IF($AD271=AI$6,$E271,0))</f>
        <v>0</v>
      </c>
      <c r="AJ271" s="218" t="b">
        <f>IF(AI271=0,FALSE,IF(COUNTIF(AI$7:AI271,AI271)&gt;1,TRUE,FALSE))</f>
        <v>0</v>
      </c>
      <c r="AK271" s="218">
        <f t="shared" ref="AK271" si="3040">IF($AD271=AK$6,$E271,0)</f>
        <v>0</v>
      </c>
      <c r="AL271" s="218" t="b">
        <f>IF(AK271=0,FALSE,IF(COUNTIF(AK$7:AK271,AK271)&gt;1,TRUE,FALSE))</f>
        <v>0</v>
      </c>
      <c r="AM271" s="218">
        <f t="shared" ref="AM271" si="3041">IF($AD271=AM$6,$E271,0)</f>
        <v>0</v>
      </c>
      <c r="AN271" s="218" t="b">
        <f>IF(AM271=0,FALSE,IF(COUNTIF(AM$7:AM271,AM271)&gt;1,TRUE,FALSE))</f>
        <v>0</v>
      </c>
      <c r="AO271" s="218">
        <f t="shared" ref="AO271" si="3042">IF($AD271=AO$6,$E271,0)</f>
        <v>0</v>
      </c>
      <c r="AP271" s="218" t="b">
        <f>IF(AO271=0,FALSE,IF(COUNTIF(AO$7:AO271,AO271)&gt;1,TRUE,FALSE))</f>
        <v>0</v>
      </c>
      <c r="AQ271" s="218">
        <f t="shared" ref="AQ271" si="3043">IF(COUNTIF(Y271,"*十種競技*")&gt;0,E271,0)</f>
        <v>0</v>
      </c>
      <c r="AR271" s="218" t="b">
        <f>IF(AQ271=0,FALSE,IF(OR(COUNTIF($AI$7:$AI$406,AQ271)+COUNTIF($AQ271:$AQ$406,AQ271)&gt;1,COUNTIF($AK$7:$AK$406,AQ271)+COUNTIF($AQ$7:$AQ$406,AQ271)&gt;1),TRUE,FALSE))</f>
        <v>0</v>
      </c>
      <c r="AS271" s="218" t="b">
        <f t="shared" ref="AS271" si="3044">IF(AND(C271="",E271&lt;&gt;"",F271&lt;&gt;"",E273&lt;&gt;"",G271&lt;&gt;"",G272&lt;&gt;"",G273&lt;&gt;""),TRUE,FALSE)</f>
        <v>0</v>
      </c>
      <c r="AT271" s="218" t="b">
        <f t="shared" si="2960"/>
        <v>0</v>
      </c>
      <c r="AU271" s="274" t="b">
        <f t="shared" ref="AU271" si="3045">IFERROR(IF(D271&amp;E271&amp;F271&amp;E273&amp;G271&amp;G272&amp;G273&amp;J271&amp;J272&amp;J273&amp;J274&amp;L271&amp;L272&amp;L273&amp;L274&amp;M271&amp;M272&amp;M273&amp;M274&amp;N271&amp;N272&amp;N273&amp;N274&amp;O271&amp;O272&amp;O273&amp;O274&amp;P271&amp;P272&amp;P273&amp;P274&amp;Q271&amp;R271="",FALSE,TRUE),FALSE)</f>
        <v>0</v>
      </c>
      <c r="AV271" s="218" t="b">
        <f t="shared" ref="AV271" si="3046">IF(AS271,FALSE,IF(C271="",AU271,FALSE))</f>
        <v>0</v>
      </c>
      <c r="AW271" s="218" t="b">
        <f>IF(C271="",FALSE,IF(C271&gt;2000,TRUE,FALSE))</f>
        <v>0</v>
      </c>
      <c r="AX271" s="274" t="b">
        <f>IF(H271=0,FALSE,IF(EXACT(基本情報!$E$5,H271)=TRUE,FALSE,TRUE))</f>
        <v>0</v>
      </c>
      <c r="AY271" s="218" t="b">
        <f>IF(C271="",FALSE,IF(ISNA(E271)=TRUE,TRUE,FALSE))</f>
        <v>0</v>
      </c>
      <c r="AZ271" s="274" t="b">
        <f>IFERROR(IF(E271="",FALSE,IF(COUNTIF($E$7:E271,E271)&gt;1,TRUE,FALSE)),FALSE)</f>
        <v>0</v>
      </c>
      <c r="BA271" s="218" t="b">
        <f t="shared" ref="BA271" si="3047">IF(OR(J271&amp;J272&amp;J273&amp;J274&amp;Q271&amp;R271="",AT271,AT272,AT273,AT274),AU271,FALSE)</f>
        <v>0</v>
      </c>
      <c r="BB271" s="218" t="b">
        <f>IF(U271&gt;1,TRUE,FALSE)</f>
        <v>0</v>
      </c>
      <c r="BC271" s="218" t="b">
        <f>IF(X271&gt;1,TRUE,FALSE)</f>
        <v>0</v>
      </c>
      <c r="BD271" s="218" t="b">
        <f t="shared" si="2947"/>
        <v>0</v>
      </c>
      <c r="BF271" s="231" t="b">
        <f t="shared" ref="BF271" si="3048">IF(J271="",FALSE,IF(OR(AND(AU271,L271=""),AND(AU271,L271="",OR(M271&lt;&gt;"",N271&lt;&gt;"",O271&lt;&gt;"",P271&lt;&gt;""))),TRUE,FALSE))</f>
        <v>0</v>
      </c>
      <c r="BG271" s="218" t="b">
        <f t="shared" si="2949"/>
        <v>0</v>
      </c>
      <c r="BH271" s="218" t="b">
        <f t="shared" si="2962"/>
        <v>0</v>
      </c>
      <c r="BI271" s="231" t="b">
        <f t="shared" ref="BI271" si="3049">IF(J271="",FALSE,IF(L271=0,FALSE,IF(AND(AU271,NOT(BF271),OR(M271="",N271="",O271="")),TRUE,FALSE)))</f>
        <v>0</v>
      </c>
      <c r="BJ271" s="240" t="b">
        <f t="shared" si="2964"/>
        <v>0</v>
      </c>
      <c r="BK271" s="231" t="b">
        <f>IF(NOT(BJ271),FALSE,IF(AND(競技会設定!$C$5&lt;=BJ271,BJ271&lt;=競技会設定!$C$6),FALSE,TRUE))</f>
        <v>0</v>
      </c>
      <c r="BL271" s="218" t="b">
        <f>IF(J271="",FALSE,IF(L271=0,FALSE,IF(AND(AU271,NOT(BF271),NOT(BI271),P271=""),TRUE,FALSE)))</f>
        <v>0</v>
      </c>
      <c r="BO271" s="274">
        <f t="shared" ref="BO271" si="3050">IF(AND(AU271,SUM(COUNTIF(AV271:BC271,TRUE),COUNTIF(BF271:BL274,TRUE),COUNTIF(BD271:BD274,TRUE))=0,NOT($BE$7)),1,0)</f>
        <v>0</v>
      </c>
    </row>
    <row r="272" spans="1:67" ht="17.399999999999999" customHeight="1">
      <c r="A272" s="418"/>
      <c r="B272" s="402"/>
      <c r="C272" s="404"/>
      <c r="D272" s="221"/>
      <c r="E272" s="397"/>
      <c r="F272" s="397"/>
      <c r="G272" s="221" t="str">
        <f>IF(C271="","",(VLOOKUP(D271,男子登録!$A$2:$N$2001,13,0)))</f>
        <v/>
      </c>
      <c r="H272" s="221"/>
      <c r="I272" s="221" t="s">
        <v>7061</v>
      </c>
      <c r="J272" s="149"/>
      <c r="K272" s="221" t="s">
        <v>7062</v>
      </c>
      <c r="L272" s="149"/>
      <c r="M272" s="255"/>
      <c r="N272" s="256"/>
      <c r="O272" s="257"/>
      <c r="P272" s="149"/>
      <c r="Q272" s="399"/>
      <c r="R272" s="392"/>
      <c r="S272" s="136"/>
      <c r="T272" s="137"/>
      <c r="U272" s="137"/>
      <c r="V272" s="137"/>
      <c r="W272" s="137"/>
      <c r="X272" s="137"/>
      <c r="Y272" s="218">
        <f t="shared" ref="Y272" si="3051">IF(OR(E271="",J272=""),0,J272&amp;E271)</f>
        <v>0</v>
      </c>
      <c r="Z272" s="218">
        <f>IF(Y272=0,0,COUNTIF($Y$7:Y272,Y272))</f>
        <v>0</v>
      </c>
      <c r="AD272" s="218">
        <f>IFERROR(VLOOKUP(J272,競技会設定!$P$2:$S$22,2,0),0)</f>
        <v>0</v>
      </c>
      <c r="AE272" s="218">
        <f t="shared" ref="AE272" si="3052">IF(E271="",0,IF(AD272=0,0,IF(AD272&lt;3,E271&amp;$AE$6,0)))</f>
        <v>0</v>
      </c>
      <c r="AF272" s="218">
        <f>IF(AE272=0,0,E271&amp;COUNTIF($AE$7:AE272,AE272))</f>
        <v>0</v>
      </c>
      <c r="AG272" s="218">
        <f t="shared" ref="AG272" si="3053">IF(E271="",0,IF(AD272=0,0,IF(AD272&gt;=3,E271&amp;$AG$6,0)))</f>
        <v>0</v>
      </c>
      <c r="AH272" s="218">
        <f>IF(AG272=0,0,E271&amp;COUNTIF($AG$7:AG272,AG272))</f>
        <v>0</v>
      </c>
      <c r="AI272" s="218">
        <f t="shared" ref="AI272" si="3054">IF(COUNTIF(Y272,"*十種*")&gt;0,0,IF($AD272=AI$6,$E271,0))</f>
        <v>0</v>
      </c>
      <c r="AJ272" s="218" t="b">
        <f>IF(AI272=0,FALSE,IF(COUNTIF(AI$7:AI272,AI272)&gt;1,TRUE,FALSE))</f>
        <v>0</v>
      </c>
      <c r="AK272" s="218">
        <f t="shared" ref="AK272" si="3055">IF($AD272=AK$6,$E271,0)</f>
        <v>0</v>
      </c>
      <c r="AL272" s="218" t="b">
        <f>IF(AK272=0,FALSE,IF(COUNTIF(AK$7:AK272,AK272)&gt;1,TRUE,FALSE))</f>
        <v>0</v>
      </c>
      <c r="AM272" s="218">
        <f t="shared" ref="AM272" si="3056">IF($AD272=AM$6,$E271,0)</f>
        <v>0</v>
      </c>
      <c r="AN272" s="218" t="b">
        <f>IF(AM272=0,FALSE,IF(COUNTIF(AM$7:AM272,AM272)&gt;1,TRUE,FALSE))</f>
        <v>0</v>
      </c>
      <c r="AO272" s="218">
        <f t="shared" ref="AO272" si="3057">IF($AD272=AO$6,$E271,0)</f>
        <v>0</v>
      </c>
      <c r="AP272" s="218" t="b">
        <f>IF(AO272=0,FALSE,IF(COUNTIF(AO$7:AO272,AO272)&gt;1,TRUE,FALSE))</f>
        <v>0</v>
      </c>
      <c r="AQ272" s="218">
        <f t="shared" ref="AQ272" si="3058">IF(COUNTIF(Y272,"*十種競技*")&gt;0,E271,0)</f>
        <v>0</v>
      </c>
      <c r="AR272" s="218" t="b">
        <f>IF(AQ272=0,FALSE,IF(OR(COUNTIF($AI$7:$AI$406,AQ272)+COUNTIF($AQ272:$AQ$406,AQ272)&gt;1,COUNTIF($AK$7:$AK$406,AQ272)+COUNTIF($AQ$7:$AQ$406,AQ272)&gt;1),TRUE,FALSE))</f>
        <v>0</v>
      </c>
      <c r="AT272" s="218" t="b">
        <f t="shared" si="2960"/>
        <v>0</v>
      </c>
      <c r="AU272" s="274"/>
      <c r="AX272" s="274"/>
      <c r="BD272" s="218" t="b">
        <f t="shared" si="2947"/>
        <v>0</v>
      </c>
      <c r="BF272" s="231" t="b">
        <f t="shared" ref="BF272" si="3059">IF(J272="",FALSE,IF(OR(AND(AU271,L272=""),AND(AU271,L272="",OR(M272&lt;&gt;"",N272&lt;&gt;"",O272&lt;&gt;"",P272&lt;&gt;""))),TRUE,FALSE))</f>
        <v>0</v>
      </c>
      <c r="BG272" s="218" t="b">
        <f t="shared" si="2949"/>
        <v>0</v>
      </c>
      <c r="BH272" s="218" t="b">
        <f t="shared" si="2962"/>
        <v>0</v>
      </c>
      <c r="BI272" s="231" t="b">
        <f t="shared" ref="BI272" si="3060">IF(J272="",FALSE,IF(L272=0,FALSE,IF(AND(AU271,NOT(BF272),OR(M272="",N272="",O272="")),TRUE,FALSE)))</f>
        <v>0</v>
      </c>
      <c r="BJ272" s="240" t="b">
        <f t="shared" si="2964"/>
        <v>0</v>
      </c>
      <c r="BK272" s="231" t="b">
        <f>IF(NOT(BJ272),FALSE,IF(AND(競技会設定!$C$5&lt;=BJ272,BJ272&lt;=競技会設定!$C$6),FALSE,TRUE))</f>
        <v>0</v>
      </c>
      <c r="BL272" s="218" t="b">
        <f>IF(J272="",FALSE,IF(L272=0,FALSE,IF(AND(AU271,NOT(BF272),NOT(BI272),P272=""),TRUE,FALSE)))</f>
        <v>0</v>
      </c>
      <c r="BO272" s="274"/>
    </row>
    <row r="273" spans="1:67" ht="17.399999999999999" customHeight="1">
      <c r="A273" s="418"/>
      <c r="B273" s="402"/>
      <c r="C273" s="404"/>
      <c r="D273" s="221"/>
      <c r="E273" s="394" t="str">
        <f>IF(C271="","",VLOOKUP(D271,男子登録!$A$2:$O$2001,14,0)&amp;" ("&amp;VLOOKUP(D271,男子登録!$A$2:$O$2001,15,0)&amp;")")</f>
        <v/>
      </c>
      <c r="F273" s="394"/>
      <c r="G273" s="222" t="str">
        <f>IF(C271="","",(VLOOKUP(D271,男子登録!$A$2:$N$2001,9,0)))</f>
        <v/>
      </c>
      <c r="H273" s="222"/>
      <c r="I273" s="222" t="s">
        <v>7063</v>
      </c>
      <c r="J273" s="150"/>
      <c r="K273" s="222" t="s">
        <v>7064</v>
      </c>
      <c r="L273" s="150"/>
      <c r="M273" s="255"/>
      <c r="N273" s="256"/>
      <c r="O273" s="257"/>
      <c r="P273" s="149"/>
      <c r="Q273" s="399"/>
      <c r="R273" s="392"/>
      <c r="S273" s="136"/>
      <c r="T273" s="137"/>
      <c r="U273" s="137"/>
      <c r="V273" s="137"/>
      <c r="W273" s="137"/>
      <c r="X273" s="137"/>
      <c r="Y273" s="218">
        <f t="shared" ref="Y273" si="3061">IF(OR(E271="",J273=""),0,J273&amp;E271)</f>
        <v>0</v>
      </c>
      <c r="Z273" s="218">
        <f>IF(Y273=0,0,COUNTIF($Y$7:Y273,Y273))</f>
        <v>0</v>
      </c>
      <c r="AD273" s="218">
        <f>IFERROR(VLOOKUP(J273,競技会設定!$P$2:$S$22,2,0),0)</f>
        <v>0</v>
      </c>
      <c r="AE273" s="218">
        <f t="shared" ref="AE273" si="3062">IF(E271="",0,IF(AD273=0,0,IF(AD273&lt;3,E271&amp;$AE$6,0)))</f>
        <v>0</v>
      </c>
      <c r="AF273" s="218">
        <f>IF(AE273=0,0,E271&amp;COUNTIF($AE$7:AE273,AE273))</f>
        <v>0</v>
      </c>
      <c r="AG273" s="218">
        <f t="shared" ref="AG273" si="3063">IF(E271="",0,IF(AD273=0,0,IF(AD273&gt;=3,E271&amp;$AG$6,0)))</f>
        <v>0</v>
      </c>
      <c r="AH273" s="218">
        <f>IF(AG273=0,0,E271&amp;COUNTIF($AG$7:AG273,AG273))</f>
        <v>0</v>
      </c>
      <c r="AI273" s="218">
        <f t="shared" ref="AI273" si="3064">IF(COUNTIF(Y273,"*十種*")&gt;0,0,IF($AD273=AI$6,$E271,0))</f>
        <v>0</v>
      </c>
      <c r="AJ273" s="218" t="b">
        <f>IF(AI273=0,FALSE,IF(COUNTIF(AI$7:AI273,AI273)&gt;1,TRUE,FALSE))</f>
        <v>0</v>
      </c>
      <c r="AK273" s="218">
        <f t="shared" ref="AK273" si="3065">IF($AD273=AK$6,$E271,0)</f>
        <v>0</v>
      </c>
      <c r="AL273" s="218" t="b">
        <f>IF(AK273=0,FALSE,IF(COUNTIF(AK$7:AK273,AK273)&gt;1,TRUE,FALSE))</f>
        <v>0</v>
      </c>
      <c r="AM273" s="218">
        <f t="shared" ref="AM273" si="3066">IF($AD273=AM$6,$E271,0)</f>
        <v>0</v>
      </c>
      <c r="AN273" s="218" t="b">
        <f>IF(AM273=0,FALSE,IF(COUNTIF(AM$7:AM273,AM273)&gt;1,TRUE,FALSE))</f>
        <v>0</v>
      </c>
      <c r="AO273" s="218">
        <f t="shared" ref="AO273" si="3067">IF($AD273=AO$6,$E271,0)</f>
        <v>0</v>
      </c>
      <c r="AP273" s="218" t="b">
        <f>IF(AO273=0,FALSE,IF(COUNTIF(AO$7:AO273,AO273)&gt;1,TRUE,FALSE))</f>
        <v>0</v>
      </c>
      <c r="AQ273" s="218">
        <f t="shared" ref="AQ273" si="3068">IF(COUNTIF(Y273,"*十種競技*")&gt;0,E271,0)</f>
        <v>0</v>
      </c>
      <c r="AR273" s="218" t="b">
        <f>IF(AQ273=0,FALSE,IF(OR(COUNTIF($AI$7:$AI$406,AQ273)+COUNTIF($AQ273:$AQ$406,AQ273)&gt;1,COUNTIF($AK$7:$AK$406,AQ273)+COUNTIF($AQ$7:$AQ$406,AQ273)&gt;1),TRUE,FALSE))</f>
        <v>0</v>
      </c>
      <c r="AT273" s="218" t="b">
        <f t="shared" si="2960"/>
        <v>0</v>
      </c>
      <c r="AU273" s="274"/>
      <c r="AX273" s="274"/>
      <c r="BD273" s="218" t="b">
        <f t="shared" si="2947"/>
        <v>0</v>
      </c>
      <c r="BF273" s="231" t="b">
        <f t="shared" ref="BF273" si="3069">IF(J273="",FALSE,IF(OR(AND(AU271,L273=""),AND(AU271,L273="",OR(M273&lt;&gt;"",N273&lt;&gt;"",O273&lt;&gt;"",P273&lt;&gt;""))),TRUE,FALSE))</f>
        <v>0</v>
      </c>
      <c r="BG273" s="218" t="b">
        <f t="shared" si="2949"/>
        <v>0</v>
      </c>
      <c r="BH273" s="218" t="b">
        <f t="shared" si="2962"/>
        <v>0</v>
      </c>
      <c r="BI273" s="231" t="b">
        <f t="shared" ref="BI273" si="3070">IF(J273="",FALSE,IF(L273=0,FALSE,IF(AND(AU271,NOT(BF273),OR(M273="",N273="",O273="")),TRUE,FALSE)))</f>
        <v>0</v>
      </c>
      <c r="BJ273" s="240" t="b">
        <f t="shared" si="2964"/>
        <v>0</v>
      </c>
      <c r="BK273" s="231" t="b">
        <f>IF(NOT(BJ273),FALSE,IF(AND(競技会設定!$C$5&lt;=BJ273,BJ273&lt;=競技会設定!$C$6),FALSE,TRUE))</f>
        <v>0</v>
      </c>
      <c r="BL273" s="218" t="b">
        <f>IF(J273="",FALSE,IF(L273=0,FALSE,IF(AND(AU271,NOT(BF273),NOT(BI273),P273=""),TRUE,FALSE)))</f>
        <v>0</v>
      </c>
      <c r="BO273" s="274"/>
    </row>
    <row r="274" spans="1:67" ht="18" customHeight="1" thickBot="1">
      <c r="A274" s="419"/>
      <c r="B274" s="395" t="s">
        <v>7051</v>
      </c>
      <c r="C274" s="395"/>
      <c r="D274" s="221"/>
      <c r="E274" s="372"/>
      <c r="F274" s="372"/>
      <c r="G274" s="372"/>
      <c r="H274" s="214"/>
      <c r="I274" s="214" t="s">
        <v>7065</v>
      </c>
      <c r="J274" s="219"/>
      <c r="K274" s="214" t="s">
        <v>7066</v>
      </c>
      <c r="L274" s="219"/>
      <c r="M274" s="258"/>
      <c r="N274" s="259"/>
      <c r="O274" s="260"/>
      <c r="P274" s="219"/>
      <c r="Q274" s="400"/>
      <c r="R274" s="393"/>
      <c r="S274" s="136"/>
      <c r="T274" s="137"/>
      <c r="U274" s="137"/>
      <c r="V274" s="137"/>
      <c r="W274" s="137"/>
      <c r="X274" s="137"/>
      <c r="Y274" s="218">
        <f t="shared" ref="Y274" si="3071">IF(OR(E271="",J274=""),0,J274&amp;E271)</f>
        <v>0</v>
      </c>
      <c r="Z274" s="218">
        <f>IF(Y274=0,0,COUNTIF($Y$7:Y274,Y274))</f>
        <v>0</v>
      </c>
      <c r="AD274" s="218">
        <f>IFERROR(VLOOKUP(J274,競技会設定!$P$2:$S$22,2,0),0)</f>
        <v>0</v>
      </c>
      <c r="AE274" s="218">
        <f t="shared" ref="AE274" si="3072">IF(E271="",0,IF(AD274=0,0,IF(AD274&lt;3,E271&amp;$AE$6,0)))</f>
        <v>0</v>
      </c>
      <c r="AF274" s="218">
        <f>IF(AE274=0,0,E271&amp;COUNTIF($AE$7:AE274,AE274))</f>
        <v>0</v>
      </c>
      <c r="AG274" s="218">
        <f t="shared" ref="AG274" si="3073">IF(E271="",0,IF(AD274=0,0,IF(AD274&gt;=3,E271&amp;$AG$6,0)))</f>
        <v>0</v>
      </c>
      <c r="AH274" s="218">
        <f>IF(AG274=0,0,E271&amp;COUNTIF($AG$7:AG274,AG274))</f>
        <v>0</v>
      </c>
      <c r="AI274" s="218">
        <f t="shared" ref="AI274" si="3074">IF(COUNTIF(Y274,"*十種*")&gt;0,0,IF($AD274=AI$6,$E271,0))</f>
        <v>0</v>
      </c>
      <c r="AJ274" s="218" t="b">
        <f>IF(AI274=0,FALSE,IF(COUNTIF(AI$7:AI274,AI274)&gt;1,TRUE,FALSE))</f>
        <v>0</v>
      </c>
      <c r="AK274" s="218">
        <f t="shared" ref="AK274" si="3075">IF($AD274=AK$6,$E271,0)</f>
        <v>0</v>
      </c>
      <c r="AL274" s="218" t="b">
        <f>IF(AK274=0,FALSE,IF(COUNTIF(AK$7:AK274,AK274)&gt;1,TRUE,FALSE))</f>
        <v>0</v>
      </c>
      <c r="AM274" s="218">
        <f t="shared" ref="AM274" si="3076">IF($AD274=AM$6,$E271,0)</f>
        <v>0</v>
      </c>
      <c r="AN274" s="218" t="b">
        <f>IF(AM274=0,FALSE,IF(COUNTIF(AM$7:AM274,AM274)&gt;1,TRUE,FALSE))</f>
        <v>0</v>
      </c>
      <c r="AO274" s="218">
        <f t="shared" ref="AO274" si="3077">IF($AD274=AO$6,$E271,0)</f>
        <v>0</v>
      </c>
      <c r="AP274" s="218" t="b">
        <f>IF(AO274=0,FALSE,IF(COUNTIF(AO$7:AO274,AO274)&gt;1,TRUE,FALSE))</f>
        <v>0</v>
      </c>
      <c r="AQ274" s="218">
        <f t="shared" ref="AQ274" si="3078">IF(COUNTIF(Y274,"*十種競技*")&gt;0,E271,0)</f>
        <v>0</v>
      </c>
      <c r="AR274" s="218" t="b">
        <f>IF(AQ274=0,FALSE,IF(OR(COUNTIF($AI$7:$AI$406,AQ274)+COUNTIF($AQ274:$AQ$406,AQ274)&gt;1,COUNTIF($AK$7:$AK$406,AQ274)+COUNTIF($AQ$7:$AQ$406,AQ274)&gt;1),TRUE,FALSE))</f>
        <v>0</v>
      </c>
      <c r="AT274" s="218" t="b">
        <f t="shared" si="2960"/>
        <v>0</v>
      </c>
      <c r="AU274" s="274"/>
      <c r="AX274" s="274"/>
      <c r="BD274" s="218" t="b">
        <f t="shared" si="2947"/>
        <v>0</v>
      </c>
      <c r="BF274" s="231" t="b">
        <f t="shared" ref="BF274" si="3079">IF(J274="",FALSE,IF(OR(AND(AU271,L274=""),AND(AU271,L274="",OR(M274&lt;&gt;"",N274&lt;&gt;"",O274&lt;&gt;"",P274&lt;&gt;""))),TRUE,FALSE))</f>
        <v>0</v>
      </c>
      <c r="BG274" s="218" t="b">
        <f t="shared" si="2949"/>
        <v>0</v>
      </c>
      <c r="BH274" s="218" t="b">
        <f t="shared" si="2962"/>
        <v>0</v>
      </c>
      <c r="BI274" s="231" t="b">
        <f t="shared" ref="BI274" si="3080">IF(J274="",FALSE,IF(L274=0,FALSE,IF(AND(AU271,NOT(BF274),OR(M274="",N274="",O274="")),TRUE,FALSE)))</f>
        <v>0</v>
      </c>
      <c r="BJ274" s="240" t="b">
        <f t="shared" si="2964"/>
        <v>0</v>
      </c>
      <c r="BK274" s="231" t="b">
        <f>IF(NOT(BJ274),FALSE,IF(AND(競技会設定!$C$5&lt;=BJ274,BJ274&lt;=競技会設定!$C$6),FALSE,TRUE))</f>
        <v>0</v>
      </c>
      <c r="BL274" s="218" t="b">
        <f>IF(J274="",FALSE,IF(L274=0,FALSE,IF(AND(AU271,NOT(BF274),NOT(BI274),P274=""),TRUE,FALSE)))</f>
        <v>0</v>
      </c>
      <c r="BO274" s="274"/>
    </row>
    <row r="275" spans="1:67" ht="18" customHeight="1" thickTop="1">
      <c r="A275" s="420">
        <v>68</v>
      </c>
      <c r="B275" s="373" t="s">
        <v>7050</v>
      </c>
      <c r="C275" s="375"/>
      <c r="D275" s="138" t="str">
        <f t="shared" ref="D275" si="3081">IF(C275="","",501&amp;TEXT(C275,"000000"))</f>
        <v/>
      </c>
      <c r="E275" s="377" t="str">
        <f>IF(D275="","",(VLOOKUP(D275,男子登録!$A$2:$N$2001,3,0)))</f>
        <v/>
      </c>
      <c r="F275" s="377" t="str">
        <f>IF(D275="","",(VLOOKUP(D275,男子登録!$A$2:$N$2001,4,0)))</f>
        <v/>
      </c>
      <c r="G275" s="138" t="str">
        <f>IF(C275="","",(VLOOKUP(D275,男子登録!$A$2:$N$2001,8,0)))</f>
        <v/>
      </c>
      <c r="H275" s="138">
        <f>IFERROR(VLOOKUP(D275,男子登録!$A$2:$N$2001,11,0),基本情報!$E$5)</f>
        <v>0</v>
      </c>
      <c r="I275" s="138" t="s">
        <v>7059</v>
      </c>
      <c r="J275" s="151"/>
      <c r="K275" s="138" t="s">
        <v>7060</v>
      </c>
      <c r="L275" s="151"/>
      <c r="M275" s="261"/>
      <c r="N275" s="262"/>
      <c r="O275" s="263"/>
      <c r="P275" s="151"/>
      <c r="Q275" s="381"/>
      <c r="R275" s="384"/>
      <c r="S275" s="136">
        <f t="shared" ref="S275" si="3082">IF(OR(E275="",Q275=""),0,E275)</f>
        <v>0</v>
      </c>
      <c r="T275" s="137">
        <f>IF(S275=0,0,COUNTIF($S$7:S275,"*"))</f>
        <v>0</v>
      </c>
      <c r="U275" s="137">
        <f>IF(S275=0,0,COUNTIF($S$7:S275,S275))</f>
        <v>0</v>
      </c>
      <c r="V275" s="137">
        <f t="shared" si="2429"/>
        <v>0</v>
      </c>
      <c r="W275" s="137">
        <f>IF(V275=0,0,COUNTIF($V$7:V275,"*"))</f>
        <v>0</v>
      </c>
      <c r="X275" s="137">
        <f>IF(V275=0,0,COUNTIF($V$7:V275,V275))</f>
        <v>0</v>
      </c>
      <c r="Y275" s="218">
        <f t="shared" ref="Y275" si="3083">IF(OR(E275="",J275=""),0,J275&amp;E275)</f>
        <v>0</v>
      </c>
      <c r="Z275" s="218">
        <f>IF(Y275=0,0,COUNTIF($Y$7:Y275,Y275))</f>
        <v>0</v>
      </c>
      <c r="AA275" s="218" t="b">
        <f t="shared" ref="AA275" si="3084">IF(COUNTIF(J275:J278,"十種競技")&gt;0,TRUE,FALSE)</f>
        <v>0</v>
      </c>
      <c r="AB275" s="218">
        <f>IF(E275="",0,IF(AA275,COUNTIF($AA$7:AA275,TRUE),0))</f>
        <v>0</v>
      </c>
      <c r="AC275" s="218">
        <f>IFERROR(VLOOKUP("十種競技",J275:L278,3,0),0)</f>
        <v>0</v>
      </c>
      <c r="AD275" s="218">
        <f>IFERROR(VLOOKUP(J275,競技会設定!$P$2:$S$22,2,0),0)</f>
        <v>0</v>
      </c>
      <c r="AE275" s="218">
        <f t="shared" ref="AE275" si="3085">IF(E275="",0,IF(AD275=0,0,IF(AD275&lt;3,E275&amp;$AE$6,0)))</f>
        <v>0</v>
      </c>
      <c r="AF275" s="218">
        <f>IF(AE275=0,0,E275&amp;COUNTIF($AE$7:AE275,AE275))</f>
        <v>0</v>
      </c>
      <c r="AG275" s="218">
        <f t="shared" ref="AG275" si="3086">IF(E275="",0,IF(AD275=0,0,IF(AD275&gt;=3,E275&amp;$AG$6,0)))</f>
        <v>0</v>
      </c>
      <c r="AH275" s="218">
        <f>IF(AG275=0,0,E275&amp;COUNTIF($AG$7:AG275,AG275))</f>
        <v>0</v>
      </c>
      <c r="AI275" s="218">
        <f t="shared" si="2794"/>
        <v>0</v>
      </c>
      <c r="AJ275" s="218" t="b">
        <f>IF(AI275=0,FALSE,IF(COUNTIF(AI$7:AI275,AI275)&gt;1,TRUE,FALSE))</f>
        <v>0</v>
      </c>
      <c r="AK275" s="218">
        <f t="shared" ref="AK275" si="3087">IF($AD275=AK$6,$E275,0)</f>
        <v>0</v>
      </c>
      <c r="AL275" s="218" t="b">
        <f>IF(AK275=0,FALSE,IF(COUNTIF(AK$7:AK275,AK275)&gt;1,TRUE,FALSE))</f>
        <v>0</v>
      </c>
      <c r="AM275" s="218">
        <f t="shared" ref="AM275" si="3088">IF($AD275=AM$6,$E275,0)</f>
        <v>0</v>
      </c>
      <c r="AN275" s="218" t="b">
        <f>IF(AM275=0,FALSE,IF(COUNTIF(AM$7:AM275,AM275)&gt;1,TRUE,FALSE))</f>
        <v>0</v>
      </c>
      <c r="AO275" s="218">
        <f t="shared" ref="AO275" si="3089">IF($AD275=AO$6,$E275,0)</f>
        <v>0</v>
      </c>
      <c r="AP275" s="218" t="b">
        <f>IF(AO275=0,FALSE,IF(COUNTIF(AO$7:AO275,AO275)&gt;1,TRUE,FALSE))</f>
        <v>0</v>
      </c>
      <c r="AQ275" s="218">
        <f t="shared" ref="AQ275" si="3090">IF(COUNTIF(Y275,"*十種競技*")&gt;0,E275,0)</f>
        <v>0</v>
      </c>
      <c r="AR275" s="218" t="b">
        <f>IF(AQ275=0,FALSE,IF(OR(COUNTIF($AI$7:$AI$406,AQ275)+COUNTIF($AQ275:$AQ$406,AQ275)&gt;1,COUNTIF($AK$7:$AK$406,AQ275)+COUNTIF($AQ$7:$AQ$406,AQ275)&gt;1),TRUE,FALSE))</f>
        <v>0</v>
      </c>
      <c r="AS275" s="218" t="b">
        <f t="shared" ref="AS275" si="3091">IF(AND(C275="",E275&lt;&gt;"",F275&lt;&gt;"",E277&lt;&gt;"",G275&lt;&gt;"",G276&lt;&gt;"",G277&lt;&gt;""),TRUE,FALSE)</f>
        <v>0</v>
      </c>
      <c r="AT275" s="218" t="b">
        <f t="shared" si="2960"/>
        <v>0</v>
      </c>
      <c r="AU275" s="274" t="b">
        <f t="shared" ref="AU275" si="3092">IFERROR(IF(D275&amp;E275&amp;F275&amp;E277&amp;G275&amp;G276&amp;G277&amp;J275&amp;J276&amp;J277&amp;J278&amp;L275&amp;L276&amp;L277&amp;L278&amp;M275&amp;M276&amp;M277&amp;M278&amp;N275&amp;N276&amp;N277&amp;N278&amp;O275&amp;O276&amp;O277&amp;O278&amp;P275&amp;P276&amp;P277&amp;P278&amp;Q275&amp;R275="",FALSE,TRUE),FALSE)</f>
        <v>0</v>
      </c>
      <c r="AV275" s="218" t="b">
        <f t="shared" ref="AV275" si="3093">IF(AS275,FALSE,IF(C275="",AU275,FALSE))</f>
        <v>0</v>
      </c>
      <c r="AW275" s="218" t="b">
        <f>IF(C275="",FALSE,IF(C275&gt;2000,TRUE,FALSE))</f>
        <v>0</v>
      </c>
      <c r="AX275" s="274" t="b">
        <f>IF(H275=0,FALSE,IF(EXACT(基本情報!$E$5,H275)=TRUE,FALSE,TRUE))</f>
        <v>0</v>
      </c>
      <c r="AY275" s="218" t="b">
        <f>IF(C275="",FALSE,IF(ISNA(E275)=TRUE,TRUE,FALSE))</f>
        <v>0</v>
      </c>
      <c r="AZ275" s="274" t="b">
        <f>IFERROR(IF(E275="",FALSE,IF(COUNTIF($E$7:E275,E275)&gt;1,TRUE,FALSE)),FALSE)</f>
        <v>0</v>
      </c>
      <c r="BA275" s="218" t="b">
        <f t="shared" ref="BA275" si="3094">IF(OR(J275&amp;J276&amp;J277&amp;J278&amp;Q275&amp;R275="",AT275,AT276,AT277,AT278),AU275,FALSE)</f>
        <v>0</v>
      </c>
      <c r="BB275" s="218" t="b">
        <f>IF(U275&gt;1,TRUE,FALSE)</f>
        <v>0</v>
      </c>
      <c r="BC275" s="218" t="b">
        <f>IF(X275&gt;1,TRUE,FALSE)</f>
        <v>0</v>
      </c>
      <c r="BD275" s="218" t="b">
        <f t="shared" si="2947"/>
        <v>0</v>
      </c>
      <c r="BF275" s="231" t="b">
        <f t="shared" ref="BF275" si="3095">IF(J275="",FALSE,IF(OR(AND(AU275,L275=""),AND(AU275,L275="",OR(M275&lt;&gt;"",N275&lt;&gt;"",O275&lt;&gt;"",P275&lt;&gt;""))),TRUE,FALSE))</f>
        <v>0</v>
      </c>
      <c r="BG275" s="218" t="b">
        <f t="shared" si="2949"/>
        <v>0</v>
      </c>
      <c r="BH275" s="218" t="b">
        <f t="shared" si="2962"/>
        <v>0</v>
      </c>
      <c r="BI275" s="231" t="b">
        <f t="shared" ref="BI275" si="3096">IF(J275="",FALSE,IF(L275=0,FALSE,IF(AND(AU275,NOT(BF275),OR(M275="",N275="",O275="")),TRUE,FALSE)))</f>
        <v>0</v>
      </c>
      <c r="BJ275" s="240" t="b">
        <f t="shared" si="2964"/>
        <v>0</v>
      </c>
      <c r="BK275" s="231" t="b">
        <f>IF(NOT(BJ275),FALSE,IF(AND(競技会設定!$C$5&lt;=BJ275,BJ275&lt;=競技会設定!$C$6),FALSE,TRUE))</f>
        <v>0</v>
      </c>
      <c r="BL275" s="218" t="b">
        <f>IF(J275="",FALSE,IF(L275=0,FALSE,IF(AND(AU275,NOT(BF275),NOT(BI275),P275=""),TRUE,FALSE)))</f>
        <v>0</v>
      </c>
      <c r="BO275" s="274">
        <f t="shared" ref="BO275" si="3097">IF(AND(AU275,SUM(COUNTIF(AV275:BC275,TRUE),COUNTIF(BF275:BL278,TRUE),COUNTIF(BD275:BD278,TRUE))=0,NOT($BE$7)),1,0)</f>
        <v>0</v>
      </c>
    </row>
    <row r="276" spans="1:67" ht="17.399999999999999" customHeight="1">
      <c r="A276" s="421"/>
      <c r="B276" s="374"/>
      <c r="C276" s="376"/>
      <c r="D276" s="139"/>
      <c r="E276" s="378"/>
      <c r="F276" s="378"/>
      <c r="G276" s="139" t="str">
        <f>IF(C275="","",(VLOOKUP(D275,男子登録!$A$2:$N$2001,13,0)))</f>
        <v/>
      </c>
      <c r="H276" s="139"/>
      <c r="I276" s="139" t="s">
        <v>7061</v>
      </c>
      <c r="J276" s="152"/>
      <c r="K276" s="139" t="s">
        <v>7062</v>
      </c>
      <c r="L276" s="152"/>
      <c r="M276" s="264"/>
      <c r="N276" s="265"/>
      <c r="O276" s="266"/>
      <c r="P276" s="152"/>
      <c r="Q276" s="382"/>
      <c r="R276" s="385"/>
      <c r="S276" s="136"/>
      <c r="T276" s="137"/>
      <c r="U276" s="137"/>
      <c r="V276" s="137"/>
      <c r="W276" s="137"/>
      <c r="X276" s="137"/>
      <c r="Y276" s="218">
        <f t="shared" ref="Y276" si="3098">IF(OR(E275="",J276=""),0,J276&amp;E275)</f>
        <v>0</v>
      </c>
      <c r="Z276" s="218">
        <f>IF(Y276=0,0,COUNTIF($Y$7:Y276,Y276))</f>
        <v>0</v>
      </c>
      <c r="AD276" s="218">
        <f>IFERROR(VLOOKUP(J276,競技会設定!$P$2:$S$22,2,0),0)</f>
        <v>0</v>
      </c>
      <c r="AE276" s="218">
        <f t="shared" ref="AE276" si="3099">IF(E275="",0,IF(AD276=0,0,IF(AD276&lt;3,E275&amp;$AE$6,0)))</f>
        <v>0</v>
      </c>
      <c r="AF276" s="218">
        <f>IF(AE276=0,0,E275&amp;COUNTIF($AE$7:AE276,AE276))</f>
        <v>0</v>
      </c>
      <c r="AG276" s="218">
        <f t="shared" ref="AG276" si="3100">IF(E275="",0,IF(AD276=0,0,IF(AD276&gt;=3,E275&amp;$AG$6,0)))</f>
        <v>0</v>
      </c>
      <c r="AH276" s="218">
        <f>IF(AG276=0,0,E275&amp;COUNTIF($AG$7:AG276,AG276))</f>
        <v>0</v>
      </c>
      <c r="AI276" s="218">
        <f t="shared" si="2809"/>
        <v>0</v>
      </c>
      <c r="AJ276" s="218" t="b">
        <f>IF(AI276=0,FALSE,IF(COUNTIF(AI$7:AI276,AI276)&gt;1,TRUE,FALSE))</f>
        <v>0</v>
      </c>
      <c r="AK276" s="218">
        <f t="shared" ref="AK276" si="3101">IF($AD276=AK$6,$E275,0)</f>
        <v>0</v>
      </c>
      <c r="AL276" s="218" t="b">
        <f>IF(AK276=0,FALSE,IF(COUNTIF(AK$7:AK276,AK276)&gt;1,TRUE,FALSE))</f>
        <v>0</v>
      </c>
      <c r="AM276" s="218">
        <f t="shared" ref="AM276" si="3102">IF($AD276=AM$6,$E275,0)</f>
        <v>0</v>
      </c>
      <c r="AN276" s="218" t="b">
        <f>IF(AM276=0,FALSE,IF(COUNTIF(AM$7:AM276,AM276)&gt;1,TRUE,FALSE))</f>
        <v>0</v>
      </c>
      <c r="AO276" s="218">
        <f t="shared" ref="AO276" si="3103">IF($AD276=AO$6,$E275,0)</f>
        <v>0</v>
      </c>
      <c r="AP276" s="218" t="b">
        <f>IF(AO276=0,FALSE,IF(COUNTIF(AO$7:AO276,AO276)&gt;1,TRUE,FALSE))</f>
        <v>0</v>
      </c>
      <c r="AQ276" s="218">
        <f t="shared" ref="AQ276" si="3104">IF(COUNTIF(Y276,"*十種競技*")&gt;0,E275,0)</f>
        <v>0</v>
      </c>
      <c r="AR276" s="218" t="b">
        <f>IF(AQ276=0,FALSE,IF(OR(COUNTIF($AI$7:$AI$406,AQ276)+COUNTIF($AQ276:$AQ$406,AQ276)&gt;1,COUNTIF($AK$7:$AK$406,AQ276)+COUNTIF($AQ$7:$AQ$406,AQ276)&gt;1),TRUE,FALSE))</f>
        <v>0</v>
      </c>
      <c r="AT276" s="218" t="b">
        <f t="shared" si="2960"/>
        <v>0</v>
      </c>
      <c r="AU276" s="274"/>
      <c r="AX276" s="274"/>
      <c r="BD276" s="218" t="b">
        <f t="shared" si="2947"/>
        <v>0</v>
      </c>
      <c r="BF276" s="231" t="b">
        <f t="shared" ref="BF276" si="3105">IF(J276="",FALSE,IF(OR(AND(AU275,L276=""),AND(AU275,L276="",OR(M276&lt;&gt;"",N276&lt;&gt;"",O276&lt;&gt;"",P276&lt;&gt;""))),TRUE,FALSE))</f>
        <v>0</v>
      </c>
      <c r="BG276" s="218" t="b">
        <f t="shared" si="2949"/>
        <v>0</v>
      </c>
      <c r="BH276" s="218" t="b">
        <f t="shared" si="2962"/>
        <v>0</v>
      </c>
      <c r="BI276" s="231" t="b">
        <f t="shared" ref="BI276" si="3106">IF(J276="",FALSE,IF(L276=0,FALSE,IF(AND(AU275,NOT(BF276),OR(M276="",N276="",O276="")),TRUE,FALSE)))</f>
        <v>0</v>
      </c>
      <c r="BJ276" s="240" t="b">
        <f t="shared" si="2964"/>
        <v>0</v>
      </c>
      <c r="BK276" s="231" t="b">
        <f>IF(NOT(BJ276),FALSE,IF(AND(競技会設定!$C$5&lt;=BJ276,BJ276&lt;=競技会設定!$C$6),FALSE,TRUE))</f>
        <v>0</v>
      </c>
      <c r="BL276" s="218" t="b">
        <f>IF(J276="",FALSE,IF(L276=0,FALSE,IF(AND(AU275,NOT(BF276),NOT(BI276),P276=""),TRUE,FALSE)))</f>
        <v>0</v>
      </c>
      <c r="BO276" s="274"/>
    </row>
    <row r="277" spans="1:67" ht="17.399999999999999" customHeight="1">
      <c r="A277" s="421"/>
      <c r="B277" s="374"/>
      <c r="C277" s="376"/>
      <c r="D277" s="140"/>
      <c r="E277" s="379" t="str">
        <f>IF(C275="","",VLOOKUP(D275,男子登録!$A$2:$O$2001,14,0)&amp;" ("&amp;VLOOKUP(D275,男子登録!$A$2:$O$2001,15,0)&amp;")")</f>
        <v/>
      </c>
      <c r="F277" s="380"/>
      <c r="G277" s="140" t="str">
        <f>IF(C275="","",(VLOOKUP(D275,男子登録!$A$2:$N$2001,9,0)))</f>
        <v/>
      </c>
      <c r="H277" s="140"/>
      <c r="I277" s="140" t="s">
        <v>7063</v>
      </c>
      <c r="J277" s="153"/>
      <c r="K277" s="140" t="s">
        <v>7064</v>
      </c>
      <c r="L277" s="153"/>
      <c r="M277" s="264"/>
      <c r="N277" s="265"/>
      <c r="O277" s="266"/>
      <c r="P277" s="152"/>
      <c r="Q277" s="382"/>
      <c r="R277" s="385"/>
      <c r="S277" s="136"/>
      <c r="T277" s="137"/>
      <c r="U277" s="137"/>
      <c r="V277" s="137"/>
      <c r="W277" s="137"/>
      <c r="X277" s="137"/>
      <c r="Y277" s="218">
        <f t="shared" ref="Y277" si="3107">IF(OR(E275="",J277=""),0,J277&amp;E275)</f>
        <v>0</v>
      </c>
      <c r="Z277" s="218">
        <f>IF(Y277=0,0,COUNTIF($Y$7:Y277,Y277))</f>
        <v>0</v>
      </c>
      <c r="AD277" s="218">
        <f>IFERROR(VLOOKUP(J277,競技会設定!$P$2:$S$22,2,0),0)</f>
        <v>0</v>
      </c>
      <c r="AE277" s="218">
        <f t="shared" ref="AE277" si="3108">IF(E275="",0,IF(AD277=0,0,IF(AD277&lt;3,E275&amp;$AE$6,0)))</f>
        <v>0</v>
      </c>
      <c r="AF277" s="218">
        <f>IF(AE277=0,0,E275&amp;COUNTIF($AE$7:AE277,AE277))</f>
        <v>0</v>
      </c>
      <c r="AG277" s="218">
        <f t="shared" ref="AG277" si="3109">IF(E275="",0,IF(AD277=0,0,IF(AD277&gt;=3,E275&amp;$AG$6,0)))</f>
        <v>0</v>
      </c>
      <c r="AH277" s="218">
        <f>IF(AG277=0,0,E275&amp;COUNTIF($AG$7:AG277,AG277))</f>
        <v>0</v>
      </c>
      <c r="AI277" s="218">
        <f t="shared" si="2819"/>
        <v>0</v>
      </c>
      <c r="AJ277" s="218" t="b">
        <f>IF(AI277=0,FALSE,IF(COUNTIF(AI$7:AI277,AI277)&gt;1,TRUE,FALSE))</f>
        <v>0</v>
      </c>
      <c r="AK277" s="218">
        <f t="shared" ref="AK277" si="3110">IF($AD277=AK$6,$E275,0)</f>
        <v>0</v>
      </c>
      <c r="AL277" s="218" t="b">
        <f>IF(AK277=0,FALSE,IF(COUNTIF(AK$7:AK277,AK277)&gt;1,TRUE,FALSE))</f>
        <v>0</v>
      </c>
      <c r="AM277" s="218">
        <f t="shared" ref="AM277" si="3111">IF($AD277=AM$6,$E275,0)</f>
        <v>0</v>
      </c>
      <c r="AN277" s="218" t="b">
        <f>IF(AM277=0,FALSE,IF(COUNTIF(AM$7:AM277,AM277)&gt;1,TRUE,FALSE))</f>
        <v>0</v>
      </c>
      <c r="AO277" s="218">
        <f t="shared" ref="AO277" si="3112">IF($AD277=AO$6,$E275,0)</f>
        <v>0</v>
      </c>
      <c r="AP277" s="218" t="b">
        <f>IF(AO277=0,FALSE,IF(COUNTIF(AO$7:AO277,AO277)&gt;1,TRUE,FALSE))</f>
        <v>0</v>
      </c>
      <c r="AQ277" s="218">
        <f t="shared" ref="AQ277" si="3113">IF(COUNTIF(Y277,"*十種競技*")&gt;0,E275,0)</f>
        <v>0</v>
      </c>
      <c r="AR277" s="218" t="b">
        <f>IF(AQ277=0,FALSE,IF(OR(COUNTIF($AI$7:$AI$406,AQ277)+COUNTIF($AQ277:$AQ$406,AQ277)&gt;1,COUNTIF($AK$7:$AK$406,AQ277)+COUNTIF($AQ$7:$AQ$406,AQ277)&gt;1),TRUE,FALSE))</f>
        <v>0</v>
      </c>
      <c r="AT277" s="218" t="b">
        <f t="shared" si="2960"/>
        <v>0</v>
      </c>
      <c r="AU277" s="274"/>
      <c r="AX277" s="274"/>
      <c r="BD277" s="218" t="b">
        <f t="shared" si="2947"/>
        <v>0</v>
      </c>
      <c r="BF277" s="231" t="b">
        <f t="shared" ref="BF277" si="3114">IF(J277="",FALSE,IF(OR(AND(AU275,L277=""),AND(AU275,L277="",OR(M277&lt;&gt;"",N277&lt;&gt;"",O277&lt;&gt;"",P277&lt;&gt;""))),TRUE,FALSE))</f>
        <v>0</v>
      </c>
      <c r="BG277" s="218" t="b">
        <f t="shared" si="2949"/>
        <v>0</v>
      </c>
      <c r="BH277" s="218" t="b">
        <f t="shared" si="2962"/>
        <v>0</v>
      </c>
      <c r="BI277" s="231" t="b">
        <f t="shared" ref="BI277" si="3115">IF(J277="",FALSE,IF(L277=0,FALSE,IF(AND(AU275,NOT(BF277),OR(M277="",N277="",O277="")),TRUE,FALSE)))</f>
        <v>0</v>
      </c>
      <c r="BJ277" s="240" t="b">
        <f t="shared" si="2964"/>
        <v>0</v>
      </c>
      <c r="BK277" s="231" t="b">
        <f>IF(NOT(BJ277),FALSE,IF(AND(競技会設定!$C$5&lt;=BJ277,BJ277&lt;=競技会設定!$C$6),FALSE,TRUE))</f>
        <v>0</v>
      </c>
      <c r="BL277" s="218" t="b">
        <f>IF(J277="",FALSE,IF(L277=0,FALSE,IF(AND(AU275,NOT(BF277),NOT(BI277),P277=""),TRUE,FALSE)))</f>
        <v>0</v>
      </c>
      <c r="BO277" s="274"/>
    </row>
    <row r="278" spans="1:67" ht="18" customHeight="1" thickBot="1">
      <c r="A278" s="422"/>
      <c r="B278" s="387" t="s">
        <v>7051</v>
      </c>
      <c r="C278" s="387"/>
      <c r="D278" s="213"/>
      <c r="E278" s="388"/>
      <c r="F278" s="389"/>
      <c r="G278" s="390"/>
      <c r="H278" s="141"/>
      <c r="I278" s="213" t="s">
        <v>7065</v>
      </c>
      <c r="J278" s="154"/>
      <c r="K278" s="213" t="s">
        <v>7066</v>
      </c>
      <c r="L278" s="154"/>
      <c r="M278" s="267"/>
      <c r="N278" s="268"/>
      <c r="O278" s="269"/>
      <c r="P278" s="154"/>
      <c r="Q278" s="383"/>
      <c r="R278" s="386"/>
      <c r="S278" s="136"/>
      <c r="T278" s="137"/>
      <c r="U278" s="137"/>
      <c r="V278" s="137"/>
      <c r="W278" s="137"/>
      <c r="X278" s="137"/>
      <c r="Y278" s="218">
        <f t="shared" ref="Y278" si="3116">IF(OR(E275="",J278=""),0,J278&amp;E275)</f>
        <v>0</v>
      </c>
      <c r="Z278" s="218">
        <f>IF(Y278=0,0,COUNTIF($Y$7:Y278,Y278))</f>
        <v>0</v>
      </c>
      <c r="AD278" s="218">
        <f>IFERROR(VLOOKUP(J278,競技会設定!$P$2:$S$22,2,0),0)</f>
        <v>0</v>
      </c>
      <c r="AE278" s="218">
        <f t="shared" ref="AE278" si="3117">IF(E275="",0,IF(AD278=0,0,IF(AD278&lt;3,E275&amp;$AE$6,0)))</f>
        <v>0</v>
      </c>
      <c r="AF278" s="218">
        <f>IF(AE278=0,0,E275&amp;COUNTIF($AE$7:AE278,AE278))</f>
        <v>0</v>
      </c>
      <c r="AG278" s="218">
        <f t="shared" ref="AG278" si="3118">IF(E275="",0,IF(AD278=0,0,IF(AD278&gt;=3,E275&amp;$AG$6,0)))</f>
        <v>0</v>
      </c>
      <c r="AH278" s="218">
        <f>IF(AG278=0,0,E275&amp;COUNTIF($AG$7:AG278,AG278))</f>
        <v>0</v>
      </c>
      <c r="AI278" s="218">
        <f t="shared" si="2829"/>
        <v>0</v>
      </c>
      <c r="AJ278" s="218" t="b">
        <f>IF(AI278=0,FALSE,IF(COUNTIF(AI$7:AI278,AI278)&gt;1,TRUE,FALSE))</f>
        <v>0</v>
      </c>
      <c r="AK278" s="218">
        <f t="shared" ref="AK278" si="3119">IF($AD278=AK$6,$E275,0)</f>
        <v>0</v>
      </c>
      <c r="AL278" s="218" t="b">
        <f>IF(AK278=0,FALSE,IF(COUNTIF(AK$7:AK278,AK278)&gt;1,TRUE,FALSE))</f>
        <v>0</v>
      </c>
      <c r="AM278" s="218">
        <f t="shared" ref="AM278" si="3120">IF($AD278=AM$6,$E275,0)</f>
        <v>0</v>
      </c>
      <c r="AN278" s="218" t="b">
        <f>IF(AM278=0,FALSE,IF(COUNTIF(AM$7:AM278,AM278)&gt;1,TRUE,FALSE))</f>
        <v>0</v>
      </c>
      <c r="AO278" s="218">
        <f t="shared" ref="AO278" si="3121">IF($AD278=AO$6,$E275,0)</f>
        <v>0</v>
      </c>
      <c r="AP278" s="218" t="b">
        <f>IF(AO278=0,FALSE,IF(COUNTIF(AO$7:AO278,AO278)&gt;1,TRUE,FALSE))</f>
        <v>0</v>
      </c>
      <c r="AQ278" s="218">
        <f t="shared" ref="AQ278" si="3122">IF(COUNTIF(Y278,"*十種競技*")&gt;0,E275,0)</f>
        <v>0</v>
      </c>
      <c r="AR278" s="218" t="b">
        <f>IF(AQ278=0,FALSE,IF(OR(COUNTIF($AI$7:$AI$406,AQ278)+COUNTIF($AQ278:$AQ$406,AQ278)&gt;1,COUNTIF($AK$7:$AK$406,AQ278)+COUNTIF($AQ$7:$AQ$406,AQ278)&gt;1),TRUE,FALSE))</f>
        <v>0</v>
      </c>
      <c r="AT278" s="218" t="b">
        <f t="shared" si="2960"/>
        <v>0</v>
      </c>
      <c r="AU278" s="274"/>
      <c r="AX278" s="274"/>
      <c r="BD278" s="218" t="b">
        <f t="shared" si="2947"/>
        <v>0</v>
      </c>
      <c r="BF278" s="231" t="b">
        <f t="shared" ref="BF278" si="3123">IF(J278="",FALSE,IF(OR(AND(AU275,L278=""),AND(AU275,L278="",OR(M278&lt;&gt;"",N278&lt;&gt;"",O278&lt;&gt;"",P278&lt;&gt;""))),TRUE,FALSE))</f>
        <v>0</v>
      </c>
      <c r="BG278" s="218" t="b">
        <f t="shared" si="2949"/>
        <v>0</v>
      </c>
      <c r="BH278" s="218" t="b">
        <f t="shared" si="2962"/>
        <v>0</v>
      </c>
      <c r="BI278" s="231" t="b">
        <f t="shared" ref="BI278" si="3124">IF(J278="",FALSE,IF(L278=0,FALSE,IF(AND(AU275,NOT(BF278),OR(M278="",N278="",O278="")),TRUE,FALSE)))</f>
        <v>0</v>
      </c>
      <c r="BJ278" s="240" t="b">
        <f t="shared" si="2964"/>
        <v>0</v>
      </c>
      <c r="BK278" s="231" t="b">
        <f>IF(NOT(BJ278),FALSE,IF(AND(競技会設定!$C$5&lt;=BJ278,BJ278&lt;=競技会設定!$C$6),FALSE,TRUE))</f>
        <v>0</v>
      </c>
      <c r="BL278" s="218" t="b">
        <f>IF(J278="",FALSE,IF(L278=0,FALSE,IF(AND(AU275,NOT(BF278),NOT(BI278),P278=""),TRUE,FALSE)))</f>
        <v>0</v>
      </c>
      <c r="BO278" s="274"/>
    </row>
    <row r="279" spans="1:67" ht="18" customHeight="1" thickTop="1">
      <c r="A279" s="417">
        <v>69</v>
      </c>
      <c r="B279" s="401" t="s">
        <v>7050</v>
      </c>
      <c r="C279" s="403"/>
      <c r="D279" s="220" t="str">
        <f t="shared" ref="D279" si="3125">IF(C279="","",501&amp;TEXT(C279,"000000"))</f>
        <v/>
      </c>
      <c r="E279" s="396" t="str">
        <f>IF(D279="","",(VLOOKUP(D279,男子登録!$A$2:$N$2001,3,0)))</f>
        <v/>
      </c>
      <c r="F279" s="396" t="str">
        <f>IF(D279="","",(VLOOKUP(D279,男子登録!$A$2:$N$2001,4,0)))</f>
        <v/>
      </c>
      <c r="G279" s="220" t="str">
        <f>IF(C279="","",(VLOOKUP(D279,男子登録!$A$2:$N$2001,8,0)))</f>
        <v/>
      </c>
      <c r="H279" s="220">
        <f>IFERROR(VLOOKUP(D279,男子登録!$A$2:$N$2001,11,0),基本情報!$E$5)</f>
        <v>0</v>
      </c>
      <c r="I279" s="220" t="s">
        <v>7059</v>
      </c>
      <c r="J279" s="148"/>
      <c r="K279" s="220" t="s">
        <v>7060</v>
      </c>
      <c r="L279" s="148"/>
      <c r="M279" s="252"/>
      <c r="N279" s="253"/>
      <c r="O279" s="254"/>
      <c r="P279" s="148"/>
      <c r="Q279" s="398"/>
      <c r="R279" s="391"/>
      <c r="S279" s="136">
        <f t="shared" ref="S279" si="3126">IF(OR(E279="",Q279=""),0,E279)</f>
        <v>0</v>
      </c>
      <c r="T279" s="137">
        <f>IF(S279=0,0,COUNTIF($S$7:S279,"*"))</f>
        <v>0</v>
      </c>
      <c r="U279" s="137">
        <f>IF(S279=0,0,COUNTIF($S$7:S279,S279))</f>
        <v>0</v>
      </c>
      <c r="V279" s="137">
        <f t="shared" si="2429"/>
        <v>0</v>
      </c>
      <c r="W279" s="137">
        <f>IF(V279=0,0,COUNTIF($V$7:V279,"*"))</f>
        <v>0</v>
      </c>
      <c r="X279" s="137">
        <f>IF(V279=0,0,COUNTIF($V$7:V279,V279))</f>
        <v>0</v>
      </c>
      <c r="Y279" s="218">
        <f t="shared" ref="Y279" si="3127">IF(OR(E279="",J279=""),0,J279&amp;E279)</f>
        <v>0</v>
      </c>
      <c r="Z279" s="218">
        <f>IF(Y279=0,0,COUNTIF($Y$7:Y279,Y279))</f>
        <v>0</v>
      </c>
      <c r="AA279" s="218" t="b">
        <f t="shared" ref="AA279" si="3128">IF(COUNTIF(J279:J282,"十種競技")&gt;0,TRUE,FALSE)</f>
        <v>0</v>
      </c>
      <c r="AB279" s="218">
        <f>IF(E279="",0,IF(AA279,COUNTIF($AA$7:AA279,TRUE),0))</f>
        <v>0</v>
      </c>
      <c r="AC279" s="218">
        <f>IFERROR(VLOOKUP("十種競技",J279:L282,3,0),0)</f>
        <v>0</v>
      </c>
      <c r="AD279" s="218">
        <f>IFERROR(VLOOKUP(J279,競技会設定!$P$2:$S$22,2,0),0)</f>
        <v>0</v>
      </c>
      <c r="AE279" s="218">
        <f t="shared" ref="AE279" si="3129">IF(E279="",0,IF(AD279=0,0,IF(AD279&lt;3,E279&amp;$AE$6,0)))</f>
        <v>0</v>
      </c>
      <c r="AF279" s="218">
        <f>IF(AE279=0,0,E279&amp;COUNTIF($AE$7:AE279,AE279))</f>
        <v>0</v>
      </c>
      <c r="AG279" s="218">
        <f t="shared" ref="AG279" si="3130">IF(E279="",0,IF(AD279=0,0,IF(AD279&gt;=3,E279&amp;$AG$6,0)))</f>
        <v>0</v>
      </c>
      <c r="AH279" s="218">
        <f>IF(AG279=0,0,E279&amp;COUNTIF($AG$7:AG279,AG279))</f>
        <v>0</v>
      </c>
      <c r="AI279" s="218">
        <f t="shared" si="2842"/>
        <v>0</v>
      </c>
      <c r="AJ279" s="218" t="b">
        <f>IF(AI279=0,FALSE,IF(COUNTIF(AI$7:AI279,AI279)&gt;1,TRUE,FALSE))</f>
        <v>0</v>
      </c>
      <c r="AK279" s="218">
        <f t="shared" ref="AK279" si="3131">IF($AD279=AK$6,$E279,0)</f>
        <v>0</v>
      </c>
      <c r="AL279" s="218" t="b">
        <f>IF(AK279=0,FALSE,IF(COUNTIF(AK$7:AK279,AK279)&gt;1,TRUE,FALSE))</f>
        <v>0</v>
      </c>
      <c r="AM279" s="218">
        <f t="shared" ref="AM279" si="3132">IF($AD279=AM$6,$E279,0)</f>
        <v>0</v>
      </c>
      <c r="AN279" s="218" t="b">
        <f>IF(AM279=0,FALSE,IF(COUNTIF(AM$7:AM279,AM279)&gt;1,TRUE,FALSE))</f>
        <v>0</v>
      </c>
      <c r="AO279" s="218">
        <f t="shared" ref="AO279" si="3133">IF($AD279=AO$6,$E279,0)</f>
        <v>0</v>
      </c>
      <c r="AP279" s="218" t="b">
        <f>IF(AO279=0,FALSE,IF(COUNTIF(AO$7:AO279,AO279)&gt;1,TRUE,FALSE))</f>
        <v>0</v>
      </c>
      <c r="AQ279" s="218">
        <f t="shared" ref="AQ279" si="3134">IF(COUNTIF(Y279,"*十種競技*")&gt;0,E279,0)</f>
        <v>0</v>
      </c>
      <c r="AR279" s="218" t="b">
        <f>IF(AQ279=0,FALSE,IF(OR(COUNTIF($AI$7:$AI$406,AQ279)+COUNTIF($AQ279:$AQ$406,AQ279)&gt;1,COUNTIF($AK$7:$AK$406,AQ279)+COUNTIF($AQ$7:$AQ$406,AQ279)&gt;1),TRUE,FALSE))</f>
        <v>0</v>
      </c>
      <c r="AS279" s="218" t="b">
        <f t="shared" ref="AS279" si="3135">IF(AND(C279="",E279&lt;&gt;"",F279&lt;&gt;"",E281&lt;&gt;"",G279&lt;&gt;"",G280&lt;&gt;"",G281&lt;&gt;""),TRUE,FALSE)</f>
        <v>0</v>
      </c>
      <c r="AT279" s="218" t="b">
        <f t="shared" si="2960"/>
        <v>0</v>
      </c>
      <c r="AU279" s="274" t="b">
        <f t="shared" ref="AU279" si="3136">IFERROR(IF(D279&amp;E279&amp;F279&amp;E281&amp;G279&amp;G280&amp;G281&amp;J279&amp;J280&amp;J281&amp;J282&amp;L279&amp;L280&amp;L281&amp;L282&amp;M279&amp;M280&amp;M281&amp;M282&amp;N279&amp;N280&amp;N281&amp;N282&amp;O279&amp;O280&amp;O281&amp;O282&amp;P279&amp;P280&amp;P281&amp;P282&amp;Q279&amp;R279="",FALSE,TRUE),FALSE)</f>
        <v>0</v>
      </c>
      <c r="AV279" s="218" t="b">
        <f t="shared" ref="AV279" si="3137">IF(AS279,FALSE,IF(C279="",AU279,FALSE))</f>
        <v>0</v>
      </c>
      <c r="AW279" s="218" t="b">
        <f>IF(C279="",FALSE,IF(C279&gt;2000,TRUE,FALSE))</f>
        <v>0</v>
      </c>
      <c r="AX279" s="274" t="b">
        <f>IF(H279=0,FALSE,IF(EXACT(基本情報!$E$5,H279)=TRUE,FALSE,TRUE))</f>
        <v>0</v>
      </c>
      <c r="AY279" s="218" t="b">
        <f>IF(C279="",FALSE,IF(ISNA(E279)=TRUE,TRUE,FALSE))</f>
        <v>0</v>
      </c>
      <c r="AZ279" s="274" t="b">
        <f>IFERROR(IF(E279="",FALSE,IF(COUNTIF($E$7:E279,E279)&gt;1,TRUE,FALSE)),FALSE)</f>
        <v>0</v>
      </c>
      <c r="BA279" s="218" t="b">
        <f t="shared" ref="BA279" si="3138">IF(OR(J279&amp;J280&amp;J281&amp;J282&amp;Q279&amp;R279="",AT279,AT280,AT281,AT282),AU279,FALSE)</f>
        <v>0</v>
      </c>
      <c r="BB279" s="218" t="b">
        <f>IF(U279&gt;1,TRUE,FALSE)</f>
        <v>0</v>
      </c>
      <c r="BC279" s="218" t="b">
        <f>IF(X279&gt;1,TRUE,FALSE)</f>
        <v>0</v>
      </c>
      <c r="BD279" s="218" t="b">
        <f t="shared" si="2947"/>
        <v>0</v>
      </c>
      <c r="BF279" s="231" t="b">
        <f t="shared" ref="BF279" si="3139">IF(J279="",FALSE,IF(OR(AND(AU279,L279=""),AND(AU279,L279="",OR(M279&lt;&gt;"",N279&lt;&gt;"",O279&lt;&gt;"",P279&lt;&gt;""))),TRUE,FALSE))</f>
        <v>0</v>
      </c>
      <c r="BG279" s="218" t="b">
        <f t="shared" si="2949"/>
        <v>0</v>
      </c>
      <c r="BH279" s="218" t="b">
        <f t="shared" si="2962"/>
        <v>0</v>
      </c>
      <c r="BI279" s="231" t="b">
        <f t="shared" ref="BI279" si="3140">IF(J279="",FALSE,IF(L279=0,FALSE,IF(AND(AU279,NOT(BF279),OR(M279="",N279="",O279="")),TRUE,FALSE)))</f>
        <v>0</v>
      </c>
      <c r="BJ279" s="240" t="b">
        <f t="shared" si="2964"/>
        <v>0</v>
      </c>
      <c r="BK279" s="231" t="b">
        <f>IF(NOT(BJ279),FALSE,IF(AND(競技会設定!$C$5&lt;=BJ279,BJ279&lt;=競技会設定!$C$6),FALSE,TRUE))</f>
        <v>0</v>
      </c>
      <c r="BL279" s="218" t="b">
        <f>IF(J279="",FALSE,IF(L279=0,FALSE,IF(AND(AU279,NOT(BF279),NOT(BI279),P279=""),TRUE,FALSE)))</f>
        <v>0</v>
      </c>
      <c r="BO279" s="274">
        <f t="shared" ref="BO279" si="3141">IF(AND(AU279,SUM(COUNTIF(AV279:BC279,TRUE),COUNTIF(BF279:BL282,TRUE),COUNTIF(BD279:BD282,TRUE))=0,NOT($BE$7)),1,0)</f>
        <v>0</v>
      </c>
    </row>
    <row r="280" spans="1:67" ht="17.399999999999999" customHeight="1">
      <c r="A280" s="418"/>
      <c r="B280" s="402"/>
      <c r="C280" s="404"/>
      <c r="D280" s="221"/>
      <c r="E280" s="397"/>
      <c r="F280" s="397"/>
      <c r="G280" s="221" t="str">
        <f>IF(C279="","",(VLOOKUP(D279,男子登録!$A$2:$N$2001,13,0)))</f>
        <v/>
      </c>
      <c r="H280" s="221"/>
      <c r="I280" s="221" t="s">
        <v>7061</v>
      </c>
      <c r="J280" s="149"/>
      <c r="K280" s="221" t="s">
        <v>7062</v>
      </c>
      <c r="L280" s="149"/>
      <c r="M280" s="255"/>
      <c r="N280" s="256"/>
      <c r="O280" s="257"/>
      <c r="P280" s="149"/>
      <c r="Q280" s="399"/>
      <c r="R280" s="392"/>
      <c r="S280" s="136"/>
      <c r="T280" s="137"/>
      <c r="U280" s="137"/>
      <c r="V280" s="137"/>
      <c r="W280" s="137"/>
      <c r="X280" s="137"/>
      <c r="Y280" s="218">
        <f t="shared" ref="Y280" si="3142">IF(OR(E279="",J280=""),0,J280&amp;E279)</f>
        <v>0</v>
      </c>
      <c r="Z280" s="218">
        <f>IF(Y280=0,0,COUNTIF($Y$7:Y280,Y280))</f>
        <v>0</v>
      </c>
      <c r="AD280" s="218">
        <f>IFERROR(VLOOKUP(J280,競技会設定!$P$2:$S$22,2,0),0)</f>
        <v>0</v>
      </c>
      <c r="AE280" s="218">
        <f t="shared" ref="AE280" si="3143">IF(E279="",0,IF(AD280=0,0,IF(AD280&lt;3,E279&amp;$AE$6,0)))</f>
        <v>0</v>
      </c>
      <c r="AF280" s="218">
        <f>IF(AE280=0,0,E279&amp;COUNTIF($AE$7:AE280,AE280))</f>
        <v>0</v>
      </c>
      <c r="AG280" s="218">
        <f t="shared" ref="AG280" si="3144">IF(E279="",0,IF(AD280=0,0,IF(AD280&gt;=3,E279&amp;$AG$6,0)))</f>
        <v>0</v>
      </c>
      <c r="AH280" s="218">
        <f>IF(AG280=0,0,E279&amp;COUNTIF($AG$7:AG280,AG280))</f>
        <v>0</v>
      </c>
      <c r="AI280" s="218">
        <f t="shared" si="2857"/>
        <v>0</v>
      </c>
      <c r="AJ280" s="218" t="b">
        <f>IF(AI280=0,FALSE,IF(COUNTIF(AI$7:AI280,AI280)&gt;1,TRUE,FALSE))</f>
        <v>0</v>
      </c>
      <c r="AK280" s="218">
        <f t="shared" ref="AK280" si="3145">IF($AD280=AK$6,$E279,0)</f>
        <v>0</v>
      </c>
      <c r="AL280" s="218" t="b">
        <f>IF(AK280=0,FALSE,IF(COUNTIF(AK$7:AK280,AK280)&gt;1,TRUE,FALSE))</f>
        <v>0</v>
      </c>
      <c r="AM280" s="218">
        <f t="shared" ref="AM280" si="3146">IF($AD280=AM$6,$E279,0)</f>
        <v>0</v>
      </c>
      <c r="AN280" s="218" t="b">
        <f>IF(AM280=0,FALSE,IF(COUNTIF(AM$7:AM280,AM280)&gt;1,TRUE,FALSE))</f>
        <v>0</v>
      </c>
      <c r="AO280" s="218">
        <f t="shared" ref="AO280" si="3147">IF($AD280=AO$6,$E279,0)</f>
        <v>0</v>
      </c>
      <c r="AP280" s="218" t="b">
        <f>IF(AO280=0,FALSE,IF(COUNTIF(AO$7:AO280,AO280)&gt;1,TRUE,FALSE))</f>
        <v>0</v>
      </c>
      <c r="AQ280" s="218">
        <f t="shared" ref="AQ280" si="3148">IF(COUNTIF(Y280,"*十種競技*")&gt;0,E279,0)</f>
        <v>0</v>
      </c>
      <c r="AR280" s="218" t="b">
        <f>IF(AQ280=0,FALSE,IF(OR(COUNTIF($AI$7:$AI$406,AQ280)+COUNTIF($AQ280:$AQ$406,AQ280)&gt;1,COUNTIF($AK$7:$AK$406,AQ280)+COUNTIF($AQ$7:$AQ$406,AQ280)&gt;1),TRUE,FALSE))</f>
        <v>0</v>
      </c>
      <c r="AT280" s="218" t="b">
        <f t="shared" si="2960"/>
        <v>0</v>
      </c>
      <c r="AU280" s="274"/>
      <c r="AX280" s="274"/>
      <c r="BD280" s="218" t="b">
        <f t="shared" si="2947"/>
        <v>0</v>
      </c>
      <c r="BF280" s="231" t="b">
        <f t="shared" ref="BF280" si="3149">IF(J280="",FALSE,IF(OR(AND(AU279,L280=""),AND(AU279,L280="",OR(M280&lt;&gt;"",N280&lt;&gt;"",O280&lt;&gt;"",P280&lt;&gt;""))),TRUE,FALSE))</f>
        <v>0</v>
      </c>
      <c r="BG280" s="218" t="b">
        <f t="shared" si="2949"/>
        <v>0</v>
      </c>
      <c r="BH280" s="218" t="b">
        <f t="shared" si="2962"/>
        <v>0</v>
      </c>
      <c r="BI280" s="231" t="b">
        <f t="shared" ref="BI280" si="3150">IF(J280="",FALSE,IF(L280=0,FALSE,IF(AND(AU279,NOT(BF280),OR(M280="",N280="",O280="")),TRUE,FALSE)))</f>
        <v>0</v>
      </c>
      <c r="BJ280" s="240" t="b">
        <f t="shared" si="2964"/>
        <v>0</v>
      </c>
      <c r="BK280" s="231" t="b">
        <f>IF(NOT(BJ280),FALSE,IF(AND(競技会設定!$C$5&lt;=BJ280,BJ280&lt;=競技会設定!$C$6),FALSE,TRUE))</f>
        <v>0</v>
      </c>
      <c r="BL280" s="218" t="b">
        <f>IF(J280="",FALSE,IF(L280=0,FALSE,IF(AND(AU279,NOT(BF280),NOT(BI280),P280=""),TRUE,FALSE)))</f>
        <v>0</v>
      </c>
      <c r="BO280" s="274"/>
    </row>
    <row r="281" spans="1:67" ht="17.399999999999999" customHeight="1">
      <c r="A281" s="418"/>
      <c r="B281" s="402"/>
      <c r="C281" s="404"/>
      <c r="D281" s="221"/>
      <c r="E281" s="394" t="str">
        <f>IF(C279="","",VLOOKUP(D279,男子登録!$A$2:$O$2001,14,0)&amp;" ("&amp;VLOOKUP(D279,男子登録!$A$2:$O$2001,15,0)&amp;")")</f>
        <v/>
      </c>
      <c r="F281" s="394"/>
      <c r="G281" s="222" t="str">
        <f>IF(C279="","",(VLOOKUP(D279,男子登録!$A$2:$N$2001,9,0)))</f>
        <v/>
      </c>
      <c r="H281" s="222"/>
      <c r="I281" s="222" t="s">
        <v>7063</v>
      </c>
      <c r="J281" s="150"/>
      <c r="K281" s="222" t="s">
        <v>7064</v>
      </c>
      <c r="L281" s="150"/>
      <c r="M281" s="255"/>
      <c r="N281" s="256"/>
      <c r="O281" s="257"/>
      <c r="P281" s="149"/>
      <c r="Q281" s="399"/>
      <c r="R281" s="392"/>
      <c r="S281" s="136"/>
      <c r="T281" s="137"/>
      <c r="U281" s="137"/>
      <c r="V281" s="137"/>
      <c r="W281" s="137"/>
      <c r="X281" s="137"/>
      <c r="Y281" s="218">
        <f t="shared" ref="Y281" si="3151">IF(OR(E279="",J281=""),0,J281&amp;E279)</f>
        <v>0</v>
      </c>
      <c r="Z281" s="218">
        <f>IF(Y281=0,0,COUNTIF($Y$7:Y281,Y281))</f>
        <v>0</v>
      </c>
      <c r="AD281" s="218">
        <f>IFERROR(VLOOKUP(J281,競技会設定!$P$2:$S$22,2,0),0)</f>
        <v>0</v>
      </c>
      <c r="AE281" s="218">
        <f t="shared" ref="AE281" si="3152">IF(E279="",0,IF(AD281=0,0,IF(AD281&lt;3,E279&amp;$AE$6,0)))</f>
        <v>0</v>
      </c>
      <c r="AF281" s="218">
        <f>IF(AE281=0,0,E279&amp;COUNTIF($AE$7:AE281,AE281))</f>
        <v>0</v>
      </c>
      <c r="AG281" s="218">
        <f t="shared" ref="AG281" si="3153">IF(E279="",0,IF(AD281=0,0,IF(AD281&gt;=3,E279&amp;$AG$6,0)))</f>
        <v>0</v>
      </c>
      <c r="AH281" s="218">
        <f>IF(AG281=0,0,E279&amp;COUNTIF($AG$7:AG281,AG281))</f>
        <v>0</v>
      </c>
      <c r="AI281" s="218">
        <f t="shared" si="2867"/>
        <v>0</v>
      </c>
      <c r="AJ281" s="218" t="b">
        <f>IF(AI281=0,FALSE,IF(COUNTIF(AI$7:AI281,AI281)&gt;1,TRUE,FALSE))</f>
        <v>0</v>
      </c>
      <c r="AK281" s="218">
        <f t="shared" ref="AK281" si="3154">IF($AD281=AK$6,$E279,0)</f>
        <v>0</v>
      </c>
      <c r="AL281" s="218" t="b">
        <f>IF(AK281=0,FALSE,IF(COUNTIF(AK$7:AK281,AK281)&gt;1,TRUE,FALSE))</f>
        <v>0</v>
      </c>
      <c r="AM281" s="218">
        <f t="shared" ref="AM281" si="3155">IF($AD281=AM$6,$E279,0)</f>
        <v>0</v>
      </c>
      <c r="AN281" s="218" t="b">
        <f>IF(AM281=0,FALSE,IF(COUNTIF(AM$7:AM281,AM281)&gt;1,TRUE,FALSE))</f>
        <v>0</v>
      </c>
      <c r="AO281" s="218">
        <f t="shared" ref="AO281" si="3156">IF($AD281=AO$6,$E279,0)</f>
        <v>0</v>
      </c>
      <c r="AP281" s="218" t="b">
        <f>IF(AO281=0,FALSE,IF(COUNTIF(AO$7:AO281,AO281)&gt;1,TRUE,FALSE))</f>
        <v>0</v>
      </c>
      <c r="AQ281" s="218">
        <f t="shared" ref="AQ281" si="3157">IF(COUNTIF(Y281,"*十種競技*")&gt;0,E279,0)</f>
        <v>0</v>
      </c>
      <c r="AR281" s="218" t="b">
        <f>IF(AQ281=0,FALSE,IF(OR(COUNTIF($AI$7:$AI$406,AQ281)+COUNTIF($AQ281:$AQ$406,AQ281)&gt;1,COUNTIF($AK$7:$AK$406,AQ281)+COUNTIF($AQ$7:$AQ$406,AQ281)&gt;1),TRUE,FALSE))</f>
        <v>0</v>
      </c>
      <c r="AT281" s="218" t="b">
        <f t="shared" si="2960"/>
        <v>0</v>
      </c>
      <c r="AU281" s="274"/>
      <c r="AX281" s="274"/>
      <c r="BD281" s="218" t="b">
        <f t="shared" si="2947"/>
        <v>0</v>
      </c>
      <c r="BF281" s="231" t="b">
        <f t="shared" ref="BF281" si="3158">IF(J281="",FALSE,IF(OR(AND(AU279,L281=""),AND(AU279,L281="",OR(M281&lt;&gt;"",N281&lt;&gt;"",O281&lt;&gt;"",P281&lt;&gt;""))),TRUE,FALSE))</f>
        <v>0</v>
      </c>
      <c r="BG281" s="218" t="b">
        <f t="shared" si="2949"/>
        <v>0</v>
      </c>
      <c r="BH281" s="218" t="b">
        <f t="shared" si="2962"/>
        <v>0</v>
      </c>
      <c r="BI281" s="231" t="b">
        <f t="shared" ref="BI281" si="3159">IF(J281="",FALSE,IF(L281=0,FALSE,IF(AND(AU279,NOT(BF281),OR(M281="",N281="",O281="")),TRUE,FALSE)))</f>
        <v>0</v>
      </c>
      <c r="BJ281" s="240" t="b">
        <f t="shared" si="2964"/>
        <v>0</v>
      </c>
      <c r="BK281" s="231" t="b">
        <f>IF(NOT(BJ281),FALSE,IF(AND(競技会設定!$C$5&lt;=BJ281,BJ281&lt;=競技会設定!$C$6),FALSE,TRUE))</f>
        <v>0</v>
      </c>
      <c r="BL281" s="218" t="b">
        <f>IF(J281="",FALSE,IF(L281=0,FALSE,IF(AND(AU279,NOT(BF281),NOT(BI281),P281=""),TRUE,FALSE)))</f>
        <v>0</v>
      </c>
      <c r="BO281" s="274"/>
    </row>
    <row r="282" spans="1:67" ht="18" customHeight="1" thickBot="1">
      <c r="A282" s="419"/>
      <c r="B282" s="395" t="s">
        <v>7051</v>
      </c>
      <c r="C282" s="395"/>
      <c r="D282" s="221"/>
      <c r="E282" s="372"/>
      <c r="F282" s="372"/>
      <c r="G282" s="372"/>
      <c r="H282" s="214"/>
      <c r="I282" s="214" t="s">
        <v>7065</v>
      </c>
      <c r="J282" s="219"/>
      <c r="K282" s="214" t="s">
        <v>7066</v>
      </c>
      <c r="L282" s="219"/>
      <c r="M282" s="258"/>
      <c r="N282" s="259"/>
      <c r="O282" s="260"/>
      <c r="P282" s="219"/>
      <c r="Q282" s="400"/>
      <c r="R282" s="393"/>
      <c r="S282" s="136"/>
      <c r="T282" s="137"/>
      <c r="U282" s="137"/>
      <c r="V282" s="137"/>
      <c r="W282" s="137"/>
      <c r="X282" s="137"/>
      <c r="Y282" s="218">
        <f t="shared" ref="Y282" si="3160">IF(OR(E279="",J282=""),0,J282&amp;E279)</f>
        <v>0</v>
      </c>
      <c r="Z282" s="218">
        <f>IF(Y282=0,0,COUNTIF($Y$7:Y282,Y282))</f>
        <v>0</v>
      </c>
      <c r="AD282" s="218">
        <f>IFERROR(VLOOKUP(J282,競技会設定!$P$2:$S$22,2,0),0)</f>
        <v>0</v>
      </c>
      <c r="AE282" s="218">
        <f t="shared" ref="AE282" si="3161">IF(E279="",0,IF(AD282=0,0,IF(AD282&lt;3,E279&amp;$AE$6,0)))</f>
        <v>0</v>
      </c>
      <c r="AF282" s="218">
        <f>IF(AE282=0,0,E279&amp;COUNTIF($AE$7:AE282,AE282))</f>
        <v>0</v>
      </c>
      <c r="AG282" s="218">
        <f t="shared" ref="AG282" si="3162">IF(E279="",0,IF(AD282=0,0,IF(AD282&gt;=3,E279&amp;$AG$6,0)))</f>
        <v>0</v>
      </c>
      <c r="AH282" s="218">
        <f>IF(AG282=0,0,E279&amp;COUNTIF($AG$7:AG282,AG282))</f>
        <v>0</v>
      </c>
      <c r="AI282" s="218">
        <f t="shared" si="2877"/>
        <v>0</v>
      </c>
      <c r="AJ282" s="218" t="b">
        <f>IF(AI282=0,FALSE,IF(COUNTIF(AI$7:AI282,AI282)&gt;1,TRUE,FALSE))</f>
        <v>0</v>
      </c>
      <c r="AK282" s="218">
        <f t="shared" ref="AK282" si="3163">IF($AD282=AK$6,$E279,0)</f>
        <v>0</v>
      </c>
      <c r="AL282" s="218" t="b">
        <f>IF(AK282=0,FALSE,IF(COUNTIF(AK$7:AK282,AK282)&gt;1,TRUE,FALSE))</f>
        <v>0</v>
      </c>
      <c r="AM282" s="218">
        <f t="shared" ref="AM282" si="3164">IF($AD282=AM$6,$E279,0)</f>
        <v>0</v>
      </c>
      <c r="AN282" s="218" t="b">
        <f>IF(AM282=0,FALSE,IF(COUNTIF(AM$7:AM282,AM282)&gt;1,TRUE,FALSE))</f>
        <v>0</v>
      </c>
      <c r="AO282" s="218">
        <f t="shared" ref="AO282" si="3165">IF($AD282=AO$6,$E279,0)</f>
        <v>0</v>
      </c>
      <c r="AP282" s="218" t="b">
        <f>IF(AO282=0,FALSE,IF(COUNTIF(AO$7:AO282,AO282)&gt;1,TRUE,FALSE))</f>
        <v>0</v>
      </c>
      <c r="AQ282" s="218">
        <f t="shared" ref="AQ282" si="3166">IF(COUNTIF(Y282,"*十種競技*")&gt;0,E279,0)</f>
        <v>0</v>
      </c>
      <c r="AR282" s="218" t="b">
        <f>IF(AQ282=0,FALSE,IF(OR(COUNTIF($AI$7:$AI$406,AQ282)+COUNTIF($AQ282:$AQ$406,AQ282)&gt;1,COUNTIF($AK$7:$AK$406,AQ282)+COUNTIF($AQ$7:$AQ$406,AQ282)&gt;1),TRUE,FALSE))</f>
        <v>0</v>
      </c>
      <c r="AT282" s="218" t="b">
        <f t="shared" si="2960"/>
        <v>0</v>
      </c>
      <c r="AU282" s="274"/>
      <c r="AX282" s="274"/>
      <c r="BD282" s="218" t="b">
        <f t="shared" si="2947"/>
        <v>0</v>
      </c>
      <c r="BF282" s="231" t="b">
        <f t="shared" ref="BF282" si="3167">IF(J282="",FALSE,IF(OR(AND(AU279,L282=""),AND(AU279,L282="",OR(M282&lt;&gt;"",N282&lt;&gt;"",O282&lt;&gt;"",P282&lt;&gt;""))),TRUE,FALSE))</f>
        <v>0</v>
      </c>
      <c r="BG282" s="218" t="b">
        <f t="shared" si="2949"/>
        <v>0</v>
      </c>
      <c r="BH282" s="218" t="b">
        <f t="shared" si="2962"/>
        <v>0</v>
      </c>
      <c r="BI282" s="231" t="b">
        <f t="shared" ref="BI282" si="3168">IF(J282="",FALSE,IF(L282=0,FALSE,IF(AND(AU279,NOT(BF282),OR(M282="",N282="",O282="")),TRUE,FALSE)))</f>
        <v>0</v>
      </c>
      <c r="BJ282" s="240" t="b">
        <f t="shared" si="2964"/>
        <v>0</v>
      </c>
      <c r="BK282" s="231" t="b">
        <f>IF(NOT(BJ282),FALSE,IF(AND(競技会設定!$C$5&lt;=BJ282,BJ282&lt;=競技会設定!$C$6),FALSE,TRUE))</f>
        <v>0</v>
      </c>
      <c r="BL282" s="218" t="b">
        <f>IF(J282="",FALSE,IF(L282=0,FALSE,IF(AND(AU279,NOT(BF282),NOT(BI282),P282=""),TRUE,FALSE)))</f>
        <v>0</v>
      </c>
      <c r="BO282" s="274"/>
    </row>
    <row r="283" spans="1:67" ht="18" customHeight="1" thickTop="1">
      <c r="A283" s="420">
        <v>70</v>
      </c>
      <c r="B283" s="373" t="s">
        <v>4018</v>
      </c>
      <c r="C283" s="375"/>
      <c r="D283" s="138" t="str">
        <f t="shared" ref="D283" si="3169">IF(C283="","",501&amp;TEXT(C283,"000000"))</f>
        <v/>
      </c>
      <c r="E283" s="377" t="str">
        <f>IF(D283="","",(VLOOKUP(D283,男子登録!$A$2:$N$2001,3,0)))</f>
        <v/>
      </c>
      <c r="F283" s="377" t="str">
        <f>IF(D283="","",(VLOOKUP(D283,男子登録!$A$2:$N$2001,4,0)))</f>
        <v/>
      </c>
      <c r="G283" s="138" t="str">
        <f>IF(C283="","",(VLOOKUP(D283,男子登録!$A$2:$N$2001,8,0)))</f>
        <v/>
      </c>
      <c r="H283" s="138">
        <f>IFERROR(VLOOKUP(D283,男子登録!$A$2:$N$2001,11,0),基本情報!$E$5)</f>
        <v>0</v>
      </c>
      <c r="I283" s="138" t="s">
        <v>4019</v>
      </c>
      <c r="J283" s="151"/>
      <c r="K283" s="138" t="s">
        <v>4022</v>
      </c>
      <c r="L283" s="151"/>
      <c r="M283" s="261"/>
      <c r="N283" s="262"/>
      <c r="O283" s="263"/>
      <c r="P283" s="151"/>
      <c r="Q283" s="381"/>
      <c r="R283" s="384"/>
      <c r="S283" s="136">
        <f t="shared" ref="S283" si="3170">IF(OR(E283="",Q283=""),0,E283)</f>
        <v>0</v>
      </c>
      <c r="T283" s="137">
        <f>IF(S283=0,0,COUNTIF($S$7:S283,"*"))</f>
        <v>0</v>
      </c>
      <c r="U283" s="137">
        <f>IF(S283=0,0,COUNTIF($S$7:S283,S283))</f>
        <v>0</v>
      </c>
      <c r="V283" s="137">
        <f t="shared" ref="V283:V343" si="3171">IF(OR(E283="",R283=""),0,E283&amp;MAX(COUNTIF($AG$7:$AG$406,E283&amp;"nans21v"))+1)</f>
        <v>0</v>
      </c>
      <c r="W283" s="137">
        <f>IF(V283=0,0,COUNTIF($V$7:V283,"*"))</f>
        <v>0</v>
      </c>
      <c r="X283" s="137">
        <f>IF(V283=0,0,COUNTIF($V$7:V283,V283))</f>
        <v>0</v>
      </c>
      <c r="Y283" s="218">
        <f t="shared" ref="Y283" si="3172">IF(OR(E283="",J283=""),0,J283&amp;E283)</f>
        <v>0</v>
      </c>
      <c r="Z283" s="218">
        <f>IF(Y283=0,0,COUNTIF($Y$7:Y283,Y283))</f>
        <v>0</v>
      </c>
      <c r="AA283" s="218" t="b">
        <f t="shared" ref="AA283" si="3173">IF(COUNTIF(J283:J286,"十種競技")&gt;0,TRUE,FALSE)</f>
        <v>0</v>
      </c>
      <c r="AB283" s="218">
        <f>IF(E283="",0,IF(AA283,COUNTIF($AA$7:AA283,TRUE),0))</f>
        <v>0</v>
      </c>
      <c r="AC283" s="218">
        <f>IFERROR(VLOOKUP("十種競技",J283:L286,3,0),0)</f>
        <v>0</v>
      </c>
      <c r="AD283" s="218">
        <f>IFERROR(VLOOKUP(J283,競技会設定!$P$2:$S$22,2,0),0)</f>
        <v>0</v>
      </c>
      <c r="AE283" s="218">
        <f t="shared" ref="AE283" si="3174">IF(E283="",0,IF(AD283=0,0,IF(AD283&lt;3,E283&amp;$AE$6,0)))</f>
        <v>0</v>
      </c>
      <c r="AF283" s="218">
        <f>IF(AE283=0,0,E283&amp;COUNTIF($AE$7:AE283,AE283))</f>
        <v>0</v>
      </c>
      <c r="AG283" s="218">
        <f t="shared" ref="AG283" si="3175">IF(E283="",0,IF(AD283=0,0,IF(AD283&gt;=3,E283&amp;$AG$6,0)))</f>
        <v>0</v>
      </c>
      <c r="AH283" s="218">
        <f>IF(AG283=0,0,E283&amp;COUNTIF($AG$7:AG283,AG283))</f>
        <v>0</v>
      </c>
      <c r="AI283" s="218">
        <f t="shared" si="2890"/>
        <v>0</v>
      </c>
      <c r="AJ283" s="218" t="b">
        <f>IF(AI283=0,FALSE,IF(COUNTIF(AI$7:AI283,AI283)&gt;1,TRUE,FALSE))</f>
        <v>0</v>
      </c>
      <c r="AK283" s="218">
        <f t="shared" ref="AK283" si="3176">IF($AD283=AK$6,$E283,0)</f>
        <v>0</v>
      </c>
      <c r="AL283" s="218" t="b">
        <f>IF(AK283=0,FALSE,IF(COUNTIF(AK$7:AK283,AK283)&gt;1,TRUE,FALSE))</f>
        <v>0</v>
      </c>
      <c r="AM283" s="218">
        <f t="shared" ref="AM283" si="3177">IF($AD283=AM$6,$E283,0)</f>
        <v>0</v>
      </c>
      <c r="AN283" s="218" t="b">
        <f>IF(AM283=0,FALSE,IF(COUNTIF(AM$7:AM283,AM283)&gt;1,TRUE,FALSE))</f>
        <v>0</v>
      </c>
      <c r="AO283" s="218">
        <f t="shared" ref="AO283" si="3178">IF($AD283=AO$6,$E283,0)</f>
        <v>0</v>
      </c>
      <c r="AP283" s="218" t="b">
        <f>IF(AO283=0,FALSE,IF(COUNTIF(AO$7:AO283,AO283)&gt;1,TRUE,FALSE))</f>
        <v>0</v>
      </c>
      <c r="AQ283" s="218">
        <f t="shared" ref="AQ283" si="3179">IF(COUNTIF(Y283,"*十種競技*")&gt;0,E283,0)</f>
        <v>0</v>
      </c>
      <c r="AR283" s="218" t="b">
        <f>IF(AQ283=0,FALSE,IF(OR(COUNTIF($AI$7:$AI$406,AQ283)+COUNTIF($AQ283:$AQ$406,AQ283)&gt;1,COUNTIF($AK$7:$AK$406,AQ283)+COUNTIF($AQ$7:$AQ$406,AQ283)&gt;1),TRUE,FALSE))</f>
        <v>0</v>
      </c>
      <c r="AS283" s="218" t="b">
        <f t="shared" ref="AS283" si="3180">IF(AND(C283="",E283&lt;&gt;"",F283&lt;&gt;"",E285&lt;&gt;"",G283&lt;&gt;"",G284&lt;&gt;"",G285&lt;&gt;""),TRUE,FALSE)</f>
        <v>0</v>
      </c>
      <c r="AT283" s="218" t="b">
        <f t="shared" si="2960"/>
        <v>0</v>
      </c>
      <c r="AU283" s="274" t="b">
        <f t="shared" ref="AU283" si="3181">IFERROR(IF(D283&amp;E283&amp;F283&amp;E285&amp;G283&amp;G284&amp;G285&amp;J283&amp;J284&amp;J285&amp;J286&amp;L283&amp;L284&amp;L285&amp;L286&amp;M283&amp;M284&amp;M285&amp;M286&amp;N283&amp;N284&amp;N285&amp;N286&amp;O283&amp;O284&amp;O285&amp;O286&amp;P283&amp;P284&amp;P285&amp;P286&amp;Q283&amp;R283="",FALSE,TRUE),FALSE)</f>
        <v>0</v>
      </c>
      <c r="AV283" s="218" t="b">
        <f t="shared" ref="AV283" si="3182">IF(AS283,FALSE,IF(C283="",AU283,FALSE))</f>
        <v>0</v>
      </c>
      <c r="AW283" s="218" t="b">
        <f>IF(C283="",FALSE,IF(C283&gt;2000,TRUE,FALSE))</f>
        <v>0</v>
      </c>
      <c r="AX283" s="274" t="b">
        <f>IF(H283=0,FALSE,IF(EXACT(基本情報!$E$5,H283)=TRUE,FALSE,TRUE))</f>
        <v>0</v>
      </c>
      <c r="AY283" s="218" t="b">
        <f>IF(C283="",FALSE,IF(ISNA(E283)=TRUE,TRUE,FALSE))</f>
        <v>0</v>
      </c>
      <c r="AZ283" s="274" t="b">
        <f>IFERROR(IF(E283="",FALSE,IF(COUNTIF($E$7:E283,E283)&gt;1,TRUE,FALSE)),FALSE)</f>
        <v>0</v>
      </c>
      <c r="BA283" s="218" t="b">
        <f t="shared" ref="BA283" si="3183">IF(OR(J283&amp;J284&amp;J285&amp;J286&amp;Q283&amp;R283="",AT283,AT284,AT285,AT286),AU283,FALSE)</f>
        <v>0</v>
      </c>
      <c r="BB283" s="218" t="b">
        <f>IF(U283&gt;1,TRUE,FALSE)</f>
        <v>0</v>
      </c>
      <c r="BC283" s="218" t="b">
        <f>IF(X283&gt;1,TRUE,FALSE)</f>
        <v>0</v>
      </c>
      <c r="BD283" s="218" t="b">
        <f t="shared" si="2947"/>
        <v>0</v>
      </c>
      <c r="BF283" s="231" t="b">
        <f t="shared" ref="BF283" si="3184">IF(J283="",FALSE,IF(OR(AND(AU283,L283=""),AND(AU283,L283="",OR(M283&lt;&gt;"",N283&lt;&gt;"",O283&lt;&gt;"",P283&lt;&gt;""))),TRUE,FALSE))</f>
        <v>0</v>
      </c>
      <c r="BG283" s="218" t="b">
        <f t="shared" si="2949"/>
        <v>0</v>
      </c>
      <c r="BH283" s="218" t="b">
        <f t="shared" si="2962"/>
        <v>0</v>
      </c>
      <c r="BI283" s="231" t="b">
        <f t="shared" ref="BI283" si="3185">IF(J283="",FALSE,IF(L283=0,FALSE,IF(AND(AU283,NOT(BF283),OR(M283="",N283="",O283="")),TRUE,FALSE)))</f>
        <v>0</v>
      </c>
      <c r="BJ283" s="240" t="b">
        <f t="shared" si="2964"/>
        <v>0</v>
      </c>
      <c r="BK283" s="231" t="b">
        <f>IF(NOT(BJ283),FALSE,IF(AND(競技会設定!$C$5&lt;=BJ283,BJ283&lt;=競技会設定!$C$6),FALSE,TRUE))</f>
        <v>0</v>
      </c>
      <c r="BL283" s="218" t="b">
        <f>IF(J283="",FALSE,IF(L283=0,FALSE,IF(AND(AU283,NOT(BF283),NOT(BI283),P283=""),TRUE,FALSE)))</f>
        <v>0</v>
      </c>
      <c r="BO283" s="274">
        <f t="shared" ref="BO283" si="3186">IF(AND(AU283,SUM(COUNTIF(AV283:BC283,TRUE),COUNTIF(BF283:BL286,TRUE),COUNTIF(BD283:BD286,TRUE))=0,NOT($BE$7)),1,0)</f>
        <v>0</v>
      </c>
    </row>
    <row r="284" spans="1:67" ht="17.399999999999999" customHeight="1">
      <c r="A284" s="421"/>
      <c r="B284" s="374"/>
      <c r="C284" s="376"/>
      <c r="D284" s="139"/>
      <c r="E284" s="378"/>
      <c r="F284" s="378"/>
      <c r="G284" s="139" t="str">
        <f>IF(C283="","",(VLOOKUP(D283,男子登録!$A$2:$N$2001,13,0)))</f>
        <v/>
      </c>
      <c r="H284" s="139"/>
      <c r="I284" s="139" t="s">
        <v>4020</v>
      </c>
      <c r="J284" s="152"/>
      <c r="K284" s="139" t="s">
        <v>4023</v>
      </c>
      <c r="L284" s="152"/>
      <c r="M284" s="264"/>
      <c r="N284" s="265"/>
      <c r="O284" s="266"/>
      <c r="P284" s="152"/>
      <c r="Q284" s="382"/>
      <c r="R284" s="385"/>
      <c r="S284" s="136"/>
      <c r="T284" s="137"/>
      <c r="U284" s="137"/>
      <c r="V284" s="137"/>
      <c r="W284" s="137"/>
      <c r="X284" s="137"/>
      <c r="Y284" s="218">
        <f t="shared" ref="Y284" si="3187">IF(OR(E283="",J284=""),0,J284&amp;E283)</f>
        <v>0</v>
      </c>
      <c r="Z284" s="218">
        <f>IF(Y284=0,0,COUNTIF($Y$7:Y284,Y284))</f>
        <v>0</v>
      </c>
      <c r="AD284" s="218">
        <f>IFERROR(VLOOKUP(J284,競技会設定!$P$2:$S$22,2,0),0)</f>
        <v>0</v>
      </c>
      <c r="AE284" s="218">
        <f t="shared" ref="AE284" si="3188">IF(E283="",0,IF(AD284=0,0,IF(AD284&lt;3,E283&amp;$AE$6,0)))</f>
        <v>0</v>
      </c>
      <c r="AF284" s="218">
        <f>IF(AE284=0,0,E283&amp;COUNTIF($AE$7:AE284,AE284))</f>
        <v>0</v>
      </c>
      <c r="AG284" s="218">
        <f t="shared" ref="AG284" si="3189">IF(E283="",0,IF(AD284=0,0,IF(AD284&gt;=3,E283&amp;$AG$6,0)))</f>
        <v>0</v>
      </c>
      <c r="AH284" s="218">
        <f>IF(AG284=0,0,E283&amp;COUNTIF($AG$7:AG284,AG284))</f>
        <v>0</v>
      </c>
      <c r="AI284" s="218">
        <f t="shared" si="2905"/>
        <v>0</v>
      </c>
      <c r="AJ284" s="218" t="b">
        <f>IF(AI284=0,FALSE,IF(COUNTIF(AI$7:AI284,AI284)&gt;1,TRUE,FALSE))</f>
        <v>0</v>
      </c>
      <c r="AK284" s="218">
        <f t="shared" ref="AK284" si="3190">IF($AD284=AK$6,$E283,0)</f>
        <v>0</v>
      </c>
      <c r="AL284" s="218" t="b">
        <f>IF(AK284=0,FALSE,IF(COUNTIF(AK$7:AK284,AK284)&gt;1,TRUE,FALSE))</f>
        <v>0</v>
      </c>
      <c r="AM284" s="218">
        <f t="shared" ref="AM284" si="3191">IF($AD284=AM$6,$E283,0)</f>
        <v>0</v>
      </c>
      <c r="AN284" s="218" t="b">
        <f>IF(AM284=0,FALSE,IF(COUNTIF(AM$7:AM284,AM284)&gt;1,TRUE,FALSE))</f>
        <v>0</v>
      </c>
      <c r="AO284" s="218">
        <f t="shared" ref="AO284" si="3192">IF($AD284=AO$6,$E283,0)</f>
        <v>0</v>
      </c>
      <c r="AP284" s="218" t="b">
        <f>IF(AO284=0,FALSE,IF(COUNTIF(AO$7:AO284,AO284)&gt;1,TRUE,FALSE))</f>
        <v>0</v>
      </c>
      <c r="AQ284" s="218">
        <f t="shared" ref="AQ284" si="3193">IF(COUNTIF(Y284,"*十種競技*")&gt;0,E283,0)</f>
        <v>0</v>
      </c>
      <c r="AR284" s="218" t="b">
        <f>IF(AQ284=0,FALSE,IF(OR(COUNTIF($AI$7:$AI$406,AQ284)+COUNTIF($AQ284:$AQ$406,AQ284)&gt;1,COUNTIF($AK$7:$AK$406,AQ284)+COUNTIF($AQ$7:$AQ$406,AQ284)&gt;1),TRUE,FALSE))</f>
        <v>0</v>
      </c>
      <c r="AT284" s="218" t="b">
        <f t="shared" si="2960"/>
        <v>0</v>
      </c>
      <c r="AU284" s="274"/>
      <c r="AX284" s="274"/>
      <c r="BD284" s="218" t="b">
        <f t="shared" si="2947"/>
        <v>0</v>
      </c>
      <c r="BF284" s="231" t="b">
        <f t="shared" ref="BF284" si="3194">IF(J284="",FALSE,IF(OR(AND(AU283,L284=""),AND(AU283,L284="",OR(M284&lt;&gt;"",N284&lt;&gt;"",O284&lt;&gt;"",P284&lt;&gt;""))),TRUE,FALSE))</f>
        <v>0</v>
      </c>
      <c r="BG284" s="218" t="b">
        <f t="shared" si="2949"/>
        <v>0</v>
      </c>
      <c r="BH284" s="218" t="b">
        <f t="shared" si="2962"/>
        <v>0</v>
      </c>
      <c r="BI284" s="231" t="b">
        <f t="shared" ref="BI284" si="3195">IF(J284="",FALSE,IF(L284=0,FALSE,IF(AND(AU283,NOT(BF284),OR(M284="",N284="",O284="")),TRUE,FALSE)))</f>
        <v>0</v>
      </c>
      <c r="BJ284" s="240" t="b">
        <f t="shared" si="2964"/>
        <v>0</v>
      </c>
      <c r="BK284" s="231" t="b">
        <f>IF(NOT(BJ284),FALSE,IF(AND(競技会設定!$C$5&lt;=BJ284,BJ284&lt;=競技会設定!$C$6),FALSE,TRUE))</f>
        <v>0</v>
      </c>
      <c r="BL284" s="218" t="b">
        <f>IF(J284="",FALSE,IF(L284=0,FALSE,IF(AND(AU283,NOT(BF284),NOT(BI284),P284=""),TRUE,FALSE)))</f>
        <v>0</v>
      </c>
      <c r="BO284" s="274"/>
    </row>
    <row r="285" spans="1:67" ht="17.399999999999999" customHeight="1">
      <c r="A285" s="421"/>
      <c r="B285" s="374"/>
      <c r="C285" s="376"/>
      <c r="D285" s="140"/>
      <c r="E285" s="379" t="str">
        <f>IF(C283="","",VLOOKUP(D283,男子登録!$A$2:$O$2001,14,0)&amp;" ("&amp;VLOOKUP(D283,男子登録!$A$2:$O$2001,15,0)&amp;")")</f>
        <v/>
      </c>
      <c r="F285" s="380"/>
      <c r="G285" s="140" t="str">
        <f>IF(C283="","",(VLOOKUP(D283,男子登録!$A$2:$N$2001,9,0)))</f>
        <v/>
      </c>
      <c r="H285" s="140"/>
      <c r="I285" s="140" t="s">
        <v>4021</v>
      </c>
      <c r="J285" s="153"/>
      <c r="K285" s="140" t="s">
        <v>6760</v>
      </c>
      <c r="L285" s="153"/>
      <c r="M285" s="264"/>
      <c r="N285" s="265"/>
      <c r="O285" s="266"/>
      <c r="P285" s="152"/>
      <c r="Q285" s="382"/>
      <c r="R285" s="385"/>
      <c r="S285" s="136"/>
      <c r="T285" s="137"/>
      <c r="U285" s="137"/>
      <c r="V285" s="137"/>
      <c r="W285" s="137"/>
      <c r="X285" s="137"/>
      <c r="Y285" s="218">
        <f t="shared" ref="Y285" si="3196">IF(OR(E283="",J285=""),0,J285&amp;E283)</f>
        <v>0</v>
      </c>
      <c r="Z285" s="218">
        <f>IF(Y285=0,0,COUNTIF($Y$7:Y285,Y285))</f>
        <v>0</v>
      </c>
      <c r="AD285" s="218">
        <f>IFERROR(VLOOKUP(J285,競技会設定!$P$2:$S$22,2,0),0)</f>
        <v>0</v>
      </c>
      <c r="AE285" s="218">
        <f t="shared" ref="AE285" si="3197">IF(E283="",0,IF(AD285=0,0,IF(AD285&lt;3,E283&amp;$AE$6,0)))</f>
        <v>0</v>
      </c>
      <c r="AF285" s="218">
        <f>IF(AE285=0,0,E283&amp;COUNTIF($AE$7:AE285,AE285))</f>
        <v>0</v>
      </c>
      <c r="AG285" s="218">
        <f t="shared" ref="AG285" si="3198">IF(E283="",0,IF(AD285=0,0,IF(AD285&gt;=3,E283&amp;$AG$6,0)))</f>
        <v>0</v>
      </c>
      <c r="AH285" s="218">
        <f>IF(AG285=0,0,E283&amp;COUNTIF($AG$7:AG285,AG285))</f>
        <v>0</v>
      </c>
      <c r="AI285" s="218">
        <f t="shared" si="2915"/>
        <v>0</v>
      </c>
      <c r="AJ285" s="218" t="b">
        <f>IF(AI285=0,FALSE,IF(COUNTIF(AI$7:AI285,AI285)&gt;1,TRUE,FALSE))</f>
        <v>0</v>
      </c>
      <c r="AK285" s="218">
        <f t="shared" ref="AK285" si="3199">IF($AD285=AK$6,$E283,0)</f>
        <v>0</v>
      </c>
      <c r="AL285" s="218" t="b">
        <f>IF(AK285=0,FALSE,IF(COUNTIF(AK$7:AK285,AK285)&gt;1,TRUE,FALSE))</f>
        <v>0</v>
      </c>
      <c r="AM285" s="218">
        <f t="shared" ref="AM285" si="3200">IF($AD285=AM$6,$E283,0)</f>
        <v>0</v>
      </c>
      <c r="AN285" s="218" t="b">
        <f>IF(AM285=0,FALSE,IF(COUNTIF(AM$7:AM285,AM285)&gt;1,TRUE,FALSE))</f>
        <v>0</v>
      </c>
      <c r="AO285" s="218">
        <f t="shared" ref="AO285" si="3201">IF($AD285=AO$6,$E283,0)</f>
        <v>0</v>
      </c>
      <c r="AP285" s="218" t="b">
        <f>IF(AO285=0,FALSE,IF(COUNTIF(AO$7:AO285,AO285)&gt;1,TRUE,FALSE))</f>
        <v>0</v>
      </c>
      <c r="AQ285" s="218">
        <f t="shared" ref="AQ285" si="3202">IF(COUNTIF(Y285,"*十種競技*")&gt;0,E283,0)</f>
        <v>0</v>
      </c>
      <c r="AR285" s="218" t="b">
        <f>IF(AQ285=0,FALSE,IF(OR(COUNTIF($AI$7:$AI$406,AQ285)+COUNTIF($AQ285:$AQ$406,AQ285)&gt;1,COUNTIF($AK$7:$AK$406,AQ285)+COUNTIF($AQ$7:$AQ$406,AQ285)&gt;1),TRUE,FALSE))</f>
        <v>0</v>
      </c>
      <c r="AT285" s="218" t="b">
        <f t="shared" si="2960"/>
        <v>0</v>
      </c>
      <c r="AU285" s="274"/>
      <c r="AX285" s="274"/>
      <c r="BD285" s="218" t="b">
        <f t="shared" si="2947"/>
        <v>0</v>
      </c>
      <c r="BF285" s="231" t="b">
        <f t="shared" ref="BF285" si="3203">IF(J285="",FALSE,IF(OR(AND(AU283,L285=""),AND(AU283,L285="",OR(M285&lt;&gt;"",N285&lt;&gt;"",O285&lt;&gt;"",P285&lt;&gt;""))),TRUE,FALSE))</f>
        <v>0</v>
      </c>
      <c r="BG285" s="218" t="b">
        <f t="shared" si="2949"/>
        <v>0</v>
      </c>
      <c r="BH285" s="218" t="b">
        <f t="shared" si="2962"/>
        <v>0</v>
      </c>
      <c r="BI285" s="231" t="b">
        <f t="shared" ref="BI285" si="3204">IF(J285="",FALSE,IF(L285=0,FALSE,IF(AND(AU283,NOT(BF285),OR(M285="",N285="",O285="")),TRUE,FALSE)))</f>
        <v>0</v>
      </c>
      <c r="BJ285" s="240" t="b">
        <f t="shared" si="2964"/>
        <v>0</v>
      </c>
      <c r="BK285" s="231" t="b">
        <f>IF(NOT(BJ285),FALSE,IF(AND(競技会設定!$C$5&lt;=BJ285,BJ285&lt;=競技会設定!$C$6),FALSE,TRUE))</f>
        <v>0</v>
      </c>
      <c r="BL285" s="218" t="b">
        <f>IF(J285="",FALSE,IF(L285=0,FALSE,IF(AND(AU283,NOT(BF285),NOT(BI285),P285=""),TRUE,FALSE)))</f>
        <v>0</v>
      </c>
      <c r="BO285" s="274"/>
    </row>
    <row r="286" spans="1:67" ht="18" customHeight="1" thickBot="1">
      <c r="A286" s="422"/>
      <c r="B286" s="387" t="s">
        <v>6764</v>
      </c>
      <c r="C286" s="387"/>
      <c r="D286" s="213"/>
      <c r="E286" s="388"/>
      <c r="F286" s="389"/>
      <c r="G286" s="390"/>
      <c r="H286" s="141"/>
      <c r="I286" s="213" t="s">
        <v>6759</v>
      </c>
      <c r="J286" s="154"/>
      <c r="K286" s="213" t="s">
        <v>6761</v>
      </c>
      <c r="L286" s="154"/>
      <c r="M286" s="267"/>
      <c r="N286" s="268"/>
      <c r="O286" s="269"/>
      <c r="P286" s="154"/>
      <c r="Q286" s="383"/>
      <c r="R286" s="386"/>
      <c r="S286" s="136"/>
      <c r="T286" s="137"/>
      <c r="U286" s="137"/>
      <c r="V286" s="137"/>
      <c r="W286" s="137"/>
      <c r="X286" s="137"/>
      <c r="Y286" s="218">
        <f t="shared" ref="Y286" si="3205">IF(OR(E283="",J286=""),0,J286&amp;E283)</f>
        <v>0</v>
      </c>
      <c r="Z286" s="218">
        <f>IF(Y286=0,0,COUNTIF($Y$7:Y286,Y286))</f>
        <v>0</v>
      </c>
      <c r="AD286" s="218">
        <f>IFERROR(VLOOKUP(J286,競技会設定!$P$2:$S$22,2,0),0)</f>
        <v>0</v>
      </c>
      <c r="AE286" s="218">
        <f t="shared" ref="AE286" si="3206">IF(E283="",0,IF(AD286=0,0,IF(AD286&lt;3,E283&amp;$AE$6,0)))</f>
        <v>0</v>
      </c>
      <c r="AF286" s="218">
        <f>IF(AE286=0,0,E283&amp;COUNTIF($AE$7:AE286,AE286))</f>
        <v>0</v>
      </c>
      <c r="AG286" s="218">
        <f t="shared" ref="AG286" si="3207">IF(E283="",0,IF(AD286=0,0,IF(AD286&gt;=3,E283&amp;$AG$6,0)))</f>
        <v>0</v>
      </c>
      <c r="AH286" s="218">
        <f>IF(AG286=0,0,E283&amp;COUNTIF($AG$7:AG286,AG286))</f>
        <v>0</v>
      </c>
      <c r="AI286" s="218">
        <f t="shared" si="2925"/>
        <v>0</v>
      </c>
      <c r="AJ286" s="218" t="b">
        <f>IF(AI286=0,FALSE,IF(COUNTIF(AI$7:AI286,AI286)&gt;1,TRUE,FALSE))</f>
        <v>0</v>
      </c>
      <c r="AK286" s="218">
        <f t="shared" ref="AK286" si="3208">IF($AD286=AK$6,$E283,0)</f>
        <v>0</v>
      </c>
      <c r="AL286" s="218" t="b">
        <f>IF(AK286=0,FALSE,IF(COUNTIF(AK$7:AK286,AK286)&gt;1,TRUE,FALSE))</f>
        <v>0</v>
      </c>
      <c r="AM286" s="218">
        <f t="shared" ref="AM286" si="3209">IF($AD286=AM$6,$E283,0)</f>
        <v>0</v>
      </c>
      <c r="AN286" s="218" t="b">
        <f>IF(AM286=0,FALSE,IF(COUNTIF(AM$7:AM286,AM286)&gt;1,TRUE,FALSE))</f>
        <v>0</v>
      </c>
      <c r="AO286" s="218">
        <f t="shared" ref="AO286" si="3210">IF($AD286=AO$6,$E283,0)</f>
        <v>0</v>
      </c>
      <c r="AP286" s="218" t="b">
        <f>IF(AO286=0,FALSE,IF(COUNTIF(AO$7:AO286,AO286)&gt;1,TRUE,FALSE))</f>
        <v>0</v>
      </c>
      <c r="AQ286" s="218">
        <f t="shared" ref="AQ286" si="3211">IF(COUNTIF(Y286,"*十種競技*")&gt;0,E283,0)</f>
        <v>0</v>
      </c>
      <c r="AR286" s="218" t="b">
        <f>IF(AQ286=0,FALSE,IF(OR(COUNTIF($AI$7:$AI$406,AQ286)+COUNTIF($AQ286:$AQ$406,AQ286)&gt;1,COUNTIF($AK$7:$AK$406,AQ286)+COUNTIF($AQ$7:$AQ$406,AQ286)&gt;1),TRUE,FALSE))</f>
        <v>0</v>
      </c>
      <c r="AT286" s="218" t="b">
        <f t="shared" si="2960"/>
        <v>0</v>
      </c>
      <c r="AU286" s="274"/>
      <c r="AX286" s="274"/>
      <c r="BD286" s="218" t="b">
        <f t="shared" si="2947"/>
        <v>0</v>
      </c>
      <c r="BF286" s="231" t="b">
        <f t="shared" ref="BF286" si="3212">IF(J286="",FALSE,IF(OR(AND(AU283,L286=""),AND(AU283,L286="",OR(M286&lt;&gt;"",N286&lt;&gt;"",O286&lt;&gt;"",P286&lt;&gt;""))),TRUE,FALSE))</f>
        <v>0</v>
      </c>
      <c r="BG286" s="218" t="b">
        <f t="shared" si="2949"/>
        <v>0</v>
      </c>
      <c r="BH286" s="218" t="b">
        <f t="shared" si="2962"/>
        <v>0</v>
      </c>
      <c r="BI286" s="231" t="b">
        <f t="shared" ref="BI286" si="3213">IF(J286="",FALSE,IF(L286=0,FALSE,IF(AND(AU283,NOT(BF286),OR(M286="",N286="",O286="")),TRUE,FALSE)))</f>
        <v>0</v>
      </c>
      <c r="BJ286" s="240" t="b">
        <f t="shared" si="2964"/>
        <v>0</v>
      </c>
      <c r="BK286" s="231" t="b">
        <f>IF(NOT(BJ286),FALSE,IF(AND(競技会設定!$C$5&lt;=BJ286,BJ286&lt;=競技会設定!$C$6),FALSE,TRUE))</f>
        <v>0</v>
      </c>
      <c r="BL286" s="218" t="b">
        <f>IF(J286="",FALSE,IF(L286=0,FALSE,IF(AND(AU283,NOT(BF286),NOT(BI286),P286=""),TRUE,FALSE)))</f>
        <v>0</v>
      </c>
      <c r="BO286" s="274"/>
    </row>
    <row r="287" spans="1:67" ht="18" customHeight="1" thickTop="1">
      <c r="A287" s="417">
        <v>71</v>
      </c>
      <c r="B287" s="401" t="s">
        <v>4018</v>
      </c>
      <c r="C287" s="403"/>
      <c r="D287" s="220" t="str">
        <f t="shared" ref="D287" si="3214">IF(C287="","",501&amp;TEXT(C287,"000000"))</f>
        <v/>
      </c>
      <c r="E287" s="396" t="str">
        <f>IF(D287="","",(VLOOKUP(D287,男子登録!$A$2:$N$2001,3,0)))</f>
        <v/>
      </c>
      <c r="F287" s="396" t="str">
        <f>IF(D287="","",(VLOOKUP(D287,男子登録!$A$2:$N$2001,4,0)))</f>
        <v/>
      </c>
      <c r="G287" s="220" t="str">
        <f>IF(C287="","",(VLOOKUP(D287,男子登録!$A$2:$N$2001,8,0)))</f>
        <v/>
      </c>
      <c r="H287" s="220">
        <f>IFERROR(VLOOKUP(D287,男子登録!$A$2:$N$2001,11,0),基本情報!$E$5)</f>
        <v>0</v>
      </c>
      <c r="I287" s="220" t="s">
        <v>4019</v>
      </c>
      <c r="J287" s="148"/>
      <c r="K287" s="220" t="s">
        <v>4022</v>
      </c>
      <c r="L287" s="148"/>
      <c r="M287" s="252"/>
      <c r="N287" s="253"/>
      <c r="O287" s="254"/>
      <c r="P287" s="148"/>
      <c r="Q287" s="398"/>
      <c r="R287" s="391"/>
      <c r="S287" s="136">
        <f t="shared" ref="S287" si="3215">IF(OR(E287="",Q287=""),0,E287)</f>
        <v>0</v>
      </c>
      <c r="T287" s="137">
        <f>IF(S287=0,0,COUNTIF($S$7:S287,"*"))</f>
        <v>0</v>
      </c>
      <c r="U287" s="137">
        <f>IF(S287=0,0,COUNTIF($S$7:S287,S287))</f>
        <v>0</v>
      </c>
      <c r="V287" s="137">
        <f t="shared" si="3171"/>
        <v>0</v>
      </c>
      <c r="W287" s="137">
        <f>IF(V287=0,0,COUNTIF($V$7:V287,"*"))</f>
        <v>0</v>
      </c>
      <c r="X287" s="137">
        <f>IF(V287=0,0,COUNTIF($V$7:V287,V287))</f>
        <v>0</v>
      </c>
      <c r="Y287" s="218">
        <f t="shared" ref="Y287" si="3216">IF(OR(E287="",J287=""),0,J287&amp;E287)</f>
        <v>0</v>
      </c>
      <c r="Z287" s="218">
        <f>IF(Y287=0,0,COUNTIF($Y$7:Y287,Y287))</f>
        <v>0</v>
      </c>
      <c r="AA287" s="218" t="b">
        <f t="shared" ref="AA287" si="3217">IF(COUNTIF(J287:J290,"十種競技")&gt;0,TRUE,FALSE)</f>
        <v>0</v>
      </c>
      <c r="AB287" s="218">
        <f>IF(E287="",0,IF(AA287,COUNTIF($AA$7:AA287,TRUE),0))</f>
        <v>0</v>
      </c>
      <c r="AC287" s="218">
        <f>IFERROR(VLOOKUP("十種競技",J287:L290,3,0),0)</f>
        <v>0</v>
      </c>
      <c r="AD287" s="218">
        <f>IFERROR(VLOOKUP(J287,競技会設定!$P$2:$S$22,2,0),0)</f>
        <v>0</v>
      </c>
      <c r="AE287" s="218">
        <f t="shared" ref="AE287" si="3218">IF(E287="",0,IF(AD287=0,0,IF(AD287&lt;3,E287&amp;$AE$6,0)))</f>
        <v>0</v>
      </c>
      <c r="AF287" s="218">
        <f>IF(AE287=0,0,E287&amp;COUNTIF($AE$7:AE287,AE287))</f>
        <v>0</v>
      </c>
      <c r="AG287" s="218">
        <f t="shared" ref="AG287" si="3219">IF(E287="",0,IF(AD287=0,0,IF(AD287&gt;=3,E287&amp;$AG$6,0)))</f>
        <v>0</v>
      </c>
      <c r="AH287" s="218">
        <f>IF(AG287=0,0,E287&amp;COUNTIF($AG$7:AG287,AG287))</f>
        <v>0</v>
      </c>
      <c r="AI287" s="218">
        <f t="shared" si="2938"/>
        <v>0</v>
      </c>
      <c r="AJ287" s="218" t="b">
        <f>IF(AI287=0,FALSE,IF(COUNTIF(AI$7:AI287,AI287)&gt;1,TRUE,FALSE))</f>
        <v>0</v>
      </c>
      <c r="AK287" s="218">
        <f t="shared" ref="AK287" si="3220">IF($AD287=AK$6,$E287,0)</f>
        <v>0</v>
      </c>
      <c r="AL287" s="218" t="b">
        <f>IF(AK287=0,FALSE,IF(COUNTIF(AK$7:AK287,AK287)&gt;1,TRUE,FALSE))</f>
        <v>0</v>
      </c>
      <c r="AM287" s="218">
        <f t="shared" ref="AM287" si="3221">IF($AD287=AM$6,$E287,0)</f>
        <v>0</v>
      </c>
      <c r="AN287" s="218" t="b">
        <f>IF(AM287=0,FALSE,IF(COUNTIF(AM$7:AM287,AM287)&gt;1,TRUE,FALSE))</f>
        <v>0</v>
      </c>
      <c r="AO287" s="218">
        <f t="shared" ref="AO287" si="3222">IF($AD287=AO$6,$E287,0)</f>
        <v>0</v>
      </c>
      <c r="AP287" s="218" t="b">
        <f>IF(AO287=0,FALSE,IF(COUNTIF(AO$7:AO287,AO287)&gt;1,TRUE,FALSE))</f>
        <v>0</v>
      </c>
      <c r="AQ287" s="218">
        <f t="shared" ref="AQ287" si="3223">IF(COUNTIF(Y287,"*十種競技*")&gt;0,E287,0)</f>
        <v>0</v>
      </c>
      <c r="AR287" s="218" t="b">
        <f>IF(AQ287=0,FALSE,IF(OR(COUNTIF($AI$7:$AI$406,AQ287)+COUNTIF($AQ287:$AQ$406,AQ287)&gt;1,COUNTIF($AK$7:$AK$406,AQ287)+COUNTIF($AQ$7:$AQ$406,AQ287)&gt;1),TRUE,FALSE))</f>
        <v>0</v>
      </c>
      <c r="AS287" s="218" t="b">
        <f t="shared" ref="AS287" si="3224">IF(AND(C287="",E287&lt;&gt;"",F287&lt;&gt;"",E289&lt;&gt;"",G287&lt;&gt;"",G288&lt;&gt;"",G289&lt;&gt;""),TRUE,FALSE)</f>
        <v>0</v>
      </c>
      <c r="AT287" s="218" t="b">
        <f t="shared" si="2960"/>
        <v>0</v>
      </c>
      <c r="AU287" s="274" t="b">
        <f t="shared" ref="AU287" si="3225">IFERROR(IF(D287&amp;E287&amp;F287&amp;E289&amp;G287&amp;G288&amp;G289&amp;J287&amp;J288&amp;J289&amp;J290&amp;L287&amp;L288&amp;L289&amp;L290&amp;M287&amp;M288&amp;M289&amp;M290&amp;N287&amp;N288&amp;N289&amp;N290&amp;O287&amp;O288&amp;O289&amp;O290&amp;P287&amp;P288&amp;P289&amp;P290&amp;Q287&amp;R287="",FALSE,TRUE),FALSE)</f>
        <v>0</v>
      </c>
      <c r="AV287" s="218" t="b">
        <f t="shared" ref="AV287" si="3226">IF(AS287,FALSE,IF(C287="",AU287,FALSE))</f>
        <v>0</v>
      </c>
      <c r="AW287" s="218" t="b">
        <f>IF(C287="",FALSE,IF(C287&gt;2000,TRUE,FALSE))</f>
        <v>0</v>
      </c>
      <c r="AX287" s="274" t="b">
        <f>IF(H287=0,FALSE,IF(EXACT(基本情報!$E$5,H287)=TRUE,FALSE,TRUE))</f>
        <v>0</v>
      </c>
      <c r="AY287" s="218" t="b">
        <f>IF(C287="",FALSE,IF(ISNA(E287)=TRUE,TRUE,FALSE))</f>
        <v>0</v>
      </c>
      <c r="AZ287" s="274" t="b">
        <f>IFERROR(IF(E287="",FALSE,IF(COUNTIF($E$7:E287,E287)&gt;1,TRUE,FALSE)),FALSE)</f>
        <v>0</v>
      </c>
      <c r="BA287" s="218" t="b">
        <f t="shared" ref="BA287" si="3227">IF(OR(J287&amp;J288&amp;J289&amp;J290&amp;Q287&amp;R287="",AT287,AT288,AT289,AT290),AU287,FALSE)</f>
        <v>0</v>
      </c>
      <c r="BB287" s="218" t="b">
        <f>IF(U287&gt;1,TRUE,FALSE)</f>
        <v>0</v>
      </c>
      <c r="BC287" s="218" t="b">
        <f>IF(X287&gt;1,TRUE,FALSE)</f>
        <v>0</v>
      </c>
      <c r="BD287" s="218" t="b">
        <f t="shared" si="2947"/>
        <v>0</v>
      </c>
      <c r="BF287" s="231" t="b">
        <f t="shared" ref="BF287" si="3228">IF(J287="",FALSE,IF(OR(AND(AU287,L287=""),AND(AU287,L287="",OR(M287&lt;&gt;"",N287&lt;&gt;"",O287&lt;&gt;"",P287&lt;&gt;""))),TRUE,FALSE))</f>
        <v>0</v>
      </c>
      <c r="BG287" s="218" t="b">
        <f t="shared" si="2949"/>
        <v>0</v>
      </c>
      <c r="BH287" s="218" t="b">
        <f t="shared" si="2962"/>
        <v>0</v>
      </c>
      <c r="BI287" s="231" t="b">
        <f t="shared" ref="BI287" si="3229">IF(J287="",FALSE,IF(L287=0,FALSE,IF(AND(AU287,NOT(BF287),OR(M287="",N287="",O287="")),TRUE,FALSE)))</f>
        <v>0</v>
      </c>
      <c r="BJ287" s="240" t="b">
        <f t="shared" si="2964"/>
        <v>0</v>
      </c>
      <c r="BK287" s="231" t="b">
        <f>IF(NOT(BJ287),FALSE,IF(AND(競技会設定!$C$5&lt;=BJ287,BJ287&lt;=競技会設定!$C$6),FALSE,TRUE))</f>
        <v>0</v>
      </c>
      <c r="BL287" s="218" t="b">
        <f>IF(J287="",FALSE,IF(L287=0,FALSE,IF(AND(AU287,NOT(BF287),NOT(BI287),P287=""),TRUE,FALSE)))</f>
        <v>0</v>
      </c>
      <c r="BO287" s="274">
        <f t="shared" ref="BO287" si="3230">IF(AND(AU287,SUM(COUNTIF(AV287:BC287,TRUE),COUNTIF(BF287:BL290,TRUE),COUNTIF(BD287:BD290,TRUE))=0,NOT($BE$7)),1,0)</f>
        <v>0</v>
      </c>
    </row>
    <row r="288" spans="1:67" ht="17.399999999999999" customHeight="1">
      <c r="A288" s="418"/>
      <c r="B288" s="402"/>
      <c r="C288" s="404"/>
      <c r="D288" s="221"/>
      <c r="E288" s="397"/>
      <c r="F288" s="397"/>
      <c r="G288" s="221" t="str">
        <f>IF(C287="","",(VLOOKUP(D287,男子登録!$A$2:$N$2001,13,0)))</f>
        <v/>
      </c>
      <c r="H288" s="221"/>
      <c r="I288" s="221" t="s">
        <v>4020</v>
      </c>
      <c r="J288" s="149"/>
      <c r="K288" s="221" t="s">
        <v>4023</v>
      </c>
      <c r="L288" s="149"/>
      <c r="M288" s="255"/>
      <c r="N288" s="256"/>
      <c r="O288" s="257"/>
      <c r="P288" s="149"/>
      <c r="Q288" s="399"/>
      <c r="R288" s="392"/>
      <c r="S288" s="136"/>
      <c r="T288" s="137"/>
      <c r="U288" s="137"/>
      <c r="V288" s="137"/>
      <c r="W288" s="137"/>
      <c r="X288" s="137"/>
      <c r="Y288" s="218">
        <f t="shared" ref="Y288" si="3231">IF(OR(E287="",J288=""),0,J288&amp;E287)</f>
        <v>0</v>
      </c>
      <c r="Z288" s="218">
        <f>IF(Y288=0,0,COUNTIF($Y$7:Y288,Y288))</f>
        <v>0</v>
      </c>
      <c r="AD288" s="218">
        <f>IFERROR(VLOOKUP(J288,競技会設定!$P$2:$S$22,2,0),0)</f>
        <v>0</v>
      </c>
      <c r="AE288" s="218">
        <f t="shared" ref="AE288" si="3232">IF(E287="",0,IF(AD288=0,0,IF(AD288&lt;3,E287&amp;$AE$6,0)))</f>
        <v>0</v>
      </c>
      <c r="AF288" s="218">
        <f>IF(AE288=0,0,E287&amp;COUNTIF($AE$7:AE288,AE288))</f>
        <v>0</v>
      </c>
      <c r="AG288" s="218">
        <f t="shared" ref="AG288" si="3233">IF(E287="",0,IF(AD288=0,0,IF(AD288&gt;=3,E287&amp;$AG$6,0)))</f>
        <v>0</v>
      </c>
      <c r="AH288" s="218">
        <f>IF(AG288=0,0,E287&amp;COUNTIF($AG$7:AG288,AG288))</f>
        <v>0</v>
      </c>
      <c r="AI288" s="218">
        <f t="shared" si="2955"/>
        <v>0</v>
      </c>
      <c r="AJ288" s="218" t="b">
        <f>IF(AI288=0,FALSE,IF(COUNTIF(AI$7:AI288,AI288)&gt;1,TRUE,FALSE))</f>
        <v>0</v>
      </c>
      <c r="AK288" s="218">
        <f t="shared" ref="AK288" si="3234">IF($AD288=AK$6,$E287,0)</f>
        <v>0</v>
      </c>
      <c r="AL288" s="218" t="b">
        <f>IF(AK288=0,FALSE,IF(COUNTIF(AK$7:AK288,AK288)&gt;1,TRUE,FALSE))</f>
        <v>0</v>
      </c>
      <c r="AM288" s="218">
        <f t="shared" ref="AM288" si="3235">IF($AD288=AM$6,$E287,0)</f>
        <v>0</v>
      </c>
      <c r="AN288" s="218" t="b">
        <f>IF(AM288=0,FALSE,IF(COUNTIF(AM$7:AM288,AM288)&gt;1,TRUE,FALSE))</f>
        <v>0</v>
      </c>
      <c r="AO288" s="218">
        <f t="shared" ref="AO288" si="3236">IF($AD288=AO$6,$E287,0)</f>
        <v>0</v>
      </c>
      <c r="AP288" s="218" t="b">
        <f>IF(AO288=0,FALSE,IF(COUNTIF(AO$7:AO288,AO288)&gt;1,TRUE,FALSE))</f>
        <v>0</v>
      </c>
      <c r="AQ288" s="218">
        <f t="shared" ref="AQ288" si="3237">IF(COUNTIF(Y288,"*十種競技*")&gt;0,E287,0)</f>
        <v>0</v>
      </c>
      <c r="AR288" s="218" t="b">
        <f>IF(AQ288=0,FALSE,IF(OR(COUNTIF($AI$7:$AI$406,AQ288)+COUNTIF($AQ288:$AQ$406,AQ288)&gt;1,COUNTIF($AK$7:$AK$406,AQ288)+COUNTIF($AQ$7:$AQ$406,AQ288)&gt;1),TRUE,FALSE))</f>
        <v>0</v>
      </c>
      <c r="AT288" s="218" t="b">
        <f t="shared" si="2960"/>
        <v>0</v>
      </c>
      <c r="AU288" s="274"/>
      <c r="AX288" s="274"/>
      <c r="BD288" s="218" t="b">
        <f t="shared" si="2947"/>
        <v>0</v>
      </c>
      <c r="BF288" s="231" t="b">
        <f t="shared" ref="BF288" si="3238">IF(J288="",FALSE,IF(OR(AND(AU287,L288=""),AND(AU287,L288="",OR(M288&lt;&gt;"",N288&lt;&gt;"",O288&lt;&gt;"",P288&lt;&gt;""))),TRUE,FALSE))</f>
        <v>0</v>
      </c>
      <c r="BG288" s="218" t="b">
        <f t="shared" si="2949"/>
        <v>0</v>
      </c>
      <c r="BH288" s="218" t="b">
        <f t="shared" si="2962"/>
        <v>0</v>
      </c>
      <c r="BI288" s="231" t="b">
        <f t="shared" ref="BI288" si="3239">IF(J288="",FALSE,IF(L288=0,FALSE,IF(AND(AU287,NOT(BF288),OR(M288="",N288="",O288="")),TRUE,FALSE)))</f>
        <v>0</v>
      </c>
      <c r="BJ288" s="240" t="b">
        <f t="shared" si="2964"/>
        <v>0</v>
      </c>
      <c r="BK288" s="231" t="b">
        <f>IF(NOT(BJ288),FALSE,IF(AND(競技会設定!$C$5&lt;=BJ288,BJ288&lt;=競技会設定!$C$6),FALSE,TRUE))</f>
        <v>0</v>
      </c>
      <c r="BL288" s="218" t="b">
        <f>IF(J288="",FALSE,IF(L288=0,FALSE,IF(AND(AU287,NOT(BF288),NOT(BI288),P288=""),TRUE,FALSE)))</f>
        <v>0</v>
      </c>
      <c r="BO288" s="274"/>
    </row>
    <row r="289" spans="1:67" ht="17.399999999999999" customHeight="1">
      <c r="A289" s="418"/>
      <c r="B289" s="402"/>
      <c r="C289" s="404"/>
      <c r="D289" s="221"/>
      <c r="E289" s="394" t="str">
        <f>IF(C287="","",VLOOKUP(D287,男子登録!$A$2:$O$2001,14,0)&amp;" ("&amp;VLOOKUP(D287,男子登録!$A$2:$O$2001,15,0)&amp;")")</f>
        <v/>
      </c>
      <c r="F289" s="394"/>
      <c r="G289" s="222" t="str">
        <f>IF(C287="","",(VLOOKUP(D287,男子登録!$A$2:$N$2001,9,0)))</f>
        <v/>
      </c>
      <c r="H289" s="222"/>
      <c r="I289" s="222" t="s">
        <v>4021</v>
      </c>
      <c r="J289" s="150"/>
      <c r="K289" s="222" t="s">
        <v>6760</v>
      </c>
      <c r="L289" s="150"/>
      <c r="M289" s="255"/>
      <c r="N289" s="256"/>
      <c r="O289" s="257"/>
      <c r="P289" s="149"/>
      <c r="Q289" s="399"/>
      <c r="R289" s="392"/>
      <c r="S289" s="136"/>
      <c r="T289" s="137"/>
      <c r="U289" s="137"/>
      <c r="V289" s="137"/>
      <c r="W289" s="137"/>
      <c r="X289" s="137"/>
      <c r="Y289" s="218">
        <f t="shared" ref="Y289" si="3240">IF(OR(E287="",J289=""),0,J289&amp;E287)</f>
        <v>0</v>
      </c>
      <c r="Z289" s="218">
        <f>IF(Y289=0,0,COUNTIF($Y$7:Y289,Y289))</f>
        <v>0</v>
      </c>
      <c r="AD289" s="218">
        <f>IFERROR(VLOOKUP(J289,競技会設定!$P$2:$S$22,2,0),0)</f>
        <v>0</v>
      </c>
      <c r="AE289" s="218">
        <f t="shared" ref="AE289" si="3241">IF(E287="",0,IF(AD289=0,0,IF(AD289&lt;3,E287&amp;$AE$6,0)))</f>
        <v>0</v>
      </c>
      <c r="AF289" s="218">
        <f>IF(AE289=0,0,E287&amp;COUNTIF($AE$7:AE289,AE289))</f>
        <v>0</v>
      </c>
      <c r="AG289" s="218">
        <f t="shared" ref="AG289" si="3242">IF(E287="",0,IF(AD289=0,0,IF(AD289&gt;=3,E287&amp;$AG$6,0)))</f>
        <v>0</v>
      </c>
      <c r="AH289" s="218">
        <f>IF(AG289=0,0,E287&amp;COUNTIF($AG$7:AG289,AG289))</f>
        <v>0</v>
      </c>
      <c r="AI289" s="218">
        <f t="shared" si="2968"/>
        <v>0</v>
      </c>
      <c r="AJ289" s="218" t="b">
        <f>IF(AI289=0,FALSE,IF(COUNTIF(AI$7:AI289,AI289)&gt;1,TRUE,FALSE))</f>
        <v>0</v>
      </c>
      <c r="AK289" s="218">
        <f t="shared" ref="AK289" si="3243">IF($AD289=AK$6,$E287,0)</f>
        <v>0</v>
      </c>
      <c r="AL289" s="218" t="b">
        <f>IF(AK289=0,FALSE,IF(COUNTIF(AK$7:AK289,AK289)&gt;1,TRUE,FALSE))</f>
        <v>0</v>
      </c>
      <c r="AM289" s="218">
        <f t="shared" ref="AM289" si="3244">IF($AD289=AM$6,$E287,0)</f>
        <v>0</v>
      </c>
      <c r="AN289" s="218" t="b">
        <f>IF(AM289=0,FALSE,IF(COUNTIF(AM$7:AM289,AM289)&gt;1,TRUE,FALSE))</f>
        <v>0</v>
      </c>
      <c r="AO289" s="218">
        <f t="shared" ref="AO289" si="3245">IF($AD289=AO$6,$E287,0)</f>
        <v>0</v>
      </c>
      <c r="AP289" s="218" t="b">
        <f>IF(AO289=0,FALSE,IF(COUNTIF(AO$7:AO289,AO289)&gt;1,TRUE,FALSE))</f>
        <v>0</v>
      </c>
      <c r="AQ289" s="218">
        <f t="shared" ref="AQ289" si="3246">IF(COUNTIF(Y289,"*十種競技*")&gt;0,E287,0)</f>
        <v>0</v>
      </c>
      <c r="AR289" s="218" t="b">
        <f>IF(AQ289=0,FALSE,IF(OR(COUNTIF($AI$7:$AI$406,AQ289)+COUNTIF($AQ289:$AQ$406,AQ289)&gt;1,COUNTIF($AK$7:$AK$406,AQ289)+COUNTIF($AQ$7:$AQ$406,AQ289)&gt;1),TRUE,FALSE))</f>
        <v>0</v>
      </c>
      <c r="AT289" s="218" t="b">
        <f t="shared" si="2960"/>
        <v>0</v>
      </c>
      <c r="AU289" s="274"/>
      <c r="AX289" s="274"/>
      <c r="BD289" s="218" t="b">
        <f t="shared" si="2947"/>
        <v>0</v>
      </c>
      <c r="BF289" s="231" t="b">
        <f t="shared" ref="BF289" si="3247">IF(J289="",FALSE,IF(OR(AND(AU287,L289=""),AND(AU287,L289="",OR(M289&lt;&gt;"",N289&lt;&gt;"",O289&lt;&gt;"",P289&lt;&gt;""))),TRUE,FALSE))</f>
        <v>0</v>
      </c>
      <c r="BG289" s="218" t="b">
        <f t="shared" si="2949"/>
        <v>0</v>
      </c>
      <c r="BH289" s="218" t="b">
        <f t="shared" si="2962"/>
        <v>0</v>
      </c>
      <c r="BI289" s="231" t="b">
        <f t="shared" ref="BI289" si="3248">IF(J289="",FALSE,IF(L289=0,FALSE,IF(AND(AU287,NOT(BF289),OR(M289="",N289="",O289="")),TRUE,FALSE)))</f>
        <v>0</v>
      </c>
      <c r="BJ289" s="240" t="b">
        <f t="shared" si="2964"/>
        <v>0</v>
      </c>
      <c r="BK289" s="231" t="b">
        <f>IF(NOT(BJ289),FALSE,IF(AND(競技会設定!$C$5&lt;=BJ289,BJ289&lt;=競技会設定!$C$6),FALSE,TRUE))</f>
        <v>0</v>
      </c>
      <c r="BL289" s="218" t="b">
        <f>IF(J289="",FALSE,IF(L289=0,FALSE,IF(AND(AU287,NOT(BF289),NOT(BI289),P289=""),TRUE,FALSE)))</f>
        <v>0</v>
      </c>
      <c r="BO289" s="274"/>
    </row>
    <row r="290" spans="1:67" ht="18" customHeight="1" thickBot="1">
      <c r="A290" s="419"/>
      <c r="B290" s="395" t="s">
        <v>6764</v>
      </c>
      <c r="C290" s="395"/>
      <c r="D290" s="221"/>
      <c r="E290" s="372"/>
      <c r="F290" s="372"/>
      <c r="G290" s="372"/>
      <c r="H290" s="214"/>
      <c r="I290" s="214" t="s">
        <v>6759</v>
      </c>
      <c r="J290" s="219"/>
      <c r="K290" s="214" t="s">
        <v>6761</v>
      </c>
      <c r="L290" s="219"/>
      <c r="M290" s="258"/>
      <c r="N290" s="259"/>
      <c r="O290" s="260"/>
      <c r="P290" s="219"/>
      <c r="Q290" s="400"/>
      <c r="R290" s="393"/>
      <c r="S290" s="136"/>
      <c r="T290" s="137"/>
      <c r="U290" s="137"/>
      <c r="V290" s="137"/>
      <c r="W290" s="137"/>
      <c r="X290" s="137"/>
      <c r="Y290" s="218">
        <f t="shared" ref="Y290" si="3249">IF(OR(E287="",J290=""),0,J290&amp;E287)</f>
        <v>0</v>
      </c>
      <c r="Z290" s="218">
        <f>IF(Y290=0,0,COUNTIF($Y$7:Y290,Y290))</f>
        <v>0</v>
      </c>
      <c r="AD290" s="218">
        <f>IFERROR(VLOOKUP(J290,競技会設定!$P$2:$S$22,2,0),0)</f>
        <v>0</v>
      </c>
      <c r="AE290" s="218">
        <f t="shared" ref="AE290" si="3250">IF(E287="",0,IF(AD290=0,0,IF(AD290&lt;3,E287&amp;$AE$6,0)))</f>
        <v>0</v>
      </c>
      <c r="AF290" s="218">
        <f>IF(AE290=0,0,E287&amp;COUNTIF($AE$7:AE290,AE290))</f>
        <v>0</v>
      </c>
      <c r="AG290" s="218">
        <f t="shared" ref="AG290" si="3251">IF(E287="",0,IF(AD290=0,0,IF(AD290&gt;=3,E287&amp;$AG$6,0)))</f>
        <v>0</v>
      </c>
      <c r="AH290" s="218">
        <f>IF(AG290=0,0,E287&amp;COUNTIF($AG$7:AG290,AG290))</f>
        <v>0</v>
      </c>
      <c r="AI290" s="218">
        <f t="shared" si="2978"/>
        <v>0</v>
      </c>
      <c r="AJ290" s="218" t="b">
        <f>IF(AI290=0,FALSE,IF(COUNTIF(AI$7:AI290,AI290)&gt;1,TRUE,FALSE))</f>
        <v>0</v>
      </c>
      <c r="AK290" s="218">
        <f t="shared" ref="AK290" si="3252">IF($AD290=AK$6,$E287,0)</f>
        <v>0</v>
      </c>
      <c r="AL290" s="218" t="b">
        <f>IF(AK290=0,FALSE,IF(COUNTIF(AK$7:AK290,AK290)&gt;1,TRUE,FALSE))</f>
        <v>0</v>
      </c>
      <c r="AM290" s="218">
        <f t="shared" ref="AM290" si="3253">IF($AD290=AM$6,$E287,0)</f>
        <v>0</v>
      </c>
      <c r="AN290" s="218" t="b">
        <f>IF(AM290=0,FALSE,IF(COUNTIF(AM$7:AM290,AM290)&gt;1,TRUE,FALSE))</f>
        <v>0</v>
      </c>
      <c r="AO290" s="218">
        <f t="shared" ref="AO290" si="3254">IF($AD290=AO$6,$E287,0)</f>
        <v>0</v>
      </c>
      <c r="AP290" s="218" t="b">
        <f>IF(AO290=0,FALSE,IF(COUNTIF(AO$7:AO290,AO290)&gt;1,TRUE,FALSE))</f>
        <v>0</v>
      </c>
      <c r="AQ290" s="218">
        <f t="shared" ref="AQ290" si="3255">IF(COUNTIF(Y290,"*十種競技*")&gt;0,E287,0)</f>
        <v>0</v>
      </c>
      <c r="AR290" s="218" t="b">
        <f>IF(AQ290=0,FALSE,IF(OR(COUNTIF($AI$7:$AI$406,AQ290)+COUNTIF($AQ290:$AQ$406,AQ290)&gt;1,COUNTIF($AK$7:$AK$406,AQ290)+COUNTIF($AQ$7:$AQ$406,AQ290)&gt;1),TRUE,FALSE))</f>
        <v>0</v>
      </c>
      <c r="AT290" s="218" t="b">
        <f t="shared" si="2960"/>
        <v>0</v>
      </c>
      <c r="AU290" s="274"/>
      <c r="AX290" s="274"/>
      <c r="BD290" s="218" t="b">
        <f t="shared" si="2947"/>
        <v>0</v>
      </c>
      <c r="BF290" s="231" t="b">
        <f t="shared" ref="BF290" si="3256">IF(J290="",FALSE,IF(OR(AND(AU287,L290=""),AND(AU287,L290="",OR(M290&lt;&gt;"",N290&lt;&gt;"",O290&lt;&gt;"",P290&lt;&gt;""))),TRUE,FALSE))</f>
        <v>0</v>
      </c>
      <c r="BG290" s="218" t="b">
        <f t="shared" si="2949"/>
        <v>0</v>
      </c>
      <c r="BH290" s="218" t="b">
        <f t="shared" si="2962"/>
        <v>0</v>
      </c>
      <c r="BI290" s="231" t="b">
        <f t="shared" ref="BI290" si="3257">IF(J290="",FALSE,IF(L290=0,FALSE,IF(AND(AU287,NOT(BF290),OR(M290="",N290="",O290="")),TRUE,FALSE)))</f>
        <v>0</v>
      </c>
      <c r="BJ290" s="240" t="b">
        <f t="shared" si="2964"/>
        <v>0</v>
      </c>
      <c r="BK290" s="231" t="b">
        <f>IF(NOT(BJ290),FALSE,IF(AND(競技会設定!$C$5&lt;=BJ290,BJ290&lt;=競技会設定!$C$6),FALSE,TRUE))</f>
        <v>0</v>
      </c>
      <c r="BL290" s="218" t="b">
        <f>IF(J290="",FALSE,IF(L290=0,FALSE,IF(AND(AU287,NOT(BF290),NOT(BI290),P290=""),TRUE,FALSE)))</f>
        <v>0</v>
      </c>
      <c r="BO290" s="274"/>
    </row>
    <row r="291" spans="1:67" ht="18" customHeight="1" thickTop="1">
      <c r="A291" s="420">
        <v>72</v>
      </c>
      <c r="B291" s="373" t="s">
        <v>4018</v>
      </c>
      <c r="C291" s="375"/>
      <c r="D291" s="138" t="str">
        <f t="shared" ref="D291" si="3258">IF(C291="","",501&amp;TEXT(C291,"000000"))</f>
        <v/>
      </c>
      <c r="E291" s="377" t="str">
        <f>IF(D291="","",(VLOOKUP(D291,男子登録!$A$2:$N$2001,3,0)))</f>
        <v/>
      </c>
      <c r="F291" s="377" t="str">
        <f>IF(D291="","",(VLOOKUP(D291,男子登録!$A$2:$N$2001,4,0)))</f>
        <v/>
      </c>
      <c r="G291" s="138" t="str">
        <f>IF(C291="","",(VLOOKUP(D291,男子登録!$A$2:$N$2001,8,0)))</f>
        <v/>
      </c>
      <c r="H291" s="138">
        <f>IFERROR(VLOOKUP(D291,男子登録!$A$2:$N$2001,11,0),基本情報!$E$5)</f>
        <v>0</v>
      </c>
      <c r="I291" s="138" t="s">
        <v>4019</v>
      </c>
      <c r="J291" s="151"/>
      <c r="K291" s="138" t="s">
        <v>4022</v>
      </c>
      <c r="L291" s="151"/>
      <c r="M291" s="261"/>
      <c r="N291" s="262"/>
      <c r="O291" s="263"/>
      <c r="P291" s="151"/>
      <c r="Q291" s="381"/>
      <c r="R291" s="384"/>
      <c r="S291" s="136">
        <f t="shared" ref="S291" si="3259">IF(OR(E291="",Q291=""),0,E291)</f>
        <v>0</v>
      </c>
      <c r="T291" s="137">
        <f>IF(S291=0,0,COUNTIF($S$7:S291,"*"))</f>
        <v>0</v>
      </c>
      <c r="U291" s="137">
        <f>IF(S291=0,0,COUNTIF($S$7:S291,S291))</f>
        <v>0</v>
      </c>
      <c r="V291" s="137">
        <f t="shared" si="3171"/>
        <v>0</v>
      </c>
      <c r="W291" s="137">
        <f>IF(V291=0,0,COUNTIF($V$7:V291,"*"))</f>
        <v>0</v>
      </c>
      <c r="X291" s="137">
        <f>IF(V291=0,0,COUNTIF($V$7:V291,V291))</f>
        <v>0</v>
      </c>
      <c r="Y291" s="218">
        <f t="shared" ref="Y291" si="3260">IF(OR(E291="",J291=""),0,J291&amp;E291)</f>
        <v>0</v>
      </c>
      <c r="Z291" s="218">
        <f>IF(Y291=0,0,COUNTIF($Y$7:Y291,Y291))</f>
        <v>0</v>
      </c>
      <c r="AA291" s="218" t="b">
        <f t="shared" ref="AA291" si="3261">IF(COUNTIF(J291:J294,"十種競技")&gt;0,TRUE,FALSE)</f>
        <v>0</v>
      </c>
      <c r="AB291" s="218">
        <f>IF(E291="",0,IF(AA291,COUNTIF($AA$7:AA291,TRUE),0))</f>
        <v>0</v>
      </c>
      <c r="AC291" s="218">
        <f>IFERROR(VLOOKUP("十種競技",J291:L294,3,0),0)</f>
        <v>0</v>
      </c>
      <c r="AD291" s="218">
        <f>IFERROR(VLOOKUP(J291,競技会設定!$P$2:$S$22,2,0),0)</f>
        <v>0</v>
      </c>
      <c r="AE291" s="218">
        <f t="shared" ref="AE291" si="3262">IF(E291="",0,IF(AD291=0,0,IF(AD291&lt;3,E291&amp;$AE$6,0)))</f>
        <v>0</v>
      </c>
      <c r="AF291" s="218">
        <f>IF(AE291=0,0,E291&amp;COUNTIF($AE$7:AE291,AE291))</f>
        <v>0</v>
      </c>
      <c r="AG291" s="218">
        <f t="shared" ref="AG291" si="3263">IF(E291="",0,IF(AD291=0,0,IF(AD291&gt;=3,E291&amp;$AG$6,0)))</f>
        <v>0</v>
      </c>
      <c r="AH291" s="218">
        <f>IF(AG291=0,0,E291&amp;COUNTIF($AG$7:AG291,AG291))</f>
        <v>0</v>
      </c>
      <c r="AI291" s="218">
        <f t="shared" si="2991"/>
        <v>0</v>
      </c>
      <c r="AJ291" s="218" t="b">
        <f>IF(AI291=0,FALSE,IF(COUNTIF(AI$7:AI291,AI291)&gt;1,TRUE,FALSE))</f>
        <v>0</v>
      </c>
      <c r="AK291" s="218">
        <f t="shared" ref="AK291" si="3264">IF($AD291=AK$6,$E291,0)</f>
        <v>0</v>
      </c>
      <c r="AL291" s="218" t="b">
        <f>IF(AK291=0,FALSE,IF(COUNTIF(AK$7:AK291,AK291)&gt;1,TRUE,FALSE))</f>
        <v>0</v>
      </c>
      <c r="AM291" s="218">
        <f t="shared" ref="AM291" si="3265">IF($AD291=AM$6,$E291,0)</f>
        <v>0</v>
      </c>
      <c r="AN291" s="218" t="b">
        <f>IF(AM291=0,FALSE,IF(COUNTIF(AM$7:AM291,AM291)&gt;1,TRUE,FALSE))</f>
        <v>0</v>
      </c>
      <c r="AO291" s="218">
        <f t="shared" ref="AO291" si="3266">IF($AD291=AO$6,$E291,0)</f>
        <v>0</v>
      </c>
      <c r="AP291" s="218" t="b">
        <f>IF(AO291=0,FALSE,IF(COUNTIF(AO$7:AO291,AO291)&gt;1,TRUE,FALSE))</f>
        <v>0</v>
      </c>
      <c r="AQ291" s="218">
        <f t="shared" ref="AQ291" si="3267">IF(COUNTIF(Y291,"*十種競技*")&gt;0,E291,0)</f>
        <v>0</v>
      </c>
      <c r="AR291" s="218" t="b">
        <f>IF(AQ291=0,FALSE,IF(OR(COUNTIF($AI$7:$AI$406,AQ291)+COUNTIF($AQ291:$AQ$406,AQ291)&gt;1,COUNTIF($AK$7:$AK$406,AQ291)+COUNTIF($AQ$7:$AQ$406,AQ291)&gt;1),TRUE,FALSE))</f>
        <v>0</v>
      </c>
      <c r="AS291" s="218" t="b">
        <f t="shared" ref="AS291" si="3268">IF(AND(C291="",E291&lt;&gt;"",F291&lt;&gt;"",E293&lt;&gt;"",G291&lt;&gt;"",G292&lt;&gt;"",G293&lt;&gt;""),TRUE,FALSE)</f>
        <v>0</v>
      </c>
      <c r="AT291" s="218" t="b">
        <f t="shared" si="2960"/>
        <v>0</v>
      </c>
      <c r="AU291" s="274" t="b">
        <f t="shared" ref="AU291" si="3269">IFERROR(IF(D291&amp;E291&amp;F291&amp;E293&amp;G291&amp;G292&amp;G293&amp;J291&amp;J292&amp;J293&amp;J294&amp;L291&amp;L292&amp;L293&amp;L294&amp;M291&amp;M292&amp;M293&amp;M294&amp;N291&amp;N292&amp;N293&amp;N294&amp;O291&amp;O292&amp;O293&amp;O294&amp;P291&amp;P292&amp;P293&amp;P294&amp;Q291&amp;R291="",FALSE,TRUE),FALSE)</f>
        <v>0</v>
      </c>
      <c r="AV291" s="218" t="b">
        <f t="shared" ref="AV291" si="3270">IF(AS291,FALSE,IF(C291="",AU291,FALSE))</f>
        <v>0</v>
      </c>
      <c r="AW291" s="218" t="b">
        <f>IF(C291="",FALSE,IF(C291&gt;2000,TRUE,FALSE))</f>
        <v>0</v>
      </c>
      <c r="AX291" s="274" t="b">
        <f>IF(H291=0,FALSE,IF(EXACT(基本情報!$E$5,H291)=TRUE,FALSE,TRUE))</f>
        <v>0</v>
      </c>
      <c r="AY291" s="218" t="b">
        <f>IF(C291="",FALSE,IF(ISNA(E291)=TRUE,TRUE,FALSE))</f>
        <v>0</v>
      </c>
      <c r="AZ291" s="274" t="b">
        <f>IFERROR(IF(E291="",FALSE,IF(COUNTIF($E$7:E291,E291)&gt;1,TRUE,FALSE)),FALSE)</f>
        <v>0</v>
      </c>
      <c r="BA291" s="218" t="b">
        <f t="shared" ref="BA291" si="3271">IF(OR(J291&amp;J292&amp;J293&amp;J294&amp;Q291&amp;R291="",AT291,AT292,AT293,AT294),AU291,FALSE)</f>
        <v>0</v>
      </c>
      <c r="BB291" s="218" t="b">
        <f>IF(U291&gt;1,TRUE,FALSE)</f>
        <v>0</v>
      </c>
      <c r="BC291" s="218" t="b">
        <f>IF(X291&gt;1,TRUE,FALSE)</f>
        <v>0</v>
      </c>
      <c r="BD291" s="218" t="b">
        <f t="shared" si="2947"/>
        <v>0</v>
      </c>
      <c r="BF291" s="231" t="b">
        <f t="shared" ref="BF291" si="3272">IF(J291="",FALSE,IF(OR(AND(AU291,L291=""),AND(AU291,L291="",OR(M291&lt;&gt;"",N291&lt;&gt;"",O291&lt;&gt;"",P291&lt;&gt;""))),TRUE,FALSE))</f>
        <v>0</v>
      </c>
      <c r="BG291" s="218" t="b">
        <f t="shared" si="2949"/>
        <v>0</v>
      </c>
      <c r="BH291" s="218" t="b">
        <f t="shared" si="2962"/>
        <v>0</v>
      </c>
      <c r="BI291" s="231" t="b">
        <f t="shared" ref="BI291" si="3273">IF(J291="",FALSE,IF(L291=0,FALSE,IF(AND(AU291,NOT(BF291),OR(M291="",N291="",O291="")),TRUE,FALSE)))</f>
        <v>0</v>
      </c>
      <c r="BJ291" s="240" t="b">
        <f t="shared" si="2964"/>
        <v>0</v>
      </c>
      <c r="BK291" s="231" t="b">
        <f>IF(NOT(BJ291),FALSE,IF(AND(競技会設定!$C$5&lt;=BJ291,BJ291&lt;=競技会設定!$C$6),FALSE,TRUE))</f>
        <v>0</v>
      </c>
      <c r="BL291" s="218" t="b">
        <f>IF(J291="",FALSE,IF(L291=0,FALSE,IF(AND(AU291,NOT(BF291),NOT(BI291),P291=""),TRUE,FALSE)))</f>
        <v>0</v>
      </c>
      <c r="BO291" s="274">
        <f t="shared" ref="BO291" si="3274">IF(AND(AU291,SUM(COUNTIF(AV291:BC291,TRUE),COUNTIF(BF291:BL294,TRUE),COUNTIF(BD291:BD294,TRUE))=0,NOT($BE$7)),1,0)</f>
        <v>0</v>
      </c>
    </row>
    <row r="292" spans="1:67" ht="17.399999999999999" customHeight="1">
      <c r="A292" s="421"/>
      <c r="B292" s="374"/>
      <c r="C292" s="376"/>
      <c r="D292" s="139"/>
      <c r="E292" s="378"/>
      <c r="F292" s="378"/>
      <c r="G292" s="139" t="str">
        <f>IF(C291="","",(VLOOKUP(D291,男子登録!$A$2:$N$2001,13,0)))</f>
        <v/>
      </c>
      <c r="H292" s="139"/>
      <c r="I292" s="139" t="s">
        <v>4020</v>
      </c>
      <c r="J292" s="152"/>
      <c r="K292" s="139" t="s">
        <v>4023</v>
      </c>
      <c r="L292" s="152"/>
      <c r="M292" s="264"/>
      <c r="N292" s="265"/>
      <c r="O292" s="266"/>
      <c r="P292" s="152"/>
      <c r="Q292" s="382"/>
      <c r="R292" s="385"/>
      <c r="S292" s="136"/>
      <c r="T292" s="137"/>
      <c r="U292" s="137"/>
      <c r="V292" s="137"/>
      <c r="W292" s="137"/>
      <c r="X292" s="137"/>
      <c r="Y292" s="218">
        <f t="shared" ref="Y292" si="3275">IF(OR(E291="",J292=""),0,J292&amp;E291)</f>
        <v>0</v>
      </c>
      <c r="Z292" s="218">
        <f>IF(Y292=0,0,COUNTIF($Y$7:Y292,Y292))</f>
        <v>0</v>
      </c>
      <c r="AD292" s="218">
        <f>IFERROR(VLOOKUP(J292,競技会設定!$P$2:$S$22,2,0),0)</f>
        <v>0</v>
      </c>
      <c r="AE292" s="218">
        <f t="shared" ref="AE292" si="3276">IF(E291="",0,IF(AD292=0,0,IF(AD292&lt;3,E291&amp;$AE$6,0)))</f>
        <v>0</v>
      </c>
      <c r="AF292" s="218">
        <f>IF(AE292=0,0,E291&amp;COUNTIF($AE$7:AE292,AE292))</f>
        <v>0</v>
      </c>
      <c r="AG292" s="218">
        <f t="shared" ref="AG292" si="3277">IF(E291="",0,IF(AD292=0,0,IF(AD292&gt;=3,E291&amp;$AG$6,0)))</f>
        <v>0</v>
      </c>
      <c r="AH292" s="218">
        <f>IF(AG292=0,0,E291&amp;COUNTIF($AG$7:AG292,AG292))</f>
        <v>0</v>
      </c>
      <c r="AI292" s="218">
        <f t="shared" si="3006"/>
        <v>0</v>
      </c>
      <c r="AJ292" s="218" t="b">
        <f>IF(AI292=0,FALSE,IF(COUNTIF(AI$7:AI292,AI292)&gt;1,TRUE,FALSE))</f>
        <v>0</v>
      </c>
      <c r="AK292" s="218">
        <f t="shared" ref="AK292" si="3278">IF($AD292=AK$6,$E291,0)</f>
        <v>0</v>
      </c>
      <c r="AL292" s="218" t="b">
        <f>IF(AK292=0,FALSE,IF(COUNTIF(AK$7:AK292,AK292)&gt;1,TRUE,FALSE))</f>
        <v>0</v>
      </c>
      <c r="AM292" s="218">
        <f t="shared" ref="AM292" si="3279">IF($AD292=AM$6,$E291,0)</f>
        <v>0</v>
      </c>
      <c r="AN292" s="218" t="b">
        <f>IF(AM292=0,FALSE,IF(COUNTIF(AM$7:AM292,AM292)&gt;1,TRUE,FALSE))</f>
        <v>0</v>
      </c>
      <c r="AO292" s="218">
        <f t="shared" ref="AO292" si="3280">IF($AD292=AO$6,$E291,0)</f>
        <v>0</v>
      </c>
      <c r="AP292" s="218" t="b">
        <f>IF(AO292=0,FALSE,IF(COUNTIF(AO$7:AO292,AO292)&gt;1,TRUE,FALSE))</f>
        <v>0</v>
      </c>
      <c r="AQ292" s="218">
        <f t="shared" ref="AQ292" si="3281">IF(COUNTIF(Y292,"*十種競技*")&gt;0,E291,0)</f>
        <v>0</v>
      </c>
      <c r="AR292" s="218" t="b">
        <f>IF(AQ292=0,FALSE,IF(OR(COUNTIF($AI$7:$AI$406,AQ292)+COUNTIF($AQ292:$AQ$406,AQ292)&gt;1,COUNTIF($AK$7:$AK$406,AQ292)+COUNTIF($AQ$7:$AQ$406,AQ292)&gt;1),TRUE,FALSE))</f>
        <v>0</v>
      </c>
      <c r="AT292" s="218" t="b">
        <f t="shared" si="2960"/>
        <v>0</v>
      </c>
      <c r="AU292" s="274"/>
      <c r="AX292" s="274"/>
      <c r="BD292" s="218" t="b">
        <f t="shared" si="2947"/>
        <v>0</v>
      </c>
      <c r="BF292" s="231" t="b">
        <f t="shared" ref="BF292" si="3282">IF(J292="",FALSE,IF(OR(AND(AU291,L292=""),AND(AU291,L292="",OR(M292&lt;&gt;"",N292&lt;&gt;"",O292&lt;&gt;"",P292&lt;&gt;""))),TRUE,FALSE))</f>
        <v>0</v>
      </c>
      <c r="BG292" s="218" t="b">
        <f t="shared" si="2949"/>
        <v>0</v>
      </c>
      <c r="BH292" s="218" t="b">
        <f t="shared" si="2962"/>
        <v>0</v>
      </c>
      <c r="BI292" s="231" t="b">
        <f t="shared" ref="BI292" si="3283">IF(J292="",FALSE,IF(L292=0,FALSE,IF(AND(AU291,NOT(BF292),OR(M292="",N292="",O292="")),TRUE,FALSE)))</f>
        <v>0</v>
      </c>
      <c r="BJ292" s="240" t="b">
        <f t="shared" si="2964"/>
        <v>0</v>
      </c>
      <c r="BK292" s="231" t="b">
        <f>IF(NOT(BJ292),FALSE,IF(AND(競技会設定!$C$5&lt;=BJ292,BJ292&lt;=競技会設定!$C$6),FALSE,TRUE))</f>
        <v>0</v>
      </c>
      <c r="BL292" s="218" t="b">
        <f>IF(J292="",FALSE,IF(L292=0,FALSE,IF(AND(AU291,NOT(BF292),NOT(BI292),P292=""),TRUE,FALSE)))</f>
        <v>0</v>
      </c>
      <c r="BO292" s="274"/>
    </row>
    <row r="293" spans="1:67" ht="17.399999999999999" customHeight="1">
      <c r="A293" s="421"/>
      <c r="B293" s="374"/>
      <c r="C293" s="376"/>
      <c r="D293" s="140"/>
      <c r="E293" s="379" t="str">
        <f>IF(C291="","",VLOOKUP(D291,男子登録!$A$2:$O$2001,14,0)&amp;" ("&amp;VLOOKUP(D291,男子登録!$A$2:$O$2001,15,0)&amp;")")</f>
        <v/>
      </c>
      <c r="F293" s="380"/>
      <c r="G293" s="140" t="str">
        <f>IF(C291="","",(VLOOKUP(D291,男子登録!$A$2:$N$2001,9,0)))</f>
        <v/>
      </c>
      <c r="H293" s="140"/>
      <c r="I293" s="140" t="s">
        <v>4021</v>
      </c>
      <c r="J293" s="153"/>
      <c r="K293" s="140" t="s">
        <v>6760</v>
      </c>
      <c r="L293" s="153"/>
      <c r="M293" s="264"/>
      <c r="N293" s="265"/>
      <c r="O293" s="266"/>
      <c r="P293" s="152"/>
      <c r="Q293" s="382"/>
      <c r="R293" s="385"/>
      <c r="S293" s="136"/>
      <c r="T293" s="137"/>
      <c r="U293" s="137"/>
      <c r="V293" s="137"/>
      <c r="W293" s="137"/>
      <c r="X293" s="137"/>
      <c r="Y293" s="218">
        <f t="shared" ref="Y293" si="3284">IF(OR(E291="",J293=""),0,J293&amp;E291)</f>
        <v>0</v>
      </c>
      <c r="Z293" s="218">
        <f>IF(Y293=0,0,COUNTIF($Y$7:Y293,Y293))</f>
        <v>0</v>
      </c>
      <c r="AD293" s="218">
        <f>IFERROR(VLOOKUP(J293,競技会設定!$P$2:$S$22,2,0),0)</f>
        <v>0</v>
      </c>
      <c r="AE293" s="218">
        <f t="shared" ref="AE293" si="3285">IF(E291="",0,IF(AD293=0,0,IF(AD293&lt;3,E291&amp;$AE$6,0)))</f>
        <v>0</v>
      </c>
      <c r="AF293" s="218">
        <f>IF(AE293=0,0,E291&amp;COUNTIF($AE$7:AE293,AE293))</f>
        <v>0</v>
      </c>
      <c r="AG293" s="218">
        <f t="shared" ref="AG293" si="3286">IF(E291="",0,IF(AD293=0,0,IF(AD293&gt;=3,E291&amp;$AG$6,0)))</f>
        <v>0</v>
      </c>
      <c r="AH293" s="218">
        <f>IF(AG293=0,0,E291&amp;COUNTIF($AG$7:AG293,AG293))</f>
        <v>0</v>
      </c>
      <c r="AI293" s="218">
        <f t="shared" si="3016"/>
        <v>0</v>
      </c>
      <c r="AJ293" s="218" t="b">
        <f>IF(AI293=0,FALSE,IF(COUNTIF(AI$7:AI293,AI293)&gt;1,TRUE,FALSE))</f>
        <v>0</v>
      </c>
      <c r="AK293" s="218">
        <f t="shared" ref="AK293" si="3287">IF($AD293=AK$6,$E291,0)</f>
        <v>0</v>
      </c>
      <c r="AL293" s="218" t="b">
        <f>IF(AK293=0,FALSE,IF(COUNTIF(AK$7:AK293,AK293)&gt;1,TRUE,FALSE))</f>
        <v>0</v>
      </c>
      <c r="AM293" s="218">
        <f t="shared" ref="AM293" si="3288">IF($AD293=AM$6,$E291,0)</f>
        <v>0</v>
      </c>
      <c r="AN293" s="218" t="b">
        <f>IF(AM293=0,FALSE,IF(COUNTIF(AM$7:AM293,AM293)&gt;1,TRUE,FALSE))</f>
        <v>0</v>
      </c>
      <c r="AO293" s="218">
        <f t="shared" ref="AO293" si="3289">IF($AD293=AO$6,$E291,0)</f>
        <v>0</v>
      </c>
      <c r="AP293" s="218" t="b">
        <f>IF(AO293=0,FALSE,IF(COUNTIF(AO$7:AO293,AO293)&gt;1,TRUE,FALSE))</f>
        <v>0</v>
      </c>
      <c r="AQ293" s="218">
        <f t="shared" ref="AQ293" si="3290">IF(COUNTIF(Y293,"*十種競技*")&gt;0,E291,0)</f>
        <v>0</v>
      </c>
      <c r="AR293" s="218" t="b">
        <f>IF(AQ293=0,FALSE,IF(OR(COUNTIF($AI$7:$AI$406,AQ293)+COUNTIF($AQ293:$AQ$406,AQ293)&gt;1,COUNTIF($AK$7:$AK$406,AQ293)+COUNTIF($AQ$7:$AQ$406,AQ293)&gt;1),TRUE,FALSE))</f>
        <v>0</v>
      </c>
      <c r="AT293" s="218" t="b">
        <f t="shared" si="2960"/>
        <v>0</v>
      </c>
      <c r="AU293" s="274"/>
      <c r="AX293" s="274"/>
      <c r="BD293" s="218" t="b">
        <f t="shared" si="2947"/>
        <v>0</v>
      </c>
      <c r="BF293" s="231" t="b">
        <f t="shared" ref="BF293" si="3291">IF(J293="",FALSE,IF(OR(AND(AU291,L293=""),AND(AU291,L293="",OR(M293&lt;&gt;"",N293&lt;&gt;"",O293&lt;&gt;"",P293&lt;&gt;""))),TRUE,FALSE))</f>
        <v>0</v>
      </c>
      <c r="BG293" s="218" t="b">
        <f t="shared" si="2949"/>
        <v>0</v>
      </c>
      <c r="BH293" s="218" t="b">
        <f t="shared" si="2962"/>
        <v>0</v>
      </c>
      <c r="BI293" s="231" t="b">
        <f t="shared" ref="BI293" si="3292">IF(J293="",FALSE,IF(L293=0,FALSE,IF(AND(AU291,NOT(BF293),OR(M293="",N293="",O293="")),TRUE,FALSE)))</f>
        <v>0</v>
      </c>
      <c r="BJ293" s="240" t="b">
        <f t="shared" si="2964"/>
        <v>0</v>
      </c>
      <c r="BK293" s="231" t="b">
        <f>IF(NOT(BJ293),FALSE,IF(AND(競技会設定!$C$5&lt;=BJ293,BJ293&lt;=競技会設定!$C$6),FALSE,TRUE))</f>
        <v>0</v>
      </c>
      <c r="BL293" s="218" t="b">
        <f>IF(J293="",FALSE,IF(L293=0,FALSE,IF(AND(AU291,NOT(BF293),NOT(BI293),P293=""),TRUE,FALSE)))</f>
        <v>0</v>
      </c>
      <c r="BO293" s="274"/>
    </row>
    <row r="294" spans="1:67" ht="18" customHeight="1" thickBot="1">
      <c r="A294" s="422"/>
      <c r="B294" s="387" t="s">
        <v>6764</v>
      </c>
      <c r="C294" s="387"/>
      <c r="D294" s="213"/>
      <c r="E294" s="388"/>
      <c r="F294" s="389"/>
      <c r="G294" s="390"/>
      <c r="H294" s="141"/>
      <c r="I294" s="213" t="s">
        <v>6759</v>
      </c>
      <c r="J294" s="154"/>
      <c r="K294" s="213" t="s">
        <v>6761</v>
      </c>
      <c r="L294" s="154"/>
      <c r="M294" s="267"/>
      <c r="N294" s="268"/>
      <c r="O294" s="269"/>
      <c r="P294" s="154"/>
      <c r="Q294" s="383"/>
      <c r="R294" s="386"/>
      <c r="S294" s="136"/>
      <c r="T294" s="137"/>
      <c r="U294" s="137"/>
      <c r="V294" s="137"/>
      <c r="W294" s="137"/>
      <c r="X294" s="137"/>
      <c r="Y294" s="218">
        <f t="shared" ref="Y294" si="3293">IF(OR(E291="",J294=""),0,J294&amp;E291)</f>
        <v>0</v>
      </c>
      <c r="Z294" s="218">
        <f>IF(Y294=0,0,COUNTIF($Y$7:Y294,Y294))</f>
        <v>0</v>
      </c>
      <c r="AD294" s="218">
        <f>IFERROR(VLOOKUP(J294,競技会設定!$P$2:$S$22,2,0),0)</f>
        <v>0</v>
      </c>
      <c r="AE294" s="218">
        <f t="shared" ref="AE294" si="3294">IF(E291="",0,IF(AD294=0,0,IF(AD294&lt;3,E291&amp;$AE$6,0)))</f>
        <v>0</v>
      </c>
      <c r="AF294" s="218">
        <f>IF(AE294=0,0,E291&amp;COUNTIF($AE$7:AE294,AE294))</f>
        <v>0</v>
      </c>
      <c r="AG294" s="218">
        <f t="shared" ref="AG294" si="3295">IF(E291="",0,IF(AD294=0,0,IF(AD294&gt;=3,E291&amp;$AG$6,0)))</f>
        <v>0</v>
      </c>
      <c r="AH294" s="218">
        <f>IF(AG294=0,0,E291&amp;COUNTIF($AG$7:AG294,AG294))</f>
        <v>0</v>
      </c>
      <c r="AI294" s="218">
        <f t="shared" si="3026"/>
        <v>0</v>
      </c>
      <c r="AJ294" s="218" t="b">
        <f>IF(AI294=0,FALSE,IF(COUNTIF(AI$7:AI294,AI294)&gt;1,TRUE,FALSE))</f>
        <v>0</v>
      </c>
      <c r="AK294" s="218">
        <f t="shared" ref="AK294" si="3296">IF($AD294=AK$6,$E291,0)</f>
        <v>0</v>
      </c>
      <c r="AL294" s="218" t="b">
        <f>IF(AK294=0,FALSE,IF(COUNTIF(AK$7:AK294,AK294)&gt;1,TRUE,FALSE))</f>
        <v>0</v>
      </c>
      <c r="AM294" s="218">
        <f t="shared" ref="AM294" si="3297">IF($AD294=AM$6,$E291,0)</f>
        <v>0</v>
      </c>
      <c r="AN294" s="218" t="b">
        <f>IF(AM294=0,FALSE,IF(COUNTIF(AM$7:AM294,AM294)&gt;1,TRUE,FALSE))</f>
        <v>0</v>
      </c>
      <c r="AO294" s="218">
        <f t="shared" ref="AO294" si="3298">IF($AD294=AO$6,$E291,0)</f>
        <v>0</v>
      </c>
      <c r="AP294" s="218" t="b">
        <f>IF(AO294=0,FALSE,IF(COUNTIF(AO$7:AO294,AO294)&gt;1,TRUE,FALSE))</f>
        <v>0</v>
      </c>
      <c r="AQ294" s="218">
        <f t="shared" ref="AQ294" si="3299">IF(COUNTIF(Y294,"*十種競技*")&gt;0,E291,0)</f>
        <v>0</v>
      </c>
      <c r="AR294" s="218" t="b">
        <f>IF(AQ294=0,FALSE,IF(OR(COUNTIF($AI$7:$AI$406,AQ294)+COUNTIF($AQ294:$AQ$406,AQ294)&gt;1,COUNTIF($AK$7:$AK$406,AQ294)+COUNTIF($AQ$7:$AQ$406,AQ294)&gt;1),TRUE,FALSE))</f>
        <v>0</v>
      </c>
      <c r="AT294" s="218" t="b">
        <f t="shared" si="2960"/>
        <v>0</v>
      </c>
      <c r="AU294" s="274"/>
      <c r="AX294" s="274"/>
      <c r="BD294" s="218" t="b">
        <f t="shared" si="2947"/>
        <v>0</v>
      </c>
      <c r="BF294" s="231" t="b">
        <f t="shared" ref="BF294" si="3300">IF(J294="",FALSE,IF(OR(AND(AU291,L294=""),AND(AU291,L294="",OR(M294&lt;&gt;"",N294&lt;&gt;"",O294&lt;&gt;"",P294&lt;&gt;""))),TRUE,FALSE))</f>
        <v>0</v>
      </c>
      <c r="BG294" s="218" t="b">
        <f t="shared" si="2949"/>
        <v>0</v>
      </c>
      <c r="BH294" s="218" t="b">
        <f t="shared" si="2962"/>
        <v>0</v>
      </c>
      <c r="BI294" s="231" t="b">
        <f t="shared" ref="BI294" si="3301">IF(J294="",FALSE,IF(L294=0,FALSE,IF(AND(AU291,NOT(BF294),OR(M294="",N294="",O294="")),TRUE,FALSE)))</f>
        <v>0</v>
      </c>
      <c r="BJ294" s="240" t="b">
        <f t="shared" si="2964"/>
        <v>0</v>
      </c>
      <c r="BK294" s="231" t="b">
        <f>IF(NOT(BJ294),FALSE,IF(AND(競技会設定!$C$5&lt;=BJ294,BJ294&lt;=競技会設定!$C$6),FALSE,TRUE))</f>
        <v>0</v>
      </c>
      <c r="BL294" s="218" t="b">
        <f>IF(J294="",FALSE,IF(L294=0,FALSE,IF(AND(AU291,NOT(BF294),NOT(BI294),P294=""),TRUE,FALSE)))</f>
        <v>0</v>
      </c>
      <c r="BO294" s="274"/>
    </row>
    <row r="295" spans="1:67" ht="18" customHeight="1" thickTop="1">
      <c r="A295" s="417">
        <v>73</v>
      </c>
      <c r="B295" s="401" t="s">
        <v>4018</v>
      </c>
      <c r="C295" s="403"/>
      <c r="D295" s="220" t="str">
        <f t="shared" ref="D295" si="3302">IF(C295="","",501&amp;TEXT(C295,"000000"))</f>
        <v/>
      </c>
      <c r="E295" s="396" t="str">
        <f>IF(D295="","",(VLOOKUP(D295,男子登録!$A$2:$N$2001,3,0)))</f>
        <v/>
      </c>
      <c r="F295" s="396" t="str">
        <f>IF(D295="","",(VLOOKUP(D295,男子登録!$A$2:$N$2001,4,0)))</f>
        <v/>
      </c>
      <c r="G295" s="220" t="str">
        <f>IF(C295="","",(VLOOKUP(D295,男子登録!$A$2:$N$2001,8,0)))</f>
        <v/>
      </c>
      <c r="H295" s="220">
        <f>IFERROR(VLOOKUP(D295,男子登録!$A$2:$N$2001,11,0),基本情報!$E$5)</f>
        <v>0</v>
      </c>
      <c r="I295" s="220" t="s">
        <v>4019</v>
      </c>
      <c r="J295" s="148"/>
      <c r="K295" s="220" t="s">
        <v>4022</v>
      </c>
      <c r="L295" s="148"/>
      <c r="M295" s="252"/>
      <c r="N295" s="253"/>
      <c r="O295" s="254"/>
      <c r="P295" s="148"/>
      <c r="Q295" s="398"/>
      <c r="R295" s="391"/>
      <c r="S295" s="136">
        <f t="shared" ref="S295" si="3303">IF(OR(E295="",Q295=""),0,E295)</f>
        <v>0</v>
      </c>
      <c r="T295" s="137">
        <f>IF(S295=0,0,COUNTIF($S$7:S295,"*"))</f>
        <v>0</v>
      </c>
      <c r="U295" s="137">
        <f>IF(S295=0,0,COUNTIF($S$7:S295,S295))</f>
        <v>0</v>
      </c>
      <c r="V295" s="137">
        <f t="shared" si="3171"/>
        <v>0</v>
      </c>
      <c r="W295" s="137">
        <f>IF(V295=0,0,COUNTIF($V$7:V295,"*"))</f>
        <v>0</v>
      </c>
      <c r="X295" s="137">
        <f>IF(V295=0,0,COUNTIF($V$7:V295,V295))</f>
        <v>0</v>
      </c>
      <c r="Y295" s="218">
        <f t="shared" ref="Y295" si="3304">IF(OR(E295="",J295=""),0,J295&amp;E295)</f>
        <v>0</v>
      </c>
      <c r="Z295" s="218">
        <f>IF(Y295=0,0,COUNTIF($Y$7:Y295,Y295))</f>
        <v>0</v>
      </c>
      <c r="AA295" s="218" t="b">
        <f t="shared" ref="AA295" si="3305">IF(COUNTIF(J295:J298,"十種競技")&gt;0,TRUE,FALSE)</f>
        <v>0</v>
      </c>
      <c r="AB295" s="218">
        <f>IF(E295="",0,IF(AA295,COUNTIF($AA$7:AA295,TRUE),0))</f>
        <v>0</v>
      </c>
      <c r="AC295" s="218">
        <f>IFERROR(VLOOKUP("十種競技",J295:L298,3,0),0)</f>
        <v>0</v>
      </c>
      <c r="AD295" s="218">
        <f>IFERROR(VLOOKUP(J295,競技会設定!$P$2:$S$22,2,0),0)</f>
        <v>0</v>
      </c>
      <c r="AE295" s="218">
        <f t="shared" ref="AE295" si="3306">IF(E295="",0,IF(AD295=0,0,IF(AD295&lt;3,E295&amp;$AE$6,0)))</f>
        <v>0</v>
      </c>
      <c r="AF295" s="218">
        <f>IF(AE295=0,0,E295&amp;COUNTIF($AE$7:AE295,AE295))</f>
        <v>0</v>
      </c>
      <c r="AG295" s="218">
        <f t="shared" ref="AG295" si="3307">IF(E295="",0,IF(AD295=0,0,IF(AD295&gt;=3,E295&amp;$AG$6,0)))</f>
        <v>0</v>
      </c>
      <c r="AH295" s="218">
        <f>IF(AG295=0,0,E295&amp;COUNTIF($AG$7:AG295,AG295))</f>
        <v>0</v>
      </c>
      <c r="AI295" s="218">
        <f t="shared" ref="AI295" si="3308">IF(COUNTIF(Y295,"*十種*")&gt;0,0,IF($AD295=AI$6,$E295,0))</f>
        <v>0</v>
      </c>
      <c r="AJ295" s="218" t="b">
        <f>IF(AI295=0,FALSE,IF(COUNTIF(AI$7:AI295,AI295)&gt;1,TRUE,FALSE))</f>
        <v>0</v>
      </c>
      <c r="AK295" s="218">
        <f t="shared" ref="AK295" si="3309">IF($AD295=AK$6,$E295,0)</f>
        <v>0</v>
      </c>
      <c r="AL295" s="218" t="b">
        <f>IF(AK295=0,FALSE,IF(COUNTIF(AK$7:AK295,AK295)&gt;1,TRUE,FALSE))</f>
        <v>0</v>
      </c>
      <c r="AM295" s="218">
        <f t="shared" ref="AM295" si="3310">IF($AD295=AM$6,$E295,0)</f>
        <v>0</v>
      </c>
      <c r="AN295" s="218" t="b">
        <f>IF(AM295=0,FALSE,IF(COUNTIF(AM$7:AM295,AM295)&gt;1,TRUE,FALSE))</f>
        <v>0</v>
      </c>
      <c r="AO295" s="218">
        <f t="shared" ref="AO295" si="3311">IF($AD295=AO$6,$E295,0)</f>
        <v>0</v>
      </c>
      <c r="AP295" s="218" t="b">
        <f>IF(AO295=0,FALSE,IF(COUNTIF(AO$7:AO295,AO295)&gt;1,TRUE,FALSE))</f>
        <v>0</v>
      </c>
      <c r="AQ295" s="218">
        <f t="shared" ref="AQ295" si="3312">IF(COUNTIF(Y295,"*十種競技*")&gt;0,E295,0)</f>
        <v>0</v>
      </c>
      <c r="AR295" s="218" t="b">
        <f>IF(AQ295=0,FALSE,IF(OR(COUNTIF($AI$7:$AI$406,AQ295)+COUNTIF($AQ295:$AQ$406,AQ295)&gt;1,COUNTIF($AK$7:$AK$406,AQ295)+COUNTIF($AQ$7:$AQ$406,AQ295)&gt;1),TRUE,FALSE))</f>
        <v>0</v>
      </c>
      <c r="AS295" s="218" t="b">
        <f t="shared" ref="AS295" si="3313">IF(AND(C295="",E295&lt;&gt;"",F295&lt;&gt;"",E297&lt;&gt;"",G295&lt;&gt;"",G296&lt;&gt;"",G297&lt;&gt;""),TRUE,FALSE)</f>
        <v>0</v>
      </c>
      <c r="AT295" s="218" t="b">
        <f t="shared" si="2960"/>
        <v>0</v>
      </c>
      <c r="AU295" s="274" t="b">
        <f t="shared" ref="AU295" si="3314">IFERROR(IF(D295&amp;E295&amp;F295&amp;E297&amp;G295&amp;G296&amp;G297&amp;J295&amp;J296&amp;J297&amp;J298&amp;L295&amp;L296&amp;L297&amp;L298&amp;M295&amp;M296&amp;M297&amp;M298&amp;N295&amp;N296&amp;N297&amp;N298&amp;O295&amp;O296&amp;O297&amp;O298&amp;P295&amp;P296&amp;P297&amp;P298&amp;Q295&amp;R295="",FALSE,TRUE),FALSE)</f>
        <v>0</v>
      </c>
      <c r="AV295" s="218" t="b">
        <f t="shared" ref="AV295" si="3315">IF(AS295,FALSE,IF(C295="",AU295,FALSE))</f>
        <v>0</v>
      </c>
      <c r="AW295" s="218" t="b">
        <f>IF(C295="",FALSE,IF(C295&gt;2000,TRUE,FALSE))</f>
        <v>0</v>
      </c>
      <c r="AX295" s="274" t="b">
        <f>IF(H295=0,FALSE,IF(EXACT(基本情報!$E$5,H295)=TRUE,FALSE,TRUE))</f>
        <v>0</v>
      </c>
      <c r="AY295" s="218" t="b">
        <f>IF(C295="",FALSE,IF(ISNA(E295)=TRUE,TRUE,FALSE))</f>
        <v>0</v>
      </c>
      <c r="AZ295" s="274" t="b">
        <f>IFERROR(IF(E295="",FALSE,IF(COUNTIF($E$7:E295,E295)&gt;1,TRUE,FALSE)),FALSE)</f>
        <v>0</v>
      </c>
      <c r="BA295" s="218" t="b">
        <f t="shared" ref="BA295" si="3316">IF(OR(J295&amp;J296&amp;J297&amp;J298&amp;Q295&amp;R295="",AT295,AT296,AT297,AT298),AU295,FALSE)</f>
        <v>0</v>
      </c>
      <c r="BB295" s="218" t="b">
        <f>IF(U295&gt;1,TRUE,FALSE)</f>
        <v>0</v>
      </c>
      <c r="BC295" s="218" t="b">
        <f>IF(X295&gt;1,TRUE,FALSE)</f>
        <v>0</v>
      </c>
      <c r="BD295" s="218" t="b">
        <f t="shared" si="2947"/>
        <v>0</v>
      </c>
      <c r="BF295" s="231" t="b">
        <f t="shared" ref="BF295" si="3317">IF(J295="",FALSE,IF(OR(AND(AU295,L295=""),AND(AU295,L295="",OR(M295&lt;&gt;"",N295&lt;&gt;"",O295&lt;&gt;"",P295&lt;&gt;""))),TRUE,FALSE))</f>
        <v>0</v>
      </c>
      <c r="BG295" s="218" t="b">
        <f t="shared" si="2949"/>
        <v>0</v>
      </c>
      <c r="BH295" s="218" t="b">
        <f t="shared" si="2962"/>
        <v>0</v>
      </c>
      <c r="BI295" s="231" t="b">
        <f t="shared" ref="BI295" si="3318">IF(J295="",FALSE,IF(L295=0,FALSE,IF(AND(AU295,NOT(BF295),OR(M295="",N295="",O295="")),TRUE,FALSE)))</f>
        <v>0</v>
      </c>
      <c r="BJ295" s="240" t="b">
        <f t="shared" si="2964"/>
        <v>0</v>
      </c>
      <c r="BK295" s="231" t="b">
        <f>IF(NOT(BJ295),FALSE,IF(AND(競技会設定!$C$5&lt;=BJ295,BJ295&lt;=競技会設定!$C$6),FALSE,TRUE))</f>
        <v>0</v>
      </c>
      <c r="BL295" s="218" t="b">
        <f>IF(J295="",FALSE,IF(L295=0,FALSE,IF(AND(AU295,NOT(BF295),NOT(BI295),P295=""),TRUE,FALSE)))</f>
        <v>0</v>
      </c>
      <c r="BO295" s="274">
        <f t="shared" ref="BO295" si="3319">IF(AND(AU295,SUM(COUNTIF(AV295:BC295,TRUE),COUNTIF(BF295:BL298,TRUE),COUNTIF(BD295:BD298,TRUE))=0,NOT($BE$7)),1,0)</f>
        <v>0</v>
      </c>
    </row>
    <row r="296" spans="1:67" ht="17.399999999999999" customHeight="1">
      <c r="A296" s="418"/>
      <c r="B296" s="402"/>
      <c r="C296" s="404"/>
      <c r="D296" s="221"/>
      <c r="E296" s="397"/>
      <c r="F296" s="397"/>
      <c r="G296" s="221" t="str">
        <f>IF(C295="","",(VLOOKUP(D295,男子登録!$A$2:$N$2001,13,0)))</f>
        <v/>
      </c>
      <c r="H296" s="221"/>
      <c r="I296" s="221" t="s">
        <v>4020</v>
      </c>
      <c r="J296" s="149"/>
      <c r="K296" s="221" t="s">
        <v>4023</v>
      </c>
      <c r="L296" s="149"/>
      <c r="M296" s="255"/>
      <c r="N296" s="256"/>
      <c r="O296" s="257"/>
      <c r="P296" s="149"/>
      <c r="Q296" s="399"/>
      <c r="R296" s="392"/>
      <c r="S296" s="136"/>
      <c r="T296" s="137"/>
      <c r="U296" s="137"/>
      <c r="V296" s="137"/>
      <c r="W296" s="137"/>
      <c r="X296" s="137"/>
      <c r="Y296" s="218">
        <f t="shared" ref="Y296" si="3320">IF(OR(E295="",J296=""),0,J296&amp;E295)</f>
        <v>0</v>
      </c>
      <c r="Z296" s="218">
        <f>IF(Y296=0,0,COUNTIF($Y$7:Y296,Y296))</f>
        <v>0</v>
      </c>
      <c r="AD296" s="218">
        <f>IFERROR(VLOOKUP(J296,競技会設定!$P$2:$S$22,2,0),0)</f>
        <v>0</v>
      </c>
      <c r="AE296" s="218">
        <f t="shared" ref="AE296" si="3321">IF(E295="",0,IF(AD296=0,0,IF(AD296&lt;3,E295&amp;$AE$6,0)))</f>
        <v>0</v>
      </c>
      <c r="AF296" s="218">
        <f>IF(AE296=0,0,E295&amp;COUNTIF($AE$7:AE296,AE296))</f>
        <v>0</v>
      </c>
      <c r="AG296" s="218">
        <f t="shared" ref="AG296" si="3322">IF(E295="",0,IF(AD296=0,0,IF(AD296&gt;=3,E295&amp;$AG$6,0)))</f>
        <v>0</v>
      </c>
      <c r="AH296" s="218">
        <f>IF(AG296=0,0,E295&amp;COUNTIF($AG$7:AG296,AG296))</f>
        <v>0</v>
      </c>
      <c r="AI296" s="218">
        <f t="shared" ref="AI296" si="3323">IF(COUNTIF(Y296,"*十種*")&gt;0,0,IF($AD296=AI$6,$E295,0))</f>
        <v>0</v>
      </c>
      <c r="AJ296" s="218" t="b">
        <f>IF(AI296=0,FALSE,IF(COUNTIF(AI$7:AI296,AI296)&gt;1,TRUE,FALSE))</f>
        <v>0</v>
      </c>
      <c r="AK296" s="218">
        <f t="shared" ref="AK296" si="3324">IF($AD296=AK$6,$E295,0)</f>
        <v>0</v>
      </c>
      <c r="AL296" s="218" t="b">
        <f>IF(AK296=0,FALSE,IF(COUNTIF(AK$7:AK296,AK296)&gt;1,TRUE,FALSE))</f>
        <v>0</v>
      </c>
      <c r="AM296" s="218">
        <f t="shared" ref="AM296" si="3325">IF($AD296=AM$6,$E295,0)</f>
        <v>0</v>
      </c>
      <c r="AN296" s="218" t="b">
        <f>IF(AM296=0,FALSE,IF(COUNTIF(AM$7:AM296,AM296)&gt;1,TRUE,FALSE))</f>
        <v>0</v>
      </c>
      <c r="AO296" s="218">
        <f t="shared" ref="AO296" si="3326">IF($AD296=AO$6,$E295,0)</f>
        <v>0</v>
      </c>
      <c r="AP296" s="218" t="b">
        <f>IF(AO296=0,FALSE,IF(COUNTIF(AO$7:AO296,AO296)&gt;1,TRUE,FALSE))</f>
        <v>0</v>
      </c>
      <c r="AQ296" s="218">
        <f t="shared" ref="AQ296" si="3327">IF(COUNTIF(Y296,"*十種競技*")&gt;0,E295,0)</f>
        <v>0</v>
      </c>
      <c r="AR296" s="218" t="b">
        <f>IF(AQ296=0,FALSE,IF(OR(COUNTIF($AI$7:$AI$406,AQ296)+COUNTIF($AQ296:$AQ$406,AQ296)&gt;1,COUNTIF($AK$7:$AK$406,AQ296)+COUNTIF($AQ$7:$AQ$406,AQ296)&gt;1),TRUE,FALSE))</f>
        <v>0</v>
      </c>
      <c r="AT296" s="218" t="b">
        <f t="shared" si="2960"/>
        <v>0</v>
      </c>
      <c r="AU296" s="274"/>
      <c r="AX296" s="274"/>
      <c r="BD296" s="218" t="b">
        <f t="shared" si="2947"/>
        <v>0</v>
      </c>
      <c r="BF296" s="231" t="b">
        <f t="shared" ref="BF296" si="3328">IF(J296="",FALSE,IF(OR(AND(AU295,L296=""),AND(AU295,L296="",OR(M296&lt;&gt;"",N296&lt;&gt;"",O296&lt;&gt;"",P296&lt;&gt;""))),TRUE,FALSE))</f>
        <v>0</v>
      </c>
      <c r="BG296" s="218" t="b">
        <f t="shared" si="2949"/>
        <v>0</v>
      </c>
      <c r="BH296" s="218" t="b">
        <f t="shared" si="2962"/>
        <v>0</v>
      </c>
      <c r="BI296" s="231" t="b">
        <f t="shared" ref="BI296" si="3329">IF(J296="",FALSE,IF(L296=0,FALSE,IF(AND(AU295,NOT(BF296),OR(M296="",N296="",O296="")),TRUE,FALSE)))</f>
        <v>0</v>
      </c>
      <c r="BJ296" s="240" t="b">
        <f t="shared" si="2964"/>
        <v>0</v>
      </c>
      <c r="BK296" s="231" t="b">
        <f>IF(NOT(BJ296),FALSE,IF(AND(競技会設定!$C$5&lt;=BJ296,BJ296&lt;=競技会設定!$C$6),FALSE,TRUE))</f>
        <v>0</v>
      </c>
      <c r="BL296" s="218" t="b">
        <f>IF(J296="",FALSE,IF(L296=0,FALSE,IF(AND(AU295,NOT(BF296),NOT(BI296),P296=""),TRUE,FALSE)))</f>
        <v>0</v>
      </c>
      <c r="BO296" s="274"/>
    </row>
    <row r="297" spans="1:67" ht="17.399999999999999" customHeight="1">
      <c r="A297" s="418"/>
      <c r="B297" s="402"/>
      <c r="C297" s="404"/>
      <c r="D297" s="221"/>
      <c r="E297" s="394" t="str">
        <f>IF(C295="","",VLOOKUP(D295,男子登録!$A$2:$O$2001,14,0)&amp;" ("&amp;VLOOKUP(D295,男子登録!$A$2:$O$2001,15,0)&amp;")")</f>
        <v/>
      </c>
      <c r="F297" s="394"/>
      <c r="G297" s="222" t="str">
        <f>IF(C295="","",(VLOOKUP(D295,男子登録!$A$2:$N$2001,9,0)))</f>
        <v/>
      </c>
      <c r="H297" s="222"/>
      <c r="I297" s="222" t="s">
        <v>4021</v>
      </c>
      <c r="J297" s="150"/>
      <c r="K297" s="222" t="s">
        <v>6760</v>
      </c>
      <c r="L297" s="150"/>
      <c r="M297" s="255"/>
      <c r="N297" s="256"/>
      <c r="O297" s="257"/>
      <c r="P297" s="149"/>
      <c r="Q297" s="399"/>
      <c r="R297" s="392"/>
      <c r="S297" s="136"/>
      <c r="T297" s="137"/>
      <c r="U297" s="137"/>
      <c r="V297" s="137"/>
      <c r="W297" s="137"/>
      <c r="X297" s="137"/>
      <c r="Y297" s="218">
        <f t="shared" ref="Y297" si="3330">IF(OR(E295="",J297=""),0,J297&amp;E295)</f>
        <v>0</v>
      </c>
      <c r="Z297" s="218">
        <f>IF(Y297=0,0,COUNTIF($Y$7:Y297,Y297))</f>
        <v>0</v>
      </c>
      <c r="AD297" s="218">
        <f>IFERROR(VLOOKUP(J297,競技会設定!$P$2:$S$22,2,0),0)</f>
        <v>0</v>
      </c>
      <c r="AE297" s="218">
        <f t="shared" ref="AE297" si="3331">IF(E295="",0,IF(AD297=0,0,IF(AD297&lt;3,E295&amp;$AE$6,0)))</f>
        <v>0</v>
      </c>
      <c r="AF297" s="218">
        <f>IF(AE297=0,0,E295&amp;COUNTIF($AE$7:AE297,AE297))</f>
        <v>0</v>
      </c>
      <c r="AG297" s="218">
        <f t="shared" ref="AG297" si="3332">IF(E295="",0,IF(AD297=0,0,IF(AD297&gt;=3,E295&amp;$AG$6,0)))</f>
        <v>0</v>
      </c>
      <c r="AH297" s="218">
        <f>IF(AG297=0,0,E295&amp;COUNTIF($AG$7:AG297,AG297))</f>
        <v>0</v>
      </c>
      <c r="AI297" s="218">
        <f t="shared" ref="AI297" si="3333">IF(COUNTIF(Y297,"*十種*")&gt;0,0,IF($AD297=AI$6,$E295,0))</f>
        <v>0</v>
      </c>
      <c r="AJ297" s="218" t="b">
        <f>IF(AI297=0,FALSE,IF(COUNTIF(AI$7:AI297,AI297)&gt;1,TRUE,FALSE))</f>
        <v>0</v>
      </c>
      <c r="AK297" s="218">
        <f t="shared" ref="AK297" si="3334">IF($AD297=AK$6,$E295,0)</f>
        <v>0</v>
      </c>
      <c r="AL297" s="218" t="b">
        <f>IF(AK297=0,FALSE,IF(COUNTIF(AK$7:AK297,AK297)&gt;1,TRUE,FALSE))</f>
        <v>0</v>
      </c>
      <c r="AM297" s="218">
        <f t="shared" ref="AM297" si="3335">IF($AD297=AM$6,$E295,0)</f>
        <v>0</v>
      </c>
      <c r="AN297" s="218" t="b">
        <f>IF(AM297=0,FALSE,IF(COUNTIF(AM$7:AM297,AM297)&gt;1,TRUE,FALSE))</f>
        <v>0</v>
      </c>
      <c r="AO297" s="218">
        <f t="shared" ref="AO297" si="3336">IF($AD297=AO$6,$E295,0)</f>
        <v>0</v>
      </c>
      <c r="AP297" s="218" t="b">
        <f>IF(AO297=0,FALSE,IF(COUNTIF(AO$7:AO297,AO297)&gt;1,TRUE,FALSE))</f>
        <v>0</v>
      </c>
      <c r="AQ297" s="218">
        <f t="shared" ref="AQ297" si="3337">IF(COUNTIF(Y297,"*十種競技*")&gt;0,E295,0)</f>
        <v>0</v>
      </c>
      <c r="AR297" s="218" t="b">
        <f>IF(AQ297=0,FALSE,IF(OR(COUNTIF($AI$7:$AI$406,AQ297)+COUNTIF($AQ297:$AQ$406,AQ297)&gt;1,COUNTIF($AK$7:$AK$406,AQ297)+COUNTIF($AQ$7:$AQ$406,AQ297)&gt;1),TRUE,FALSE))</f>
        <v>0</v>
      </c>
      <c r="AT297" s="218" t="b">
        <f t="shared" si="2960"/>
        <v>0</v>
      </c>
      <c r="AU297" s="274"/>
      <c r="AX297" s="274"/>
      <c r="BD297" s="218" t="b">
        <f t="shared" si="2947"/>
        <v>0</v>
      </c>
      <c r="BF297" s="231" t="b">
        <f t="shared" ref="BF297" si="3338">IF(J297="",FALSE,IF(OR(AND(AU295,L297=""),AND(AU295,L297="",OR(M297&lt;&gt;"",N297&lt;&gt;"",O297&lt;&gt;"",P297&lt;&gt;""))),TRUE,FALSE))</f>
        <v>0</v>
      </c>
      <c r="BG297" s="218" t="b">
        <f t="shared" si="2949"/>
        <v>0</v>
      </c>
      <c r="BH297" s="218" t="b">
        <f t="shared" si="2962"/>
        <v>0</v>
      </c>
      <c r="BI297" s="231" t="b">
        <f t="shared" ref="BI297" si="3339">IF(J297="",FALSE,IF(L297=0,FALSE,IF(AND(AU295,NOT(BF297),OR(M297="",N297="",O297="")),TRUE,FALSE)))</f>
        <v>0</v>
      </c>
      <c r="BJ297" s="240" t="b">
        <f t="shared" si="2964"/>
        <v>0</v>
      </c>
      <c r="BK297" s="231" t="b">
        <f>IF(NOT(BJ297),FALSE,IF(AND(競技会設定!$C$5&lt;=BJ297,BJ297&lt;=競技会設定!$C$6),FALSE,TRUE))</f>
        <v>0</v>
      </c>
      <c r="BL297" s="218" t="b">
        <f>IF(J297="",FALSE,IF(L297=0,FALSE,IF(AND(AU295,NOT(BF297),NOT(BI297),P297=""),TRUE,FALSE)))</f>
        <v>0</v>
      </c>
      <c r="BO297" s="274"/>
    </row>
    <row r="298" spans="1:67" ht="18" customHeight="1" thickBot="1">
      <c r="A298" s="419"/>
      <c r="B298" s="395" t="s">
        <v>6764</v>
      </c>
      <c r="C298" s="395"/>
      <c r="D298" s="221"/>
      <c r="E298" s="372"/>
      <c r="F298" s="372"/>
      <c r="G298" s="372"/>
      <c r="H298" s="214"/>
      <c r="I298" s="214" t="s">
        <v>6759</v>
      </c>
      <c r="J298" s="219"/>
      <c r="K298" s="214" t="s">
        <v>6761</v>
      </c>
      <c r="L298" s="219"/>
      <c r="M298" s="258"/>
      <c r="N298" s="259"/>
      <c r="O298" s="260"/>
      <c r="P298" s="219"/>
      <c r="Q298" s="400"/>
      <c r="R298" s="393"/>
      <c r="S298" s="136"/>
      <c r="T298" s="137"/>
      <c r="U298" s="137"/>
      <c r="V298" s="137"/>
      <c r="W298" s="137"/>
      <c r="X298" s="137"/>
      <c r="Y298" s="218">
        <f t="shared" ref="Y298" si="3340">IF(OR(E295="",J298=""),0,J298&amp;E295)</f>
        <v>0</v>
      </c>
      <c r="Z298" s="218">
        <f>IF(Y298=0,0,COUNTIF($Y$7:Y298,Y298))</f>
        <v>0</v>
      </c>
      <c r="AD298" s="218">
        <f>IFERROR(VLOOKUP(J298,競技会設定!$P$2:$S$22,2,0),0)</f>
        <v>0</v>
      </c>
      <c r="AE298" s="218">
        <f t="shared" ref="AE298" si="3341">IF(E295="",0,IF(AD298=0,0,IF(AD298&lt;3,E295&amp;$AE$6,0)))</f>
        <v>0</v>
      </c>
      <c r="AF298" s="218">
        <f>IF(AE298=0,0,E295&amp;COUNTIF($AE$7:AE298,AE298))</f>
        <v>0</v>
      </c>
      <c r="AG298" s="218">
        <f t="shared" ref="AG298" si="3342">IF(E295="",0,IF(AD298=0,0,IF(AD298&gt;=3,E295&amp;$AG$6,0)))</f>
        <v>0</v>
      </c>
      <c r="AH298" s="218">
        <f>IF(AG298=0,0,E295&amp;COUNTIF($AG$7:AG298,AG298))</f>
        <v>0</v>
      </c>
      <c r="AI298" s="218">
        <f t="shared" ref="AI298" si="3343">IF(COUNTIF(Y298,"*十種*")&gt;0,0,IF($AD298=AI$6,$E295,0))</f>
        <v>0</v>
      </c>
      <c r="AJ298" s="218" t="b">
        <f>IF(AI298=0,FALSE,IF(COUNTIF(AI$7:AI298,AI298)&gt;1,TRUE,FALSE))</f>
        <v>0</v>
      </c>
      <c r="AK298" s="218">
        <f t="shared" ref="AK298" si="3344">IF($AD298=AK$6,$E295,0)</f>
        <v>0</v>
      </c>
      <c r="AL298" s="218" t="b">
        <f>IF(AK298=0,FALSE,IF(COUNTIF(AK$7:AK298,AK298)&gt;1,TRUE,FALSE))</f>
        <v>0</v>
      </c>
      <c r="AM298" s="218">
        <f t="shared" ref="AM298" si="3345">IF($AD298=AM$6,$E295,0)</f>
        <v>0</v>
      </c>
      <c r="AN298" s="218" t="b">
        <f>IF(AM298=0,FALSE,IF(COUNTIF(AM$7:AM298,AM298)&gt;1,TRUE,FALSE))</f>
        <v>0</v>
      </c>
      <c r="AO298" s="218">
        <f t="shared" ref="AO298" si="3346">IF($AD298=AO$6,$E295,0)</f>
        <v>0</v>
      </c>
      <c r="AP298" s="218" t="b">
        <f>IF(AO298=0,FALSE,IF(COUNTIF(AO$7:AO298,AO298)&gt;1,TRUE,FALSE))</f>
        <v>0</v>
      </c>
      <c r="AQ298" s="218">
        <f t="shared" ref="AQ298" si="3347">IF(COUNTIF(Y298,"*十種競技*")&gt;0,E295,0)</f>
        <v>0</v>
      </c>
      <c r="AR298" s="218" t="b">
        <f>IF(AQ298=0,FALSE,IF(OR(COUNTIF($AI$7:$AI$406,AQ298)+COUNTIF($AQ298:$AQ$406,AQ298)&gt;1,COUNTIF($AK$7:$AK$406,AQ298)+COUNTIF($AQ$7:$AQ$406,AQ298)&gt;1),TRUE,FALSE))</f>
        <v>0</v>
      </c>
      <c r="AT298" s="218" t="b">
        <f t="shared" si="2960"/>
        <v>0</v>
      </c>
      <c r="AU298" s="274"/>
      <c r="AX298" s="274"/>
      <c r="BD298" s="218" t="b">
        <f t="shared" si="2947"/>
        <v>0</v>
      </c>
      <c r="BF298" s="231" t="b">
        <f t="shared" ref="BF298" si="3348">IF(J298="",FALSE,IF(OR(AND(AU295,L298=""),AND(AU295,L298="",OR(M298&lt;&gt;"",N298&lt;&gt;"",O298&lt;&gt;"",P298&lt;&gt;""))),TRUE,FALSE))</f>
        <v>0</v>
      </c>
      <c r="BG298" s="218" t="b">
        <f t="shared" si="2949"/>
        <v>0</v>
      </c>
      <c r="BH298" s="218" t="b">
        <f t="shared" si="2962"/>
        <v>0</v>
      </c>
      <c r="BI298" s="231" t="b">
        <f t="shared" ref="BI298" si="3349">IF(J298="",FALSE,IF(L298=0,FALSE,IF(AND(AU295,NOT(BF298),OR(M298="",N298="",O298="")),TRUE,FALSE)))</f>
        <v>0</v>
      </c>
      <c r="BJ298" s="240" t="b">
        <f t="shared" si="2964"/>
        <v>0</v>
      </c>
      <c r="BK298" s="231" t="b">
        <f>IF(NOT(BJ298),FALSE,IF(AND(競技会設定!$C$5&lt;=BJ298,BJ298&lt;=競技会設定!$C$6),FALSE,TRUE))</f>
        <v>0</v>
      </c>
      <c r="BL298" s="218" t="b">
        <f>IF(J298="",FALSE,IF(L298=0,FALSE,IF(AND(AU295,NOT(BF298),NOT(BI298),P298=""),TRUE,FALSE)))</f>
        <v>0</v>
      </c>
      <c r="BO298" s="274"/>
    </row>
    <row r="299" spans="1:67" ht="18" customHeight="1" thickTop="1">
      <c r="A299" s="420">
        <v>74</v>
      </c>
      <c r="B299" s="373" t="s">
        <v>4018</v>
      </c>
      <c r="C299" s="375"/>
      <c r="D299" s="138" t="str">
        <f t="shared" ref="D299" si="3350">IF(C299="","",501&amp;TEXT(C299,"000000"))</f>
        <v/>
      </c>
      <c r="E299" s="377" t="str">
        <f>IF(D299="","",(VLOOKUP(D299,男子登録!$A$2:$N$2001,3,0)))</f>
        <v/>
      </c>
      <c r="F299" s="377" t="str">
        <f>IF(D299="","",(VLOOKUP(D299,男子登録!$A$2:$N$2001,4,0)))</f>
        <v/>
      </c>
      <c r="G299" s="138" t="str">
        <f>IF(C299="","",(VLOOKUP(D299,男子登録!$A$2:$N$2001,8,0)))</f>
        <v/>
      </c>
      <c r="H299" s="138">
        <f>IFERROR(VLOOKUP(D299,男子登録!$A$2:$N$2001,11,0),基本情報!$E$5)</f>
        <v>0</v>
      </c>
      <c r="I299" s="138" t="s">
        <v>4019</v>
      </c>
      <c r="J299" s="151"/>
      <c r="K299" s="138" t="s">
        <v>4022</v>
      </c>
      <c r="L299" s="151"/>
      <c r="M299" s="261"/>
      <c r="N299" s="262"/>
      <c r="O299" s="263"/>
      <c r="P299" s="151"/>
      <c r="Q299" s="381"/>
      <c r="R299" s="384"/>
      <c r="S299" s="136">
        <f t="shared" ref="S299" si="3351">IF(OR(E299="",Q299=""),0,E299)</f>
        <v>0</v>
      </c>
      <c r="T299" s="137">
        <f>IF(S299=0,0,COUNTIF($S$7:S299,"*"))</f>
        <v>0</v>
      </c>
      <c r="U299" s="137">
        <f>IF(S299=0,0,COUNTIF($S$7:S299,S299))</f>
        <v>0</v>
      </c>
      <c r="V299" s="137">
        <f t="shared" si="3171"/>
        <v>0</v>
      </c>
      <c r="W299" s="137">
        <f>IF(V299=0,0,COUNTIF($V$7:V299,"*"))</f>
        <v>0</v>
      </c>
      <c r="X299" s="137">
        <f>IF(V299=0,0,COUNTIF($V$7:V299,V299))</f>
        <v>0</v>
      </c>
      <c r="Y299" s="218">
        <f t="shared" ref="Y299" si="3352">IF(OR(E299="",J299=""),0,J299&amp;E299)</f>
        <v>0</v>
      </c>
      <c r="Z299" s="218">
        <f>IF(Y299=0,0,COUNTIF($Y$7:Y299,Y299))</f>
        <v>0</v>
      </c>
      <c r="AA299" s="218" t="b">
        <f t="shared" ref="AA299" si="3353">IF(COUNTIF(J299:J302,"十種競技")&gt;0,TRUE,FALSE)</f>
        <v>0</v>
      </c>
      <c r="AB299" s="218">
        <f>IF(E299="",0,IF(AA299,COUNTIF($AA$7:AA299,TRUE),0))</f>
        <v>0</v>
      </c>
      <c r="AC299" s="218">
        <f>IFERROR(VLOOKUP("十種競技",J299:L302,3,0),0)</f>
        <v>0</v>
      </c>
      <c r="AD299" s="218">
        <f>IFERROR(VLOOKUP(J299,競技会設定!$P$2:$S$22,2,0),0)</f>
        <v>0</v>
      </c>
      <c r="AE299" s="218">
        <f t="shared" ref="AE299" si="3354">IF(E299="",0,IF(AD299=0,0,IF(AD299&lt;3,E299&amp;$AE$6,0)))</f>
        <v>0</v>
      </c>
      <c r="AF299" s="218">
        <f>IF(AE299=0,0,E299&amp;COUNTIF($AE$7:AE299,AE299))</f>
        <v>0</v>
      </c>
      <c r="AG299" s="218">
        <f t="shared" ref="AG299" si="3355">IF(E299="",0,IF(AD299=0,0,IF(AD299&gt;=3,E299&amp;$AG$6,0)))</f>
        <v>0</v>
      </c>
      <c r="AH299" s="218">
        <f>IF(AG299=0,0,E299&amp;COUNTIF($AG$7:AG299,AG299))</f>
        <v>0</v>
      </c>
      <c r="AI299" s="218">
        <f t="shared" si="2794"/>
        <v>0</v>
      </c>
      <c r="AJ299" s="218" t="b">
        <f>IF(AI299=0,FALSE,IF(COUNTIF(AI$7:AI299,AI299)&gt;1,TRUE,FALSE))</f>
        <v>0</v>
      </c>
      <c r="AK299" s="218">
        <f t="shared" ref="AK299" si="3356">IF($AD299=AK$6,$E299,0)</f>
        <v>0</v>
      </c>
      <c r="AL299" s="218" t="b">
        <f>IF(AK299=0,FALSE,IF(COUNTIF(AK$7:AK299,AK299)&gt;1,TRUE,FALSE))</f>
        <v>0</v>
      </c>
      <c r="AM299" s="218">
        <f t="shared" ref="AM299" si="3357">IF($AD299=AM$6,$E299,0)</f>
        <v>0</v>
      </c>
      <c r="AN299" s="218" t="b">
        <f>IF(AM299=0,FALSE,IF(COUNTIF(AM$7:AM299,AM299)&gt;1,TRUE,FALSE))</f>
        <v>0</v>
      </c>
      <c r="AO299" s="218">
        <f t="shared" ref="AO299" si="3358">IF($AD299=AO$6,$E299,0)</f>
        <v>0</v>
      </c>
      <c r="AP299" s="218" t="b">
        <f>IF(AO299=0,FALSE,IF(COUNTIF(AO$7:AO299,AO299)&gt;1,TRUE,FALSE))</f>
        <v>0</v>
      </c>
      <c r="AQ299" s="218">
        <f t="shared" ref="AQ299" si="3359">IF(COUNTIF(Y299,"*十種競技*")&gt;0,E299,0)</f>
        <v>0</v>
      </c>
      <c r="AR299" s="218" t="b">
        <f>IF(AQ299=0,FALSE,IF(OR(COUNTIF($AI$7:$AI$406,AQ299)+COUNTIF($AQ299:$AQ$406,AQ299)&gt;1,COUNTIF($AK$7:$AK$406,AQ299)+COUNTIF($AQ$7:$AQ$406,AQ299)&gt;1),TRUE,FALSE))</f>
        <v>0</v>
      </c>
      <c r="AS299" s="218" t="b">
        <f t="shared" ref="AS299" si="3360">IF(AND(C299="",E299&lt;&gt;"",F299&lt;&gt;"",E301&lt;&gt;"",G299&lt;&gt;"",G300&lt;&gt;"",G301&lt;&gt;""),TRUE,FALSE)</f>
        <v>0</v>
      </c>
      <c r="AT299" s="218" t="b">
        <f t="shared" si="2960"/>
        <v>0</v>
      </c>
      <c r="AU299" s="274" t="b">
        <f t="shared" ref="AU299" si="3361">IFERROR(IF(D299&amp;E299&amp;F299&amp;E301&amp;G299&amp;G300&amp;G301&amp;J299&amp;J300&amp;J301&amp;J302&amp;L299&amp;L300&amp;L301&amp;L302&amp;M299&amp;M300&amp;M301&amp;M302&amp;N299&amp;N300&amp;N301&amp;N302&amp;O299&amp;O300&amp;O301&amp;O302&amp;P299&amp;P300&amp;P301&amp;P302&amp;Q299&amp;R299="",FALSE,TRUE),FALSE)</f>
        <v>0</v>
      </c>
      <c r="AV299" s="218" t="b">
        <f t="shared" ref="AV299" si="3362">IF(AS299,FALSE,IF(C299="",AU299,FALSE))</f>
        <v>0</v>
      </c>
      <c r="AW299" s="218" t="b">
        <f>IF(C299="",FALSE,IF(C299&gt;2000,TRUE,FALSE))</f>
        <v>0</v>
      </c>
      <c r="AX299" s="274" t="b">
        <f>IF(H299=0,FALSE,IF(EXACT(基本情報!$E$5,H299)=TRUE,FALSE,TRUE))</f>
        <v>0</v>
      </c>
      <c r="AY299" s="218" t="b">
        <f>IF(C299="",FALSE,IF(ISNA(E299)=TRUE,TRUE,FALSE))</f>
        <v>0</v>
      </c>
      <c r="AZ299" s="274" t="b">
        <f>IFERROR(IF(E299="",FALSE,IF(COUNTIF($E$7:E299,E299)&gt;1,TRUE,FALSE)),FALSE)</f>
        <v>0</v>
      </c>
      <c r="BA299" s="218" t="b">
        <f t="shared" ref="BA299" si="3363">IF(OR(J299&amp;J300&amp;J301&amp;J302&amp;Q299&amp;R299="",AT299,AT300,AT301,AT302),AU299,FALSE)</f>
        <v>0</v>
      </c>
      <c r="BB299" s="218" t="b">
        <f>IF(U299&gt;1,TRUE,FALSE)</f>
        <v>0</v>
      </c>
      <c r="BC299" s="218" t="b">
        <f>IF(X299&gt;1,TRUE,FALSE)</f>
        <v>0</v>
      </c>
      <c r="BD299" s="218" t="b">
        <f t="shared" si="2947"/>
        <v>0</v>
      </c>
      <c r="BF299" s="231" t="b">
        <f t="shared" ref="BF299" si="3364">IF(J299="",FALSE,IF(OR(AND(AU299,L299=""),AND(AU299,L299="",OR(M299&lt;&gt;"",N299&lt;&gt;"",O299&lt;&gt;"",P299&lt;&gt;""))),TRUE,FALSE))</f>
        <v>0</v>
      </c>
      <c r="BG299" s="218" t="b">
        <f t="shared" si="2949"/>
        <v>0</v>
      </c>
      <c r="BH299" s="218" t="b">
        <f t="shared" si="2962"/>
        <v>0</v>
      </c>
      <c r="BI299" s="231" t="b">
        <f t="shared" ref="BI299" si="3365">IF(J299="",FALSE,IF(L299=0,FALSE,IF(AND(AU299,NOT(BF299),OR(M299="",N299="",O299="")),TRUE,FALSE)))</f>
        <v>0</v>
      </c>
      <c r="BJ299" s="240" t="b">
        <f t="shared" si="2964"/>
        <v>0</v>
      </c>
      <c r="BK299" s="231" t="b">
        <f>IF(NOT(BJ299),FALSE,IF(AND(競技会設定!$C$5&lt;=BJ299,BJ299&lt;=競技会設定!$C$6),FALSE,TRUE))</f>
        <v>0</v>
      </c>
      <c r="BL299" s="218" t="b">
        <f>IF(J299="",FALSE,IF(L299=0,FALSE,IF(AND(AU299,NOT(BF299),NOT(BI299),P299=""),TRUE,FALSE)))</f>
        <v>0</v>
      </c>
      <c r="BO299" s="274">
        <f t="shared" ref="BO299" si="3366">IF(AND(AU299,SUM(COUNTIF(AV299:BC299,TRUE),COUNTIF(BF299:BL302,TRUE),COUNTIF(BD299:BD302,TRUE))=0,NOT($BE$7)),1,0)</f>
        <v>0</v>
      </c>
    </row>
    <row r="300" spans="1:67" ht="17.399999999999999" customHeight="1">
      <c r="A300" s="421"/>
      <c r="B300" s="374"/>
      <c r="C300" s="376"/>
      <c r="D300" s="139"/>
      <c r="E300" s="378"/>
      <c r="F300" s="378"/>
      <c r="G300" s="139" t="str">
        <f>IF(C299="","",(VLOOKUP(D299,男子登録!$A$2:$N$2001,13,0)))</f>
        <v/>
      </c>
      <c r="H300" s="139"/>
      <c r="I300" s="139" t="s">
        <v>4020</v>
      </c>
      <c r="J300" s="152"/>
      <c r="K300" s="139" t="s">
        <v>4023</v>
      </c>
      <c r="L300" s="152"/>
      <c r="M300" s="264"/>
      <c r="N300" s="265"/>
      <c r="O300" s="266"/>
      <c r="P300" s="152"/>
      <c r="Q300" s="382"/>
      <c r="R300" s="385"/>
      <c r="S300" s="136"/>
      <c r="T300" s="137"/>
      <c r="U300" s="137"/>
      <c r="V300" s="137"/>
      <c r="W300" s="137"/>
      <c r="X300" s="137"/>
      <c r="Y300" s="218">
        <f t="shared" ref="Y300" si="3367">IF(OR(E299="",J300=""),0,J300&amp;E299)</f>
        <v>0</v>
      </c>
      <c r="Z300" s="218">
        <f>IF(Y300=0,0,COUNTIF($Y$7:Y300,Y300))</f>
        <v>0</v>
      </c>
      <c r="AD300" s="218">
        <f>IFERROR(VLOOKUP(J300,競技会設定!$P$2:$S$22,2,0),0)</f>
        <v>0</v>
      </c>
      <c r="AE300" s="218">
        <f t="shared" ref="AE300" si="3368">IF(E299="",0,IF(AD300=0,0,IF(AD300&lt;3,E299&amp;$AE$6,0)))</f>
        <v>0</v>
      </c>
      <c r="AF300" s="218">
        <f>IF(AE300=0,0,E299&amp;COUNTIF($AE$7:AE300,AE300))</f>
        <v>0</v>
      </c>
      <c r="AG300" s="218">
        <f t="shared" ref="AG300" si="3369">IF(E299="",0,IF(AD300=0,0,IF(AD300&gt;=3,E299&amp;$AG$6,0)))</f>
        <v>0</v>
      </c>
      <c r="AH300" s="218">
        <f>IF(AG300=0,0,E299&amp;COUNTIF($AG$7:AG300,AG300))</f>
        <v>0</v>
      </c>
      <c r="AI300" s="218">
        <f t="shared" si="2809"/>
        <v>0</v>
      </c>
      <c r="AJ300" s="218" t="b">
        <f>IF(AI300=0,FALSE,IF(COUNTIF(AI$7:AI300,AI300)&gt;1,TRUE,FALSE))</f>
        <v>0</v>
      </c>
      <c r="AK300" s="218">
        <f t="shared" ref="AK300" si="3370">IF($AD300=AK$6,$E299,0)</f>
        <v>0</v>
      </c>
      <c r="AL300" s="218" t="b">
        <f>IF(AK300=0,FALSE,IF(COUNTIF(AK$7:AK300,AK300)&gt;1,TRUE,FALSE))</f>
        <v>0</v>
      </c>
      <c r="AM300" s="218">
        <f t="shared" ref="AM300" si="3371">IF($AD300=AM$6,$E299,0)</f>
        <v>0</v>
      </c>
      <c r="AN300" s="218" t="b">
        <f>IF(AM300=0,FALSE,IF(COUNTIF(AM$7:AM300,AM300)&gt;1,TRUE,FALSE))</f>
        <v>0</v>
      </c>
      <c r="AO300" s="218">
        <f t="shared" ref="AO300" si="3372">IF($AD300=AO$6,$E299,0)</f>
        <v>0</v>
      </c>
      <c r="AP300" s="218" t="b">
        <f>IF(AO300=0,FALSE,IF(COUNTIF(AO$7:AO300,AO300)&gt;1,TRUE,FALSE))</f>
        <v>0</v>
      </c>
      <c r="AQ300" s="218">
        <f t="shared" ref="AQ300" si="3373">IF(COUNTIF(Y300,"*十種競技*")&gt;0,E299,0)</f>
        <v>0</v>
      </c>
      <c r="AR300" s="218" t="b">
        <f>IF(AQ300=0,FALSE,IF(OR(COUNTIF($AI$7:$AI$406,AQ300)+COUNTIF($AQ300:$AQ$406,AQ300)&gt;1,COUNTIF($AK$7:$AK$406,AQ300)+COUNTIF($AQ$7:$AQ$406,AQ300)&gt;1),TRUE,FALSE))</f>
        <v>0</v>
      </c>
      <c r="AT300" s="218" t="b">
        <f t="shared" si="2960"/>
        <v>0</v>
      </c>
      <c r="AU300" s="274"/>
      <c r="AX300" s="274"/>
      <c r="BD300" s="218" t="b">
        <f t="shared" si="2947"/>
        <v>0</v>
      </c>
      <c r="BF300" s="231" t="b">
        <f t="shared" ref="BF300" si="3374">IF(J300="",FALSE,IF(OR(AND(AU299,L300=""),AND(AU299,L300="",OR(M300&lt;&gt;"",N300&lt;&gt;"",O300&lt;&gt;"",P300&lt;&gt;""))),TRUE,FALSE))</f>
        <v>0</v>
      </c>
      <c r="BG300" s="218" t="b">
        <f t="shared" si="2949"/>
        <v>0</v>
      </c>
      <c r="BH300" s="218" t="b">
        <f t="shared" si="2962"/>
        <v>0</v>
      </c>
      <c r="BI300" s="231" t="b">
        <f t="shared" ref="BI300" si="3375">IF(J300="",FALSE,IF(L300=0,FALSE,IF(AND(AU299,NOT(BF300),OR(M300="",N300="",O300="")),TRUE,FALSE)))</f>
        <v>0</v>
      </c>
      <c r="BJ300" s="240" t="b">
        <f t="shared" si="2964"/>
        <v>0</v>
      </c>
      <c r="BK300" s="231" t="b">
        <f>IF(NOT(BJ300),FALSE,IF(AND(競技会設定!$C$5&lt;=BJ300,BJ300&lt;=競技会設定!$C$6),FALSE,TRUE))</f>
        <v>0</v>
      </c>
      <c r="BL300" s="218" t="b">
        <f>IF(J300="",FALSE,IF(L300=0,FALSE,IF(AND(AU299,NOT(BF300),NOT(BI300),P300=""),TRUE,FALSE)))</f>
        <v>0</v>
      </c>
      <c r="BO300" s="274"/>
    </row>
    <row r="301" spans="1:67" ht="17.399999999999999" customHeight="1">
      <c r="A301" s="421"/>
      <c r="B301" s="374"/>
      <c r="C301" s="376"/>
      <c r="D301" s="140"/>
      <c r="E301" s="379" t="str">
        <f>IF(C299="","",VLOOKUP(D299,男子登録!$A$2:$O$2001,14,0)&amp;" ("&amp;VLOOKUP(D299,男子登録!$A$2:$O$2001,15,0)&amp;")")</f>
        <v/>
      </c>
      <c r="F301" s="380"/>
      <c r="G301" s="140" t="str">
        <f>IF(C299="","",(VLOOKUP(D299,男子登録!$A$2:$N$2001,9,0)))</f>
        <v/>
      </c>
      <c r="H301" s="140"/>
      <c r="I301" s="140" t="s">
        <v>4021</v>
      </c>
      <c r="J301" s="153"/>
      <c r="K301" s="140" t="s">
        <v>6760</v>
      </c>
      <c r="L301" s="153"/>
      <c r="M301" s="264"/>
      <c r="N301" s="265"/>
      <c r="O301" s="266"/>
      <c r="P301" s="152"/>
      <c r="Q301" s="382"/>
      <c r="R301" s="385"/>
      <c r="S301" s="136"/>
      <c r="T301" s="137"/>
      <c r="U301" s="137"/>
      <c r="V301" s="137"/>
      <c r="W301" s="137"/>
      <c r="X301" s="137"/>
      <c r="Y301" s="218">
        <f t="shared" ref="Y301" si="3376">IF(OR(E299="",J301=""),0,J301&amp;E299)</f>
        <v>0</v>
      </c>
      <c r="Z301" s="218">
        <f>IF(Y301=0,0,COUNTIF($Y$7:Y301,Y301))</f>
        <v>0</v>
      </c>
      <c r="AD301" s="218">
        <f>IFERROR(VLOOKUP(J301,競技会設定!$P$2:$S$22,2,0),0)</f>
        <v>0</v>
      </c>
      <c r="AE301" s="218">
        <f t="shared" ref="AE301" si="3377">IF(E299="",0,IF(AD301=0,0,IF(AD301&lt;3,E299&amp;$AE$6,0)))</f>
        <v>0</v>
      </c>
      <c r="AF301" s="218">
        <f>IF(AE301=0,0,E299&amp;COUNTIF($AE$7:AE301,AE301))</f>
        <v>0</v>
      </c>
      <c r="AG301" s="218">
        <f t="shared" ref="AG301" si="3378">IF(E299="",0,IF(AD301=0,0,IF(AD301&gt;=3,E299&amp;$AG$6,0)))</f>
        <v>0</v>
      </c>
      <c r="AH301" s="218">
        <f>IF(AG301=0,0,E299&amp;COUNTIF($AG$7:AG301,AG301))</f>
        <v>0</v>
      </c>
      <c r="AI301" s="218">
        <f t="shared" si="2819"/>
        <v>0</v>
      </c>
      <c r="AJ301" s="218" t="b">
        <f>IF(AI301=0,FALSE,IF(COUNTIF(AI$7:AI301,AI301)&gt;1,TRUE,FALSE))</f>
        <v>0</v>
      </c>
      <c r="AK301" s="218">
        <f t="shared" ref="AK301" si="3379">IF($AD301=AK$6,$E299,0)</f>
        <v>0</v>
      </c>
      <c r="AL301" s="218" t="b">
        <f>IF(AK301=0,FALSE,IF(COUNTIF(AK$7:AK301,AK301)&gt;1,TRUE,FALSE))</f>
        <v>0</v>
      </c>
      <c r="AM301" s="218">
        <f t="shared" ref="AM301" si="3380">IF($AD301=AM$6,$E299,0)</f>
        <v>0</v>
      </c>
      <c r="AN301" s="218" t="b">
        <f>IF(AM301=0,FALSE,IF(COUNTIF(AM$7:AM301,AM301)&gt;1,TRUE,FALSE))</f>
        <v>0</v>
      </c>
      <c r="AO301" s="218">
        <f t="shared" ref="AO301" si="3381">IF($AD301=AO$6,$E299,0)</f>
        <v>0</v>
      </c>
      <c r="AP301" s="218" t="b">
        <f>IF(AO301=0,FALSE,IF(COUNTIF(AO$7:AO301,AO301)&gt;1,TRUE,FALSE))</f>
        <v>0</v>
      </c>
      <c r="AQ301" s="218">
        <f t="shared" ref="AQ301" si="3382">IF(COUNTIF(Y301,"*十種競技*")&gt;0,E299,0)</f>
        <v>0</v>
      </c>
      <c r="AR301" s="218" t="b">
        <f>IF(AQ301=0,FALSE,IF(OR(COUNTIF($AI$7:$AI$406,AQ301)+COUNTIF($AQ301:$AQ$406,AQ301)&gt;1,COUNTIF($AK$7:$AK$406,AQ301)+COUNTIF($AQ$7:$AQ$406,AQ301)&gt;1),TRUE,FALSE))</f>
        <v>0</v>
      </c>
      <c r="AT301" s="218" t="b">
        <f t="shared" si="2960"/>
        <v>0</v>
      </c>
      <c r="AU301" s="274"/>
      <c r="AX301" s="274"/>
      <c r="BD301" s="218" t="b">
        <f t="shared" si="2947"/>
        <v>0</v>
      </c>
      <c r="BF301" s="231" t="b">
        <f t="shared" ref="BF301" si="3383">IF(J301="",FALSE,IF(OR(AND(AU299,L301=""),AND(AU299,L301="",OR(M301&lt;&gt;"",N301&lt;&gt;"",O301&lt;&gt;"",P301&lt;&gt;""))),TRUE,FALSE))</f>
        <v>0</v>
      </c>
      <c r="BG301" s="218" t="b">
        <f t="shared" si="2949"/>
        <v>0</v>
      </c>
      <c r="BH301" s="218" t="b">
        <f t="shared" si="2962"/>
        <v>0</v>
      </c>
      <c r="BI301" s="231" t="b">
        <f t="shared" ref="BI301" si="3384">IF(J301="",FALSE,IF(L301=0,FALSE,IF(AND(AU299,NOT(BF301),OR(M301="",N301="",O301="")),TRUE,FALSE)))</f>
        <v>0</v>
      </c>
      <c r="BJ301" s="240" t="b">
        <f t="shared" si="2964"/>
        <v>0</v>
      </c>
      <c r="BK301" s="231" t="b">
        <f>IF(NOT(BJ301),FALSE,IF(AND(競技会設定!$C$5&lt;=BJ301,BJ301&lt;=競技会設定!$C$6),FALSE,TRUE))</f>
        <v>0</v>
      </c>
      <c r="BL301" s="218" t="b">
        <f>IF(J301="",FALSE,IF(L301=0,FALSE,IF(AND(AU299,NOT(BF301),NOT(BI301),P301=""),TRUE,FALSE)))</f>
        <v>0</v>
      </c>
      <c r="BO301" s="274"/>
    </row>
    <row r="302" spans="1:67" ht="18" customHeight="1" thickBot="1">
      <c r="A302" s="422"/>
      <c r="B302" s="387" t="s">
        <v>6764</v>
      </c>
      <c r="C302" s="387"/>
      <c r="D302" s="213"/>
      <c r="E302" s="388"/>
      <c r="F302" s="389"/>
      <c r="G302" s="390"/>
      <c r="H302" s="141"/>
      <c r="I302" s="213" t="s">
        <v>6759</v>
      </c>
      <c r="J302" s="154"/>
      <c r="K302" s="213" t="s">
        <v>6761</v>
      </c>
      <c r="L302" s="154"/>
      <c r="M302" s="267"/>
      <c r="N302" s="268"/>
      <c r="O302" s="269"/>
      <c r="P302" s="154"/>
      <c r="Q302" s="383"/>
      <c r="R302" s="386"/>
      <c r="S302" s="136"/>
      <c r="T302" s="137"/>
      <c r="U302" s="137"/>
      <c r="V302" s="137"/>
      <c r="W302" s="137"/>
      <c r="X302" s="137"/>
      <c r="Y302" s="218">
        <f t="shared" ref="Y302" si="3385">IF(OR(E299="",J302=""),0,J302&amp;E299)</f>
        <v>0</v>
      </c>
      <c r="Z302" s="218">
        <f>IF(Y302=0,0,COUNTIF($Y$7:Y302,Y302))</f>
        <v>0</v>
      </c>
      <c r="AD302" s="218">
        <f>IFERROR(VLOOKUP(J302,競技会設定!$P$2:$S$22,2,0),0)</f>
        <v>0</v>
      </c>
      <c r="AE302" s="218">
        <f t="shared" ref="AE302" si="3386">IF(E299="",0,IF(AD302=0,0,IF(AD302&lt;3,E299&amp;$AE$6,0)))</f>
        <v>0</v>
      </c>
      <c r="AF302" s="218">
        <f>IF(AE302=0,0,E299&amp;COUNTIF($AE$7:AE302,AE302))</f>
        <v>0</v>
      </c>
      <c r="AG302" s="218">
        <f t="shared" ref="AG302" si="3387">IF(E299="",0,IF(AD302=0,0,IF(AD302&gt;=3,E299&amp;$AG$6,0)))</f>
        <v>0</v>
      </c>
      <c r="AH302" s="218">
        <f>IF(AG302=0,0,E299&amp;COUNTIF($AG$7:AG302,AG302))</f>
        <v>0</v>
      </c>
      <c r="AI302" s="218">
        <f t="shared" si="2829"/>
        <v>0</v>
      </c>
      <c r="AJ302" s="218" t="b">
        <f>IF(AI302=0,FALSE,IF(COUNTIF(AI$7:AI302,AI302)&gt;1,TRUE,FALSE))</f>
        <v>0</v>
      </c>
      <c r="AK302" s="218">
        <f t="shared" ref="AK302" si="3388">IF($AD302=AK$6,$E299,0)</f>
        <v>0</v>
      </c>
      <c r="AL302" s="218" t="b">
        <f>IF(AK302=0,FALSE,IF(COUNTIF(AK$7:AK302,AK302)&gt;1,TRUE,FALSE))</f>
        <v>0</v>
      </c>
      <c r="AM302" s="218">
        <f t="shared" ref="AM302" si="3389">IF($AD302=AM$6,$E299,0)</f>
        <v>0</v>
      </c>
      <c r="AN302" s="218" t="b">
        <f>IF(AM302=0,FALSE,IF(COUNTIF(AM$7:AM302,AM302)&gt;1,TRUE,FALSE))</f>
        <v>0</v>
      </c>
      <c r="AO302" s="218">
        <f t="shared" ref="AO302" si="3390">IF($AD302=AO$6,$E299,0)</f>
        <v>0</v>
      </c>
      <c r="AP302" s="218" t="b">
        <f>IF(AO302=0,FALSE,IF(COUNTIF(AO$7:AO302,AO302)&gt;1,TRUE,FALSE))</f>
        <v>0</v>
      </c>
      <c r="AQ302" s="218">
        <f t="shared" ref="AQ302" si="3391">IF(COUNTIF(Y302,"*十種競技*")&gt;0,E299,0)</f>
        <v>0</v>
      </c>
      <c r="AR302" s="218" t="b">
        <f>IF(AQ302=0,FALSE,IF(OR(COUNTIF($AI$7:$AI$406,AQ302)+COUNTIF($AQ302:$AQ$406,AQ302)&gt;1,COUNTIF($AK$7:$AK$406,AQ302)+COUNTIF($AQ$7:$AQ$406,AQ302)&gt;1),TRUE,FALSE))</f>
        <v>0</v>
      </c>
      <c r="AT302" s="218" t="b">
        <f t="shared" si="2960"/>
        <v>0</v>
      </c>
      <c r="AU302" s="274"/>
      <c r="AX302" s="274"/>
      <c r="BD302" s="218" t="b">
        <f t="shared" si="2947"/>
        <v>0</v>
      </c>
      <c r="BF302" s="231" t="b">
        <f t="shared" ref="BF302" si="3392">IF(J302="",FALSE,IF(OR(AND(AU299,L302=""),AND(AU299,L302="",OR(M302&lt;&gt;"",N302&lt;&gt;"",O302&lt;&gt;"",P302&lt;&gt;""))),TRUE,FALSE))</f>
        <v>0</v>
      </c>
      <c r="BG302" s="218" t="b">
        <f t="shared" si="2949"/>
        <v>0</v>
      </c>
      <c r="BH302" s="218" t="b">
        <f t="shared" si="2962"/>
        <v>0</v>
      </c>
      <c r="BI302" s="231" t="b">
        <f t="shared" ref="BI302" si="3393">IF(J302="",FALSE,IF(L302=0,FALSE,IF(AND(AU299,NOT(BF302),OR(M302="",N302="",O302="")),TRUE,FALSE)))</f>
        <v>0</v>
      </c>
      <c r="BJ302" s="240" t="b">
        <f t="shared" si="2964"/>
        <v>0</v>
      </c>
      <c r="BK302" s="231" t="b">
        <f>IF(NOT(BJ302),FALSE,IF(AND(競技会設定!$C$5&lt;=BJ302,BJ302&lt;=競技会設定!$C$6),FALSE,TRUE))</f>
        <v>0</v>
      </c>
      <c r="BL302" s="218" t="b">
        <f>IF(J302="",FALSE,IF(L302=0,FALSE,IF(AND(AU299,NOT(BF302),NOT(BI302),P302=""),TRUE,FALSE)))</f>
        <v>0</v>
      </c>
      <c r="BO302" s="274"/>
    </row>
    <row r="303" spans="1:67" ht="18" customHeight="1" thickTop="1">
      <c r="A303" s="417">
        <v>75</v>
      </c>
      <c r="B303" s="401" t="s">
        <v>4018</v>
      </c>
      <c r="C303" s="403"/>
      <c r="D303" s="220" t="str">
        <f t="shared" ref="D303" si="3394">IF(C303="","",501&amp;TEXT(C303,"000000"))</f>
        <v/>
      </c>
      <c r="E303" s="396" t="str">
        <f>IF(D303="","",(VLOOKUP(D303,男子登録!$A$2:$N$2001,3,0)))</f>
        <v/>
      </c>
      <c r="F303" s="396" t="str">
        <f>IF(D303="","",(VLOOKUP(D303,男子登録!$A$2:$N$2001,4,0)))</f>
        <v/>
      </c>
      <c r="G303" s="220" t="str">
        <f>IF(C303="","",(VLOOKUP(D303,男子登録!$A$2:$N$2001,8,0)))</f>
        <v/>
      </c>
      <c r="H303" s="220">
        <f>IFERROR(VLOOKUP(D303,男子登録!$A$2:$N$2001,11,0),基本情報!$E$5)</f>
        <v>0</v>
      </c>
      <c r="I303" s="220" t="s">
        <v>4019</v>
      </c>
      <c r="J303" s="148"/>
      <c r="K303" s="220" t="s">
        <v>4022</v>
      </c>
      <c r="L303" s="148"/>
      <c r="M303" s="252"/>
      <c r="N303" s="253"/>
      <c r="O303" s="254"/>
      <c r="P303" s="148"/>
      <c r="Q303" s="398"/>
      <c r="R303" s="391"/>
      <c r="S303" s="136">
        <f t="shared" ref="S303" si="3395">IF(OR(E303="",Q303=""),0,E303)</f>
        <v>0</v>
      </c>
      <c r="T303" s="137">
        <f>IF(S303=0,0,COUNTIF($S$7:S303,"*"))</f>
        <v>0</v>
      </c>
      <c r="U303" s="137">
        <f>IF(S303=0,0,COUNTIF($S$7:S303,S303))</f>
        <v>0</v>
      </c>
      <c r="V303" s="137">
        <f t="shared" si="3171"/>
        <v>0</v>
      </c>
      <c r="W303" s="137">
        <f>IF(V303=0,0,COUNTIF($V$7:V303,"*"))</f>
        <v>0</v>
      </c>
      <c r="X303" s="137">
        <f>IF(V303=0,0,COUNTIF($V$7:V303,V303))</f>
        <v>0</v>
      </c>
      <c r="Y303" s="218">
        <f t="shared" ref="Y303" si="3396">IF(OR(E303="",J303=""),0,J303&amp;E303)</f>
        <v>0</v>
      </c>
      <c r="Z303" s="218">
        <f>IF(Y303=0,0,COUNTIF($Y$7:Y303,Y303))</f>
        <v>0</v>
      </c>
      <c r="AA303" s="218" t="b">
        <f t="shared" ref="AA303" si="3397">IF(COUNTIF(J303:J306,"十種競技")&gt;0,TRUE,FALSE)</f>
        <v>0</v>
      </c>
      <c r="AB303" s="218">
        <f>IF(E303="",0,IF(AA303,COUNTIF($AA$7:AA303,TRUE),0))</f>
        <v>0</v>
      </c>
      <c r="AC303" s="218">
        <f>IFERROR(VLOOKUP("十種競技",J303:L306,3,0),0)</f>
        <v>0</v>
      </c>
      <c r="AD303" s="218">
        <f>IFERROR(VLOOKUP(J303,競技会設定!$P$2:$S$22,2,0),0)</f>
        <v>0</v>
      </c>
      <c r="AE303" s="218">
        <f t="shared" ref="AE303" si="3398">IF(E303="",0,IF(AD303=0,0,IF(AD303&lt;3,E303&amp;$AE$6,0)))</f>
        <v>0</v>
      </c>
      <c r="AF303" s="218">
        <f>IF(AE303=0,0,E303&amp;COUNTIF($AE$7:AE303,AE303))</f>
        <v>0</v>
      </c>
      <c r="AG303" s="218">
        <f t="shared" ref="AG303" si="3399">IF(E303="",0,IF(AD303=0,0,IF(AD303&gt;=3,E303&amp;$AG$6,0)))</f>
        <v>0</v>
      </c>
      <c r="AH303" s="218">
        <f>IF(AG303=0,0,E303&amp;COUNTIF($AG$7:AG303,AG303))</f>
        <v>0</v>
      </c>
      <c r="AI303" s="218">
        <f t="shared" si="2842"/>
        <v>0</v>
      </c>
      <c r="AJ303" s="218" t="b">
        <f>IF(AI303=0,FALSE,IF(COUNTIF(AI$7:AI303,AI303)&gt;1,TRUE,FALSE))</f>
        <v>0</v>
      </c>
      <c r="AK303" s="218">
        <f t="shared" ref="AK303" si="3400">IF($AD303=AK$6,$E303,0)</f>
        <v>0</v>
      </c>
      <c r="AL303" s="218" t="b">
        <f>IF(AK303=0,FALSE,IF(COUNTIF(AK$7:AK303,AK303)&gt;1,TRUE,FALSE))</f>
        <v>0</v>
      </c>
      <c r="AM303" s="218">
        <f t="shared" ref="AM303" si="3401">IF($AD303=AM$6,$E303,0)</f>
        <v>0</v>
      </c>
      <c r="AN303" s="218" t="b">
        <f>IF(AM303=0,FALSE,IF(COUNTIF(AM$7:AM303,AM303)&gt;1,TRUE,FALSE))</f>
        <v>0</v>
      </c>
      <c r="AO303" s="218">
        <f t="shared" ref="AO303" si="3402">IF($AD303=AO$6,$E303,0)</f>
        <v>0</v>
      </c>
      <c r="AP303" s="218" t="b">
        <f>IF(AO303=0,FALSE,IF(COUNTIF(AO$7:AO303,AO303)&gt;1,TRUE,FALSE))</f>
        <v>0</v>
      </c>
      <c r="AQ303" s="218">
        <f t="shared" ref="AQ303" si="3403">IF(COUNTIF(Y303,"*十種競技*")&gt;0,E303,0)</f>
        <v>0</v>
      </c>
      <c r="AR303" s="218" t="b">
        <f>IF(AQ303=0,FALSE,IF(OR(COUNTIF($AI$7:$AI$406,AQ303)+COUNTIF($AQ303:$AQ$406,AQ303)&gt;1,COUNTIF($AK$7:$AK$406,AQ303)+COUNTIF($AQ$7:$AQ$406,AQ303)&gt;1),TRUE,FALSE))</f>
        <v>0</v>
      </c>
      <c r="AS303" s="218" t="b">
        <f t="shared" ref="AS303" si="3404">IF(AND(C303="",E303&lt;&gt;"",F303&lt;&gt;"",E305&lt;&gt;"",G303&lt;&gt;"",G304&lt;&gt;"",G305&lt;&gt;""),TRUE,FALSE)</f>
        <v>0</v>
      </c>
      <c r="AT303" s="218" t="b">
        <f t="shared" si="2960"/>
        <v>0</v>
      </c>
      <c r="AU303" s="274" t="b">
        <f t="shared" ref="AU303" si="3405">IFERROR(IF(D303&amp;E303&amp;F303&amp;E305&amp;G303&amp;G304&amp;G305&amp;J303&amp;J304&amp;J305&amp;J306&amp;L303&amp;L304&amp;L305&amp;L306&amp;M303&amp;M304&amp;M305&amp;M306&amp;N303&amp;N304&amp;N305&amp;N306&amp;O303&amp;O304&amp;O305&amp;O306&amp;P303&amp;P304&amp;P305&amp;P306&amp;Q303&amp;R303="",FALSE,TRUE),FALSE)</f>
        <v>0</v>
      </c>
      <c r="AV303" s="218" t="b">
        <f t="shared" ref="AV303" si="3406">IF(AS303,FALSE,IF(C303="",AU303,FALSE))</f>
        <v>0</v>
      </c>
      <c r="AW303" s="218" t="b">
        <f>IF(C303="",FALSE,IF(C303&gt;2000,TRUE,FALSE))</f>
        <v>0</v>
      </c>
      <c r="AX303" s="274" t="b">
        <f>IF(H303=0,FALSE,IF(EXACT(基本情報!$E$5,H303)=TRUE,FALSE,TRUE))</f>
        <v>0</v>
      </c>
      <c r="AY303" s="218" t="b">
        <f>IF(C303="",FALSE,IF(ISNA(E303)=TRUE,TRUE,FALSE))</f>
        <v>0</v>
      </c>
      <c r="AZ303" s="274" t="b">
        <f>IFERROR(IF(E303="",FALSE,IF(COUNTIF($E$7:E303,E303)&gt;1,TRUE,FALSE)),FALSE)</f>
        <v>0</v>
      </c>
      <c r="BA303" s="218" t="b">
        <f t="shared" ref="BA303" si="3407">IF(OR(J303&amp;J304&amp;J305&amp;J306&amp;Q303&amp;R303="",AT303,AT304,AT305,AT306),AU303,FALSE)</f>
        <v>0</v>
      </c>
      <c r="BB303" s="218" t="b">
        <f>IF(U303&gt;1,TRUE,FALSE)</f>
        <v>0</v>
      </c>
      <c r="BC303" s="218" t="b">
        <f>IF(X303&gt;1,TRUE,FALSE)</f>
        <v>0</v>
      </c>
      <c r="BD303" s="218" t="b">
        <f t="shared" si="2947"/>
        <v>0</v>
      </c>
      <c r="BF303" s="231" t="b">
        <f t="shared" ref="BF303" si="3408">IF(J303="",FALSE,IF(OR(AND(AU303,L303=""),AND(AU303,L303="",OR(M303&lt;&gt;"",N303&lt;&gt;"",O303&lt;&gt;"",P303&lt;&gt;""))),TRUE,FALSE))</f>
        <v>0</v>
      </c>
      <c r="BG303" s="218" t="b">
        <f t="shared" si="2949"/>
        <v>0</v>
      </c>
      <c r="BH303" s="218" t="b">
        <f t="shared" si="2962"/>
        <v>0</v>
      </c>
      <c r="BI303" s="231" t="b">
        <f t="shared" ref="BI303" si="3409">IF(J303="",FALSE,IF(L303=0,FALSE,IF(AND(AU303,NOT(BF303),OR(M303="",N303="",O303="")),TRUE,FALSE)))</f>
        <v>0</v>
      </c>
      <c r="BJ303" s="240" t="b">
        <f t="shared" si="2964"/>
        <v>0</v>
      </c>
      <c r="BK303" s="231" t="b">
        <f>IF(NOT(BJ303),FALSE,IF(AND(競技会設定!$C$5&lt;=BJ303,BJ303&lt;=競技会設定!$C$6),FALSE,TRUE))</f>
        <v>0</v>
      </c>
      <c r="BL303" s="218" t="b">
        <f>IF(J303="",FALSE,IF(L303=0,FALSE,IF(AND(AU303,NOT(BF303),NOT(BI303),P303=""),TRUE,FALSE)))</f>
        <v>0</v>
      </c>
      <c r="BO303" s="274">
        <f t="shared" ref="BO303" si="3410">IF(AND(AU303,SUM(COUNTIF(AV303:BC303,TRUE),COUNTIF(BF303:BL306,TRUE),COUNTIF(BD303:BD306,TRUE))=0,NOT($BE$7)),1,0)</f>
        <v>0</v>
      </c>
    </row>
    <row r="304" spans="1:67" ht="17.399999999999999" customHeight="1">
      <c r="A304" s="418"/>
      <c r="B304" s="402"/>
      <c r="C304" s="404"/>
      <c r="D304" s="221"/>
      <c r="E304" s="397"/>
      <c r="F304" s="397"/>
      <c r="G304" s="221" t="str">
        <f>IF(C303="","",(VLOOKUP(D303,男子登録!$A$2:$N$2001,13,0)))</f>
        <v/>
      </c>
      <c r="H304" s="221"/>
      <c r="I304" s="221" t="s">
        <v>4020</v>
      </c>
      <c r="J304" s="149"/>
      <c r="K304" s="221" t="s">
        <v>4023</v>
      </c>
      <c r="L304" s="149"/>
      <c r="M304" s="255"/>
      <c r="N304" s="256"/>
      <c r="O304" s="257"/>
      <c r="P304" s="149"/>
      <c r="Q304" s="399"/>
      <c r="R304" s="392"/>
      <c r="S304" s="136"/>
      <c r="T304" s="137"/>
      <c r="U304" s="137"/>
      <c r="V304" s="137"/>
      <c r="W304" s="137"/>
      <c r="X304" s="137"/>
      <c r="Y304" s="218">
        <f t="shared" ref="Y304" si="3411">IF(OR(E303="",J304=""),0,J304&amp;E303)</f>
        <v>0</v>
      </c>
      <c r="Z304" s="218">
        <f>IF(Y304=0,0,COUNTIF($Y$7:Y304,Y304))</f>
        <v>0</v>
      </c>
      <c r="AD304" s="218">
        <f>IFERROR(VLOOKUP(J304,競技会設定!$P$2:$S$22,2,0),0)</f>
        <v>0</v>
      </c>
      <c r="AE304" s="218">
        <f t="shared" ref="AE304" si="3412">IF(E303="",0,IF(AD304=0,0,IF(AD304&lt;3,E303&amp;$AE$6,0)))</f>
        <v>0</v>
      </c>
      <c r="AF304" s="218">
        <f>IF(AE304=0,0,E303&amp;COUNTIF($AE$7:AE304,AE304))</f>
        <v>0</v>
      </c>
      <c r="AG304" s="218">
        <f t="shared" ref="AG304" si="3413">IF(E303="",0,IF(AD304=0,0,IF(AD304&gt;=3,E303&amp;$AG$6,0)))</f>
        <v>0</v>
      </c>
      <c r="AH304" s="218">
        <f>IF(AG304=0,0,E303&amp;COUNTIF($AG$7:AG304,AG304))</f>
        <v>0</v>
      </c>
      <c r="AI304" s="218">
        <f t="shared" si="2857"/>
        <v>0</v>
      </c>
      <c r="AJ304" s="218" t="b">
        <f>IF(AI304=0,FALSE,IF(COUNTIF(AI$7:AI304,AI304)&gt;1,TRUE,FALSE))</f>
        <v>0</v>
      </c>
      <c r="AK304" s="218">
        <f t="shared" ref="AK304" si="3414">IF($AD304=AK$6,$E303,0)</f>
        <v>0</v>
      </c>
      <c r="AL304" s="218" t="b">
        <f>IF(AK304=0,FALSE,IF(COUNTIF(AK$7:AK304,AK304)&gt;1,TRUE,FALSE))</f>
        <v>0</v>
      </c>
      <c r="AM304" s="218">
        <f t="shared" ref="AM304" si="3415">IF($AD304=AM$6,$E303,0)</f>
        <v>0</v>
      </c>
      <c r="AN304" s="218" t="b">
        <f>IF(AM304=0,FALSE,IF(COUNTIF(AM$7:AM304,AM304)&gt;1,TRUE,FALSE))</f>
        <v>0</v>
      </c>
      <c r="AO304" s="218">
        <f t="shared" ref="AO304" si="3416">IF($AD304=AO$6,$E303,0)</f>
        <v>0</v>
      </c>
      <c r="AP304" s="218" t="b">
        <f>IF(AO304=0,FALSE,IF(COUNTIF(AO$7:AO304,AO304)&gt;1,TRUE,FALSE))</f>
        <v>0</v>
      </c>
      <c r="AQ304" s="218">
        <f t="shared" ref="AQ304" si="3417">IF(COUNTIF(Y304,"*十種競技*")&gt;0,E303,0)</f>
        <v>0</v>
      </c>
      <c r="AR304" s="218" t="b">
        <f>IF(AQ304=0,FALSE,IF(OR(COUNTIF($AI$7:$AI$406,AQ304)+COUNTIF($AQ304:$AQ$406,AQ304)&gt;1,COUNTIF($AK$7:$AK$406,AQ304)+COUNTIF($AQ$7:$AQ$406,AQ304)&gt;1),TRUE,FALSE))</f>
        <v>0</v>
      </c>
      <c r="AT304" s="218" t="b">
        <f t="shared" si="2960"/>
        <v>0</v>
      </c>
      <c r="AU304" s="274"/>
      <c r="AX304" s="274"/>
      <c r="BD304" s="218" t="b">
        <f t="shared" si="2947"/>
        <v>0</v>
      </c>
      <c r="BF304" s="231" t="b">
        <f t="shared" ref="BF304" si="3418">IF(J304="",FALSE,IF(OR(AND(AU303,L304=""),AND(AU303,L304="",OR(M304&lt;&gt;"",N304&lt;&gt;"",O304&lt;&gt;"",P304&lt;&gt;""))),TRUE,FALSE))</f>
        <v>0</v>
      </c>
      <c r="BG304" s="218" t="b">
        <f t="shared" si="2949"/>
        <v>0</v>
      </c>
      <c r="BH304" s="218" t="b">
        <f t="shared" si="2962"/>
        <v>0</v>
      </c>
      <c r="BI304" s="231" t="b">
        <f t="shared" ref="BI304" si="3419">IF(J304="",FALSE,IF(L304=0,FALSE,IF(AND(AU303,NOT(BF304),OR(M304="",N304="",O304="")),TRUE,FALSE)))</f>
        <v>0</v>
      </c>
      <c r="BJ304" s="240" t="b">
        <f t="shared" si="2964"/>
        <v>0</v>
      </c>
      <c r="BK304" s="231" t="b">
        <f>IF(NOT(BJ304),FALSE,IF(AND(競技会設定!$C$5&lt;=BJ304,BJ304&lt;=競技会設定!$C$6),FALSE,TRUE))</f>
        <v>0</v>
      </c>
      <c r="BL304" s="218" t="b">
        <f>IF(J304="",FALSE,IF(L304=0,FALSE,IF(AND(AU303,NOT(BF304),NOT(BI304),P304=""),TRUE,FALSE)))</f>
        <v>0</v>
      </c>
      <c r="BO304" s="274"/>
    </row>
    <row r="305" spans="1:67" ht="17.399999999999999" customHeight="1">
      <c r="A305" s="418"/>
      <c r="B305" s="402"/>
      <c r="C305" s="404"/>
      <c r="D305" s="221"/>
      <c r="E305" s="394" t="str">
        <f>IF(C303="","",VLOOKUP(D303,男子登録!$A$2:$O$2001,14,0)&amp;" ("&amp;VLOOKUP(D303,男子登録!$A$2:$O$2001,15,0)&amp;")")</f>
        <v/>
      </c>
      <c r="F305" s="394"/>
      <c r="G305" s="222" t="str">
        <f>IF(C303="","",(VLOOKUP(D303,男子登録!$A$2:$N$2001,9,0)))</f>
        <v/>
      </c>
      <c r="H305" s="222"/>
      <c r="I305" s="222" t="s">
        <v>4021</v>
      </c>
      <c r="J305" s="150"/>
      <c r="K305" s="222" t="s">
        <v>6760</v>
      </c>
      <c r="L305" s="150"/>
      <c r="M305" s="255"/>
      <c r="N305" s="256"/>
      <c r="O305" s="257"/>
      <c r="P305" s="149"/>
      <c r="Q305" s="399"/>
      <c r="R305" s="392"/>
      <c r="S305" s="136"/>
      <c r="T305" s="137"/>
      <c r="U305" s="137"/>
      <c r="V305" s="137"/>
      <c r="W305" s="137"/>
      <c r="X305" s="137"/>
      <c r="Y305" s="218">
        <f t="shared" ref="Y305" si="3420">IF(OR(E303="",J305=""),0,J305&amp;E303)</f>
        <v>0</v>
      </c>
      <c r="Z305" s="218">
        <f>IF(Y305=0,0,COUNTIF($Y$7:Y305,Y305))</f>
        <v>0</v>
      </c>
      <c r="AD305" s="218">
        <f>IFERROR(VLOOKUP(J305,競技会設定!$P$2:$S$22,2,0),0)</f>
        <v>0</v>
      </c>
      <c r="AE305" s="218">
        <f t="shared" ref="AE305" si="3421">IF(E303="",0,IF(AD305=0,0,IF(AD305&lt;3,E303&amp;$AE$6,0)))</f>
        <v>0</v>
      </c>
      <c r="AF305" s="218">
        <f>IF(AE305=0,0,E303&amp;COUNTIF($AE$7:AE305,AE305))</f>
        <v>0</v>
      </c>
      <c r="AG305" s="218">
        <f t="shared" ref="AG305" si="3422">IF(E303="",0,IF(AD305=0,0,IF(AD305&gt;=3,E303&amp;$AG$6,0)))</f>
        <v>0</v>
      </c>
      <c r="AH305" s="218">
        <f>IF(AG305=0,0,E303&amp;COUNTIF($AG$7:AG305,AG305))</f>
        <v>0</v>
      </c>
      <c r="AI305" s="218">
        <f t="shared" si="2867"/>
        <v>0</v>
      </c>
      <c r="AJ305" s="218" t="b">
        <f>IF(AI305=0,FALSE,IF(COUNTIF(AI$7:AI305,AI305)&gt;1,TRUE,FALSE))</f>
        <v>0</v>
      </c>
      <c r="AK305" s="218">
        <f t="shared" ref="AK305" si="3423">IF($AD305=AK$6,$E303,0)</f>
        <v>0</v>
      </c>
      <c r="AL305" s="218" t="b">
        <f>IF(AK305=0,FALSE,IF(COUNTIF(AK$7:AK305,AK305)&gt;1,TRUE,FALSE))</f>
        <v>0</v>
      </c>
      <c r="AM305" s="218">
        <f t="shared" ref="AM305" si="3424">IF($AD305=AM$6,$E303,0)</f>
        <v>0</v>
      </c>
      <c r="AN305" s="218" t="b">
        <f>IF(AM305=0,FALSE,IF(COUNTIF(AM$7:AM305,AM305)&gt;1,TRUE,FALSE))</f>
        <v>0</v>
      </c>
      <c r="AO305" s="218">
        <f t="shared" ref="AO305" si="3425">IF($AD305=AO$6,$E303,0)</f>
        <v>0</v>
      </c>
      <c r="AP305" s="218" t="b">
        <f>IF(AO305=0,FALSE,IF(COUNTIF(AO$7:AO305,AO305)&gt;1,TRUE,FALSE))</f>
        <v>0</v>
      </c>
      <c r="AQ305" s="218">
        <f t="shared" ref="AQ305" si="3426">IF(COUNTIF(Y305,"*十種競技*")&gt;0,E303,0)</f>
        <v>0</v>
      </c>
      <c r="AR305" s="218" t="b">
        <f>IF(AQ305=0,FALSE,IF(OR(COUNTIF($AI$7:$AI$406,AQ305)+COUNTIF($AQ305:$AQ$406,AQ305)&gt;1,COUNTIF($AK$7:$AK$406,AQ305)+COUNTIF($AQ$7:$AQ$406,AQ305)&gt;1),TRUE,FALSE))</f>
        <v>0</v>
      </c>
      <c r="AT305" s="218" t="b">
        <f t="shared" si="2960"/>
        <v>0</v>
      </c>
      <c r="AU305" s="274"/>
      <c r="AX305" s="274"/>
      <c r="BD305" s="218" t="b">
        <f t="shared" si="2947"/>
        <v>0</v>
      </c>
      <c r="BF305" s="231" t="b">
        <f t="shared" ref="BF305" si="3427">IF(J305="",FALSE,IF(OR(AND(AU303,L305=""),AND(AU303,L305="",OR(M305&lt;&gt;"",N305&lt;&gt;"",O305&lt;&gt;"",P305&lt;&gt;""))),TRUE,FALSE))</f>
        <v>0</v>
      </c>
      <c r="BG305" s="218" t="b">
        <f t="shared" si="2949"/>
        <v>0</v>
      </c>
      <c r="BH305" s="218" t="b">
        <f t="shared" si="2962"/>
        <v>0</v>
      </c>
      <c r="BI305" s="231" t="b">
        <f t="shared" ref="BI305" si="3428">IF(J305="",FALSE,IF(L305=0,FALSE,IF(AND(AU303,NOT(BF305),OR(M305="",N305="",O305="")),TRUE,FALSE)))</f>
        <v>0</v>
      </c>
      <c r="BJ305" s="240" t="b">
        <f t="shared" si="2964"/>
        <v>0</v>
      </c>
      <c r="BK305" s="231" t="b">
        <f>IF(NOT(BJ305),FALSE,IF(AND(競技会設定!$C$5&lt;=BJ305,BJ305&lt;=競技会設定!$C$6),FALSE,TRUE))</f>
        <v>0</v>
      </c>
      <c r="BL305" s="218" t="b">
        <f>IF(J305="",FALSE,IF(L305=0,FALSE,IF(AND(AU303,NOT(BF305),NOT(BI305),P305=""),TRUE,FALSE)))</f>
        <v>0</v>
      </c>
      <c r="BO305" s="274"/>
    </row>
    <row r="306" spans="1:67" ht="18" customHeight="1" thickBot="1">
      <c r="A306" s="419"/>
      <c r="B306" s="395" t="s">
        <v>6764</v>
      </c>
      <c r="C306" s="395"/>
      <c r="D306" s="221"/>
      <c r="E306" s="372"/>
      <c r="F306" s="372"/>
      <c r="G306" s="372"/>
      <c r="H306" s="214"/>
      <c r="I306" s="214" t="s">
        <v>6759</v>
      </c>
      <c r="J306" s="219"/>
      <c r="K306" s="214" t="s">
        <v>6761</v>
      </c>
      <c r="L306" s="219"/>
      <c r="M306" s="258"/>
      <c r="N306" s="259"/>
      <c r="O306" s="260"/>
      <c r="P306" s="219"/>
      <c r="Q306" s="400"/>
      <c r="R306" s="393"/>
      <c r="S306" s="136"/>
      <c r="T306" s="137"/>
      <c r="U306" s="137"/>
      <c r="V306" s="137"/>
      <c r="W306" s="137"/>
      <c r="X306" s="137"/>
      <c r="Y306" s="218">
        <f t="shared" ref="Y306" si="3429">IF(OR(E303="",J306=""),0,J306&amp;E303)</f>
        <v>0</v>
      </c>
      <c r="Z306" s="218">
        <f>IF(Y306=0,0,COUNTIF($Y$7:Y306,Y306))</f>
        <v>0</v>
      </c>
      <c r="AD306" s="218">
        <f>IFERROR(VLOOKUP(J306,競技会設定!$P$2:$S$22,2,0),0)</f>
        <v>0</v>
      </c>
      <c r="AE306" s="218">
        <f t="shared" ref="AE306" si="3430">IF(E303="",0,IF(AD306=0,0,IF(AD306&lt;3,E303&amp;$AE$6,0)))</f>
        <v>0</v>
      </c>
      <c r="AF306" s="218">
        <f>IF(AE306=0,0,E303&amp;COUNTIF($AE$7:AE306,AE306))</f>
        <v>0</v>
      </c>
      <c r="AG306" s="218">
        <f t="shared" ref="AG306" si="3431">IF(E303="",0,IF(AD306=0,0,IF(AD306&gt;=3,E303&amp;$AG$6,0)))</f>
        <v>0</v>
      </c>
      <c r="AH306" s="218">
        <f>IF(AG306=0,0,E303&amp;COUNTIF($AG$7:AG306,AG306))</f>
        <v>0</v>
      </c>
      <c r="AI306" s="218">
        <f t="shared" si="2877"/>
        <v>0</v>
      </c>
      <c r="AJ306" s="218" t="b">
        <f>IF(AI306=0,FALSE,IF(COUNTIF(AI$7:AI306,AI306)&gt;1,TRUE,FALSE))</f>
        <v>0</v>
      </c>
      <c r="AK306" s="218">
        <f t="shared" ref="AK306" si="3432">IF($AD306=AK$6,$E303,0)</f>
        <v>0</v>
      </c>
      <c r="AL306" s="218" t="b">
        <f>IF(AK306=0,FALSE,IF(COUNTIF(AK$7:AK306,AK306)&gt;1,TRUE,FALSE))</f>
        <v>0</v>
      </c>
      <c r="AM306" s="218">
        <f t="shared" ref="AM306" si="3433">IF($AD306=AM$6,$E303,0)</f>
        <v>0</v>
      </c>
      <c r="AN306" s="218" t="b">
        <f>IF(AM306=0,FALSE,IF(COUNTIF(AM$7:AM306,AM306)&gt;1,TRUE,FALSE))</f>
        <v>0</v>
      </c>
      <c r="AO306" s="218">
        <f t="shared" ref="AO306" si="3434">IF($AD306=AO$6,$E303,0)</f>
        <v>0</v>
      </c>
      <c r="AP306" s="218" t="b">
        <f>IF(AO306=0,FALSE,IF(COUNTIF(AO$7:AO306,AO306)&gt;1,TRUE,FALSE))</f>
        <v>0</v>
      </c>
      <c r="AQ306" s="218">
        <f t="shared" ref="AQ306" si="3435">IF(COUNTIF(Y306,"*十種競技*")&gt;0,E303,0)</f>
        <v>0</v>
      </c>
      <c r="AR306" s="218" t="b">
        <f>IF(AQ306=0,FALSE,IF(OR(COUNTIF($AI$7:$AI$406,AQ306)+COUNTIF($AQ306:$AQ$406,AQ306)&gt;1,COUNTIF($AK$7:$AK$406,AQ306)+COUNTIF($AQ$7:$AQ$406,AQ306)&gt;1),TRUE,FALSE))</f>
        <v>0</v>
      </c>
      <c r="AT306" s="218" t="b">
        <f t="shared" si="2960"/>
        <v>0</v>
      </c>
      <c r="AU306" s="274"/>
      <c r="AX306" s="274"/>
      <c r="BD306" s="218" t="b">
        <f t="shared" si="2947"/>
        <v>0</v>
      </c>
      <c r="BF306" s="231" t="b">
        <f t="shared" ref="BF306" si="3436">IF(J306="",FALSE,IF(OR(AND(AU303,L306=""),AND(AU303,L306="",OR(M306&lt;&gt;"",N306&lt;&gt;"",O306&lt;&gt;"",P306&lt;&gt;""))),TRUE,FALSE))</f>
        <v>0</v>
      </c>
      <c r="BG306" s="218" t="b">
        <f t="shared" si="2949"/>
        <v>0</v>
      </c>
      <c r="BH306" s="218" t="b">
        <f t="shared" si="2962"/>
        <v>0</v>
      </c>
      <c r="BI306" s="231" t="b">
        <f t="shared" ref="BI306" si="3437">IF(J306="",FALSE,IF(L306=0,FALSE,IF(AND(AU303,NOT(BF306),OR(M306="",N306="",O306="")),TRUE,FALSE)))</f>
        <v>0</v>
      </c>
      <c r="BJ306" s="240" t="b">
        <f t="shared" si="2964"/>
        <v>0</v>
      </c>
      <c r="BK306" s="231" t="b">
        <f>IF(NOT(BJ306),FALSE,IF(AND(競技会設定!$C$5&lt;=BJ306,BJ306&lt;=競技会設定!$C$6),FALSE,TRUE))</f>
        <v>0</v>
      </c>
      <c r="BL306" s="218" t="b">
        <f>IF(J306="",FALSE,IF(L306=0,FALSE,IF(AND(AU303,NOT(BF306),NOT(BI306),P306=""),TRUE,FALSE)))</f>
        <v>0</v>
      </c>
      <c r="BO306" s="274"/>
    </row>
    <row r="307" spans="1:67" ht="18" customHeight="1" thickTop="1">
      <c r="A307" s="420">
        <v>76</v>
      </c>
      <c r="B307" s="373" t="s">
        <v>4018</v>
      </c>
      <c r="C307" s="375"/>
      <c r="D307" s="138" t="str">
        <f t="shared" ref="D307" si="3438">IF(C307="","",501&amp;TEXT(C307,"000000"))</f>
        <v/>
      </c>
      <c r="E307" s="377" t="str">
        <f>IF(D307="","",(VLOOKUP(D307,男子登録!$A$2:$N$2001,3,0)))</f>
        <v/>
      </c>
      <c r="F307" s="377" t="str">
        <f>IF(D307="","",(VLOOKUP(D307,男子登録!$A$2:$N$2001,4,0)))</f>
        <v/>
      </c>
      <c r="G307" s="138" t="str">
        <f>IF(C307="","",(VLOOKUP(D307,男子登録!$A$2:$N$2001,8,0)))</f>
        <v/>
      </c>
      <c r="H307" s="138">
        <f>IFERROR(VLOOKUP(D307,男子登録!$A$2:$N$2001,11,0),基本情報!$E$5)</f>
        <v>0</v>
      </c>
      <c r="I307" s="138" t="s">
        <v>4019</v>
      </c>
      <c r="J307" s="151"/>
      <c r="K307" s="138" t="s">
        <v>4022</v>
      </c>
      <c r="L307" s="151"/>
      <c r="M307" s="261"/>
      <c r="N307" s="262"/>
      <c r="O307" s="263"/>
      <c r="P307" s="151"/>
      <c r="Q307" s="381"/>
      <c r="R307" s="384"/>
      <c r="S307" s="136">
        <f t="shared" ref="S307" si="3439">IF(OR(E307="",Q307=""),0,E307)</f>
        <v>0</v>
      </c>
      <c r="T307" s="137">
        <f>IF(S307=0,0,COUNTIF($S$7:S307,"*"))</f>
        <v>0</v>
      </c>
      <c r="U307" s="137">
        <f>IF(S307=0,0,COUNTIF($S$7:S307,S307))</f>
        <v>0</v>
      </c>
      <c r="V307" s="137">
        <f t="shared" si="3171"/>
        <v>0</v>
      </c>
      <c r="W307" s="137">
        <f>IF(V307=0,0,COUNTIF($V$7:V307,"*"))</f>
        <v>0</v>
      </c>
      <c r="X307" s="137">
        <f>IF(V307=0,0,COUNTIF($V$7:V307,V307))</f>
        <v>0</v>
      </c>
      <c r="Y307" s="218">
        <f t="shared" ref="Y307" si="3440">IF(OR(E307="",J307=""),0,J307&amp;E307)</f>
        <v>0</v>
      </c>
      <c r="Z307" s="218">
        <f>IF(Y307=0,0,COUNTIF($Y$7:Y307,Y307))</f>
        <v>0</v>
      </c>
      <c r="AA307" s="218" t="b">
        <f t="shared" ref="AA307" si="3441">IF(COUNTIF(J307:J310,"十種競技")&gt;0,TRUE,FALSE)</f>
        <v>0</v>
      </c>
      <c r="AB307" s="218">
        <f>IF(E307="",0,IF(AA307,COUNTIF($AA$7:AA307,TRUE),0))</f>
        <v>0</v>
      </c>
      <c r="AC307" s="218">
        <f>IFERROR(VLOOKUP("十種競技",J307:L310,3,0),0)</f>
        <v>0</v>
      </c>
      <c r="AD307" s="218">
        <f>IFERROR(VLOOKUP(J307,競技会設定!$P$2:$S$22,2,0),0)</f>
        <v>0</v>
      </c>
      <c r="AE307" s="218">
        <f t="shared" ref="AE307" si="3442">IF(E307="",0,IF(AD307=0,0,IF(AD307&lt;3,E307&amp;$AE$6,0)))</f>
        <v>0</v>
      </c>
      <c r="AF307" s="218">
        <f>IF(AE307=0,0,E307&amp;COUNTIF($AE$7:AE307,AE307))</f>
        <v>0</v>
      </c>
      <c r="AG307" s="218">
        <f t="shared" ref="AG307" si="3443">IF(E307="",0,IF(AD307=0,0,IF(AD307&gt;=3,E307&amp;$AG$6,0)))</f>
        <v>0</v>
      </c>
      <c r="AH307" s="218">
        <f>IF(AG307=0,0,E307&amp;COUNTIF($AG$7:AG307,AG307))</f>
        <v>0</v>
      </c>
      <c r="AI307" s="218">
        <f t="shared" si="2890"/>
        <v>0</v>
      </c>
      <c r="AJ307" s="218" t="b">
        <f>IF(AI307=0,FALSE,IF(COUNTIF(AI$7:AI307,AI307)&gt;1,TRUE,FALSE))</f>
        <v>0</v>
      </c>
      <c r="AK307" s="218">
        <f t="shared" ref="AK307" si="3444">IF($AD307=AK$6,$E307,0)</f>
        <v>0</v>
      </c>
      <c r="AL307" s="218" t="b">
        <f>IF(AK307=0,FALSE,IF(COUNTIF(AK$7:AK307,AK307)&gt;1,TRUE,FALSE))</f>
        <v>0</v>
      </c>
      <c r="AM307" s="218">
        <f t="shared" ref="AM307" si="3445">IF($AD307=AM$6,$E307,0)</f>
        <v>0</v>
      </c>
      <c r="AN307" s="218" t="b">
        <f>IF(AM307=0,FALSE,IF(COUNTIF(AM$7:AM307,AM307)&gt;1,TRUE,FALSE))</f>
        <v>0</v>
      </c>
      <c r="AO307" s="218">
        <f t="shared" ref="AO307" si="3446">IF($AD307=AO$6,$E307,0)</f>
        <v>0</v>
      </c>
      <c r="AP307" s="218" t="b">
        <f>IF(AO307=0,FALSE,IF(COUNTIF(AO$7:AO307,AO307)&gt;1,TRUE,FALSE))</f>
        <v>0</v>
      </c>
      <c r="AQ307" s="218">
        <f t="shared" ref="AQ307" si="3447">IF(COUNTIF(Y307,"*十種競技*")&gt;0,E307,0)</f>
        <v>0</v>
      </c>
      <c r="AR307" s="218" t="b">
        <f>IF(AQ307=0,FALSE,IF(OR(COUNTIF($AI$7:$AI$406,AQ307)+COUNTIF($AQ307:$AQ$406,AQ307)&gt;1,COUNTIF($AK$7:$AK$406,AQ307)+COUNTIF($AQ$7:$AQ$406,AQ307)&gt;1),TRUE,FALSE))</f>
        <v>0</v>
      </c>
      <c r="AS307" s="218" t="b">
        <f t="shared" ref="AS307" si="3448">IF(AND(C307="",E307&lt;&gt;"",F307&lt;&gt;"",E309&lt;&gt;"",G307&lt;&gt;"",G308&lt;&gt;"",G309&lt;&gt;""),TRUE,FALSE)</f>
        <v>0</v>
      </c>
      <c r="AT307" s="218" t="b">
        <f t="shared" si="2960"/>
        <v>0</v>
      </c>
      <c r="AU307" s="274" t="b">
        <f t="shared" ref="AU307" si="3449">IFERROR(IF(D307&amp;E307&amp;F307&amp;E309&amp;G307&amp;G308&amp;G309&amp;J307&amp;J308&amp;J309&amp;J310&amp;L307&amp;L308&amp;L309&amp;L310&amp;M307&amp;M308&amp;M309&amp;M310&amp;N307&amp;N308&amp;N309&amp;N310&amp;O307&amp;O308&amp;O309&amp;O310&amp;P307&amp;P308&amp;P309&amp;P310&amp;Q307&amp;R307="",FALSE,TRUE),FALSE)</f>
        <v>0</v>
      </c>
      <c r="AV307" s="218" t="b">
        <f t="shared" ref="AV307" si="3450">IF(AS307,FALSE,IF(C307="",AU307,FALSE))</f>
        <v>0</v>
      </c>
      <c r="AW307" s="218" t="b">
        <f>IF(C307="",FALSE,IF(C307&gt;2000,TRUE,FALSE))</f>
        <v>0</v>
      </c>
      <c r="AX307" s="274" t="b">
        <f>IF(H307=0,FALSE,IF(EXACT(基本情報!$E$5,H307)=TRUE,FALSE,TRUE))</f>
        <v>0</v>
      </c>
      <c r="AY307" s="218" t="b">
        <f>IF(C307="",FALSE,IF(ISNA(E307)=TRUE,TRUE,FALSE))</f>
        <v>0</v>
      </c>
      <c r="AZ307" s="274" t="b">
        <f>IFERROR(IF(E307="",FALSE,IF(COUNTIF($E$7:E307,E307)&gt;1,TRUE,FALSE)),FALSE)</f>
        <v>0</v>
      </c>
      <c r="BA307" s="218" t="b">
        <f t="shared" ref="BA307" si="3451">IF(OR(J307&amp;J308&amp;J309&amp;J310&amp;Q307&amp;R307="",AT307,AT308,AT309,AT310),AU307,FALSE)</f>
        <v>0</v>
      </c>
      <c r="BB307" s="218" t="b">
        <f>IF(U307&gt;1,TRUE,FALSE)</f>
        <v>0</v>
      </c>
      <c r="BC307" s="218" t="b">
        <f>IF(X307&gt;1,TRUE,FALSE)</f>
        <v>0</v>
      </c>
      <c r="BD307" s="218" t="b">
        <f t="shared" si="2947"/>
        <v>0</v>
      </c>
      <c r="BF307" s="231" t="b">
        <f t="shared" ref="BF307" si="3452">IF(J307="",FALSE,IF(OR(AND(AU307,L307=""),AND(AU307,L307="",OR(M307&lt;&gt;"",N307&lt;&gt;"",O307&lt;&gt;"",P307&lt;&gt;""))),TRUE,FALSE))</f>
        <v>0</v>
      </c>
      <c r="BG307" s="218" t="b">
        <f t="shared" si="2949"/>
        <v>0</v>
      </c>
      <c r="BH307" s="218" t="b">
        <f t="shared" si="2962"/>
        <v>0</v>
      </c>
      <c r="BI307" s="231" t="b">
        <f t="shared" ref="BI307" si="3453">IF(J307="",FALSE,IF(L307=0,FALSE,IF(AND(AU307,NOT(BF307),OR(M307="",N307="",O307="")),TRUE,FALSE)))</f>
        <v>0</v>
      </c>
      <c r="BJ307" s="240" t="b">
        <f t="shared" si="2964"/>
        <v>0</v>
      </c>
      <c r="BK307" s="231" t="b">
        <f>IF(NOT(BJ307),FALSE,IF(AND(競技会設定!$C$5&lt;=BJ307,BJ307&lt;=競技会設定!$C$6),FALSE,TRUE))</f>
        <v>0</v>
      </c>
      <c r="BL307" s="218" t="b">
        <f>IF(J307="",FALSE,IF(L307=0,FALSE,IF(AND(AU307,NOT(BF307),NOT(BI307),P307=""),TRUE,FALSE)))</f>
        <v>0</v>
      </c>
      <c r="BO307" s="274">
        <f t="shared" ref="BO307" si="3454">IF(AND(AU307,SUM(COUNTIF(AV307:BC307,TRUE),COUNTIF(BF307:BL310,TRUE),COUNTIF(BD307:BD310,TRUE))=0,NOT($BE$7)),1,0)</f>
        <v>0</v>
      </c>
    </row>
    <row r="308" spans="1:67" ht="17.399999999999999" customHeight="1">
      <c r="A308" s="421"/>
      <c r="B308" s="374"/>
      <c r="C308" s="376"/>
      <c r="D308" s="139"/>
      <c r="E308" s="378"/>
      <c r="F308" s="378"/>
      <c r="G308" s="139" t="str">
        <f>IF(C307="","",(VLOOKUP(D307,男子登録!$A$2:$N$2001,13,0)))</f>
        <v/>
      </c>
      <c r="H308" s="139"/>
      <c r="I308" s="139" t="s">
        <v>4020</v>
      </c>
      <c r="J308" s="152"/>
      <c r="K308" s="139" t="s">
        <v>4023</v>
      </c>
      <c r="L308" s="152"/>
      <c r="M308" s="264"/>
      <c r="N308" s="265"/>
      <c r="O308" s="266"/>
      <c r="P308" s="152"/>
      <c r="Q308" s="382"/>
      <c r="R308" s="385"/>
      <c r="S308" s="136"/>
      <c r="T308" s="137"/>
      <c r="U308" s="137"/>
      <c r="V308" s="137"/>
      <c r="W308" s="137"/>
      <c r="X308" s="137"/>
      <c r="Y308" s="218">
        <f t="shared" ref="Y308" si="3455">IF(OR(E307="",J308=""),0,J308&amp;E307)</f>
        <v>0</v>
      </c>
      <c r="Z308" s="218">
        <f>IF(Y308=0,0,COUNTIF($Y$7:Y308,Y308))</f>
        <v>0</v>
      </c>
      <c r="AD308" s="218">
        <f>IFERROR(VLOOKUP(J308,競技会設定!$P$2:$S$22,2,0),0)</f>
        <v>0</v>
      </c>
      <c r="AE308" s="218">
        <f t="shared" ref="AE308" si="3456">IF(E307="",0,IF(AD308=0,0,IF(AD308&lt;3,E307&amp;$AE$6,0)))</f>
        <v>0</v>
      </c>
      <c r="AF308" s="218">
        <f>IF(AE308=0,0,E307&amp;COUNTIF($AE$7:AE308,AE308))</f>
        <v>0</v>
      </c>
      <c r="AG308" s="218">
        <f t="shared" ref="AG308" si="3457">IF(E307="",0,IF(AD308=0,0,IF(AD308&gt;=3,E307&amp;$AG$6,0)))</f>
        <v>0</v>
      </c>
      <c r="AH308" s="218">
        <f>IF(AG308=0,0,E307&amp;COUNTIF($AG$7:AG308,AG308))</f>
        <v>0</v>
      </c>
      <c r="AI308" s="218">
        <f t="shared" si="2905"/>
        <v>0</v>
      </c>
      <c r="AJ308" s="218" t="b">
        <f>IF(AI308=0,FALSE,IF(COUNTIF(AI$7:AI308,AI308)&gt;1,TRUE,FALSE))</f>
        <v>0</v>
      </c>
      <c r="AK308" s="218">
        <f t="shared" ref="AK308" si="3458">IF($AD308=AK$6,$E307,0)</f>
        <v>0</v>
      </c>
      <c r="AL308" s="218" t="b">
        <f>IF(AK308=0,FALSE,IF(COUNTIF(AK$7:AK308,AK308)&gt;1,TRUE,FALSE))</f>
        <v>0</v>
      </c>
      <c r="AM308" s="218">
        <f t="shared" ref="AM308" si="3459">IF($AD308=AM$6,$E307,0)</f>
        <v>0</v>
      </c>
      <c r="AN308" s="218" t="b">
        <f>IF(AM308=0,FALSE,IF(COUNTIF(AM$7:AM308,AM308)&gt;1,TRUE,FALSE))</f>
        <v>0</v>
      </c>
      <c r="AO308" s="218">
        <f t="shared" ref="AO308" si="3460">IF($AD308=AO$6,$E307,0)</f>
        <v>0</v>
      </c>
      <c r="AP308" s="218" t="b">
        <f>IF(AO308=0,FALSE,IF(COUNTIF(AO$7:AO308,AO308)&gt;1,TRUE,FALSE))</f>
        <v>0</v>
      </c>
      <c r="AQ308" s="218">
        <f t="shared" ref="AQ308" si="3461">IF(COUNTIF(Y308,"*十種競技*")&gt;0,E307,0)</f>
        <v>0</v>
      </c>
      <c r="AR308" s="218" t="b">
        <f>IF(AQ308=0,FALSE,IF(OR(COUNTIF($AI$7:$AI$406,AQ308)+COUNTIF($AQ308:$AQ$406,AQ308)&gt;1,COUNTIF($AK$7:$AK$406,AQ308)+COUNTIF($AQ$7:$AQ$406,AQ308)&gt;1),TRUE,FALSE))</f>
        <v>0</v>
      </c>
      <c r="AT308" s="218" t="b">
        <f t="shared" si="2960"/>
        <v>0</v>
      </c>
      <c r="AU308" s="274"/>
      <c r="AX308" s="274"/>
      <c r="BD308" s="218" t="b">
        <f t="shared" si="2947"/>
        <v>0</v>
      </c>
      <c r="BF308" s="231" t="b">
        <f t="shared" ref="BF308" si="3462">IF(J308="",FALSE,IF(OR(AND(AU307,L308=""),AND(AU307,L308="",OR(M308&lt;&gt;"",N308&lt;&gt;"",O308&lt;&gt;"",P308&lt;&gt;""))),TRUE,FALSE))</f>
        <v>0</v>
      </c>
      <c r="BG308" s="218" t="b">
        <f t="shared" si="2949"/>
        <v>0</v>
      </c>
      <c r="BH308" s="218" t="b">
        <f t="shared" si="2962"/>
        <v>0</v>
      </c>
      <c r="BI308" s="231" t="b">
        <f t="shared" ref="BI308" si="3463">IF(J308="",FALSE,IF(L308=0,FALSE,IF(AND(AU307,NOT(BF308),OR(M308="",N308="",O308="")),TRUE,FALSE)))</f>
        <v>0</v>
      </c>
      <c r="BJ308" s="240" t="b">
        <f t="shared" si="2964"/>
        <v>0</v>
      </c>
      <c r="BK308" s="231" t="b">
        <f>IF(NOT(BJ308),FALSE,IF(AND(競技会設定!$C$5&lt;=BJ308,BJ308&lt;=競技会設定!$C$6),FALSE,TRUE))</f>
        <v>0</v>
      </c>
      <c r="BL308" s="218" t="b">
        <f>IF(J308="",FALSE,IF(L308=0,FALSE,IF(AND(AU307,NOT(BF308),NOT(BI308),P308=""),TRUE,FALSE)))</f>
        <v>0</v>
      </c>
      <c r="BO308" s="274"/>
    </row>
    <row r="309" spans="1:67" ht="17.399999999999999" customHeight="1">
      <c r="A309" s="421"/>
      <c r="B309" s="374"/>
      <c r="C309" s="376"/>
      <c r="D309" s="140"/>
      <c r="E309" s="379" t="str">
        <f>IF(C307="","",VLOOKUP(D307,男子登録!$A$2:$O$2001,14,0)&amp;" ("&amp;VLOOKUP(D307,男子登録!$A$2:$O$2001,15,0)&amp;")")</f>
        <v/>
      </c>
      <c r="F309" s="380"/>
      <c r="G309" s="140" t="str">
        <f>IF(C307="","",(VLOOKUP(D307,男子登録!$A$2:$N$2001,9,0)))</f>
        <v/>
      </c>
      <c r="H309" s="140"/>
      <c r="I309" s="140" t="s">
        <v>4021</v>
      </c>
      <c r="J309" s="153"/>
      <c r="K309" s="140" t="s">
        <v>6760</v>
      </c>
      <c r="L309" s="153"/>
      <c r="M309" s="264"/>
      <c r="N309" s="265"/>
      <c r="O309" s="266"/>
      <c r="P309" s="152"/>
      <c r="Q309" s="382"/>
      <c r="R309" s="385"/>
      <c r="S309" s="136"/>
      <c r="T309" s="137"/>
      <c r="U309" s="137"/>
      <c r="V309" s="137"/>
      <c r="W309" s="137"/>
      <c r="X309" s="137"/>
      <c r="Y309" s="218">
        <f t="shared" ref="Y309" si="3464">IF(OR(E307="",J309=""),0,J309&amp;E307)</f>
        <v>0</v>
      </c>
      <c r="Z309" s="218">
        <f>IF(Y309=0,0,COUNTIF($Y$7:Y309,Y309))</f>
        <v>0</v>
      </c>
      <c r="AD309" s="218">
        <f>IFERROR(VLOOKUP(J309,競技会設定!$P$2:$S$22,2,0),0)</f>
        <v>0</v>
      </c>
      <c r="AE309" s="218">
        <f t="shared" ref="AE309" si="3465">IF(E307="",0,IF(AD309=0,0,IF(AD309&lt;3,E307&amp;$AE$6,0)))</f>
        <v>0</v>
      </c>
      <c r="AF309" s="218">
        <f>IF(AE309=0,0,E307&amp;COUNTIF($AE$7:AE309,AE309))</f>
        <v>0</v>
      </c>
      <c r="AG309" s="218">
        <f t="shared" ref="AG309" si="3466">IF(E307="",0,IF(AD309=0,0,IF(AD309&gt;=3,E307&amp;$AG$6,0)))</f>
        <v>0</v>
      </c>
      <c r="AH309" s="218">
        <f>IF(AG309=0,0,E307&amp;COUNTIF($AG$7:AG309,AG309))</f>
        <v>0</v>
      </c>
      <c r="AI309" s="218">
        <f t="shared" si="2915"/>
        <v>0</v>
      </c>
      <c r="AJ309" s="218" t="b">
        <f>IF(AI309=0,FALSE,IF(COUNTIF(AI$7:AI309,AI309)&gt;1,TRUE,FALSE))</f>
        <v>0</v>
      </c>
      <c r="AK309" s="218">
        <f t="shared" ref="AK309" si="3467">IF($AD309=AK$6,$E307,0)</f>
        <v>0</v>
      </c>
      <c r="AL309" s="218" t="b">
        <f>IF(AK309=0,FALSE,IF(COUNTIF(AK$7:AK309,AK309)&gt;1,TRUE,FALSE))</f>
        <v>0</v>
      </c>
      <c r="AM309" s="218">
        <f t="shared" ref="AM309" si="3468">IF($AD309=AM$6,$E307,0)</f>
        <v>0</v>
      </c>
      <c r="AN309" s="218" t="b">
        <f>IF(AM309=0,FALSE,IF(COUNTIF(AM$7:AM309,AM309)&gt;1,TRUE,FALSE))</f>
        <v>0</v>
      </c>
      <c r="AO309" s="218">
        <f t="shared" ref="AO309" si="3469">IF($AD309=AO$6,$E307,0)</f>
        <v>0</v>
      </c>
      <c r="AP309" s="218" t="b">
        <f>IF(AO309=0,FALSE,IF(COUNTIF(AO$7:AO309,AO309)&gt;1,TRUE,FALSE))</f>
        <v>0</v>
      </c>
      <c r="AQ309" s="218">
        <f t="shared" ref="AQ309" si="3470">IF(COUNTIF(Y309,"*十種競技*")&gt;0,E307,0)</f>
        <v>0</v>
      </c>
      <c r="AR309" s="218" t="b">
        <f>IF(AQ309=0,FALSE,IF(OR(COUNTIF($AI$7:$AI$406,AQ309)+COUNTIF($AQ309:$AQ$406,AQ309)&gt;1,COUNTIF($AK$7:$AK$406,AQ309)+COUNTIF($AQ$7:$AQ$406,AQ309)&gt;1),TRUE,FALSE))</f>
        <v>0</v>
      </c>
      <c r="AT309" s="218" t="b">
        <f t="shared" si="2960"/>
        <v>0</v>
      </c>
      <c r="AU309" s="274"/>
      <c r="AX309" s="274"/>
      <c r="BD309" s="218" t="b">
        <f t="shared" si="2947"/>
        <v>0</v>
      </c>
      <c r="BF309" s="231" t="b">
        <f t="shared" ref="BF309" si="3471">IF(J309="",FALSE,IF(OR(AND(AU307,L309=""),AND(AU307,L309="",OR(M309&lt;&gt;"",N309&lt;&gt;"",O309&lt;&gt;"",P309&lt;&gt;""))),TRUE,FALSE))</f>
        <v>0</v>
      </c>
      <c r="BG309" s="218" t="b">
        <f t="shared" si="2949"/>
        <v>0</v>
      </c>
      <c r="BH309" s="218" t="b">
        <f t="shared" si="2962"/>
        <v>0</v>
      </c>
      <c r="BI309" s="231" t="b">
        <f t="shared" ref="BI309" si="3472">IF(J309="",FALSE,IF(L309=0,FALSE,IF(AND(AU307,NOT(BF309),OR(M309="",N309="",O309="")),TRUE,FALSE)))</f>
        <v>0</v>
      </c>
      <c r="BJ309" s="240" t="b">
        <f t="shared" si="2964"/>
        <v>0</v>
      </c>
      <c r="BK309" s="231" t="b">
        <f>IF(NOT(BJ309),FALSE,IF(AND(競技会設定!$C$5&lt;=BJ309,BJ309&lt;=競技会設定!$C$6),FALSE,TRUE))</f>
        <v>0</v>
      </c>
      <c r="BL309" s="218" t="b">
        <f>IF(J309="",FALSE,IF(L309=0,FALSE,IF(AND(AU307,NOT(BF309),NOT(BI309),P309=""),TRUE,FALSE)))</f>
        <v>0</v>
      </c>
      <c r="BO309" s="274"/>
    </row>
    <row r="310" spans="1:67" ht="18" customHeight="1" thickBot="1">
      <c r="A310" s="422"/>
      <c r="B310" s="387" t="s">
        <v>6764</v>
      </c>
      <c r="C310" s="387"/>
      <c r="D310" s="213"/>
      <c r="E310" s="388"/>
      <c r="F310" s="389"/>
      <c r="G310" s="390"/>
      <c r="H310" s="141"/>
      <c r="I310" s="213" t="s">
        <v>6759</v>
      </c>
      <c r="J310" s="154"/>
      <c r="K310" s="213" t="s">
        <v>6761</v>
      </c>
      <c r="L310" s="154"/>
      <c r="M310" s="267"/>
      <c r="N310" s="268"/>
      <c r="O310" s="269"/>
      <c r="P310" s="154"/>
      <c r="Q310" s="383"/>
      <c r="R310" s="386"/>
      <c r="S310" s="136"/>
      <c r="T310" s="137"/>
      <c r="U310" s="137"/>
      <c r="V310" s="137"/>
      <c r="W310" s="137"/>
      <c r="X310" s="137"/>
      <c r="Y310" s="218">
        <f t="shared" ref="Y310" si="3473">IF(OR(E307="",J310=""),0,J310&amp;E307)</f>
        <v>0</v>
      </c>
      <c r="Z310" s="218">
        <f>IF(Y310=0,0,COUNTIF($Y$7:Y310,Y310))</f>
        <v>0</v>
      </c>
      <c r="AD310" s="218">
        <f>IFERROR(VLOOKUP(J310,競技会設定!$P$2:$S$22,2,0),0)</f>
        <v>0</v>
      </c>
      <c r="AE310" s="218">
        <f t="shared" ref="AE310" si="3474">IF(E307="",0,IF(AD310=0,0,IF(AD310&lt;3,E307&amp;$AE$6,0)))</f>
        <v>0</v>
      </c>
      <c r="AF310" s="218">
        <f>IF(AE310=0,0,E307&amp;COUNTIF($AE$7:AE310,AE310))</f>
        <v>0</v>
      </c>
      <c r="AG310" s="218">
        <f t="shared" ref="AG310" si="3475">IF(E307="",0,IF(AD310=0,0,IF(AD310&gt;=3,E307&amp;$AG$6,0)))</f>
        <v>0</v>
      </c>
      <c r="AH310" s="218">
        <f>IF(AG310=0,0,E307&amp;COUNTIF($AG$7:AG310,AG310))</f>
        <v>0</v>
      </c>
      <c r="AI310" s="218">
        <f t="shared" si="2925"/>
        <v>0</v>
      </c>
      <c r="AJ310" s="218" t="b">
        <f>IF(AI310=0,FALSE,IF(COUNTIF(AI$7:AI310,AI310)&gt;1,TRUE,FALSE))</f>
        <v>0</v>
      </c>
      <c r="AK310" s="218">
        <f t="shared" ref="AK310" si="3476">IF($AD310=AK$6,$E307,0)</f>
        <v>0</v>
      </c>
      <c r="AL310" s="218" t="b">
        <f>IF(AK310=0,FALSE,IF(COUNTIF(AK$7:AK310,AK310)&gt;1,TRUE,FALSE))</f>
        <v>0</v>
      </c>
      <c r="AM310" s="218">
        <f t="shared" ref="AM310" si="3477">IF($AD310=AM$6,$E307,0)</f>
        <v>0</v>
      </c>
      <c r="AN310" s="218" t="b">
        <f>IF(AM310=0,FALSE,IF(COUNTIF(AM$7:AM310,AM310)&gt;1,TRUE,FALSE))</f>
        <v>0</v>
      </c>
      <c r="AO310" s="218">
        <f t="shared" ref="AO310" si="3478">IF($AD310=AO$6,$E307,0)</f>
        <v>0</v>
      </c>
      <c r="AP310" s="218" t="b">
        <f>IF(AO310=0,FALSE,IF(COUNTIF(AO$7:AO310,AO310)&gt;1,TRUE,FALSE))</f>
        <v>0</v>
      </c>
      <c r="AQ310" s="218">
        <f t="shared" ref="AQ310" si="3479">IF(COUNTIF(Y310,"*十種競技*")&gt;0,E307,0)</f>
        <v>0</v>
      </c>
      <c r="AR310" s="218" t="b">
        <f>IF(AQ310=0,FALSE,IF(OR(COUNTIF($AI$7:$AI$406,AQ310)+COUNTIF($AQ310:$AQ$406,AQ310)&gt;1,COUNTIF($AK$7:$AK$406,AQ310)+COUNTIF($AQ$7:$AQ$406,AQ310)&gt;1),TRUE,FALSE))</f>
        <v>0</v>
      </c>
      <c r="AT310" s="218" t="b">
        <f t="shared" si="2960"/>
        <v>0</v>
      </c>
      <c r="AU310" s="274"/>
      <c r="AX310" s="274"/>
      <c r="BD310" s="218" t="b">
        <f t="shared" si="2947"/>
        <v>0</v>
      </c>
      <c r="BF310" s="231" t="b">
        <f t="shared" ref="BF310" si="3480">IF(J310="",FALSE,IF(OR(AND(AU307,L310=""),AND(AU307,L310="",OR(M310&lt;&gt;"",N310&lt;&gt;"",O310&lt;&gt;"",P310&lt;&gt;""))),TRUE,FALSE))</f>
        <v>0</v>
      </c>
      <c r="BG310" s="218" t="b">
        <f t="shared" si="2949"/>
        <v>0</v>
      </c>
      <c r="BH310" s="218" t="b">
        <f t="shared" si="2962"/>
        <v>0</v>
      </c>
      <c r="BI310" s="231" t="b">
        <f t="shared" ref="BI310" si="3481">IF(J310="",FALSE,IF(L310=0,FALSE,IF(AND(AU307,NOT(BF310),OR(M310="",N310="",O310="")),TRUE,FALSE)))</f>
        <v>0</v>
      </c>
      <c r="BJ310" s="240" t="b">
        <f t="shared" si="2964"/>
        <v>0</v>
      </c>
      <c r="BK310" s="231" t="b">
        <f>IF(NOT(BJ310),FALSE,IF(AND(競技会設定!$C$5&lt;=BJ310,BJ310&lt;=競技会設定!$C$6),FALSE,TRUE))</f>
        <v>0</v>
      </c>
      <c r="BL310" s="218" t="b">
        <f>IF(J310="",FALSE,IF(L310=0,FALSE,IF(AND(AU307,NOT(BF310),NOT(BI310),P310=""),TRUE,FALSE)))</f>
        <v>0</v>
      </c>
      <c r="BO310" s="274"/>
    </row>
    <row r="311" spans="1:67" ht="18" customHeight="1" thickTop="1">
      <c r="A311" s="417">
        <v>77</v>
      </c>
      <c r="B311" s="401" t="s">
        <v>4018</v>
      </c>
      <c r="C311" s="403"/>
      <c r="D311" s="220" t="str">
        <f t="shared" ref="D311" si="3482">IF(C311="","",501&amp;TEXT(C311,"000000"))</f>
        <v/>
      </c>
      <c r="E311" s="396" t="str">
        <f>IF(D311="","",(VLOOKUP(D311,男子登録!$A$2:$N$2001,3,0)))</f>
        <v/>
      </c>
      <c r="F311" s="396" t="str">
        <f>IF(D311="","",(VLOOKUP(D311,男子登録!$A$2:$N$2001,4,0)))</f>
        <v/>
      </c>
      <c r="G311" s="220" t="str">
        <f>IF(C311="","",(VLOOKUP(D311,男子登録!$A$2:$N$2001,8,0)))</f>
        <v/>
      </c>
      <c r="H311" s="220">
        <f>IFERROR(VLOOKUP(D311,男子登録!$A$2:$N$2001,11,0),基本情報!$E$5)</f>
        <v>0</v>
      </c>
      <c r="I311" s="220" t="s">
        <v>4019</v>
      </c>
      <c r="J311" s="148"/>
      <c r="K311" s="220" t="s">
        <v>4022</v>
      </c>
      <c r="L311" s="148"/>
      <c r="M311" s="252"/>
      <c r="N311" s="253"/>
      <c r="O311" s="254"/>
      <c r="P311" s="148"/>
      <c r="Q311" s="398"/>
      <c r="R311" s="391"/>
      <c r="S311" s="136">
        <f t="shared" ref="S311" si="3483">IF(OR(E311="",Q311=""),0,E311)</f>
        <v>0</v>
      </c>
      <c r="T311" s="137">
        <f>IF(S311=0,0,COUNTIF($S$7:S311,"*"))</f>
        <v>0</v>
      </c>
      <c r="U311" s="137">
        <f>IF(S311=0,0,COUNTIF($S$7:S311,S311))</f>
        <v>0</v>
      </c>
      <c r="V311" s="137">
        <f t="shared" si="3171"/>
        <v>0</v>
      </c>
      <c r="W311" s="137">
        <f>IF(V311=0,0,COUNTIF($V$7:V311,"*"))</f>
        <v>0</v>
      </c>
      <c r="X311" s="137">
        <f>IF(V311=0,0,COUNTIF($V$7:V311,V311))</f>
        <v>0</v>
      </c>
      <c r="Y311" s="218">
        <f t="shared" ref="Y311" si="3484">IF(OR(E311="",J311=""),0,J311&amp;E311)</f>
        <v>0</v>
      </c>
      <c r="Z311" s="218">
        <f>IF(Y311=0,0,COUNTIF($Y$7:Y311,Y311))</f>
        <v>0</v>
      </c>
      <c r="AA311" s="218" t="b">
        <f t="shared" ref="AA311" si="3485">IF(COUNTIF(J311:J314,"十種競技")&gt;0,TRUE,FALSE)</f>
        <v>0</v>
      </c>
      <c r="AB311" s="218">
        <f>IF(E311="",0,IF(AA311,COUNTIF($AA$7:AA311,TRUE),0))</f>
        <v>0</v>
      </c>
      <c r="AC311" s="218">
        <f>IFERROR(VLOOKUP("十種競技",J311:L314,3,0),0)</f>
        <v>0</v>
      </c>
      <c r="AD311" s="218">
        <f>IFERROR(VLOOKUP(J311,競技会設定!$P$2:$S$22,2,0),0)</f>
        <v>0</v>
      </c>
      <c r="AE311" s="218">
        <f t="shared" ref="AE311" si="3486">IF(E311="",0,IF(AD311=0,0,IF(AD311&lt;3,E311&amp;$AE$6,0)))</f>
        <v>0</v>
      </c>
      <c r="AF311" s="218">
        <f>IF(AE311=0,0,E311&amp;COUNTIF($AE$7:AE311,AE311))</f>
        <v>0</v>
      </c>
      <c r="AG311" s="218">
        <f t="shared" ref="AG311" si="3487">IF(E311="",0,IF(AD311=0,0,IF(AD311&gt;=3,E311&amp;$AG$6,0)))</f>
        <v>0</v>
      </c>
      <c r="AH311" s="218">
        <f>IF(AG311=0,0,E311&amp;COUNTIF($AG$7:AG311,AG311))</f>
        <v>0</v>
      </c>
      <c r="AI311" s="218">
        <f t="shared" si="2938"/>
        <v>0</v>
      </c>
      <c r="AJ311" s="218" t="b">
        <f>IF(AI311=0,FALSE,IF(COUNTIF(AI$7:AI311,AI311)&gt;1,TRUE,FALSE))</f>
        <v>0</v>
      </c>
      <c r="AK311" s="218">
        <f t="shared" ref="AK311" si="3488">IF($AD311=AK$6,$E311,0)</f>
        <v>0</v>
      </c>
      <c r="AL311" s="218" t="b">
        <f>IF(AK311=0,FALSE,IF(COUNTIF(AK$7:AK311,AK311)&gt;1,TRUE,FALSE))</f>
        <v>0</v>
      </c>
      <c r="AM311" s="218">
        <f t="shared" ref="AM311" si="3489">IF($AD311=AM$6,$E311,0)</f>
        <v>0</v>
      </c>
      <c r="AN311" s="218" t="b">
        <f>IF(AM311=0,FALSE,IF(COUNTIF(AM$7:AM311,AM311)&gt;1,TRUE,FALSE))</f>
        <v>0</v>
      </c>
      <c r="AO311" s="218">
        <f t="shared" ref="AO311" si="3490">IF($AD311=AO$6,$E311,0)</f>
        <v>0</v>
      </c>
      <c r="AP311" s="218" t="b">
        <f>IF(AO311=0,FALSE,IF(COUNTIF(AO$7:AO311,AO311)&gt;1,TRUE,FALSE))</f>
        <v>0</v>
      </c>
      <c r="AQ311" s="218">
        <f t="shared" ref="AQ311" si="3491">IF(COUNTIF(Y311,"*十種競技*")&gt;0,E311,0)</f>
        <v>0</v>
      </c>
      <c r="AR311" s="218" t="b">
        <f>IF(AQ311=0,FALSE,IF(OR(COUNTIF($AI$7:$AI$406,AQ311)+COUNTIF($AQ311:$AQ$406,AQ311)&gt;1,COUNTIF($AK$7:$AK$406,AQ311)+COUNTIF($AQ$7:$AQ$406,AQ311)&gt;1),TRUE,FALSE))</f>
        <v>0</v>
      </c>
      <c r="AS311" s="218" t="b">
        <f t="shared" ref="AS311" si="3492">IF(AND(C311="",E311&lt;&gt;"",F311&lt;&gt;"",E313&lt;&gt;"",G311&lt;&gt;"",G312&lt;&gt;"",G313&lt;&gt;""),TRUE,FALSE)</f>
        <v>0</v>
      </c>
      <c r="AT311" s="218" t="b">
        <f t="shared" si="2960"/>
        <v>0</v>
      </c>
      <c r="AU311" s="274" t="b">
        <f t="shared" ref="AU311" si="3493">IFERROR(IF(D311&amp;E311&amp;F311&amp;E313&amp;G311&amp;G312&amp;G313&amp;J311&amp;J312&amp;J313&amp;J314&amp;L311&amp;L312&amp;L313&amp;L314&amp;M311&amp;M312&amp;M313&amp;M314&amp;N311&amp;N312&amp;N313&amp;N314&amp;O311&amp;O312&amp;O313&amp;O314&amp;P311&amp;P312&amp;P313&amp;P314&amp;Q311&amp;R311="",FALSE,TRUE),FALSE)</f>
        <v>0</v>
      </c>
      <c r="AV311" s="218" t="b">
        <f t="shared" ref="AV311" si="3494">IF(AS311,FALSE,IF(C311="",AU311,FALSE))</f>
        <v>0</v>
      </c>
      <c r="AW311" s="218" t="b">
        <f>IF(C311="",FALSE,IF(C311&gt;2000,TRUE,FALSE))</f>
        <v>0</v>
      </c>
      <c r="AX311" s="274" t="b">
        <f>IF(H311=0,FALSE,IF(EXACT(基本情報!$E$5,H311)=TRUE,FALSE,TRUE))</f>
        <v>0</v>
      </c>
      <c r="AY311" s="218" t="b">
        <f>IF(C311="",FALSE,IF(ISNA(E311)=TRUE,TRUE,FALSE))</f>
        <v>0</v>
      </c>
      <c r="AZ311" s="274" t="b">
        <f>IFERROR(IF(E311="",FALSE,IF(COUNTIF($E$7:E311,E311)&gt;1,TRUE,FALSE)),FALSE)</f>
        <v>0</v>
      </c>
      <c r="BA311" s="218" t="b">
        <f t="shared" ref="BA311" si="3495">IF(OR(J311&amp;J312&amp;J313&amp;J314&amp;Q311&amp;R311="",AT311,AT312,AT313,AT314),AU311,FALSE)</f>
        <v>0</v>
      </c>
      <c r="BB311" s="218" t="b">
        <f>IF(U311&gt;1,TRUE,FALSE)</f>
        <v>0</v>
      </c>
      <c r="BC311" s="218" t="b">
        <f>IF(X311&gt;1,TRUE,FALSE)</f>
        <v>0</v>
      </c>
      <c r="BD311" s="218" t="b">
        <f t="shared" si="2947"/>
        <v>0</v>
      </c>
      <c r="BF311" s="231" t="b">
        <f t="shared" ref="BF311" si="3496">IF(J311="",FALSE,IF(OR(AND(AU311,L311=""),AND(AU311,L311="",OR(M311&lt;&gt;"",N311&lt;&gt;"",O311&lt;&gt;"",P311&lt;&gt;""))),TRUE,FALSE))</f>
        <v>0</v>
      </c>
      <c r="BG311" s="218" t="b">
        <f t="shared" si="2949"/>
        <v>0</v>
      </c>
      <c r="BH311" s="218" t="b">
        <f t="shared" si="2962"/>
        <v>0</v>
      </c>
      <c r="BI311" s="231" t="b">
        <f t="shared" ref="BI311" si="3497">IF(J311="",FALSE,IF(L311=0,FALSE,IF(AND(AU311,NOT(BF311),OR(M311="",N311="",O311="")),TRUE,FALSE)))</f>
        <v>0</v>
      </c>
      <c r="BJ311" s="240" t="b">
        <f t="shared" si="2964"/>
        <v>0</v>
      </c>
      <c r="BK311" s="231" t="b">
        <f>IF(NOT(BJ311),FALSE,IF(AND(競技会設定!$C$5&lt;=BJ311,BJ311&lt;=競技会設定!$C$6),FALSE,TRUE))</f>
        <v>0</v>
      </c>
      <c r="BL311" s="218" t="b">
        <f>IF(J311="",FALSE,IF(L311=0,FALSE,IF(AND(AU311,NOT(BF311),NOT(BI311),P311=""),TRUE,FALSE)))</f>
        <v>0</v>
      </c>
      <c r="BO311" s="274">
        <f t="shared" ref="BO311" si="3498">IF(AND(AU311,SUM(COUNTIF(AV311:BC311,TRUE),COUNTIF(BF311:BL314,TRUE),COUNTIF(BD311:BD314,TRUE))=0,NOT($BE$7)),1,0)</f>
        <v>0</v>
      </c>
    </row>
    <row r="312" spans="1:67" ht="17.399999999999999" customHeight="1">
      <c r="A312" s="418"/>
      <c r="B312" s="402"/>
      <c r="C312" s="404"/>
      <c r="D312" s="221"/>
      <c r="E312" s="397"/>
      <c r="F312" s="397"/>
      <c r="G312" s="221" t="str">
        <f>IF(C311="","",(VLOOKUP(D311,男子登録!$A$2:$N$2001,13,0)))</f>
        <v/>
      </c>
      <c r="H312" s="221"/>
      <c r="I312" s="221" t="s">
        <v>4020</v>
      </c>
      <c r="J312" s="149"/>
      <c r="K312" s="221" t="s">
        <v>4023</v>
      </c>
      <c r="L312" s="149"/>
      <c r="M312" s="255"/>
      <c r="N312" s="256"/>
      <c r="O312" s="257"/>
      <c r="P312" s="149"/>
      <c r="Q312" s="399"/>
      <c r="R312" s="392"/>
      <c r="S312" s="136"/>
      <c r="T312" s="137"/>
      <c r="U312" s="137"/>
      <c r="V312" s="137"/>
      <c r="W312" s="137"/>
      <c r="X312" s="137"/>
      <c r="Y312" s="218">
        <f t="shared" ref="Y312" si="3499">IF(OR(E311="",J312=""),0,J312&amp;E311)</f>
        <v>0</v>
      </c>
      <c r="Z312" s="218">
        <f>IF(Y312=0,0,COUNTIF($Y$7:Y312,Y312))</f>
        <v>0</v>
      </c>
      <c r="AD312" s="218">
        <f>IFERROR(VLOOKUP(J312,競技会設定!$P$2:$S$22,2,0),0)</f>
        <v>0</v>
      </c>
      <c r="AE312" s="218">
        <f t="shared" ref="AE312" si="3500">IF(E311="",0,IF(AD312=0,0,IF(AD312&lt;3,E311&amp;$AE$6,0)))</f>
        <v>0</v>
      </c>
      <c r="AF312" s="218">
        <f>IF(AE312=0,0,E311&amp;COUNTIF($AE$7:AE312,AE312))</f>
        <v>0</v>
      </c>
      <c r="AG312" s="218">
        <f t="shared" ref="AG312" si="3501">IF(E311="",0,IF(AD312=0,0,IF(AD312&gt;=3,E311&amp;$AG$6,0)))</f>
        <v>0</v>
      </c>
      <c r="AH312" s="218">
        <f>IF(AG312=0,0,E311&amp;COUNTIF($AG$7:AG312,AG312))</f>
        <v>0</v>
      </c>
      <c r="AI312" s="218">
        <f t="shared" si="2955"/>
        <v>0</v>
      </c>
      <c r="AJ312" s="218" t="b">
        <f>IF(AI312=0,FALSE,IF(COUNTIF(AI$7:AI312,AI312)&gt;1,TRUE,FALSE))</f>
        <v>0</v>
      </c>
      <c r="AK312" s="218">
        <f t="shared" ref="AK312" si="3502">IF($AD312=AK$6,$E311,0)</f>
        <v>0</v>
      </c>
      <c r="AL312" s="218" t="b">
        <f>IF(AK312=0,FALSE,IF(COUNTIF(AK$7:AK312,AK312)&gt;1,TRUE,FALSE))</f>
        <v>0</v>
      </c>
      <c r="AM312" s="218">
        <f t="shared" ref="AM312" si="3503">IF($AD312=AM$6,$E311,0)</f>
        <v>0</v>
      </c>
      <c r="AN312" s="218" t="b">
        <f>IF(AM312=0,FALSE,IF(COUNTIF(AM$7:AM312,AM312)&gt;1,TRUE,FALSE))</f>
        <v>0</v>
      </c>
      <c r="AO312" s="218">
        <f t="shared" ref="AO312" si="3504">IF($AD312=AO$6,$E311,0)</f>
        <v>0</v>
      </c>
      <c r="AP312" s="218" t="b">
        <f>IF(AO312=0,FALSE,IF(COUNTIF(AO$7:AO312,AO312)&gt;1,TRUE,FALSE))</f>
        <v>0</v>
      </c>
      <c r="AQ312" s="218">
        <f t="shared" ref="AQ312" si="3505">IF(COUNTIF(Y312,"*十種競技*")&gt;0,E311,0)</f>
        <v>0</v>
      </c>
      <c r="AR312" s="218" t="b">
        <f>IF(AQ312=0,FALSE,IF(OR(COUNTIF($AI$7:$AI$406,AQ312)+COUNTIF($AQ312:$AQ$406,AQ312)&gt;1,COUNTIF($AK$7:$AK$406,AQ312)+COUNTIF($AQ$7:$AQ$406,AQ312)&gt;1),TRUE,FALSE))</f>
        <v>0</v>
      </c>
      <c r="AT312" s="218" t="b">
        <f t="shared" si="2960"/>
        <v>0</v>
      </c>
      <c r="AU312" s="274"/>
      <c r="AX312" s="274"/>
      <c r="BD312" s="218" t="b">
        <f t="shared" si="2947"/>
        <v>0</v>
      </c>
      <c r="BF312" s="231" t="b">
        <f t="shared" ref="BF312" si="3506">IF(J312="",FALSE,IF(OR(AND(AU311,L312=""),AND(AU311,L312="",OR(M312&lt;&gt;"",N312&lt;&gt;"",O312&lt;&gt;"",P312&lt;&gt;""))),TRUE,FALSE))</f>
        <v>0</v>
      </c>
      <c r="BG312" s="218" t="b">
        <f t="shared" si="2949"/>
        <v>0</v>
      </c>
      <c r="BH312" s="218" t="b">
        <f t="shared" si="2962"/>
        <v>0</v>
      </c>
      <c r="BI312" s="231" t="b">
        <f t="shared" ref="BI312" si="3507">IF(J312="",FALSE,IF(L312=0,FALSE,IF(AND(AU311,NOT(BF312),OR(M312="",N312="",O312="")),TRUE,FALSE)))</f>
        <v>0</v>
      </c>
      <c r="BJ312" s="240" t="b">
        <f t="shared" si="2964"/>
        <v>0</v>
      </c>
      <c r="BK312" s="231" t="b">
        <f>IF(NOT(BJ312),FALSE,IF(AND(競技会設定!$C$5&lt;=BJ312,BJ312&lt;=競技会設定!$C$6),FALSE,TRUE))</f>
        <v>0</v>
      </c>
      <c r="BL312" s="218" t="b">
        <f>IF(J312="",FALSE,IF(L312=0,FALSE,IF(AND(AU311,NOT(BF312),NOT(BI312),P312=""),TRUE,FALSE)))</f>
        <v>0</v>
      </c>
      <c r="BO312" s="274"/>
    </row>
    <row r="313" spans="1:67" ht="17.399999999999999" customHeight="1">
      <c r="A313" s="418"/>
      <c r="B313" s="402"/>
      <c r="C313" s="404"/>
      <c r="D313" s="221"/>
      <c r="E313" s="394" t="str">
        <f>IF(C311="","",VLOOKUP(D311,男子登録!$A$2:$O$2001,14,0)&amp;" ("&amp;VLOOKUP(D311,男子登録!$A$2:$O$2001,15,0)&amp;")")</f>
        <v/>
      </c>
      <c r="F313" s="394"/>
      <c r="G313" s="222" t="str">
        <f>IF(C311="","",(VLOOKUP(D311,男子登録!$A$2:$N$2001,9,0)))</f>
        <v/>
      </c>
      <c r="H313" s="222"/>
      <c r="I313" s="222" t="s">
        <v>4021</v>
      </c>
      <c r="J313" s="150"/>
      <c r="K313" s="222" t="s">
        <v>6760</v>
      </c>
      <c r="L313" s="150"/>
      <c r="M313" s="255"/>
      <c r="N313" s="256"/>
      <c r="O313" s="257"/>
      <c r="P313" s="149"/>
      <c r="Q313" s="399"/>
      <c r="R313" s="392"/>
      <c r="S313" s="136"/>
      <c r="T313" s="137"/>
      <c r="U313" s="137"/>
      <c r="V313" s="137"/>
      <c r="W313" s="137"/>
      <c r="X313" s="137"/>
      <c r="Y313" s="218">
        <f t="shared" ref="Y313" si="3508">IF(OR(E311="",J313=""),0,J313&amp;E311)</f>
        <v>0</v>
      </c>
      <c r="Z313" s="218">
        <f>IF(Y313=0,0,COUNTIF($Y$7:Y313,Y313))</f>
        <v>0</v>
      </c>
      <c r="AD313" s="218">
        <f>IFERROR(VLOOKUP(J313,競技会設定!$P$2:$S$22,2,0),0)</f>
        <v>0</v>
      </c>
      <c r="AE313" s="218">
        <f t="shared" ref="AE313" si="3509">IF(E311="",0,IF(AD313=0,0,IF(AD313&lt;3,E311&amp;$AE$6,0)))</f>
        <v>0</v>
      </c>
      <c r="AF313" s="218">
        <f>IF(AE313=0,0,E311&amp;COUNTIF($AE$7:AE313,AE313))</f>
        <v>0</v>
      </c>
      <c r="AG313" s="218">
        <f t="shared" ref="AG313" si="3510">IF(E311="",0,IF(AD313=0,0,IF(AD313&gt;=3,E311&amp;$AG$6,0)))</f>
        <v>0</v>
      </c>
      <c r="AH313" s="218">
        <f>IF(AG313=0,0,E311&amp;COUNTIF($AG$7:AG313,AG313))</f>
        <v>0</v>
      </c>
      <c r="AI313" s="218">
        <f t="shared" si="2968"/>
        <v>0</v>
      </c>
      <c r="AJ313" s="218" t="b">
        <f>IF(AI313=0,FALSE,IF(COUNTIF(AI$7:AI313,AI313)&gt;1,TRUE,FALSE))</f>
        <v>0</v>
      </c>
      <c r="AK313" s="218">
        <f t="shared" ref="AK313" si="3511">IF($AD313=AK$6,$E311,0)</f>
        <v>0</v>
      </c>
      <c r="AL313" s="218" t="b">
        <f>IF(AK313=0,FALSE,IF(COUNTIF(AK$7:AK313,AK313)&gt;1,TRUE,FALSE))</f>
        <v>0</v>
      </c>
      <c r="AM313" s="218">
        <f t="shared" ref="AM313" si="3512">IF($AD313=AM$6,$E311,0)</f>
        <v>0</v>
      </c>
      <c r="AN313" s="218" t="b">
        <f>IF(AM313=0,FALSE,IF(COUNTIF(AM$7:AM313,AM313)&gt;1,TRUE,FALSE))</f>
        <v>0</v>
      </c>
      <c r="AO313" s="218">
        <f t="shared" ref="AO313" si="3513">IF($AD313=AO$6,$E311,0)</f>
        <v>0</v>
      </c>
      <c r="AP313" s="218" t="b">
        <f>IF(AO313=0,FALSE,IF(COUNTIF(AO$7:AO313,AO313)&gt;1,TRUE,FALSE))</f>
        <v>0</v>
      </c>
      <c r="AQ313" s="218">
        <f t="shared" ref="AQ313" si="3514">IF(COUNTIF(Y313,"*十種競技*")&gt;0,E311,0)</f>
        <v>0</v>
      </c>
      <c r="AR313" s="218" t="b">
        <f>IF(AQ313=0,FALSE,IF(OR(COUNTIF($AI$7:$AI$406,AQ313)+COUNTIF($AQ313:$AQ$406,AQ313)&gt;1,COUNTIF($AK$7:$AK$406,AQ313)+COUNTIF($AQ$7:$AQ$406,AQ313)&gt;1),TRUE,FALSE))</f>
        <v>0</v>
      </c>
      <c r="AT313" s="218" t="b">
        <f t="shared" si="2960"/>
        <v>0</v>
      </c>
      <c r="AU313" s="274"/>
      <c r="AX313" s="274"/>
      <c r="BD313" s="218" t="b">
        <f t="shared" si="2947"/>
        <v>0</v>
      </c>
      <c r="BF313" s="231" t="b">
        <f t="shared" ref="BF313" si="3515">IF(J313="",FALSE,IF(OR(AND(AU311,L313=""),AND(AU311,L313="",OR(M313&lt;&gt;"",N313&lt;&gt;"",O313&lt;&gt;"",P313&lt;&gt;""))),TRUE,FALSE))</f>
        <v>0</v>
      </c>
      <c r="BG313" s="218" t="b">
        <f t="shared" si="2949"/>
        <v>0</v>
      </c>
      <c r="BH313" s="218" t="b">
        <f t="shared" si="2962"/>
        <v>0</v>
      </c>
      <c r="BI313" s="231" t="b">
        <f t="shared" ref="BI313" si="3516">IF(J313="",FALSE,IF(L313=0,FALSE,IF(AND(AU311,NOT(BF313),OR(M313="",N313="",O313="")),TRUE,FALSE)))</f>
        <v>0</v>
      </c>
      <c r="BJ313" s="240" t="b">
        <f t="shared" si="2964"/>
        <v>0</v>
      </c>
      <c r="BK313" s="231" t="b">
        <f>IF(NOT(BJ313),FALSE,IF(AND(競技会設定!$C$5&lt;=BJ313,BJ313&lt;=競技会設定!$C$6),FALSE,TRUE))</f>
        <v>0</v>
      </c>
      <c r="BL313" s="218" t="b">
        <f>IF(J313="",FALSE,IF(L313=0,FALSE,IF(AND(AU311,NOT(BF313),NOT(BI313),P313=""),TRUE,FALSE)))</f>
        <v>0</v>
      </c>
      <c r="BO313" s="274"/>
    </row>
    <row r="314" spans="1:67" ht="18" customHeight="1" thickBot="1">
      <c r="A314" s="419"/>
      <c r="B314" s="395" t="s">
        <v>6764</v>
      </c>
      <c r="C314" s="395"/>
      <c r="D314" s="221"/>
      <c r="E314" s="372"/>
      <c r="F314" s="372"/>
      <c r="G314" s="372"/>
      <c r="H314" s="214"/>
      <c r="I314" s="214" t="s">
        <v>6759</v>
      </c>
      <c r="J314" s="219"/>
      <c r="K314" s="214" t="s">
        <v>6761</v>
      </c>
      <c r="L314" s="219"/>
      <c r="M314" s="258"/>
      <c r="N314" s="259"/>
      <c r="O314" s="260"/>
      <c r="P314" s="219"/>
      <c r="Q314" s="400"/>
      <c r="R314" s="393"/>
      <c r="S314" s="136"/>
      <c r="T314" s="137"/>
      <c r="U314" s="137"/>
      <c r="V314" s="137"/>
      <c r="W314" s="137"/>
      <c r="X314" s="137"/>
      <c r="Y314" s="218">
        <f t="shared" ref="Y314" si="3517">IF(OR(E311="",J314=""),0,J314&amp;E311)</f>
        <v>0</v>
      </c>
      <c r="Z314" s="218">
        <f>IF(Y314=0,0,COUNTIF($Y$7:Y314,Y314))</f>
        <v>0</v>
      </c>
      <c r="AD314" s="218">
        <f>IFERROR(VLOOKUP(J314,競技会設定!$P$2:$S$22,2,0),0)</f>
        <v>0</v>
      </c>
      <c r="AE314" s="218">
        <f t="shared" ref="AE314" si="3518">IF(E311="",0,IF(AD314=0,0,IF(AD314&lt;3,E311&amp;$AE$6,0)))</f>
        <v>0</v>
      </c>
      <c r="AF314" s="218">
        <f>IF(AE314=0,0,E311&amp;COUNTIF($AE$7:AE314,AE314))</f>
        <v>0</v>
      </c>
      <c r="AG314" s="218">
        <f t="shared" ref="AG314" si="3519">IF(E311="",0,IF(AD314=0,0,IF(AD314&gt;=3,E311&amp;$AG$6,0)))</f>
        <v>0</v>
      </c>
      <c r="AH314" s="218">
        <f>IF(AG314=0,0,E311&amp;COUNTIF($AG$7:AG314,AG314))</f>
        <v>0</v>
      </c>
      <c r="AI314" s="218">
        <f t="shared" si="2978"/>
        <v>0</v>
      </c>
      <c r="AJ314" s="218" t="b">
        <f>IF(AI314=0,FALSE,IF(COUNTIF(AI$7:AI314,AI314)&gt;1,TRUE,FALSE))</f>
        <v>0</v>
      </c>
      <c r="AK314" s="218">
        <f t="shared" ref="AK314" si="3520">IF($AD314=AK$6,$E311,0)</f>
        <v>0</v>
      </c>
      <c r="AL314" s="218" t="b">
        <f>IF(AK314=0,FALSE,IF(COUNTIF(AK$7:AK314,AK314)&gt;1,TRUE,FALSE))</f>
        <v>0</v>
      </c>
      <c r="AM314" s="218">
        <f t="shared" ref="AM314" si="3521">IF($AD314=AM$6,$E311,0)</f>
        <v>0</v>
      </c>
      <c r="AN314" s="218" t="b">
        <f>IF(AM314=0,FALSE,IF(COUNTIF(AM$7:AM314,AM314)&gt;1,TRUE,FALSE))</f>
        <v>0</v>
      </c>
      <c r="AO314" s="218">
        <f t="shared" ref="AO314" si="3522">IF($AD314=AO$6,$E311,0)</f>
        <v>0</v>
      </c>
      <c r="AP314" s="218" t="b">
        <f>IF(AO314=0,FALSE,IF(COUNTIF(AO$7:AO314,AO314)&gt;1,TRUE,FALSE))</f>
        <v>0</v>
      </c>
      <c r="AQ314" s="218">
        <f t="shared" ref="AQ314" si="3523">IF(COUNTIF(Y314,"*十種競技*")&gt;0,E311,0)</f>
        <v>0</v>
      </c>
      <c r="AR314" s="218" t="b">
        <f>IF(AQ314=0,FALSE,IF(OR(COUNTIF($AI$7:$AI$406,AQ314)+COUNTIF($AQ314:$AQ$406,AQ314)&gt;1,COUNTIF($AK$7:$AK$406,AQ314)+COUNTIF($AQ$7:$AQ$406,AQ314)&gt;1),TRUE,FALSE))</f>
        <v>0</v>
      </c>
      <c r="AT314" s="218" t="b">
        <f t="shared" si="2960"/>
        <v>0</v>
      </c>
      <c r="AU314" s="274"/>
      <c r="AX314" s="274"/>
      <c r="BD314" s="218" t="b">
        <f t="shared" si="2947"/>
        <v>0</v>
      </c>
      <c r="BF314" s="231" t="b">
        <f t="shared" ref="BF314" si="3524">IF(J314="",FALSE,IF(OR(AND(AU311,L314=""),AND(AU311,L314="",OR(M314&lt;&gt;"",N314&lt;&gt;"",O314&lt;&gt;"",P314&lt;&gt;""))),TRUE,FALSE))</f>
        <v>0</v>
      </c>
      <c r="BG314" s="218" t="b">
        <f t="shared" si="2949"/>
        <v>0</v>
      </c>
      <c r="BH314" s="218" t="b">
        <f t="shared" si="2962"/>
        <v>0</v>
      </c>
      <c r="BI314" s="231" t="b">
        <f t="shared" ref="BI314" si="3525">IF(J314="",FALSE,IF(L314=0,FALSE,IF(AND(AU311,NOT(BF314),OR(M314="",N314="",O314="")),TRUE,FALSE)))</f>
        <v>0</v>
      </c>
      <c r="BJ314" s="240" t="b">
        <f t="shared" si="2964"/>
        <v>0</v>
      </c>
      <c r="BK314" s="231" t="b">
        <f>IF(NOT(BJ314),FALSE,IF(AND(競技会設定!$C$5&lt;=BJ314,BJ314&lt;=競技会設定!$C$6),FALSE,TRUE))</f>
        <v>0</v>
      </c>
      <c r="BL314" s="218" t="b">
        <f>IF(J314="",FALSE,IF(L314=0,FALSE,IF(AND(AU311,NOT(BF314),NOT(BI314),P314=""),TRUE,FALSE)))</f>
        <v>0</v>
      </c>
      <c r="BO314" s="274"/>
    </row>
    <row r="315" spans="1:67" ht="18" customHeight="1" thickTop="1">
      <c r="A315" s="420">
        <v>78</v>
      </c>
      <c r="B315" s="373" t="s">
        <v>4018</v>
      </c>
      <c r="C315" s="375"/>
      <c r="D315" s="138" t="str">
        <f t="shared" ref="D315" si="3526">IF(C315="","",501&amp;TEXT(C315,"000000"))</f>
        <v/>
      </c>
      <c r="E315" s="377" t="str">
        <f>IF(D315="","",(VLOOKUP(D315,男子登録!$A$2:$N$2001,3,0)))</f>
        <v/>
      </c>
      <c r="F315" s="377" t="str">
        <f>IF(D315="","",(VLOOKUP(D315,男子登録!$A$2:$N$2001,4,0)))</f>
        <v/>
      </c>
      <c r="G315" s="138" t="str">
        <f>IF(C315="","",(VLOOKUP(D315,男子登録!$A$2:$N$2001,8,0)))</f>
        <v/>
      </c>
      <c r="H315" s="138">
        <f>IFERROR(VLOOKUP(D315,男子登録!$A$2:$N$2001,11,0),基本情報!$E$5)</f>
        <v>0</v>
      </c>
      <c r="I315" s="138" t="s">
        <v>4019</v>
      </c>
      <c r="J315" s="151"/>
      <c r="K315" s="138" t="s">
        <v>4022</v>
      </c>
      <c r="L315" s="151"/>
      <c r="M315" s="261"/>
      <c r="N315" s="262"/>
      <c r="O315" s="263"/>
      <c r="P315" s="151"/>
      <c r="Q315" s="381"/>
      <c r="R315" s="384"/>
      <c r="S315" s="136">
        <f t="shared" ref="S315" si="3527">IF(OR(E315="",Q315=""),0,E315)</f>
        <v>0</v>
      </c>
      <c r="T315" s="137">
        <f>IF(S315=0,0,COUNTIF($S$7:S315,"*"))</f>
        <v>0</v>
      </c>
      <c r="U315" s="137">
        <f>IF(S315=0,0,COUNTIF($S$7:S315,S315))</f>
        <v>0</v>
      </c>
      <c r="V315" s="137">
        <f t="shared" si="3171"/>
        <v>0</v>
      </c>
      <c r="W315" s="137">
        <f>IF(V315=0,0,COUNTIF($V$7:V315,"*"))</f>
        <v>0</v>
      </c>
      <c r="X315" s="137">
        <f>IF(V315=0,0,COUNTIF($V$7:V315,V315))</f>
        <v>0</v>
      </c>
      <c r="Y315" s="218">
        <f t="shared" ref="Y315" si="3528">IF(OR(E315="",J315=""),0,J315&amp;E315)</f>
        <v>0</v>
      </c>
      <c r="Z315" s="218">
        <f>IF(Y315=0,0,COUNTIF($Y$7:Y315,Y315))</f>
        <v>0</v>
      </c>
      <c r="AA315" s="218" t="b">
        <f t="shared" ref="AA315" si="3529">IF(COUNTIF(J315:J318,"十種競技")&gt;0,TRUE,FALSE)</f>
        <v>0</v>
      </c>
      <c r="AB315" s="218">
        <f>IF(E315="",0,IF(AA315,COUNTIF($AA$7:AA315,TRUE),0))</f>
        <v>0</v>
      </c>
      <c r="AC315" s="218">
        <f>IFERROR(VLOOKUP("十種競技",J315:L318,3,0),0)</f>
        <v>0</v>
      </c>
      <c r="AD315" s="218">
        <f>IFERROR(VLOOKUP(J315,競技会設定!$P$2:$S$22,2,0),0)</f>
        <v>0</v>
      </c>
      <c r="AE315" s="218">
        <f t="shared" ref="AE315" si="3530">IF(E315="",0,IF(AD315=0,0,IF(AD315&lt;3,E315&amp;$AE$6,0)))</f>
        <v>0</v>
      </c>
      <c r="AF315" s="218">
        <f>IF(AE315=0,0,E315&amp;COUNTIF($AE$7:AE315,AE315))</f>
        <v>0</v>
      </c>
      <c r="AG315" s="218">
        <f t="shared" ref="AG315" si="3531">IF(E315="",0,IF(AD315=0,0,IF(AD315&gt;=3,E315&amp;$AG$6,0)))</f>
        <v>0</v>
      </c>
      <c r="AH315" s="218">
        <f>IF(AG315=0,0,E315&amp;COUNTIF($AG$7:AG315,AG315))</f>
        <v>0</v>
      </c>
      <c r="AI315" s="218">
        <f t="shared" si="2991"/>
        <v>0</v>
      </c>
      <c r="AJ315" s="218" t="b">
        <f>IF(AI315=0,FALSE,IF(COUNTIF(AI$7:AI315,AI315)&gt;1,TRUE,FALSE))</f>
        <v>0</v>
      </c>
      <c r="AK315" s="218">
        <f t="shared" ref="AK315" si="3532">IF($AD315=AK$6,$E315,0)</f>
        <v>0</v>
      </c>
      <c r="AL315" s="218" t="b">
        <f>IF(AK315=0,FALSE,IF(COUNTIF(AK$7:AK315,AK315)&gt;1,TRUE,FALSE))</f>
        <v>0</v>
      </c>
      <c r="AM315" s="218">
        <f t="shared" ref="AM315" si="3533">IF($AD315=AM$6,$E315,0)</f>
        <v>0</v>
      </c>
      <c r="AN315" s="218" t="b">
        <f>IF(AM315=0,FALSE,IF(COUNTIF(AM$7:AM315,AM315)&gt;1,TRUE,FALSE))</f>
        <v>0</v>
      </c>
      <c r="AO315" s="218">
        <f t="shared" ref="AO315" si="3534">IF($AD315=AO$6,$E315,0)</f>
        <v>0</v>
      </c>
      <c r="AP315" s="218" t="b">
        <f>IF(AO315=0,FALSE,IF(COUNTIF(AO$7:AO315,AO315)&gt;1,TRUE,FALSE))</f>
        <v>0</v>
      </c>
      <c r="AQ315" s="218">
        <f t="shared" ref="AQ315" si="3535">IF(COUNTIF(Y315,"*十種競技*")&gt;0,E315,0)</f>
        <v>0</v>
      </c>
      <c r="AR315" s="218" t="b">
        <f>IF(AQ315=0,FALSE,IF(OR(COUNTIF($AI$7:$AI$406,AQ315)+COUNTIF($AQ315:$AQ$406,AQ315)&gt;1,COUNTIF($AK$7:$AK$406,AQ315)+COUNTIF($AQ$7:$AQ$406,AQ315)&gt;1),TRUE,FALSE))</f>
        <v>0</v>
      </c>
      <c r="AS315" s="218" t="b">
        <f t="shared" ref="AS315" si="3536">IF(AND(C315="",E315&lt;&gt;"",F315&lt;&gt;"",E317&lt;&gt;"",G315&lt;&gt;"",G316&lt;&gt;"",G317&lt;&gt;""),TRUE,FALSE)</f>
        <v>0</v>
      </c>
      <c r="AT315" s="218" t="b">
        <f t="shared" si="2960"/>
        <v>0</v>
      </c>
      <c r="AU315" s="274" t="b">
        <f t="shared" ref="AU315" si="3537">IFERROR(IF(D315&amp;E315&amp;F315&amp;E317&amp;G315&amp;G316&amp;G317&amp;J315&amp;J316&amp;J317&amp;J318&amp;L315&amp;L316&amp;L317&amp;L318&amp;M315&amp;M316&amp;M317&amp;M318&amp;N315&amp;N316&amp;N317&amp;N318&amp;O315&amp;O316&amp;O317&amp;O318&amp;P315&amp;P316&amp;P317&amp;P318&amp;Q315&amp;R315="",FALSE,TRUE),FALSE)</f>
        <v>0</v>
      </c>
      <c r="AV315" s="218" t="b">
        <f t="shared" ref="AV315" si="3538">IF(AS315,FALSE,IF(C315="",AU315,FALSE))</f>
        <v>0</v>
      </c>
      <c r="AW315" s="218" t="b">
        <f>IF(C315="",FALSE,IF(C315&gt;2000,TRUE,FALSE))</f>
        <v>0</v>
      </c>
      <c r="AX315" s="274" t="b">
        <f>IF(H315=0,FALSE,IF(EXACT(基本情報!$E$5,H315)=TRUE,FALSE,TRUE))</f>
        <v>0</v>
      </c>
      <c r="AY315" s="218" t="b">
        <f>IF(C315="",FALSE,IF(ISNA(E315)=TRUE,TRUE,FALSE))</f>
        <v>0</v>
      </c>
      <c r="AZ315" s="274" t="b">
        <f>IFERROR(IF(E315="",FALSE,IF(COUNTIF($E$7:E315,E315)&gt;1,TRUE,FALSE)),FALSE)</f>
        <v>0</v>
      </c>
      <c r="BA315" s="218" t="b">
        <f t="shared" ref="BA315" si="3539">IF(OR(J315&amp;J316&amp;J317&amp;J318&amp;Q315&amp;R315="",AT315,AT316,AT317,AT318),AU315,FALSE)</f>
        <v>0</v>
      </c>
      <c r="BB315" s="218" t="b">
        <f>IF(U315&gt;1,TRUE,FALSE)</f>
        <v>0</v>
      </c>
      <c r="BC315" s="218" t="b">
        <f>IF(X315&gt;1,TRUE,FALSE)</f>
        <v>0</v>
      </c>
      <c r="BD315" s="218" t="b">
        <f t="shared" si="2947"/>
        <v>0</v>
      </c>
      <c r="BF315" s="231" t="b">
        <f t="shared" ref="BF315" si="3540">IF(J315="",FALSE,IF(OR(AND(AU315,L315=""),AND(AU315,L315="",OR(M315&lt;&gt;"",N315&lt;&gt;"",O315&lt;&gt;"",P315&lt;&gt;""))),TRUE,FALSE))</f>
        <v>0</v>
      </c>
      <c r="BG315" s="218" t="b">
        <f t="shared" si="2949"/>
        <v>0</v>
      </c>
      <c r="BH315" s="218" t="b">
        <f t="shared" si="2962"/>
        <v>0</v>
      </c>
      <c r="BI315" s="231" t="b">
        <f t="shared" ref="BI315" si="3541">IF(J315="",FALSE,IF(L315=0,FALSE,IF(AND(AU315,NOT(BF315),OR(M315="",N315="",O315="")),TRUE,FALSE)))</f>
        <v>0</v>
      </c>
      <c r="BJ315" s="240" t="b">
        <f t="shared" si="2964"/>
        <v>0</v>
      </c>
      <c r="BK315" s="231" t="b">
        <f>IF(NOT(BJ315),FALSE,IF(AND(競技会設定!$C$5&lt;=BJ315,BJ315&lt;=競技会設定!$C$6),FALSE,TRUE))</f>
        <v>0</v>
      </c>
      <c r="BL315" s="218" t="b">
        <f>IF(J315="",FALSE,IF(L315=0,FALSE,IF(AND(AU315,NOT(BF315),NOT(BI315),P315=""),TRUE,FALSE)))</f>
        <v>0</v>
      </c>
      <c r="BO315" s="274">
        <f t="shared" ref="BO315" si="3542">IF(AND(AU315,SUM(COUNTIF(AV315:BC315,TRUE),COUNTIF(BF315:BL318,TRUE),COUNTIF(BD315:BD318,TRUE))=0,NOT($BE$7)),1,0)</f>
        <v>0</v>
      </c>
    </row>
    <row r="316" spans="1:67" ht="17.399999999999999" customHeight="1">
      <c r="A316" s="421"/>
      <c r="B316" s="374"/>
      <c r="C316" s="376"/>
      <c r="D316" s="139"/>
      <c r="E316" s="378"/>
      <c r="F316" s="378"/>
      <c r="G316" s="139" t="str">
        <f>IF(C315="","",(VLOOKUP(D315,男子登録!$A$2:$N$2001,13,0)))</f>
        <v/>
      </c>
      <c r="H316" s="139"/>
      <c r="I316" s="139" t="s">
        <v>4020</v>
      </c>
      <c r="J316" s="152"/>
      <c r="K316" s="139" t="s">
        <v>4023</v>
      </c>
      <c r="L316" s="152"/>
      <c r="M316" s="264"/>
      <c r="N316" s="265"/>
      <c r="O316" s="266"/>
      <c r="P316" s="152"/>
      <c r="Q316" s="382"/>
      <c r="R316" s="385"/>
      <c r="S316" s="136"/>
      <c r="T316" s="137"/>
      <c r="U316" s="137"/>
      <c r="V316" s="137"/>
      <c r="W316" s="137"/>
      <c r="X316" s="137"/>
      <c r="Y316" s="218">
        <f t="shared" ref="Y316" si="3543">IF(OR(E315="",J316=""),0,J316&amp;E315)</f>
        <v>0</v>
      </c>
      <c r="Z316" s="218">
        <f>IF(Y316=0,0,COUNTIF($Y$7:Y316,Y316))</f>
        <v>0</v>
      </c>
      <c r="AD316" s="218">
        <f>IFERROR(VLOOKUP(J316,競技会設定!$P$2:$S$22,2,0),0)</f>
        <v>0</v>
      </c>
      <c r="AE316" s="218">
        <f t="shared" ref="AE316" si="3544">IF(E315="",0,IF(AD316=0,0,IF(AD316&lt;3,E315&amp;$AE$6,0)))</f>
        <v>0</v>
      </c>
      <c r="AF316" s="218">
        <f>IF(AE316=0,0,E315&amp;COUNTIF($AE$7:AE316,AE316))</f>
        <v>0</v>
      </c>
      <c r="AG316" s="218">
        <f t="shared" ref="AG316" si="3545">IF(E315="",0,IF(AD316=0,0,IF(AD316&gt;=3,E315&amp;$AG$6,0)))</f>
        <v>0</v>
      </c>
      <c r="AH316" s="218">
        <f>IF(AG316=0,0,E315&amp;COUNTIF($AG$7:AG316,AG316))</f>
        <v>0</v>
      </c>
      <c r="AI316" s="218">
        <f t="shared" si="3006"/>
        <v>0</v>
      </c>
      <c r="AJ316" s="218" t="b">
        <f>IF(AI316=0,FALSE,IF(COUNTIF(AI$7:AI316,AI316)&gt;1,TRUE,FALSE))</f>
        <v>0</v>
      </c>
      <c r="AK316" s="218">
        <f t="shared" ref="AK316" si="3546">IF($AD316=AK$6,$E315,0)</f>
        <v>0</v>
      </c>
      <c r="AL316" s="218" t="b">
        <f>IF(AK316=0,FALSE,IF(COUNTIF(AK$7:AK316,AK316)&gt;1,TRUE,FALSE))</f>
        <v>0</v>
      </c>
      <c r="AM316" s="218">
        <f t="shared" ref="AM316" si="3547">IF($AD316=AM$6,$E315,0)</f>
        <v>0</v>
      </c>
      <c r="AN316" s="218" t="b">
        <f>IF(AM316=0,FALSE,IF(COUNTIF(AM$7:AM316,AM316)&gt;1,TRUE,FALSE))</f>
        <v>0</v>
      </c>
      <c r="AO316" s="218">
        <f t="shared" ref="AO316" si="3548">IF($AD316=AO$6,$E315,0)</f>
        <v>0</v>
      </c>
      <c r="AP316" s="218" t="b">
        <f>IF(AO316=0,FALSE,IF(COUNTIF(AO$7:AO316,AO316)&gt;1,TRUE,FALSE))</f>
        <v>0</v>
      </c>
      <c r="AQ316" s="218">
        <f t="shared" ref="AQ316" si="3549">IF(COUNTIF(Y316,"*十種競技*")&gt;0,E315,0)</f>
        <v>0</v>
      </c>
      <c r="AR316" s="218" t="b">
        <f>IF(AQ316=0,FALSE,IF(OR(COUNTIF($AI$7:$AI$406,AQ316)+COUNTIF($AQ316:$AQ$406,AQ316)&gt;1,COUNTIF($AK$7:$AK$406,AQ316)+COUNTIF($AQ$7:$AQ$406,AQ316)&gt;1),TRUE,FALSE))</f>
        <v>0</v>
      </c>
      <c r="AT316" s="218" t="b">
        <f t="shared" si="2960"/>
        <v>0</v>
      </c>
      <c r="AU316" s="274"/>
      <c r="AX316" s="274"/>
      <c r="BD316" s="218" t="b">
        <f t="shared" si="2947"/>
        <v>0</v>
      </c>
      <c r="BF316" s="231" t="b">
        <f t="shared" ref="BF316" si="3550">IF(J316="",FALSE,IF(OR(AND(AU315,L316=""),AND(AU315,L316="",OR(M316&lt;&gt;"",N316&lt;&gt;"",O316&lt;&gt;"",P316&lt;&gt;""))),TRUE,FALSE))</f>
        <v>0</v>
      </c>
      <c r="BG316" s="218" t="b">
        <f t="shared" si="2949"/>
        <v>0</v>
      </c>
      <c r="BH316" s="218" t="b">
        <f t="shared" si="2962"/>
        <v>0</v>
      </c>
      <c r="BI316" s="231" t="b">
        <f t="shared" ref="BI316" si="3551">IF(J316="",FALSE,IF(L316=0,FALSE,IF(AND(AU315,NOT(BF316),OR(M316="",N316="",O316="")),TRUE,FALSE)))</f>
        <v>0</v>
      </c>
      <c r="BJ316" s="240" t="b">
        <f t="shared" si="2964"/>
        <v>0</v>
      </c>
      <c r="BK316" s="231" t="b">
        <f>IF(NOT(BJ316),FALSE,IF(AND(競技会設定!$C$5&lt;=BJ316,BJ316&lt;=競技会設定!$C$6),FALSE,TRUE))</f>
        <v>0</v>
      </c>
      <c r="BL316" s="218" t="b">
        <f>IF(J316="",FALSE,IF(L316=0,FALSE,IF(AND(AU315,NOT(BF316),NOT(BI316),P316=""),TRUE,FALSE)))</f>
        <v>0</v>
      </c>
      <c r="BO316" s="274"/>
    </row>
    <row r="317" spans="1:67" ht="17.399999999999999" customHeight="1">
      <c r="A317" s="421"/>
      <c r="B317" s="374"/>
      <c r="C317" s="376"/>
      <c r="D317" s="140"/>
      <c r="E317" s="379" t="str">
        <f>IF(C315="","",VLOOKUP(D315,男子登録!$A$2:$O$2001,14,0)&amp;" ("&amp;VLOOKUP(D315,男子登録!$A$2:$O$2001,15,0)&amp;")")</f>
        <v/>
      </c>
      <c r="F317" s="380"/>
      <c r="G317" s="140" t="str">
        <f>IF(C315="","",(VLOOKUP(D315,男子登録!$A$2:$N$2001,9,0)))</f>
        <v/>
      </c>
      <c r="H317" s="140"/>
      <c r="I317" s="140" t="s">
        <v>4021</v>
      </c>
      <c r="J317" s="153"/>
      <c r="K317" s="140" t="s">
        <v>6760</v>
      </c>
      <c r="L317" s="153"/>
      <c r="M317" s="264"/>
      <c r="N317" s="265"/>
      <c r="O317" s="266"/>
      <c r="P317" s="152"/>
      <c r="Q317" s="382"/>
      <c r="R317" s="385"/>
      <c r="S317" s="136"/>
      <c r="T317" s="137"/>
      <c r="U317" s="137"/>
      <c r="V317" s="137"/>
      <c r="W317" s="137"/>
      <c r="X317" s="137"/>
      <c r="Y317" s="218">
        <f t="shared" ref="Y317" si="3552">IF(OR(E315="",J317=""),0,J317&amp;E315)</f>
        <v>0</v>
      </c>
      <c r="Z317" s="218">
        <f>IF(Y317=0,0,COUNTIF($Y$7:Y317,Y317))</f>
        <v>0</v>
      </c>
      <c r="AD317" s="218">
        <f>IFERROR(VLOOKUP(J317,競技会設定!$P$2:$S$22,2,0),0)</f>
        <v>0</v>
      </c>
      <c r="AE317" s="218">
        <f t="shared" ref="AE317" si="3553">IF(E315="",0,IF(AD317=0,0,IF(AD317&lt;3,E315&amp;$AE$6,0)))</f>
        <v>0</v>
      </c>
      <c r="AF317" s="218">
        <f>IF(AE317=0,0,E315&amp;COUNTIF($AE$7:AE317,AE317))</f>
        <v>0</v>
      </c>
      <c r="AG317" s="218">
        <f t="shared" ref="AG317" si="3554">IF(E315="",0,IF(AD317=0,0,IF(AD317&gt;=3,E315&amp;$AG$6,0)))</f>
        <v>0</v>
      </c>
      <c r="AH317" s="218">
        <f>IF(AG317=0,0,E315&amp;COUNTIF($AG$7:AG317,AG317))</f>
        <v>0</v>
      </c>
      <c r="AI317" s="218">
        <f t="shared" si="3016"/>
        <v>0</v>
      </c>
      <c r="AJ317" s="218" t="b">
        <f>IF(AI317=0,FALSE,IF(COUNTIF(AI$7:AI317,AI317)&gt;1,TRUE,FALSE))</f>
        <v>0</v>
      </c>
      <c r="AK317" s="218">
        <f t="shared" ref="AK317" si="3555">IF($AD317=AK$6,$E315,0)</f>
        <v>0</v>
      </c>
      <c r="AL317" s="218" t="b">
        <f>IF(AK317=0,FALSE,IF(COUNTIF(AK$7:AK317,AK317)&gt;1,TRUE,FALSE))</f>
        <v>0</v>
      </c>
      <c r="AM317" s="218">
        <f t="shared" ref="AM317" si="3556">IF($AD317=AM$6,$E315,0)</f>
        <v>0</v>
      </c>
      <c r="AN317" s="218" t="b">
        <f>IF(AM317=0,FALSE,IF(COUNTIF(AM$7:AM317,AM317)&gt;1,TRUE,FALSE))</f>
        <v>0</v>
      </c>
      <c r="AO317" s="218">
        <f t="shared" ref="AO317" si="3557">IF($AD317=AO$6,$E315,0)</f>
        <v>0</v>
      </c>
      <c r="AP317" s="218" t="b">
        <f>IF(AO317=0,FALSE,IF(COUNTIF(AO$7:AO317,AO317)&gt;1,TRUE,FALSE))</f>
        <v>0</v>
      </c>
      <c r="AQ317" s="218">
        <f t="shared" ref="AQ317" si="3558">IF(COUNTIF(Y317,"*十種競技*")&gt;0,E315,0)</f>
        <v>0</v>
      </c>
      <c r="AR317" s="218" t="b">
        <f>IF(AQ317=0,FALSE,IF(OR(COUNTIF($AI$7:$AI$406,AQ317)+COUNTIF($AQ317:$AQ$406,AQ317)&gt;1,COUNTIF($AK$7:$AK$406,AQ317)+COUNTIF($AQ$7:$AQ$406,AQ317)&gt;1),TRUE,FALSE))</f>
        <v>0</v>
      </c>
      <c r="AT317" s="218" t="b">
        <f t="shared" si="2960"/>
        <v>0</v>
      </c>
      <c r="AU317" s="274"/>
      <c r="AX317" s="274"/>
      <c r="BD317" s="218" t="b">
        <f t="shared" si="2947"/>
        <v>0</v>
      </c>
      <c r="BF317" s="231" t="b">
        <f t="shared" ref="BF317" si="3559">IF(J317="",FALSE,IF(OR(AND(AU315,L317=""),AND(AU315,L317="",OR(M317&lt;&gt;"",N317&lt;&gt;"",O317&lt;&gt;"",P317&lt;&gt;""))),TRUE,FALSE))</f>
        <v>0</v>
      </c>
      <c r="BG317" s="218" t="b">
        <f t="shared" si="2949"/>
        <v>0</v>
      </c>
      <c r="BH317" s="218" t="b">
        <f t="shared" si="2962"/>
        <v>0</v>
      </c>
      <c r="BI317" s="231" t="b">
        <f t="shared" ref="BI317" si="3560">IF(J317="",FALSE,IF(L317=0,FALSE,IF(AND(AU315,NOT(BF317),OR(M317="",N317="",O317="")),TRUE,FALSE)))</f>
        <v>0</v>
      </c>
      <c r="BJ317" s="240" t="b">
        <f t="shared" si="2964"/>
        <v>0</v>
      </c>
      <c r="BK317" s="231" t="b">
        <f>IF(NOT(BJ317),FALSE,IF(AND(競技会設定!$C$5&lt;=BJ317,BJ317&lt;=競技会設定!$C$6),FALSE,TRUE))</f>
        <v>0</v>
      </c>
      <c r="BL317" s="218" t="b">
        <f>IF(J317="",FALSE,IF(L317=0,FALSE,IF(AND(AU315,NOT(BF317),NOT(BI317),P317=""),TRUE,FALSE)))</f>
        <v>0</v>
      </c>
      <c r="BO317" s="274"/>
    </row>
    <row r="318" spans="1:67" ht="18" customHeight="1" thickBot="1">
      <c r="A318" s="422"/>
      <c r="B318" s="387" t="s">
        <v>6764</v>
      </c>
      <c r="C318" s="387"/>
      <c r="D318" s="213"/>
      <c r="E318" s="388"/>
      <c r="F318" s="389"/>
      <c r="G318" s="390"/>
      <c r="H318" s="141"/>
      <c r="I318" s="213" t="s">
        <v>6759</v>
      </c>
      <c r="J318" s="154"/>
      <c r="K318" s="213" t="s">
        <v>6761</v>
      </c>
      <c r="L318" s="154"/>
      <c r="M318" s="267"/>
      <c r="N318" s="268"/>
      <c r="O318" s="269"/>
      <c r="P318" s="154"/>
      <c r="Q318" s="383"/>
      <c r="R318" s="386"/>
      <c r="S318" s="136"/>
      <c r="T318" s="137"/>
      <c r="U318" s="137"/>
      <c r="V318" s="137"/>
      <c r="W318" s="137"/>
      <c r="X318" s="137"/>
      <c r="Y318" s="218">
        <f t="shared" ref="Y318" si="3561">IF(OR(E315="",J318=""),0,J318&amp;E315)</f>
        <v>0</v>
      </c>
      <c r="Z318" s="218">
        <f>IF(Y318=0,0,COUNTIF($Y$7:Y318,Y318))</f>
        <v>0</v>
      </c>
      <c r="AD318" s="218">
        <f>IFERROR(VLOOKUP(J318,競技会設定!$P$2:$S$22,2,0),0)</f>
        <v>0</v>
      </c>
      <c r="AE318" s="218">
        <f t="shared" ref="AE318" si="3562">IF(E315="",0,IF(AD318=0,0,IF(AD318&lt;3,E315&amp;$AE$6,0)))</f>
        <v>0</v>
      </c>
      <c r="AF318" s="218">
        <f>IF(AE318=0,0,E315&amp;COUNTIF($AE$7:AE318,AE318))</f>
        <v>0</v>
      </c>
      <c r="AG318" s="218">
        <f t="shared" ref="AG318" si="3563">IF(E315="",0,IF(AD318=0,0,IF(AD318&gt;=3,E315&amp;$AG$6,0)))</f>
        <v>0</v>
      </c>
      <c r="AH318" s="218">
        <f>IF(AG318=0,0,E315&amp;COUNTIF($AG$7:AG318,AG318))</f>
        <v>0</v>
      </c>
      <c r="AI318" s="218">
        <f t="shared" si="3026"/>
        <v>0</v>
      </c>
      <c r="AJ318" s="218" t="b">
        <f>IF(AI318=0,FALSE,IF(COUNTIF(AI$7:AI318,AI318)&gt;1,TRUE,FALSE))</f>
        <v>0</v>
      </c>
      <c r="AK318" s="218">
        <f t="shared" ref="AK318" si="3564">IF($AD318=AK$6,$E315,0)</f>
        <v>0</v>
      </c>
      <c r="AL318" s="218" t="b">
        <f>IF(AK318=0,FALSE,IF(COUNTIF(AK$7:AK318,AK318)&gt;1,TRUE,FALSE))</f>
        <v>0</v>
      </c>
      <c r="AM318" s="218">
        <f t="shared" ref="AM318" si="3565">IF($AD318=AM$6,$E315,0)</f>
        <v>0</v>
      </c>
      <c r="AN318" s="218" t="b">
        <f>IF(AM318=0,FALSE,IF(COUNTIF(AM$7:AM318,AM318)&gt;1,TRUE,FALSE))</f>
        <v>0</v>
      </c>
      <c r="AO318" s="218">
        <f t="shared" ref="AO318" si="3566">IF($AD318=AO$6,$E315,0)</f>
        <v>0</v>
      </c>
      <c r="AP318" s="218" t="b">
        <f>IF(AO318=0,FALSE,IF(COUNTIF(AO$7:AO318,AO318)&gt;1,TRUE,FALSE))</f>
        <v>0</v>
      </c>
      <c r="AQ318" s="218">
        <f t="shared" ref="AQ318" si="3567">IF(COUNTIF(Y318,"*十種競技*")&gt;0,E315,0)</f>
        <v>0</v>
      </c>
      <c r="AR318" s="218" t="b">
        <f>IF(AQ318=0,FALSE,IF(OR(COUNTIF($AI$7:$AI$406,AQ318)+COUNTIF($AQ318:$AQ$406,AQ318)&gt;1,COUNTIF($AK$7:$AK$406,AQ318)+COUNTIF($AQ$7:$AQ$406,AQ318)&gt;1),TRUE,FALSE))</f>
        <v>0</v>
      </c>
      <c r="AT318" s="218" t="b">
        <f t="shared" si="2960"/>
        <v>0</v>
      </c>
      <c r="AU318" s="274"/>
      <c r="AX318" s="274"/>
      <c r="BD318" s="218" t="b">
        <f t="shared" si="2947"/>
        <v>0</v>
      </c>
      <c r="BF318" s="231" t="b">
        <f t="shared" ref="BF318" si="3568">IF(J318="",FALSE,IF(OR(AND(AU315,L318=""),AND(AU315,L318="",OR(M318&lt;&gt;"",N318&lt;&gt;"",O318&lt;&gt;"",P318&lt;&gt;""))),TRUE,FALSE))</f>
        <v>0</v>
      </c>
      <c r="BG318" s="218" t="b">
        <f t="shared" si="2949"/>
        <v>0</v>
      </c>
      <c r="BH318" s="218" t="b">
        <f t="shared" si="2962"/>
        <v>0</v>
      </c>
      <c r="BI318" s="231" t="b">
        <f t="shared" ref="BI318" si="3569">IF(J318="",FALSE,IF(L318=0,FALSE,IF(AND(AU315,NOT(BF318),OR(M318="",N318="",O318="")),TRUE,FALSE)))</f>
        <v>0</v>
      </c>
      <c r="BJ318" s="240" t="b">
        <f t="shared" si="2964"/>
        <v>0</v>
      </c>
      <c r="BK318" s="231" t="b">
        <f>IF(NOT(BJ318),FALSE,IF(AND(競技会設定!$C$5&lt;=BJ318,BJ318&lt;=競技会設定!$C$6),FALSE,TRUE))</f>
        <v>0</v>
      </c>
      <c r="BL318" s="218" t="b">
        <f>IF(J318="",FALSE,IF(L318=0,FALSE,IF(AND(AU315,NOT(BF318),NOT(BI318),P318=""),TRUE,FALSE)))</f>
        <v>0</v>
      </c>
      <c r="BO318" s="274"/>
    </row>
    <row r="319" spans="1:67" ht="18" customHeight="1" thickTop="1">
      <c r="A319" s="417">
        <v>79</v>
      </c>
      <c r="B319" s="401" t="s">
        <v>4018</v>
      </c>
      <c r="C319" s="403"/>
      <c r="D319" s="220" t="str">
        <f t="shared" ref="D319" si="3570">IF(C319="","",501&amp;TEXT(C319,"000000"))</f>
        <v/>
      </c>
      <c r="E319" s="396" t="str">
        <f>IF(D319="","",(VLOOKUP(D319,男子登録!$A$2:$N$2001,3,0)))</f>
        <v/>
      </c>
      <c r="F319" s="396" t="str">
        <f>IF(D319="","",(VLOOKUP(D319,男子登録!$A$2:$N$2001,4,0)))</f>
        <v/>
      </c>
      <c r="G319" s="220" t="str">
        <f>IF(C319="","",(VLOOKUP(D319,男子登録!$A$2:$N$2001,8,0)))</f>
        <v/>
      </c>
      <c r="H319" s="220">
        <f>IFERROR(VLOOKUP(D319,男子登録!$A$2:$N$2001,11,0),基本情報!$E$5)</f>
        <v>0</v>
      </c>
      <c r="I319" s="220" t="s">
        <v>4019</v>
      </c>
      <c r="J319" s="148"/>
      <c r="K319" s="220" t="s">
        <v>4022</v>
      </c>
      <c r="L319" s="148"/>
      <c r="M319" s="252"/>
      <c r="N319" s="253"/>
      <c r="O319" s="254"/>
      <c r="P319" s="148"/>
      <c r="Q319" s="398"/>
      <c r="R319" s="391"/>
      <c r="S319" s="136">
        <f t="shared" ref="S319" si="3571">IF(OR(E319="",Q319=""),0,E319)</f>
        <v>0</v>
      </c>
      <c r="T319" s="137">
        <f>IF(S319=0,0,COUNTIF($S$7:S319,"*"))</f>
        <v>0</v>
      </c>
      <c r="U319" s="137">
        <f>IF(S319=0,0,COUNTIF($S$7:S319,S319))</f>
        <v>0</v>
      </c>
      <c r="V319" s="137">
        <f t="shared" si="3171"/>
        <v>0</v>
      </c>
      <c r="W319" s="137">
        <f>IF(V319=0,0,COUNTIF($V$7:V319,"*"))</f>
        <v>0</v>
      </c>
      <c r="X319" s="137">
        <f>IF(V319=0,0,COUNTIF($V$7:V319,V319))</f>
        <v>0</v>
      </c>
      <c r="Y319" s="218">
        <f t="shared" ref="Y319" si="3572">IF(OR(E319="",J319=""),0,J319&amp;E319)</f>
        <v>0</v>
      </c>
      <c r="Z319" s="218">
        <f>IF(Y319=0,0,COUNTIF($Y$7:Y319,Y319))</f>
        <v>0</v>
      </c>
      <c r="AA319" s="218" t="b">
        <f t="shared" ref="AA319" si="3573">IF(COUNTIF(J319:J322,"十種競技")&gt;0,TRUE,FALSE)</f>
        <v>0</v>
      </c>
      <c r="AB319" s="218">
        <f>IF(E319="",0,IF(AA319,COUNTIF($AA$7:AA319,TRUE),0))</f>
        <v>0</v>
      </c>
      <c r="AC319" s="218">
        <f>IFERROR(VLOOKUP("十種競技",J319:L322,3,0),0)</f>
        <v>0</v>
      </c>
      <c r="AD319" s="218">
        <f>IFERROR(VLOOKUP(J319,競技会設定!$P$2:$S$22,2,0),0)</f>
        <v>0</v>
      </c>
      <c r="AE319" s="218">
        <f t="shared" ref="AE319" si="3574">IF(E319="",0,IF(AD319=0,0,IF(AD319&lt;3,E319&amp;$AE$6,0)))</f>
        <v>0</v>
      </c>
      <c r="AF319" s="218">
        <f>IF(AE319=0,0,E319&amp;COUNTIF($AE$7:AE319,AE319))</f>
        <v>0</v>
      </c>
      <c r="AG319" s="218">
        <f t="shared" ref="AG319" si="3575">IF(E319="",0,IF(AD319=0,0,IF(AD319&gt;=3,E319&amp;$AG$6,0)))</f>
        <v>0</v>
      </c>
      <c r="AH319" s="218">
        <f>IF(AG319=0,0,E319&amp;COUNTIF($AG$7:AG319,AG319))</f>
        <v>0</v>
      </c>
      <c r="AI319" s="218">
        <f t="shared" ref="AI319" si="3576">IF(COUNTIF(Y319,"*十種*")&gt;0,0,IF($AD319=AI$6,$E319,0))</f>
        <v>0</v>
      </c>
      <c r="AJ319" s="218" t="b">
        <f>IF(AI319=0,FALSE,IF(COUNTIF(AI$7:AI319,AI319)&gt;1,TRUE,FALSE))</f>
        <v>0</v>
      </c>
      <c r="AK319" s="218">
        <f t="shared" ref="AK319" si="3577">IF($AD319=AK$6,$E319,0)</f>
        <v>0</v>
      </c>
      <c r="AL319" s="218" t="b">
        <f>IF(AK319=0,FALSE,IF(COUNTIF(AK$7:AK319,AK319)&gt;1,TRUE,FALSE))</f>
        <v>0</v>
      </c>
      <c r="AM319" s="218">
        <f t="shared" ref="AM319" si="3578">IF($AD319=AM$6,$E319,0)</f>
        <v>0</v>
      </c>
      <c r="AN319" s="218" t="b">
        <f>IF(AM319=0,FALSE,IF(COUNTIF(AM$7:AM319,AM319)&gt;1,TRUE,FALSE))</f>
        <v>0</v>
      </c>
      <c r="AO319" s="218">
        <f t="shared" ref="AO319" si="3579">IF($AD319=AO$6,$E319,0)</f>
        <v>0</v>
      </c>
      <c r="AP319" s="218" t="b">
        <f>IF(AO319=0,FALSE,IF(COUNTIF(AO$7:AO319,AO319)&gt;1,TRUE,FALSE))</f>
        <v>0</v>
      </c>
      <c r="AQ319" s="218">
        <f t="shared" ref="AQ319" si="3580">IF(COUNTIF(Y319,"*十種競技*")&gt;0,E319,0)</f>
        <v>0</v>
      </c>
      <c r="AR319" s="218" t="b">
        <f>IF(AQ319=0,FALSE,IF(OR(COUNTIF($AI$7:$AI$406,AQ319)+COUNTIF($AQ319:$AQ$406,AQ319)&gt;1,COUNTIF($AK$7:$AK$406,AQ319)+COUNTIF($AQ$7:$AQ$406,AQ319)&gt;1),TRUE,FALSE))</f>
        <v>0</v>
      </c>
      <c r="AS319" s="218" t="b">
        <f t="shared" ref="AS319" si="3581">IF(AND(C319="",E319&lt;&gt;"",F319&lt;&gt;"",E321&lt;&gt;"",G319&lt;&gt;"",G320&lt;&gt;"",G321&lt;&gt;""),TRUE,FALSE)</f>
        <v>0</v>
      </c>
      <c r="AT319" s="218" t="b">
        <f t="shared" si="2960"/>
        <v>0</v>
      </c>
      <c r="AU319" s="274" t="b">
        <f t="shared" ref="AU319" si="3582">IFERROR(IF(D319&amp;E319&amp;F319&amp;E321&amp;G319&amp;G320&amp;G321&amp;J319&amp;J320&amp;J321&amp;J322&amp;L319&amp;L320&amp;L321&amp;L322&amp;M319&amp;M320&amp;M321&amp;M322&amp;N319&amp;N320&amp;N321&amp;N322&amp;O319&amp;O320&amp;O321&amp;O322&amp;P319&amp;P320&amp;P321&amp;P322&amp;Q319&amp;R319="",FALSE,TRUE),FALSE)</f>
        <v>0</v>
      </c>
      <c r="AV319" s="218" t="b">
        <f t="shared" ref="AV319" si="3583">IF(AS319,FALSE,IF(C319="",AU319,FALSE))</f>
        <v>0</v>
      </c>
      <c r="AW319" s="218" t="b">
        <f>IF(C319="",FALSE,IF(C319&gt;2000,TRUE,FALSE))</f>
        <v>0</v>
      </c>
      <c r="AX319" s="274" t="b">
        <f>IF(H319=0,FALSE,IF(EXACT(基本情報!$E$5,H319)=TRUE,FALSE,TRUE))</f>
        <v>0</v>
      </c>
      <c r="AY319" s="218" t="b">
        <f>IF(C319="",FALSE,IF(ISNA(E319)=TRUE,TRUE,FALSE))</f>
        <v>0</v>
      </c>
      <c r="AZ319" s="274" t="b">
        <f>IFERROR(IF(E319="",FALSE,IF(COUNTIF($E$7:E319,E319)&gt;1,TRUE,FALSE)),FALSE)</f>
        <v>0</v>
      </c>
      <c r="BA319" s="218" t="b">
        <f t="shared" ref="BA319" si="3584">IF(OR(J319&amp;J320&amp;J321&amp;J322&amp;Q319&amp;R319="",AT319,AT320,AT321,AT322),AU319,FALSE)</f>
        <v>0</v>
      </c>
      <c r="BB319" s="218" t="b">
        <f>IF(U319&gt;1,TRUE,FALSE)</f>
        <v>0</v>
      </c>
      <c r="BC319" s="218" t="b">
        <f>IF(X319&gt;1,TRUE,FALSE)</f>
        <v>0</v>
      </c>
      <c r="BD319" s="218" t="b">
        <f t="shared" si="2947"/>
        <v>0</v>
      </c>
      <c r="BF319" s="231" t="b">
        <f t="shared" ref="BF319" si="3585">IF(J319="",FALSE,IF(OR(AND(AU319,L319=""),AND(AU319,L319="",OR(M319&lt;&gt;"",N319&lt;&gt;"",O319&lt;&gt;"",P319&lt;&gt;""))),TRUE,FALSE))</f>
        <v>0</v>
      </c>
      <c r="BG319" s="218" t="b">
        <f t="shared" si="2949"/>
        <v>0</v>
      </c>
      <c r="BH319" s="218" t="b">
        <f t="shared" si="2962"/>
        <v>0</v>
      </c>
      <c r="BI319" s="231" t="b">
        <f t="shared" ref="BI319" si="3586">IF(J319="",FALSE,IF(L319=0,FALSE,IF(AND(AU319,NOT(BF319),OR(M319="",N319="",O319="")),TRUE,FALSE)))</f>
        <v>0</v>
      </c>
      <c r="BJ319" s="240" t="b">
        <f t="shared" si="2964"/>
        <v>0</v>
      </c>
      <c r="BK319" s="231" t="b">
        <f>IF(NOT(BJ319),FALSE,IF(AND(競技会設定!$C$5&lt;=BJ319,BJ319&lt;=競技会設定!$C$6),FALSE,TRUE))</f>
        <v>0</v>
      </c>
      <c r="BL319" s="218" t="b">
        <f>IF(J319="",FALSE,IF(L319=0,FALSE,IF(AND(AU319,NOT(BF319),NOT(BI319),P319=""),TRUE,FALSE)))</f>
        <v>0</v>
      </c>
      <c r="BO319" s="274">
        <f t="shared" ref="BO319" si="3587">IF(AND(AU319,SUM(COUNTIF(AV319:BC319,TRUE),COUNTIF(BF319:BL322,TRUE),COUNTIF(BD319:BD322,TRUE))=0,NOT($BE$7)),1,0)</f>
        <v>0</v>
      </c>
    </row>
    <row r="320" spans="1:67" ht="17.399999999999999" customHeight="1">
      <c r="A320" s="418"/>
      <c r="B320" s="402"/>
      <c r="C320" s="404"/>
      <c r="D320" s="221"/>
      <c r="E320" s="397"/>
      <c r="F320" s="397"/>
      <c r="G320" s="221" t="str">
        <f>IF(C319="","",(VLOOKUP(D319,男子登録!$A$2:$N$2001,13,0)))</f>
        <v/>
      </c>
      <c r="H320" s="221"/>
      <c r="I320" s="221" t="s">
        <v>4020</v>
      </c>
      <c r="J320" s="149"/>
      <c r="K320" s="221" t="s">
        <v>4023</v>
      </c>
      <c r="L320" s="149"/>
      <c r="M320" s="255"/>
      <c r="N320" s="256"/>
      <c r="O320" s="257"/>
      <c r="P320" s="149"/>
      <c r="Q320" s="399"/>
      <c r="R320" s="392"/>
      <c r="S320" s="136"/>
      <c r="T320" s="137"/>
      <c r="U320" s="137"/>
      <c r="V320" s="137"/>
      <c r="W320" s="137"/>
      <c r="X320" s="137"/>
      <c r="Y320" s="218">
        <f t="shared" ref="Y320" si="3588">IF(OR(E319="",J320=""),0,J320&amp;E319)</f>
        <v>0</v>
      </c>
      <c r="Z320" s="218">
        <f>IF(Y320=0,0,COUNTIF($Y$7:Y320,Y320))</f>
        <v>0</v>
      </c>
      <c r="AD320" s="218">
        <f>IFERROR(VLOOKUP(J320,競技会設定!$P$2:$S$22,2,0),0)</f>
        <v>0</v>
      </c>
      <c r="AE320" s="218">
        <f t="shared" ref="AE320" si="3589">IF(E319="",0,IF(AD320=0,0,IF(AD320&lt;3,E319&amp;$AE$6,0)))</f>
        <v>0</v>
      </c>
      <c r="AF320" s="218">
        <f>IF(AE320=0,0,E319&amp;COUNTIF($AE$7:AE320,AE320))</f>
        <v>0</v>
      </c>
      <c r="AG320" s="218">
        <f t="shared" ref="AG320" si="3590">IF(E319="",0,IF(AD320=0,0,IF(AD320&gt;=3,E319&amp;$AG$6,0)))</f>
        <v>0</v>
      </c>
      <c r="AH320" s="218">
        <f>IF(AG320=0,0,E319&amp;COUNTIF($AG$7:AG320,AG320))</f>
        <v>0</v>
      </c>
      <c r="AI320" s="218">
        <f t="shared" ref="AI320" si="3591">IF(COUNTIF(Y320,"*十種*")&gt;0,0,IF($AD320=AI$6,$E319,0))</f>
        <v>0</v>
      </c>
      <c r="AJ320" s="218" t="b">
        <f>IF(AI320=0,FALSE,IF(COUNTIF(AI$7:AI320,AI320)&gt;1,TRUE,FALSE))</f>
        <v>0</v>
      </c>
      <c r="AK320" s="218">
        <f t="shared" ref="AK320" si="3592">IF($AD320=AK$6,$E319,0)</f>
        <v>0</v>
      </c>
      <c r="AL320" s="218" t="b">
        <f>IF(AK320=0,FALSE,IF(COUNTIF(AK$7:AK320,AK320)&gt;1,TRUE,FALSE))</f>
        <v>0</v>
      </c>
      <c r="AM320" s="218">
        <f t="shared" ref="AM320" si="3593">IF($AD320=AM$6,$E319,0)</f>
        <v>0</v>
      </c>
      <c r="AN320" s="218" t="b">
        <f>IF(AM320=0,FALSE,IF(COUNTIF(AM$7:AM320,AM320)&gt;1,TRUE,FALSE))</f>
        <v>0</v>
      </c>
      <c r="AO320" s="218">
        <f t="shared" ref="AO320" si="3594">IF($AD320=AO$6,$E319,0)</f>
        <v>0</v>
      </c>
      <c r="AP320" s="218" t="b">
        <f>IF(AO320=0,FALSE,IF(COUNTIF(AO$7:AO320,AO320)&gt;1,TRUE,FALSE))</f>
        <v>0</v>
      </c>
      <c r="AQ320" s="218">
        <f t="shared" ref="AQ320" si="3595">IF(COUNTIF(Y320,"*十種競技*")&gt;0,E319,0)</f>
        <v>0</v>
      </c>
      <c r="AR320" s="218" t="b">
        <f>IF(AQ320=0,FALSE,IF(OR(COUNTIF($AI$7:$AI$406,AQ320)+COUNTIF($AQ320:$AQ$406,AQ320)&gt;1,COUNTIF($AK$7:$AK$406,AQ320)+COUNTIF($AQ$7:$AQ$406,AQ320)&gt;1),TRUE,FALSE))</f>
        <v>0</v>
      </c>
      <c r="AT320" s="218" t="b">
        <f t="shared" si="2960"/>
        <v>0</v>
      </c>
      <c r="AU320" s="274"/>
      <c r="AX320" s="274"/>
      <c r="BD320" s="218" t="b">
        <f t="shared" si="2947"/>
        <v>0</v>
      </c>
      <c r="BF320" s="231" t="b">
        <f t="shared" ref="BF320" si="3596">IF(J320="",FALSE,IF(OR(AND(AU319,L320=""),AND(AU319,L320="",OR(M320&lt;&gt;"",N320&lt;&gt;"",O320&lt;&gt;"",P320&lt;&gt;""))),TRUE,FALSE))</f>
        <v>0</v>
      </c>
      <c r="BG320" s="218" t="b">
        <f t="shared" si="2949"/>
        <v>0</v>
      </c>
      <c r="BH320" s="218" t="b">
        <f t="shared" si="2962"/>
        <v>0</v>
      </c>
      <c r="BI320" s="231" t="b">
        <f t="shared" ref="BI320" si="3597">IF(J320="",FALSE,IF(L320=0,FALSE,IF(AND(AU319,NOT(BF320),OR(M320="",N320="",O320="")),TRUE,FALSE)))</f>
        <v>0</v>
      </c>
      <c r="BJ320" s="240" t="b">
        <f t="shared" si="2964"/>
        <v>0</v>
      </c>
      <c r="BK320" s="231" t="b">
        <f>IF(NOT(BJ320),FALSE,IF(AND(競技会設定!$C$5&lt;=BJ320,BJ320&lt;=競技会設定!$C$6),FALSE,TRUE))</f>
        <v>0</v>
      </c>
      <c r="BL320" s="218" t="b">
        <f>IF(J320="",FALSE,IF(L320=0,FALSE,IF(AND(AU319,NOT(BF320),NOT(BI320),P320=""),TRUE,FALSE)))</f>
        <v>0</v>
      </c>
      <c r="BO320" s="274"/>
    </row>
    <row r="321" spans="1:67" ht="17.399999999999999" customHeight="1">
      <c r="A321" s="418"/>
      <c r="B321" s="402"/>
      <c r="C321" s="404"/>
      <c r="D321" s="221"/>
      <c r="E321" s="394" t="str">
        <f>IF(C319="","",VLOOKUP(D319,男子登録!$A$2:$O$2001,14,0)&amp;" ("&amp;VLOOKUP(D319,男子登録!$A$2:$O$2001,15,0)&amp;")")</f>
        <v/>
      </c>
      <c r="F321" s="394"/>
      <c r="G321" s="222" t="str">
        <f>IF(C319="","",(VLOOKUP(D319,男子登録!$A$2:$N$2001,9,0)))</f>
        <v/>
      </c>
      <c r="H321" s="222"/>
      <c r="I321" s="222" t="s">
        <v>4021</v>
      </c>
      <c r="J321" s="150"/>
      <c r="K321" s="222" t="s">
        <v>6760</v>
      </c>
      <c r="L321" s="150"/>
      <c r="M321" s="255"/>
      <c r="N321" s="256"/>
      <c r="O321" s="257"/>
      <c r="P321" s="149"/>
      <c r="Q321" s="399"/>
      <c r="R321" s="392"/>
      <c r="S321" s="136"/>
      <c r="T321" s="137"/>
      <c r="U321" s="137"/>
      <c r="V321" s="137"/>
      <c r="W321" s="137"/>
      <c r="X321" s="137"/>
      <c r="Y321" s="218">
        <f t="shared" ref="Y321" si="3598">IF(OR(E319="",J321=""),0,J321&amp;E319)</f>
        <v>0</v>
      </c>
      <c r="Z321" s="218">
        <f>IF(Y321=0,0,COUNTIF($Y$7:Y321,Y321))</f>
        <v>0</v>
      </c>
      <c r="AD321" s="218">
        <f>IFERROR(VLOOKUP(J321,競技会設定!$P$2:$S$22,2,0),0)</f>
        <v>0</v>
      </c>
      <c r="AE321" s="218">
        <f t="shared" ref="AE321" si="3599">IF(E319="",0,IF(AD321=0,0,IF(AD321&lt;3,E319&amp;$AE$6,0)))</f>
        <v>0</v>
      </c>
      <c r="AF321" s="218">
        <f>IF(AE321=0,0,E319&amp;COUNTIF($AE$7:AE321,AE321))</f>
        <v>0</v>
      </c>
      <c r="AG321" s="218">
        <f t="shared" ref="AG321" si="3600">IF(E319="",0,IF(AD321=0,0,IF(AD321&gt;=3,E319&amp;$AG$6,0)))</f>
        <v>0</v>
      </c>
      <c r="AH321" s="218">
        <f>IF(AG321=0,0,E319&amp;COUNTIF($AG$7:AG321,AG321))</f>
        <v>0</v>
      </c>
      <c r="AI321" s="218">
        <f t="shared" ref="AI321" si="3601">IF(COUNTIF(Y321,"*十種*")&gt;0,0,IF($AD321=AI$6,$E319,0))</f>
        <v>0</v>
      </c>
      <c r="AJ321" s="218" t="b">
        <f>IF(AI321=0,FALSE,IF(COUNTIF(AI$7:AI321,AI321)&gt;1,TRUE,FALSE))</f>
        <v>0</v>
      </c>
      <c r="AK321" s="218">
        <f t="shared" ref="AK321" si="3602">IF($AD321=AK$6,$E319,0)</f>
        <v>0</v>
      </c>
      <c r="AL321" s="218" t="b">
        <f>IF(AK321=0,FALSE,IF(COUNTIF(AK$7:AK321,AK321)&gt;1,TRUE,FALSE))</f>
        <v>0</v>
      </c>
      <c r="AM321" s="218">
        <f t="shared" ref="AM321" si="3603">IF($AD321=AM$6,$E319,0)</f>
        <v>0</v>
      </c>
      <c r="AN321" s="218" t="b">
        <f>IF(AM321=0,FALSE,IF(COUNTIF(AM$7:AM321,AM321)&gt;1,TRUE,FALSE))</f>
        <v>0</v>
      </c>
      <c r="AO321" s="218">
        <f t="shared" ref="AO321" si="3604">IF($AD321=AO$6,$E319,0)</f>
        <v>0</v>
      </c>
      <c r="AP321" s="218" t="b">
        <f>IF(AO321=0,FALSE,IF(COUNTIF(AO$7:AO321,AO321)&gt;1,TRUE,FALSE))</f>
        <v>0</v>
      </c>
      <c r="AQ321" s="218">
        <f t="shared" ref="AQ321" si="3605">IF(COUNTIF(Y321,"*十種競技*")&gt;0,E319,0)</f>
        <v>0</v>
      </c>
      <c r="AR321" s="218" t="b">
        <f>IF(AQ321=0,FALSE,IF(OR(COUNTIF($AI$7:$AI$406,AQ321)+COUNTIF($AQ321:$AQ$406,AQ321)&gt;1,COUNTIF($AK$7:$AK$406,AQ321)+COUNTIF($AQ$7:$AQ$406,AQ321)&gt;1),TRUE,FALSE))</f>
        <v>0</v>
      </c>
      <c r="AT321" s="218" t="b">
        <f t="shared" si="2960"/>
        <v>0</v>
      </c>
      <c r="AU321" s="274"/>
      <c r="AX321" s="274"/>
      <c r="BD321" s="218" t="b">
        <f t="shared" si="2947"/>
        <v>0</v>
      </c>
      <c r="BF321" s="231" t="b">
        <f t="shared" ref="BF321" si="3606">IF(J321="",FALSE,IF(OR(AND(AU319,L321=""),AND(AU319,L321="",OR(M321&lt;&gt;"",N321&lt;&gt;"",O321&lt;&gt;"",P321&lt;&gt;""))),TRUE,FALSE))</f>
        <v>0</v>
      </c>
      <c r="BG321" s="218" t="b">
        <f t="shared" si="2949"/>
        <v>0</v>
      </c>
      <c r="BH321" s="218" t="b">
        <f t="shared" si="2962"/>
        <v>0</v>
      </c>
      <c r="BI321" s="231" t="b">
        <f t="shared" ref="BI321" si="3607">IF(J321="",FALSE,IF(L321=0,FALSE,IF(AND(AU319,NOT(BF321),OR(M321="",N321="",O321="")),TRUE,FALSE)))</f>
        <v>0</v>
      </c>
      <c r="BJ321" s="240" t="b">
        <f t="shared" si="2964"/>
        <v>0</v>
      </c>
      <c r="BK321" s="231" t="b">
        <f>IF(NOT(BJ321),FALSE,IF(AND(競技会設定!$C$5&lt;=BJ321,BJ321&lt;=競技会設定!$C$6),FALSE,TRUE))</f>
        <v>0</v>
      </c>
      <c r="BL321" s="218" t="b">
        <f>IF(J321="",FALSE,IF(L321=0,FALSE,IF(AND(AU319,NOT(BF321),NOT(BI321),P321=""),TRUE,FALSE)))</f>
        <v>0</v>
      </c>
      <c r="BO321" s="274"/>
    </row>
    <row r="322" spans="1:67" ht="18" customHeight="1" thickBot="1">
      <c r="A322" s="419"/>
      <c r="B322" s="395" t="s">
        <v>6764</v>
      </c>
      <c r="C322" s="395"/>
      <c r="D322" s="221"/>
      <c r="E322" s="372"/>
      <c r="F322" s="372"/>
      <c r="G322" s="372"/>
      <c r="H322" s="214"/>
      <c r="I322" s="214" t="s">
        <v>6759</v>
      </c>
      <c r="J322" s="219"/>
      <c r="K322" s="214" t="s">
        <v>6761</v>
      </c>
      <c r="L322" s="219"/>
      <c r="M322" s="258"/>
      <c r="N322" s="259"/>
      <c r="O322" s="260"/>
      <c r="P322" s="219"/>
      <c r="Q322" s="400"/>
      <c r="R322" s="393"/>
      <c r="S322" s="136"/>
      <c r="T322" s="137"/>
      <c r="U322" s="137"/>
      <c r="V322" s="137"/>
      <c r="W322" s="137"/>
      <c r="X322" s="137"/>
      <c r="Y322" s="218">
        <f t="shared" ref="Y322" si="3608">IF(OR(E319="",J322=""),0,J322&amp;E319)</f>
        <v>0</v>
      </c>
      <c r="Z322" s="218">
        <f>IF(Y322=0,0,COUNTIF($Y$7:Y322,Y322))</f>
        <v>0</v>
      </c>
      <c r="AD322" s="218">
        <f>IFERROR(VLOOKUP(J322,競技会設定!$P$2:$S$22,2,0),0)</f>
        <v>0</v>
      </c>
      <c r="AE322" s="218">
        <f t="shared" ref="AE322" si="3609">IF(E319="",0,IF(AD322=0,0,IF(AD322&lt;3,E319&amp;$AE$6,0)))</f>
        <v>0</v>
      </c>
      <c r="AF322" s="218">
        <f>IF(AE322=0,0,E319&amp;COUNTIF($AE$7:AE322,AE322))</f>
        <v>0</v>
      </c>
      <c r="AG322" s="218">
        <f t="shared" ref="AG322" si="3610">IF(E319="",0,IF(AD322=0,0,IF(AD322&gt;=3,E319&amp;$AG$6,0)))</f>
        <v>0</v>
      </c>
      <c r="AH322" s="218">
        <f>IF(AG322=0,0,E319&amp;COUNTIF($AG$7:AG322,AG322))</f>
        <v>0</v>
      </c>
      <c r="AI322" s="218">
        <f t="shared" ref="AI322" si="3611">IF(COUNTIF(Y322,"*十種*")&gt;0,0,IF($AD322=AI$6,$E319,0))</f>
        <v>0</v>
      </c>
      <c r="AJ322" s="218" t="b">
        <f>IF(AI322=0,FALSE,IF(COUNTIF(AI$7:AI322,AI322)&gt;1,TRUE,FALSE))</f>
        <v>0</v>
      </c>
      <c r="AK322" s="218">
        <f t="shared" ref="AK322" si="3612">IF($AD322=AK$6,$E319,0)</f>
        <v>0</v>
      </c>
      <c r="AL322" s="218" t="b">
        <f>IF(AK322=0,FALSE,IF(COUNTIF(AK$7:AK322,AK322)&gt;1,TRUE,FALSE))</f>
        <v>0</v>
      </c>
      <c r="AM322" s="218">
        <f t="shared" ref="AM322" si="3613">IF($AD322=AM$6,$E319,0)</f>
        <v>0</v>
      </c>
      <c r="AN322" s="218" t="b">
        <f>IF(AM322=0,FALSE,IF(COUNTIF(AM$7:AM322,AM322)&gt;1,TRUE,FALSE))</f>
        <v>0</v>
      </c>
      <c r="AO322" s="218">
        <f t="shared" ref="AO322" si="3614">IF($AD322=AO$6,$E319,0)</f>
        <v>0</v>
      </c>
      <c r="AP322" s="218" t="b">
        <f>IF(AO322=0,FALSE,IF(COUNTIF(AO$7:AO322,AO322)&gt;1,TRUE,FALSE))</f>
        <v>0</v>
      </c>
      <c r="AQ322" s="218">
        <f t="shared" ref="AQ322" si="3615">IF(COUNTIF(Y322,"*十種競技*")&gt;0,E319,0)</f>
        <v>0</v>
      </c>
      <c r="AR322" s="218" t="b">
        <f>IF(AQ322=0,FALSE,IF(OR(COUNTIF($AI$7:$AI$406,AQ322)+COUNTIF($AQ322:$AQ$406,AQ322)&gt;1,COUNTIF($AK$7:$AK$406,AQ322)+COUNTIF($AQ$7:$AQ$406,AQ322)&gt;1),TRUE,FALSE))</f>
        <v>0</v>
      </c>
      <c r="AT322" s="218" t="b">
        <f t="shared" si="2960"/>
        <v>0</v>
      </c>
      <c r="AU322" s="274"/>
      <c r="AX322" s="274"/>
      <c r="BD322" s="218" t="b">
        <f t="shared" si="2947"/>
        <v>0</v>
      </c>
      <c r="BF322" s="231" t="b">
        <f t="shared" ref="BF322" si="3616">IF(J322="",FALSE,IF(OR(AND(AU319,L322=""),AND(AU319,L322="",OR(M322&lt;&gt;"",N322&lt;&gt;"",O322&lt;&gt;"",P322&lt;&gt;""))),TRUE,FALSE))</f>
        <v>0</v>
      </c>
      <c r="BG322" s="218" t="b">
        <f t="shared" si="2949"/>
        <v>0</v>
      </c>
      <c r="BH322" s="218" t="b">
        <f t="shared" si="2962"/>
        <v>0</v>
      </c>
      <c r="BI322" s="231" t="b">
        <f t="shared" ref="BI322" si="3617">IF(J322="",FALSE,IF(L322=0,FALSE,IF(AND(AU319,NOT(BF322),OR(M322="",N322="",O322="")),TRUE,FALSE)))</f>
        <v>0</v>
      </c>
      <c r="BJ322" s="240" t="b">
        <f t="shared" si="2964"/>
        <v>0</v>
      </c>
      <c r="BK322" s="231" t="b">
        <f>IF(NOT(BJ322),FALSE,IF(AND(競技会設定!$C$5&lt;=BJ322,BJ322&lt;=競技会設定!$C$6),FALSE,TRUE))</f>
        <v>0</v>
      </c>
      <c r="BL322" s="218" t="b">
        <f>IF(J322="",FALSE,IF(L322=0,FALSE,IF(AND(AU319,NOT(BF322),NOT(BI322),P322=""),TRUE,FALSE)))</f>
        <v>0</v>
      </c>
      <c r="BO322" s="274"/>
    </row>
    <row r="323" spans="1:67" ht="18" customHeight="1" thickTop="1">
      <c r="A323" s="420">
        <v>80</v>
      </c>
      <c r="B323" s="373" t="s">
        <v>4018</v>
      </c>
      <c r="C323" s="375"/>
      <c r="D323" s="138" t="str">
        <f t="shared" ref="D323" si="3618">IF(C323="","",501&amp;TEXT(C323,"000000"))</f>
        <v/>
      </c>
      <c r="E323" s="377" t="str">
        <f>IF(D323="","",(VLOOKUP(D323,男子登録!$A$2:$N$2001,3,0)))</f>
        <v/>
      </c>
      <c r="F323" s="377" t="str">
        <f>IF(D323="","",(VLOOKUP(D323,男子登録!$A$2:$N$2001,4,0)))</f>
        <v/>
      </c>
      <c r="G323" s="138" t="str">
        <f>IF(C323="","",(VLOOKUP(D323,男子登録!$A$2:$N$2001,8,0)))</f>
        <v/>
      </c>
      <c r="H323" s="138">
        <f>IFERROR(VLOOKUP(D323,男子登録!$A$2:$N$2001,11,0),基本情報!$E$5)</f>
        <v>0</v>
      </c>
      <c r="I323" s="138" t="s">
        <v>4019</v>
      </c>
      <c r="J323" s="151"/>
      <c r="K323" s="138" t="s">
        <v>4022</v>
      </c>
      <c r="L323" s="151"/>
      <c r="M323" s="261"/>
      <c r="N323" s="262"/>
      <c r="O323" s="263"/>
      <c r="P323" s="151"/>
      <c r="Q323" s="381"/>
      <c r="R323" s="384"/>
      <c r="S323" s="136">
        <f t="shared" ref="S323" si="3619">IF(OR(E323="",Q323=""),0,E323)</f>
        <v>0</v>
      </c>
      <c r="T323" s="137">
        <f>IF(S323=0,0,COUNTIF($S$7:S323,"*"))</f>
        <v>0</v>
      </c>
      <c r="U323" s="137">
        <f>IF(S323=0,0,COUNTIF($S$7:S323,S323))</f>
        <v>0</v>
      </c>
      <c r="V323" s="137">
        <f t="shared" si="3171"/>
        <v>0</v>
      </c>
      <c r="W323" s="137">
        <f>IF(V323=0,0,COUNTIF($V$7:V323,"*"))</f>
        <v>0</v>
      </c>
      <c r="X323" s="137">
        <f>IF(V323=0,0,COUNTIF($V$7:V323,V323))</f>
        <v>0</v>
      </c>
      <c r="Y323" s="218">
        <f t="shared" ref="Y323" si="3620">IF(OR(E323="",J323=""),0,J323&amp;E323)</f>
        <v>0</v>
      </c>
      <c r="Z323" s="218">
        <f>IF(Y323=0,0,COUNTIF($Y$7:Y323,Y323))</f>
        <v>0</v>
      </c>
      <c r="AA323" s="218" t="b">
        <f t="shared" ref="AA323" si="3621">IF(COUNTIF(J323:J326,"十種競技")&gt;0,TRUE,FALSE)</f>
        <v>0</v>
      </c>
      <c r="AB323" s="218">
        <f>IF(E323="",0,IF(AA323,COUNTIF($AA$7:AA323,TRUE),0))</f>
        <v>0</v>
      </c>
      <c r="AC323" s="218">
        <f>IFERROR(VLOOKUP("十種競技",J323:L326,3,0),0)</f>
        <v>0</v>
      </c>
      <c r="AD323" s="218">
        <f>IFERROR(VLOOKUP(J323,競技会設定!$P$2:$S$22,2,0),0)</f>
        <v>0</v>
      </c>
      <c r="AE323" s="218">
        <f t="shared" ref="AE323" si="3622">IF(E323="",0,IF(AD323=0,0,IF(AD323&lt;3,E323&amp;$AE$6,0)))</f>
        <v>0</v>
      </c>
      <c r="AF323" s="218">
        <f>IF(AE323=0,0,E323&amp;COUNTIF($AE$7:AE323,AE323))</f>
        <v>0</v>
      </c>
      <c r="AG323" s="218">
        <f t="shared" ref="AG323" si="3623">IF(E323="",0,IF(AD323=0,0,IF(AD323&gt;=3,E323&amp;$AG$6,0)))</f>
        <v>0</v>
      </c>
      <c r="AH323" s="218">
        <f>IF(AG323=0,0,E323&amp;COUNTIF($AG$7:AG323,AG323))</f>
        <v>0</v>
      </c>
      <c r="AI323" s="218">
        <f t="shared" ref="AI323:AI371" si="3624">IF(COUNTIF(Y323,"*十種*")&gt;0,0,IF($AD323=AI$6,$E323,0))</f>
        <v>0</v>
      </c>
      <c r="AJ323" s="218" t="b">
        <f>IF(AI323=0,FALSE,IF(COUNTIF(AI$7:AI323,AI323)&gt;1,TRUE,FALSE))</f>
        <v>0</v>
      </c>
      <c r="AK323" s="218">
        <f t="shared" ref="AK323" si="3625">IF($AD323=AK$6,$E323,0)</f>
        <v>0</v>
      </c>
      <c r="AL323" s="218" t="b">
        <f>IF(AK323=0,FALSE,IF(COUNTIF(AK$7:AK323,AK323)&gt;1,TRUE,FALSE))</f>
        <v>0</v>
      </c>
      <c r="AM323" s="218">
        <f t="shared" ref="AM323" si="3626">IF($AD323=AM$6,$E323,0)</f>
        <v>0</v>
      </c>
      <c r="AN323" s="218" t="b">
        <f>IF(AM323=0,FALSE,IF(COUNTIF(AM$7:AM323,AM323)&gt;1,TRUE,FALSE))</f>
        <v>0</v>
      </c>
      <c r="AO323" s="218">
        <f t="shared" ref="AO323" si="3627">IF($AD323=AO$6,$E323,0)</f>
        <v>0</v>
      </c>
      <c r="AP323" s="218" t="b">
        <f>IF(AO323=0,FALSE,IF(COUNTIF(AO$7:AO323,AO323)&gt;1,TRUE,FALSE))</f>
        <v>0</v>
      </c>
      <c r="AQ323" s="218">
        <f t="shared" ref="AQ323" si="3628">IF(COUNTIF(Y323,"*十種競技*")&gt;0,E323,0)</f>
        <v>0</v>
      </c>
      <c r="AR323" s="218" t="b">
        <f>IF(AQ323=0,FALSE,IF(OR(COUNTIF($AI$7:$AI$406,AQ323)+COUNTIF($AQ323:$AQ$406,AQ323)&gt;1,COUNTIF($AK$7:$AK$406,AQ323)+COUNTIF($AQ$7:$AQ$406,AQ323)&gt;1),TRUE,FALSE))</f>
        <v>0</v>
      </c>
      <c r="AS323" s="218" t="b">
        <f t="shared" ref="AS323" si="3629">IF(AND(C323="",E323&lt;&gt;"",F323&lt;&gt;"",E325&lt;&gt;"",G323&lt;&gt;"",G324&lt;&gt;"",G325&lt;&gt;""),TRUE,FALSE)</f>
        <v>0</v>
      </c>
      <c r="AT323" s="218" t="b">
        <f t="shared" si="2960"/>
        <v>0</v>
      </c>
      <c r="AU323" s="274" t="b">
        <f t="shared" ref="AU323" si="3630">IFERROR(IF(D323&amp;E323&amp;F323&amp;E325&amp;G323&amp;G324&amp;G325&amp;J323&amp;J324&amp;J325&amp;J326&amp;L323&amp;L324&amp;L325&amp;L326&amp;M323&amp;M324&amp;M325&amp;M326&amp;N323&amp;N324&amp;N325&amp;N326&amp;O323&amp;O324&amp;O325&amp;O326&amp;P323&amp;P324&amp;P325&amp;P326&amp;Q323&amp;R323="",FALSE,TRUE),FALSE)</f>
        <v>0</v>
      </c>
      <c r="AV323" s="218" t="b">
        <f t="shared" ref="AV323" si="3631">IF(AS323,FALSE,IF(C323="",AU323,FALSE))</f>
        <v>0</v>
      </c>
      <c r="AW323" s="218" t="b">
        <f>IF(C323="",FALSE,IF(C323&gt;2000,TRUE,FALSE))</f>
        <v>0</v>
      </c>
      <c r="AX323" s="274" t="b">
        <f>IF(H323=0,FALSE,IF(EXACT(基本情報!$E$5,H323)=TRUE,FALSE,TRUE))</f>
        <v>0</v>
      </c>
      <c r="AY323" s="218" t="b">
        <f>IF(C323="",FALSE,IF(ISNA(E323)=TRUE,TRUE,FALSE))</f>
        <v>0</v>
      </c>
      <c r="AZ323" s="274" t="b">
        <f>IFERROR(IF(E323="",FALSE,IF(COUNTIF($E$7:E323,E323)&gt;1,TRUE,FALSE)),FALSE)</f>
        <v>0</v>
      </c>
      <c r="BA323" s="218" t="b">
        <f t="shared" ref="BA323" si="3632">IF(OR(J323&amp;J324&amp;J325&amp;J326&amp;Q323&amp;R323="",AT323,AT324,AT325,AT326),AU323,FALSE)</f>
        <v>0</v>
      </c>
      <c r="BB323" s="218" t="b">
        <f>IF(U323&gt;1,TRUE,FALSE)</f>
        <v>0</v>
      </c>
      <c r="BC323" s="218" t="b">
        <f>IF(X323&gt;1,TRUE,FALSE)</f>
        <v>0</v>
      </c>
      <c r="BD323" s="218" t="b">
        <f t="shared" si="2947"/>
        <v>0</v>
      </c>
      <c r="BF323" s="231" t="b">
        <f t="shared" ref="BF323" si="3633">IF(J323="",FALSE,IF(OR(AND(AU323,L323=""),AND(AU323,L323="",OR(M323&lt;&gt;"",N323&lt;&gt;"",O323&lt;&gt;"",P323&lt;&gt;""))),TRUE,FALSE))</f>
        <v>0</v>
      </c>
      <c r="BG323" s="218" t="b">
        <f t="shared" si="2949"/>
        <v>0</v>
      </c>
      <c r="BH323" s="218" t="b">
        <f t="shared" si="2962"/>
        <v>0</v>
      </c>
      <c r="BI323" s="231" t="b">
        <f t="shared" ref="BI323" si="3634">IF(J323="",FALSE,IF(L323=0,FALSE,IF(AND(AU323,NOT(BF323),OR(M323="",N323="",O323="")),TRUE,FALSE)))</f>
        <v>0</v>
      </c>
      <c r="BJ323" s="240" t="b">
        <f t="shared" si="2964"/>
        <v>0</v>
      </c>
      <c r="BK323" s="231" t="b">
        <f>IF(NOT(BJ323),FALSE,IF(AND(競技会設定!$C$5&lt;=BJ323,BJ323&lt;=競技会設定!$C$6),FALSE,TRUE))</f>
        <v>0</v>
      </c>
      <c r="BL323" s="218" t="b">
        <f>IF(J323="",FALSE,IF(L323=0,FALSE,IF(AND(AU323,NOT(BF323),NOT(BI323),P323=""),TRUE,FALSE)))</f>
        <v>0</v>
      </c>
      <c r="BO323" s="274">
        <f t="shared" ref="BO323" si="3635">IF(AND(AU323,SUM(COUNTIF(AV323:BC323,TRUE),COUNTIF(BF323:BL326,TRUE),COUNTIF(BD323:BD326,TRUE))=0,NOT($BE$7)),1,0)</f>
        <v>0</v>
      </c>
    </row>
    <row r="324" spans="1:67" ht="17.399999999999999" customHeight="1">
      <c r="A324" s="421"/>
      <c r="B324" s="374"/>
      <c r="C324" s="376"/>
      <c r="D324" s="139"/>
      <c r="E324" s="378"/>
      <c r="F324" s="378"/>
      <c r="G324" s="139" t="str">
        <f>IF(C323="","",(VLOOKUP(D323,男子登録!$A$2:$N$2001,13,0)))</f>
        <v/>
      </c>
      <c r="H324" s="139"/>
      <c r="I324" s="139" t="s">
        <v>4020</v>
      </c>
      <c r="J324" s="152"/>
      <c r="K324" s="139" t="s">
        <v>4023</v>
      </c>
      <c r="L324" s="152"/>
      <c r="M324" s="264"/>
      <c r="N324" s="265"/>
      <c r="O324" s="266"/>
      <c r="P324" s="152"/>
      <c r="Q324" s="382"/>
      <c r="R324" s="385"/>
      <c r="S324" s="136"/>
      <c r="T324" s="137"/>
      <c r="U324" s="137"/>
      <c r="V324" s="137"/>
      <c r="W324" s="137"/>
      <c r="X324" s="137"/>
      <c r="Y324" s="218">
        <f t="shared" ref="Y324" si="3636">IF(OR(E323="",J324=""),0,J324&amp;E323)</f>
        <v>0</v>
      </c>
      <c r="Z324" s="218">
        <f>IF(Y324=0,0,COUNTIF($Y$7:Y324,Y324))</f>
        <v>0</v>
      </c>
      <c r="AD324" s="218">
        <f>IFERROR(VLOOKUP(J324,競技会設定!$P$2:$S$22,2,0),0)</f>
        <v>0</v>
      </c>
      <c r="AE324" s="218">
        <f t="shared" ref="AE324" si="3637">IF(E323="",0,IF(AD324=0,0,IF(AD324&lt;3,E323&amp;$AE$6,0)))</f>
        <v>0</v>
      </c>
      <c r="AF324" s="218">
        <f>IF(AE324=0,0,E323&amp;COUNTIF($AE$7:AE324,AE324))</f>
        <v>0</v>
      </c>
      <c r="AG324" s="218">
        <f t="shared" ref="AG324" si="3638">IF(E323="",0,IF(AD324=0,0,IF(AD324&gt;=3,E323&amp;$AG$6,0)))</f>
        <v>0</v>
      </c>
      <c r="AH324" s="218">
        <f>IF(AG324=0,0,E323&amp;COUNTIF($AG$7:AG324,AG324))</f>
        <v>0</v>
      </c>
      <c r="AI324" s="218">
        <f t="shared" ref="AI324:AI372" si="3639">IF(COUNTIF(Y324,"*十種*")&gt;0,0,IF($AD324=AI$6,$E323,0))</f>
        <v>0</v>
      </c>
      <c r="AJ324" s="218" t="b">
        <f>IF(AI324=0,FALSE,IF(COUNTIF(AI$7:AI324,AI324)&gt;1,TRUE,FALSE))</f>
        <v>0</v>
      </c>
      <c r="AK324" s="218">
        <f t="shared" ref="AK324" si="3640">IF($AD324=AK$6,$E323,0)</f>
        <v>0</v>
      </c>
      <c r="AL324" s="218" t="b">
        <f>IF(AK324=0,FALSE,IF(COUNTIF(AK$7:AK324,AK324)&gt;1,TRUE,FALSE))</f>
        <v>0</v>
      </c>
      <c r="AM324" s="218">
        <f t="shared" ref="AM324" si="3641">IF($AD324=AM$6,$E323,0)</f>
        <v>0</v>
      </c>
      <c r="AN324" s="218" t="b">
        <f>IF(AM324=0,FALSE,IF(COUNTIF(AM$7:AM324,AM324)&gt;1,TRUE,FALSE))</f>
        <v>0</v>
      </c>
      <c r="AO324" s="218">
        <f t="shared" ref="AO324" si="3642">IF($AD324=AO$6,$E323,0)</f>
        <v>0</v>
      </c>
      <c r="AP324" s="218" t="b">
        <f>IF(AO324=0,FALSE,IF(COUNTIF(AO$7:AO324,AO324)&gt;1,TRUE,FALSE))</f>
        <v>0</v>
      </c>
      <c r="AQ324" s="218">
        <f t="shared" ref="AQ324" si="3643">IF(COUNTIF(Y324,"*十種競技*")&gt;0,E323,0)</f>
        <v>0</v>
      </c>
      <c r="AR324" s="218" t="b">
        <f>IF(AQ324=0,FALSE,IF(OR(COUNTIF($AI$7:$AI$406,AQ324)+COUNTIF($AQ324:$AQ$406,AQ324)&gt;1,COUNTIF($AK$7:$AK$406,AQ324)+COUNTIF($AQ$7:$AQ$406,AQ324)&gt;1),TRUE,FALSE))</f>
        <v>0</v>
      </c>
      <c r="AT324" s="218" t="b">
        <f t="shared" si="2960"/>
        <v>0</v>
      </c>
      <c r="AU324" s="274"/>
      <c r="AX324" s="274"/>
      <c r="BD324" s="218" t="b">
        <f t="shared" si="2947"/>
        <v>0</v>
      </c>
      <c r="BF324" s="231" t="b">
        <f t="shared" ref="BF324" si="3644">IF(J324="",FALSE,IF(OR(AND(AU323,L324=""),AND(AU323,L324="",OR(M324&lt;&gt;"",N324&lt;&gt;"",O324&lt;&gt;"",P324&lt;&gt;""))),TRUE,FALSE))</f>
        <v>0</v>
      </c>
      <c r="BG324" s="218" t="b">
        <f t="shared" si="2949"/>
        <v>0</v>
      </c>
      <c r="BH324" s="218" t="b">
        <f t="shared" si="2962"/>
        <v>0</v>
      </c>
      <c r="BI324" s="231" t="b">
        <f t="shared" ref="BI324" si="3645">IF(J324="",FALSE,IF(L324=0,FALSE,IF(AND(AU323,NOT(BF324),OR(M324="",N324="",O324="")),TRUE,FALSE)))</f>
        <v>0</v>
      </c>
      <c r="BJ324" s="240" t="b">
        <f t="shared" si="2964"/>
        <v>0</v>
      </c>
      <c r="BK324" s="231" t="b">
        <f>IF(NOT(BJ324),FALSE,IF(AND(競技会設定!$C$5&lt;=BJ324,BJ324&lt;=競技会設定!$C$6),FALSE,TRUE))</f>
        <v>0</v>
      </c>
      <c r="BL324" s="218" t="b">
        <f>IF(J324="",FALSE,IF(L324=0,FALSE,IF(AND(AU323,NOT(BF324),NOT(BI324),P324=""),TRUE,FALSE)))</f>
        <v>0</v>
      </c>
      <c r="BO324" s="274"/>
    </row>
    <row r="325" spans="1:67" ht="17.399999999999999" customHeight="1">
      <c r="A325" s="421"/>
      <c r="B325" s="374"/>
      <c r="C325" s="376"/>
      <c r="D325" s="140"/>
      <c r="E325" s="379" t="str">
        <f>IF(C323="","",VLOOKUP(D323,男子登録!$A$2:$O$2001,14,0)&amp;" ("&amp;VLOOKUP(D323,男子登録!$A$2:$O$2001,15,0)&amp;")")</f>
        <v/>
      </c>
      <c r="F325" s="380"/>
      <c r="G325" s="140" t="str">
        <f>IF(C323="","",(VLOOKUP(D323,男子登録!$A$2:$N$2001,9,0)))</f>
        <v/>
      </c>
      <c r="H325" s="140"/>
      <c r="I325" s="140" t="s">
        <v>4021</v>
      </c>
      <c r="J325" s="153"/>
      <c r="K325" s="140" t="s">
        <v>6760</v>
      </c>
      <c r="L325" s="153"/>
      <c r="M325" s="264"/>
      <c r="N325" s="265"/>
      <c r="O325" s="266"/>
      <c r="P325" s="152"/>
      <c r="Q325" s="382"/>
      <c r="R325" s="385"/>
      <c r="S325" s="136"/>
      <c r="T325" s="137"/>
      <c r="U325" s="137"/>
      <c r="V325" s="137"/>
      <c r="W325" s="137"/>
      <c r="X325" s="137"/>
      <c r="Y325" s="218">
        <f t="shared" ref="Y325" si="3646">IF(OR(E323="",J325=""),0,J325&amp;E323)</f>
        <v>0</v>
      </c>
      <c r="Z325" s="218">
        <f>IF(Y325=0,0,COUNTIF($Y$7:Y325,Y325))</f>
        <v>0</v>
      </c>
      <c r="AD325" s="218">
        <f>IFERROR(VLOOKUP(J325,競技会設定!$P$2:$S$22,2,0),0)</f>
        <v>0</v>
      </c>
      <c r="AE325" s="218">
        <f t="shared" ref="AE325" si="3647">IF(E323="",0,IF(AD325=0,0,IF(AD325&lt;3,E323&amp;$AE$6,0)))</f>
        <v>0</v>
      </c>
      <c r="AF325" s="218">
        <f>IF(AE325=0,0,E323&amp;COUNTIF($AE$7:AE325,AE325))</f>
        <v>0</v>
      </c>
      <c r="AG325" s="218">
        <f t="shared" ref="AG325" si="3648">IF(E323="",0,IF(AD325=0,0,IF(AD325&gt;=3,E323&amp;$AG$6,0)))</f>
        <v>0</v>
      </c>
      <c r="AH325" s="218">
        <f>IF(AG325=0,0,E323&amp;COUNTIF($AG$7:AG325,AG325))</f>
        <v>0</v>
      </c>
      <c r="AI325" s="218">
        <f t="shared" ref="AI325:AI373" si="3649">IF(COUNTIF(Y325,"*十種*")&gt;0,0,IF($AD325=AI$6,$E323,0))</f>
        <v>0</v>
      </c>
      <c r="AJ325" s="218" t="b">
        <f>IF(AI325=0,FALSE,IF(COUNTIF(AI$7:AI325,AI325)&gt;1,TRUE,FALSE))</f>
        <v>0</v>
      </c>
      <c r="AK325" s="218">
        <f t="shared" ref="AK325" si="3650">IF($AD325=AK$6,$E323,0)</f>
        <v>0</v>
      </c>
      <c r="AL325" s="218" t="b">
        <f>IF(AK325=0,FALSE,IF(COUNTIF(AK$7:AK325,AK325)&gt;1,TRUE,FALSE))</f>
        <v>0</v>
      </c>
      <c r="AM325" s="218">
        <f t="shared" ref="AM325" si="3651">IF($AD325=AM$6,$E323,0)</f>
        <v>0</v>
      </c>
      <c r="AN325" s="218" t="b">
        <f>IF(AM325=0,FALSE,IF(COUNTIF(AM$7:AM325,AM325)&gt;1,TRUE,FALSE))</f>
        <v>0</v>
      </c>
      <c r="AO325" s="218">
        <f t="shared" ref="AO325" si="3652">IF($AD325=AO$6,$E323,0)</f>
        <v>0</v>
      </c>
      <c r="AP325" s="218" t="b">
        <f>IF(AO325=0,FALSE,IF(COUNTIF(AO$7:AO325,AO325)&gt;1,TRUE,FALSE))</f>
        <v>0</v>
      </c>
      <c r="AQ325" s="218">
        <f t="shared" ref="AQ325" si="3653">IF(COUNTIF(Y325,"*十種競技*")&gt;0,E323,0)</f>
        <v>0</v>
      </c>
      <c r="AR325" s="218" t="b">
        <f>IF(AQ325=0,FALSE,IF(OR(COUNTIF($AI$7:$AI$406,AQ325)+COUNTIF($AQ325:$AQ$406,AQ325)&gt;1,COUNTIF($AK$7:$AK$406,AQ325)+COUNTIF($AQ$7:$AQ$406,AQ325)&gt;1),TRUE,FALSE))</f>
        <v>0</v>
      </c>
      <c r="AT325" s="218" t="b">
        <f t="shared" si="2960"/>
        <v>0</v>
      </c>
      <c r="AU325" s="274"/>
      <c r="AX325" s="274"/>
      <c r="BD325" s="218" t="b">
        <f t="shared" si="2947"/>
        <v>0</v>
      </c>
      <c r="BF325" s="231" t="b">
        <f t="shared" ref="BF325" si="3654">IF(J325="",FALSE,IF(OR(AND(AU323,L325=""),AND(AU323,L325="",OR(M325&lt;&gt;"",N325&lt;&gt;"",O325&lt;&gt;"",P325&lt;&gt;""))),TRUE,FALSE))</f>
        <v>0</v>
      </c>
      <c r="BG325" s="218" t="b">
        <f t="shared" si="2949"/>
        <v>0</v>
      </c>
      <c r="BH325" s="218" t="b">
        <f t="shared" si="2962"/>
        <v>0</v>
      </c>
      <c r="BI325" s="231" t="b">
        <f t="shared" ref="BI325" si="3655">IF(J325="",FALSE,IF(L325=0,FALSE,IF(AND(AU323,NOT(BF325),OR(M325="",N325="",O325="")),TRUE,FALSE)))</f>
        <v>0</v>
      </c>
      <c r="BJ325" s="240" t="b">
        <f t="shared" si="2964"/>
        <v>0</v>
      </c>
      <c r="BK325" s="231" t="b">
        <f>IF(NOT(BJ325),FALSE,IF(AND(競技会設定!$C$5&lt;=BJ325,BJ325&lt;=競技会設定!$C$6),FALSE,TRUE))</f>
        <v>0</v>
      </c>
      <c r="BL325" s="218" t="b">
        <f>IF(J325="",FALSE,IF(L325=0,FALSE,IF(AND(AU323,NOT(BF325),NOT(BI325),P325=""),TRUE,FALSE)))</f>
        <v>0</v>
      </c>
      <c r="BO325" s="274"/>
    </row>
    <row r="326" spans="1:67" ht="18" customHeight="1" thickBot="1">
      <c r="A326" s="422"/>
      <c r="B326" s="387" t="s">
        <v>6764</v>
      </c>
      <c r="C326" s="387"/>
      <c r="D326" s="213"/>
      <c r="E326" s="388"/>
      <c r="F326" s="389"/>
      <c r="G326" s="390"/>
      <c r="H326" s="141"/>
      <c r="I326" s="213" t="s">
        <v>6759</v>
      </c>
      <c r="J326" s="154"/>
      <c r="K326" s="213" t="s">
        <v>6761</v>
      </c>
      <c r="L326" s="154"/>
      <c r="M326" s="267"/>
      <c r="N326" s="268"/>
      <c r="O326" s="269"/>
      <c r="P326" s="154"/>
      <c r="Q326" s="383"/>
      <c r="R326" s="386"/>
      <c r="S326" s="136"/>
      <c r="T326" s="137"/>
      <c r="U326" s="137"/>
      <c r="V326" s="137"/>
      <c r="W326" s="137"/>
      <c r="X326" s="137"/>
      <c r="Y326" s="218">
        <f t="shared" ref="Y326" si="3656">IF(OR(E323="",J326=""),0,J326&amp;E323)</f>
        <v>0</v>
      </c>
      <c r="Z326" s="218">
        <f>IF(Y326=0,0,COUNTIF($Y$7:Y326,Y326))</f>
        <v>0</v>
      </c>
      <c r="AD326" s="218">
        <f>IFERROR(VLOOKUP(J326,競技会設定!$P$2:$S$22,2,0),0)</f>
        <v>0</v>
      </c>
      <c r="AE326" s="218">
        <f t="shared" ref="AE326" si="3657">IF(E323="",0,IF(AD326=0,0,IF(AD326&lt;3,E323&amp;$AE$6,0)))</f>
        <v>0</v>
      </c>
      <c r="AF326" s="218">
        <f>IF(AE326=0,0,E323&amp;COUNTIF($AE$7:AE326,AE326))</f>
        <v>0</v>
      </c>
      <c r="AG326" s="218">
        <f t="shared" ref="AG326" si="3658">IF(E323="",0,IF(AD326=0,0,IF(AD326&gt;=3,E323&amp;$AG$6,0)))</f>
        <v>0</v>
      </c>
      <c r="AH326" s="218">
        <f>IF(AG326=0,0,E323&amp;COUNTIF($AG$7:AG326,AG326))</f>
        <v>0</v>
      </c>
      <c r="AI326" s="218">
        <f t="shared" ref="AI326:AI374" si="3659">IF(COUNTIF(Y326,"*十種*")&gt;0,0,IF($AD326=AI$6,$E323,0))</f>
        <v>0</v>
      </c>
      <c r="AJ326" s="218" t="b">
        <f>IF(AI326=0,FALSE,IF(COUNTIF(AI$7:AI326,AI326)&gt;1,TRUE,FALSE))</f>
        <v>0</v>
      </c>
      <c r="AK326" s="218">
        <f t="shared" ref="AK326" si="3660">IF($AD326=AK$6,$E323,0)</f>
        <v>0</v>
      </c>
      <c r="AL326" s="218" t="b">
        <f>IF(AK326=0,FALSE,IF(COUNTIF(AK$7:AK326,AK326)&gt;1,TRUE,FALSE))</f>
        <v>0</v>
      </c>
      <c r="AM326" s="218">
        <f t="shared" ref="AM326" si="3661">IF($AD326=AM$6,$E323,0)</f>
        <v>0</v>
      </c>
      <c r="AN326" s="218" t="b">
        <f>IF(AM326=0,FALSE,IF(COUNTIF(AM$7:AM326,AM326)&gt;1,TRUE,FALSE))</f>
        <v>0</v>
      </c>
      <c r="AO326" s="218">
        <f t="shared" ref="AO326" si="3662">IF($AD326=AO$6,$E323,0)</f>
        <v>0</v>
      </c>
      <c r="AP326" s="218" t="b">
        <f>IF(AO326=0,FALSE,IF(COUNTIF(AO$7:AO326,AO326)&gt;1,TRUE,FALSE))</f>
        <v>0</v>
      </c>
      <c r="AQ326" s="218">
        <f t="shared" ref="AQ326" si="3663">IF(COUNTIF(Y326,"*十種競技*")&gt;0,E323,0)</f>
        <v>0</v>
      </c>
      <c r="AR326" s="218" t="b">
        <f>IF(AQ326=0,FALSE,IF(OR(COUNTIF($AI$7:$AI$406,AQ326)+COUNTIF($AQ326:$AQ$406,AQ326)&gt;1,COUNTIF($AK$7:$AK$406,AQ326)+COUNTIF($AQ$7:$AQ$406,AQ326)&gt;1),TRUE,FALSE))</f>
        <v>0</v>
      </c>
      <c r="AT326" s="218" t="b">
        <f t="shared" si="2960"/>
        <v>0</v>
      </c>
      <c r="AU326" s="274"/>
      <c r="AX326" s="274"/>
      <c r="BD326" s="218" t="b">
        <f t="shared" si="2947"/>
        <v>0</v>
      </c>
      <c r="BF326" s="231" t="b">
        <f t="shared" ref="BF326" si="3664">IF(J326="",FALSE,IF(OR(AND(AU323,L326=""),AND(AU323,L326="",OR(M326&lt;&gt;"",N326&lt;&gt;"",O326&lt;&gt;"",P326&lt;&gt;""))),TRUE,FALSE))</f>
        <v>0</v>
      </c>
      <c r="BG326" s="218" t="b">
        <f t="shared" si="2949"/>
        <v>0</v>
      </c>
      <c r="BH326" s="218" t="b">
        <f t="shared" si="2962"/>
        <v>0</v>
      </c>
      <c r="BI326" s="231" t="b">
        <f t="shared" ref="BI326" si="3665">IF(J326="",FALSE,IF(L326=0,FALSE,IF(AND(AU323,NOT(BF326),OR(M326="",N326="",O326="")),TRUE,FALSE)))</f>
        <v>0</v>
      </c>
      <c r="BJ326" s="240" t="b">
        <f t="shared" si="2964"/>
        <v>0</v>
      </c>
      <c r="BK326" s="231" t="b">
        <f>IF(NOT(BJ326),FALSE,IF(AND(競技会設定!$C$5&lt;=BJ326,BJ326&lt;=競技会設定!$C$6),FALSE,TRUE))</f>
        <v>0</v>
      </c>
      <c r="BL326" s="218" t="b">
        <f>IF(J326="",FALSE,IF(L326=0,FALSE,IF(AND(AU323,NOT(BF326),NOT(BI326),P326=""),TRUE,FALSE)))</f>
        <v>0</v>
      </c>
      <c r="BO326" s="274"/>
    </row>
    <row r="327" spans="1:67" ht="18" customHeight="1" thickTop="1">
      <c r="A327" s="417">
        <v>81</v>
      </c>
      <c r="B327" s="401" t="s">
        <v>4018</v>
      </c>
      <c r="C327" s="403"/>
      <c r="D327" s="220" t="str">
        <f t="shared" ref="D327" si="3666">IF(C327="","",501&amp;TEXT(C327,"000000"))</f>
        <v/>
      </c>
      <c r="E327" s="396" t="str">
        <f>IF(D327="","",(VLOOKUP(D327,男子登録!$A$2:$N$2001,3,0)))</f>
        <v/>
      </c>
      <c r="F327" s="396" t="str">
        <f>IF(D327="","",(VLOOKUP(D327,男子登録!$A$2:$N$2001,4,0)))</f>
        <v/>
      </c>
      <c r="G327" s="220" t="str">
        <f>IF(C327="","",(VLOOKUP(D327,男子登録!$A$2:$N$2001,8,0)))</f>
        <v/>
      </c>
      <c r="H327" s="220">
        <f>IFERROR(VLOOKUP(D327,男子登録!$A$2:$N$2001,11,0),基本情報!$E$5)</f>
        <v>0</v>
      </c>
      <c r="I327" s="220" t="s">
        <v>4019</v>
      </c>
      <c r="J327" s="148"/>
      <c r="K327" s="220" t="s">
        <v>4022</v>
      </c>
      <c r="L327" s="148"/>
      <c r="M327" s="252"/>
      <c r="N327" s="253"/>
      <c r="O327" s="254"/>
      <c r="P327" s="148"/>
      <c r="Q327" s="398"/>
      <c r="R327" s="391"/>
      <c r="S327" s="136">
        <f t="shared" ref="S327" si="3667">IF(OR(E327="",Q327=""),0,E327)</f>
        <v>0</v>
      </c>
      <c r="T327" s="137">
        <f>IF(S327=0,0,COUNTIF($S$7:S327,"*"))</f>
        <v>0</v>
      </c>
      <c r="U327" s="137">
        <f>IF(S327=0,0,COUNTIF($S$7:S327,S327))</f>
        <v>0</v>
      </c>
      <c r="V327" s="137">
        <f t="shared" si="3171"/>
        <v>0</v>
      </c>
      <c r="W327" s="137">
        <f>IF(V327=0,0,COUNTIF($V$7:V327,"*"))</f>
        <v>0</v>
      </c>
      <c r="X327" s="137">
        <f>IF(V327=0,0,COUNTIF($V$7:V327,V327))</f>
        <v>0</v>
      </c>
      <c r="Y327" s="218">
        <f t="shared" ref="Y327" si="3668">IF(OR(E327="",J327=""),0,J327&amp;E327)</f>
        <v>0</v>
      </c>
      <c r="Z327" s="218">
        <f>IF(Y327=0,0,COUNTIF($Y$7:Y327,Y327))</f>
        <v>0</v>
      </c>
      <c r="AA327" s="218" t="b">
        <f t="shared" ref="AA327" si="3669">IF(COUNTIF(J327:J330,"十種競技")&gt;0,TRUE,FALSE)</f>
        <v>0</v>
      </c>
      <c r="AB327" s="218">
        <f>IF(E327="",0,IF(AA327,COUNTIF($AA$7:AA327,TRUE),0))</f>
        <v>0</v>
      </c>
      <c r="AC327" s="218">
        <f>IFERROR(VLOOKUP("十種競技",J327:L330,3,0),0)</f>
        <v>0</v>
      </c>
      <c r="AD327" s="218">
        <f>IFERROR(VLOOKUP(J327,競技会設定!$P$2:$S$22,2,0),0)</f>
        <v>0</v>
      </c>
      <c r="AE327" s="218">
        <f t="shared" ref="AE327" si="3670">IF(E327="",0,IF(AD327=0,0,IF(AD327&lt;3,E327&amp;$AE$6,0)))</f>
        <v>0</v>
      </c>
      <c r="AF327" s="218">
        <f>IF(AE327=0,0,E327&amp;COUNTIF($AE$7:AE327,AE327))</f>
        <v>0</v>
      </c>
      <c r="AG327" s="218">
        <f t="shared" ref="AG327" si="3671">IF(E327="",0,IF(AD327=0,0,IF(AD327&gt;=3,E327&amp;$AG$6,0)))</f>
        <v>0</v>
      </c>
      <c r="AH327" s="218">
        <f>IF(AG327=0,0,E327&amp;COUNTIF($AG$7:AG327,AG327))</f>
        <v>0</v>
      </c>
      <c r="AI327" s="218">
        <f t="shared" ref="AI327:AI375" si="3672">IF(COUNTIF(Y327,"*十種*")&gt;0,0,IF($AD327=AI$6,$E327,0))</f>
        <v>0</v>
      </c>
      <c r="AJ327" s="218" t="b">
        <f>IF(AI327=0,FALSE,IF(COUNTIF(AI$7:AI327,AI327)&gt;1,TRUE,FALSE))</f>
        <v>0</v>
      </c>
      <c r="AK327" s="218">
        <f t="shared" ref="AK327" si="3673">IF($AD327=AK$6,$E327,0)</f>
        <v>0</v>
      </c>
      <c r="AL327" s="218" t="b">
        <f>IF(AK327=0,FALSE,IF(COUNTIF(AK$7:AK327,AK327)&gt;1,TRUE,FALSE))</f>
        <v>0</v>
      </c>
      <c r="AM327" s="218">
        <f t="shared" ref="AM327" si="3674">IF($AD327=AM$6,$E327,0)</f>
        <v>0</v>
      </c>
      <c r="AN327" s="218" t="b">
        <f>IF(AM327=0,FALSE,IF(COUNTIF(AM$7:AM327,AM327)&gt;1,TRUE,FALSE))</f>
        <v>0</v>
      </c>
      <c r="AO327" s="218">
        <f t="shared" ref="AO327" si="3675">IF($AD327=AO$6,$E327,0)</f>
        <v>0</v>
      </c>
      <c r="AP327" s="218" t="b">
        <f>IF(AO327=0,FALSE,IF(COUNTIF(AO$7:AO327,AO327)&gt;1,TRUE,FALSE))</f>
        <v>0</v>
      </c>
      <c r="AQ327" s="218">
        <f t="shared" ref="AQ327" si="3676">IF(COUNTIF(Y327,"*十種競技*")&gt;0,E327,0)</f>
        <v>0</v>
      </c>
      <c r="AR327" s="218" t="b">
        <f>IF(AQ327=0,FALSE,IF(OR(COUNTIF($AI$7:$AI$406,AQ327)+COUNTIF($AQ327:$AQ$406,AQ327)&gt;1,COUNTIF($AK$7:$AK$406,AQ327)+COUNTIF($AQ$7:$AQ$406,AQ327)&gt;1),TRUE,FALSE))</f>
        <v>0</v>
      </c>
      <c r="AS327" s="218" t="b">
        <f t="shared" ref="AS327" si="3677">IF(AND(C327="",E327&lt;&gt;"",F327&lt;&gt;"",E329&lt;&gt;"",G327&lt;&gt;"",G328&lt;&gt;"",G329&lt;&gt;""),TRUE,FALSE)</f>
        <v>0</v>
      </c>
      <c r="AT327" s="218" t="b">
        <f t="shared" si="2960"/>
        <v>0</v>
      </c>
      <c r="AU327" s="274" t="b">
        <f t="shared" ref="AU327" si="3678">IFERROR(IF(D327&amp;E327&amp;F327&amp;E329&amp;G327&amp;G328&amp;G329&amp;J327&amp;J328&amp;J329&amp;J330&amp;L327&amp;L328&amp;L329&amp;L330&amp;M327&amp;M328&amp;M329&amp;M330&amp;N327&amp;N328&amp;N329&amp;N330&amp;O327&amp;O328&amp;O329&amp;O330&amp;P327&amp;P328&amp;P329&amp;P330&amp;Q327&amp;R327="",FALSE,TRUE),FALSE)</f>
        <v>0</v>
      </c>
      <c r="AV327" s="218" t="b">
        <f t="shared" ref="AV327" si="3679">IF(AS327,FALSE,IF(C327="",AU327,FALSE))</f>
        <v>0</v>
      </c>
      <c r="AW327" s="218" t="b">
        <f>IF(C327="",FALSE,IF(C327&gt;2000,TRUE,FALSE))</f>
        <v>0</v>
      </c>
      <c r="AX327" s="274" t="b">
        <f>IF(H327=0,FALSE,IF(EXACT(基本情報!$E$5,H327)=TRUE,FALSE,TRUE))</f>
        <v>0</v>
      </c>
      <c r="AY327" s="218" t="b">
        <f>IF(C327="",FALSE,IF(ISNA(E327)=TRUE,TRUE,FALSE))</f>
        <v>0</v>
      </c>
      <c r="AZ327" s="274" t="b">
        <f>IFERROR(IF(E327="",FALSE,IF(COUNTIF($E$7:E327,E327)&gt;1,TRUE,FALSE)),FALSE)</f>
        <v>0</v>
      </c>
      <c r="BA327" s="218" t="b">
        <f t="shared" ref="BA327" si="3680">IF(OR(J327&amp;J328&amp;J329&amp;J330&amp;Q327&amp;R327="",AT327,AT328,AT329,AT330),AU327,FALSE)</f>
        <v>0</v>
      </c>
      <c r="BB327" s="218" t="b">
        <f>IF(U327&gt;1,TRUE,FALSE)</f>
        <v>0</v>
      </c>
      <c r="BC327" s="218" t="b">
        <f>IF(X327&gt;1,TRUE,FALSE)</f>
        <v>0</v>
      </c>
      <c r="BD327" s="218" t="b">
        <f t="shared" ref="BD327:BD390" si="3681">IF(Z327&gt;1,TRUE,FALSE)</f>
        <v>0</v>
      </c>
      <c r="BF327" s="231" t="b">
        <f t="shared" ref="BF327" si="3682">IF(J327="",FALSE,IF(OR(AND(AU327,L327=""),AND(AU327,L327="",OR(M327&lt;&gt;"",N327&lt;&gt;"",O327&lt;&gt;"",P327&lt;&gt;""))),TRUE,FALSE))</f>
        <v>0</v>
      </c>
      <c r="BG327" s="218" t="b">
        <f t="shared" ref="BG327:BG390" si="3683">IF(J327="",FALSE,IF(ISNUMBER(L327)&lt;&gt;TRUE,TRUE,IFERROR(IF(MOD(L327,1)=0,FALSE,TRUE),FALSE)))</f>
        <v>0</v>
      </c>
      <c r="BH327" s="218" t="b">
        <f t="shared" si="2962"/>
        <v>0</v>
      </c>
      <c r="BI327" s="231" t="b">
        <f t="shared" ref="BI327" si="3684">IF(J327="",FALSE,IF(L327=0,FALSE,IF(AND(AU327,NOT(BF327),OR(M327="",N327="",O327="")),TRUE,FALSE)))</f>
        <v>0</v>
      </c>
      <c r="BJ327" s="240" t="b">
        <f t="shared" si="2964"/>
        <v>0</v>
      </c>
      <c r="BK327" s="231" t="b">
        <f>IF(NOT(BJ327),FALSE,IF(AND(競技会設定!$C$5&lt;=BJ327,BJ327&lt;=競技会設定!$C$6),FALSE,TRUE))</f>
        <v>0</v>
      </c>
      <c r="BL327" s="218" t="b">
        <f>IF(J327="",FALSE,IF(L327=0,FALSE,IF(AND(AU327,NOT(BF327),NOT(BI327),P327=""),TRUE,FALSE)))</f>
        <v>0</v>
      </c>
      <c r="BO327" s="274">
        <f t="shared" ref="BO327" si="3685">IF(AND(AU327,SUM(COUNTIF(AV327:BC327,TRUE),COUNTIF(BF327:BL330,TRUE),COUNTIF(BD327:BD330,TRUE))=0,NOT($BE$7)),1,0)</f>
        <v>0</v>
      </c>
    </row>
    <row r="328" spans="1:67" ht="17.399999999999999" customHeight="1">
      <c r="A328" s="418"/>
      <c r="B328" s="402"/>
      <c r="C328" s="404"/>
      <c r="D328" s="221"/>
      <c r="E328" s="397"/>
      <c r="F328" s="397"/>
      <c r="G328" s="221" t="str">
        <f>IF(C327="","",(VLOOKUP(D327,男子登録!$A$2:$N$2001,13,0)))</f>
        <v/>
      </c>
      <c r="H328" s="221"/>
      <c r="I328" s="221" t="s">
        <v>4020</v>
      </c>
      <c r="J328" s="149"/>
      <c r="K328" s="221" t="s">
        <v>4023</v>
      </c>
      <c r="L328" s="149"/>
      <c r="M328" s="255"/>
      <c r="N328" s="256"/>
      <c r="O328" s="257"/>
      <c r="P328" s="149"/>
      <c r="Q328" s="399"/>
      <c r="R328" s="392"/>
      <c r="S328" s="136"/>
      <c r="T328" s="137"/>
      <c r="U328" s="137"/>
      <c r="V328" s="137"/>
      <c r="W328" s="137"/>
      <c r="X328" s="137"/>
      <c r="Y328" s="218">
        <f t="shared" ref="Y328" si="3686">IF(OR(E327="",J328=""),0,J328&amp;E327)</f>
        <v>0</v>
      </c>
      <c r="Z328" s="218">
        <f>IF(Y328=0,0,COUNTIF($Y$7:Y328,Y328))</f>
        <v>0</v>
      </c>
      <c r="AD328" s="218">
        <f>IFERROR(VLOOKUP(J328,競技会設定!$P$2:$S$22,2,0),0)</f>
        <v>0</v>
      </c>
      <c r="AE328" s="218">
        <f t="shared" ref="AE328" si="3687">IF(E327="",0,IF(AD328=0,0,IF(AD328&lt;3,E327&amp;$AE$6,0)))</f>
        <v>0</v>
      </c>
      <c r="AF328" s="218">
        <f>IF(AE328=0,0,E327&amp;COUNTIF($AE$7:AE328,AE328))</f>
        <v>0</v>
      </c>
      <c r="AG328" s="218">
        <f t="shared" ref="AG328" si="3688">IF(E327="",0,IF(AD328=0,0,IF(AD328&gt;=3,E327&amp;$AG$6,0)))</f>
        <v>0</v>
      </c>
      <c r="AH328" s="218">
        <f>IF(AG328=0,0,E327&amp;COUNTIF($AG$7:AG328,AG328))</f>
        <v>0</v>
      </c>
      <c r="AI328" s="218">
        <f t="shared" ref="AI328:AI376" si="3689">IF(COUNTIF(Y328,"*十種*")&gt;0,0,IF($AD328=AI$6,$E327,0))</f>
        <v>0</v>
      </c>
      <c r="AJ328" s="218" t="b">
        <f>IF(AI328=0,FALSE,IF(COUNTIF(AI$7:AI328,AI328)&gt;1,TRUE,FALSE))</f>
        <v>0</v>
      </c>
      <c r="AK328" s="218">
        <f t="shared" ref="AK328" si="3690">IF($AD328=AK$6,$E327,0)</f>
        <v>0</v>
      </c>
      <c r="AL328" s="218" t="b">
        <f>IF(AK328=0,FALSE,IF(COUNTIF(AK$7:AK328,AK328)&gt;1,TRUE,FALSE))</f>
        <v>0</v>
      </c>
      <c r="AM328" s="218">
        <f t="shared" ref="AM328" si="3691">IF($AD328=AM$6,$E327,0)</f>
        <v>0</v>
      </c>
      <c r="AN328" s="218" t="b">
        <f>IF(AM328=0,FALSE,IF(COUNTIF(AM$7:AM328,AM328)&gt;1,TRUE,FALSE))</f>
        <v>0</v>
      </c>
      <c r="AO328" s="218">
        <f t="shared" ref="AO328" si="3692">IF($AD328=AO$6,$E327,0)</f>
        <v>0</v>
      </c>
      <c r="AP328" s="218" t="b">
        <f>IF(AO328=0,FALSE,IF(COUNTIF(AO$7:AO328,AO328)&gt;1,TRUE,FALSE))</f>
        <v>0</v>
      </c>
      <c r="AQ328" s="218">
        <f t="shared" ref="AQ328" si="3693">IF(COUNTIF(Y328,"*十種競技*")&gt;0,E327,0)</f>
        <v>0</v>
      </c>
      <c r="AR328" s="218" t="b">
        <f>IF(AQ328=0,FALSE,IF(OR(COUNTIF($AI$7:$AI$406,AQ328)+COUNTIF($AQ328:$AQ$406,AQ328)&gt;1,COUNTIF($AK$7:$AK$406,AQ328)+COUNTIF($AQ$7:$AQ$406,AQ328)&gt;1),TRUE,FALSE))</f>
        <v>0</v>
      </c>
      <c r="AT328" s="218" t="b">
        <f t="shared" ref="AT328:AT391" si="3694">IF(AND(J328="",OR(L328&lt;&gt;"",M328&lt;&gt;"",P328&lt;&gt;"")),TRUE,FALSE)</f>
        <v>0</v>
      </c>
      <c r="AU328" s="274"/>
      <c r="AX328" s="274"/>
      <c r="BD328" s="218" t="b">
        <f t="shared" si="3681"/>
        <v>0</v>
      </c>
      <c r="BF328" s="231" t="b">
        <f t="shared" ref="BF328" si="3695">IF(J328="",FALSE,IF(OR(AND(AU327,L328=""),AND(AU327,L328="",OR(M328&lt;&gt;"",N328&lt;&gt;"",O328&lt;&gt;"",P328&lt;&gt;""))),TRUE,FALSE))</f>
        <v>0</v>
      </c>
      <c r="BG328" s="218" t="b">
        <f t="shared" si="3683"/>
        <v>0</v>
      </c>
      <c r="BH328" s="218" t="b">
        <f t="shared" ref="BH328:BH391" si="3696">IF(COUNTIF(J328,"*m*")=0,FALSE,IF(VALUE(RIGHT(INT(L328/100),2))&gt;59,TRUE,IF(VALUE(RIGHT(INT(L328/10000),2))&gt;59,TRUE,FALSE)))</f>
        <v>0</v>
      </c>
      <c r="BI328" s="231" t="b">
        <f t="shared" ref="BI328" si="3697">IF(J328="",FALSE,IF(L328=0,FALSE,IF(AND(AU327,NOT(BF328),OR(M328="",N328="",O328="")),TRUE,FALSE)))</f>
        <v>0</v>
      </c>
      <c r="BJ328" s="240" t="b">
        <f t="shared" ref="BJ328:BJ391" si="3698">IF(OR(M328="",N328="",O328=""),FALSE,DATE(M328,N328,O328))</f>
        <v>0</v>
      </c>
      <c r="BK328" s="231" t="b">
        <f>IF(NOT(BJ328),FALSE,IF(AND(競技会設定!$C$5&lt;=BJ328,BJ328&lt;=競技会設定!$C$6),FALSE,TRUE))</f>
        <v>0</v>
      </c>
      <c r="BL328" s="218" t="b">
        <f>IF(J328="",FALSE,IF(L328=0,FALSE,IF(AND(AU327,NOT(BF328),NOT(BI328),P328=""),TRUE,FALSE)))</f>
        <v>0</v>
      </c>
      <c r="BO328" s="274"/>
    </row>
    <row r="329" spans="1:67" ht="17.399999999999999" customHeight="1">
      <c r="A329" s="418"/>
      <c r="B329" s="402"/>
      <c r="C329" s="404"/>
      <c r="D329" s="221"/>
      <c r="E329" s="394" t="str">
        <f>IF(C327="","",VLOOKUP(D327,男子登録!$A$2:$O$2001,14,0)&amp;" ("&amp;VLOOKUP(D327,男子登録!$A$2:$O$2001,15,0)&amp;")")</f>
        <v/>
      </c>
      <c r="F329" s="394"/>
      <c r="G329" s="222" t="str">
        <f>IF(C327="","",(VLOOKUP(D327,男子登録!$A$2:$N$2001,9,0)))</f>
        <v/>
      </c>
      <c r="H329" s="222"/>
      <c r="I329" s="222" t="s">
        <v>4021</v>
      </c>
      <c r="J329" s="150"/>
      <c r="K329" s="222" t="s">
        <v>6760</v>
      </c>
      <c r="L329" s="150"/>
      <c r="M329" s="255"/>
      <c r="N329" s="256"/>
      <c r="O329" s="257"/>
      <c r="P329" s="149"/>
      <c r="Q329" s="399"/>
      <c r="R329" s="392"/>
      <c r="S329" s="136"/>
      <c r="T329" s="137"/>
      <c r="U329" s="137"/>
      <c r="V329" s="137"/>
      <c r="W329" s="137"/>
      <c r="X329" s="137"/>
      <c r="Y329" s="218">
        <f t="shared" ref="Y329" si="3699">IF(OR(E327="",J329=""),0,J329&amp;E327)</f>
        <v>0</v>
      </c>
      <c r="Z329" s="218">
        <f>IF(Y329=0,0,COUNTIF($Y$7:Y329,Y329))</f>
        <v>0</v>
      </c>
      <c r="AD329" s="218">
        <f>IFERROR(VLOOKUP(J329,競技会設定!$P$2:$S$22,2,0),0)</f>
        <v>0</v>
      </c>
      <c r="AE329" s="218">
        <f t="shared" ref="AE329" si="3700">IF(E327="",0,IF(AD329=0,0,IF(AD329&lt;3,E327&amp;$AE$6,0)))</f>
        <v>0</v>
      </c>
      <c r="AF329" s="218">
        <f>IF(AE329=0,0,E327&amp;COUNTIF($AE$7:AE329,AE329))</f>
        <v>0</v>
      </c>
      <c r="AG329" s="218">
        <f t="shared" ref="AG329" si="3701">IF(E327="",0,IF(AD329=0,0,IF(AD329&gt;=3,E327&amp;$AG$6,0)))</f>
        <v>0</v>
      </c>
      <c r="AH329" s="218">
        <f>IF(AG329=0,0,E327&amp;COUNTIF($AG$7:AG329,AG329))</f>
        <v>0</v>
      </c>
      <c r="AI329" s="218">
        <f t="shared" ref="AI329:AI377" si="3702">IF(COUNTIF(Y329,"*十種*")&gt;0,0,IF($AD329=AI$6,$E327,0))</f>
        <v>0</v>
      </c>
      <c r="AJ329" s="218" t="b">
        <f>IF(AI329=0,FALSE,IF(COUNTIF(AI$7:AI329,AI329)&gt;1,TRUE,FALSE))</f>
        <v>0</v>
      </c>
      <c r="AK329" s="218">
        <f t="shared" ref="AK329" si="3703">IF($AD329=AK$6,$E327,0)</f>
        <v>0</v>
      </c>
      <c r="AL329" s="218" t="b">
        <f>IF(AK329=0,FALSE,IF(COUNTIF(AK$7:AK329,AK329)&gt;1,TRUE,FALSE))</f>
        <v>0</v>
      </c>
      <c r="AM329" s="218">
        <f t="shared" ref="AM329" si="3704">IF($AD329=AM$6,$E327,0)</f>
        <v>0</v>
      </c>
      <c r="AN329" s="218" t="b">
        <f>IF(AM329=0,FALSE,IF(COUNTIF(AM$7:AM329,AM329)&gt;1,TRUE,FALSE))</f>
        <v>0</v>
      </c>
      <c r="AO329" s="218">
        <f t="shared" ref="AO329" si="3705">IF($AD329=AO$6,$E327,0)</f>
        <v>0</v>
      </c>
      <c r="AP329" s="218" t="b">
        <f>IF(AO329=0,FALSE,IF(COUNTIF(AO$7:AO329,AO329)&gt;1,TRUE,FALSE))</f>
        <v>0</v>
      </c>
      <c r="AQ329" s="218">
        <f t="shared" ref="AQ329" si="3706">IF(COUNTIF(Y329,"*十種競技*")&gt;0,E327,0)</f>
        <v>0</v>
      </c>
      <c r="AR329" s="218" t="b">
        <f>IF(AQ329=0,FALSE,IF(OR(COUNTIF($AI$7:$AI$406,AQ329)+COUNTIF($AQ329:$AQ$406,AQ329)&gt;1,COUNTIF($AK$7:$AK$406,AQ329)+COUNTIF($AQ$7:$AQ$406,AQ329)&gt;1),TRUE,FALSE))</f>
        <v>0</v>
      </c>
      <c r="AT329" s="218" t="b">
        <f t="shared" si="3694"/>
        <v>0</v>
      </c>
      <c r="AU329" s="274"/>
      <c r="AX329" s="274"/>
      <c r="BD329" s="218" t="b">
        <f t="shared" si="3681"/>
        <v>0</v>
      </c>
      <c r="BF329" s="231" t="b">
        <f t="shared" ref="BF329" si="3707">IF(J329="",FALSE,IF(OR(AND(AU327,L329=""),AND(AU327,L329="",OR(M329&lt;&gt;"",N329&lt;&gt;"",O329&lt;&gt;"",P329&lt;&gt;""))),TRUE,FALSE))</f>
        <v>0</v>
      </c>
      <c r="BG329" s="218" t="b">
        <f t="shared" si="3683"/>
        <v>0</v>
      </c>
      <c r="BH329" s="218" t="b">
        <f t="shared" si="3696"/>
        <v>0</v>
      </c>
      <c r="BI329" s="231" t="b">
        <f t="shared" ref="BI329" si="3708">IF(J329="",FALSE,IF(L329=0,FALSE,IF(AND(AU327,NOT(BF329),OR(M329="",N329="",O329="")),TRUE,FALSE)))</f>
        <v>0</v>
      </c>
      <c r="BJ329" s="240" t="b">
        <f t="shared" si="3698"/>
        <v>0</v>
      </c>
      <c r="BK329" s="231" t="b">
        <f>IF(NOT(BJ329),FALSE,IF(AND(競技会設定!$C$5&lt;=BJ329,BJ329&lt;=競技会設定!$C$6),FALSE,TRUE))</f>
        <v>0</v>
      </c>
      <c r="BL329" s="218" t="b">
        <f>IF(J329="",FALSE,IF(L329=0,FALSE,IF(AND(AU327,NOT(BF329),NOT(BI329),P329=""),TRUE,FALSE)))</f>
        <v>0</v>
      </c>
      <c r="BO329" s="274"/>
    </row>
    <row r="330" spans="1:67" ht="18" customHeight="1" thickBot="1">
      <c r="A330" s="419"/>
      <c r="B330" s="395" t="s">
        <v>6764</v>
      </c>
      <c r="C330" s="395"/>
      <c r="D330" s="221"/>
      <c r="E330" s="372"/>
      <c r="F330" s="372"/>
      <c r="G330" s="372"/>
      <c r="H330" s="214"/>
      <c r="I330" s="214" t="s">
        <v>6759</v>
      </c>
      <c r="J330" s="219"/>
      <c r="K330" s="214" t="s">
        <v>6761</v>
      </c>
      <c r="L330" s="219"/>
      <c r="M330" s="258"/>
      <c r="N330" s="259"/>
      <c r="O330" s="260"/>
      <c r="P330" s="219"/>
      <c r="Q330" s="400"/>
      <c r="R330" s="393"/>
      <c r="S330" s="136"/>
      <c r="T330" s="137"/>
      <c r="U330" s="137"/>
      <c r="V330" s="137"/>
      <c r="W330" s="137"/>
      <c r="X330" s="137"/>
      <c r="Y330" s="218">
        <f t="shared" ref="Y330" si="3709">IF(OR(E327="",J330=""),0,J330&amp;E327)</f>
        <v>0</v>
      </c>
      <c r="Z330" s="218">
        <f>IF(Y330=0,0,COUNTIF($Y$7:Y330,Y330))</f>
        <v>0</v>
      </c>
      <c r="AD330" s="218">
        <f>IFERROR(VLOOKUP(J330,競技会設定!$P$2:$S$22,2,0),0)</f>
        <v>0</v>
      </c>
      <c r="AE330" s="218">
        <f t="shared" ref="AE330" si="3710">IF(E327="",0,IF(AD330=0,0,IF(AD330&lt;3,E327&amp;$AE$6,0)))</f>
        <v>0</v>
      </c>
      <c r="AF330" s="218">
        <f>IF(AE330=0,0,E327&amp;COUNTIF($AE$7:AE330,AE330))</f>
        <v>0</v>
      </c>
      <c r="AG330" s="218">
        <f t="shared" ref="AG330" si="3711">IF(E327="",0,IF(AD330=0,0,IF(AD330&gt;=3,E327&amp;$AG$6,0)))</f>
        <v>0</v>
      </c>
      <c r="AH330" s="218">
        <f>IF(AG330=0,0,E327&amp;COUNTIF($AG$7:AG330,AG330))</f>
        <v>0</v>
      </c>
      <c r="AI330" s="218">
        <f t="shared" ref="AI330:AI378" si="3712">IF(COUNTIF(Y330,"*十種*")&gt;0,0,IF($AD330=AI$6,$E327,0))</f>
        <v>0</v>
      </c>
      <c r="AJ330" s="218" t="b">
        <f>IF(AI330=0,FALSE,IF(COUNTIF(AI$7:AI330,AI330)&gt;1,TRUE,FALSE))</f>
        <v>0</v>
      </c>
      <c r="AK330" s="218">
        <f t="shared" ref="AK330" si="3713">IF($AD330=AK$6,$E327,0)</f>
        <v>0</v>
      </c>
      <c r="AL330" s="218" t="b">
        <f>IF(AK330=0,FALSE,IF(COUNTIF(AK$7:AK330,AK330)&gt;1,TRUE,FALSE))</f>
        <v>0</v>
      </c>
      <c r="AM330" s="218">
        <f t="shared" ref="AM330" si="3714">IF($AD330=AM$6,$E327,0)</f>
        <v>0</v>
      </c>
      <c r="AN330" s="218" t="b">
        <f>IF(AM330=0,FALSE,IF(COUNTIF(AM$7:AM330,AM330)&gt;1,TRUE,FALSE))</f>
        <v>0</v>
      </c>
      <c r="AO330" s="218">
        <f t="shared" ref="AO330" si="3715">IF($AD330=AO$6,$E327,0)</f>
        <v>0</v>
      </c>
      <c r="AP330" s="218" t="b">
        <f>IF(AO330=0,FALSE,IF(COUNTIF(AO$7:AO330,AO330)&gt;1,TRUE,FALSE))</f>
        <v>0</v>
      </c>
      <c r="AQ330" s="218">
        <f t="shared" ref="AQ330" si="3716">IF(COUNTIF(Y330,"*十種競技*")&gt;0,E327,0)</f>
        <v>0</v>
      </c>
      <c r="AR330" s="218" t="b">
        <f>IF(AQ330=0,FALSE,IF(OR(COUNTIF($AI$7:$AI$406,AQ330)+COUNTIF($AQ330:$AQ$406,AQ330)&gt;1,COUNTIF($AK$7:$AK$406,AQ330)+COUNTIF($AQ$7:$AQ$406,AQ330)&gt;1),TRUE,FALSE))</f>
        <v>0</v>
      </c>
      <c r="AT330" s="218" t="b">
        <f t="shared" si="3694"/>
        <v>0</v>
      </c>
      <c r="AU330" s="274"/>
      <c r="AX330" s="274"/>
      <c r="BD330" s="218" t="b">
        <f t="shared" si="3681"/>
        <v>0</v>
      </c>
      <c r="BF330" s="231" t="b">
        <f t="shared" ref="BF330" si="3717">IF(J330="",FALSE,IF(OR(AND(AU327,L330=""),AND(AU327,L330="",OR(M330&lt;&gt;"",N330&lt;&gt;"",O330&lt;&gt;"",P330&lt;&gt;""))),TRUE,FALSE))</f>
        <v>0</v>
      </c>
      <c r="BG330" s="218" t="b">
        <f t="shared" si="3683"/>
        <v>0</v>
      </c>
      <c r="BH330" s="218" t="b">
        <f t="shared" si="3696"/>
        <v>0</v>
      </c>
      <c r="BI330" s="231" t="b">
        <f t="shared" ref="BI330" si="3718">IF(J330="",FALSE,IF(L330=0,FALSE,IF(AND(AU327,NOT(BF330),OR(M330="",N330="",O330="")),TRUE,FALSE)))</f>
        <v>0</v>
      </c>
      <c r="BJ330" s="240" t="b">
        <f t="shared" si="3698"/>
        <v>0</v>
      </c>
      <c r="BK330" s="231" t="b">
        <f>IF(NOT(BJ330),FALSE,IF(AND(競技会設定!$C$5&lt;=BJ330,BJ330&lt;=競技会設定!$C$6),FALSE,TRUE))</f>
        <v>0</v>
      </c>
      <c r="BL330" s="218" t="b">
        <f>IF(J330="",FALSE,IF(L330=0,FALSE,IF(AND(AU327,NOT(BF330),NOT(BI330),P330=""),TRUE,FALSE)))</f>
        <v>0</v>
      </c>
      <c r="BO330" s="274"/>
    </row>
    <row r="331" spans="1:67" ht="18" customHeight="1" thickTop="1">
      <c r="A331" s="420">
        <v>82</v>
      </c>
      <c r="B331" s="373" t="s">
        <v>4018</v>
      </c>
      <c r="C331" s="375"/>
      <c r="D331" s="138" t="str">
        <f t="shared" ref="D331" si="3719">IF(C331="","",501&amp;TEXT(C331,"000000"))</f>
        <v/>
      </c>
      <c r="E331" s="377" t="str">
        <f>IF(D331="","",(VLOOKUP(D331,男子登録!$A$2:$N$2001,3,0)))</f>
        <v/>
      </c>
      <c r="F331" s="377" t="str">
        <f>IF(D331="","",(VLOOKUP(D331,男子登録!$A$2:$N$2001,4,0)))</f>
        <v/>
      </c>
      <c r="G331" s="138" t="str">
        <f>IF(C331="","",(VLOOKUP(D331,男子登録!$A$2:$N$2001,8,0)))</f>
        <v/>
      </c>
      <c r="H331" s="138">
        <f>IFERROR(VLOOKUP(D331,男子登録!$A$2:$N$2001,11,0),基本情報!$E$5)</f>
        <v>0</v>
      </c>
      <c r="I331" s="138" t="s">
        <v>4019</v>
      </c>
      <c r="J331" s="151"/>
      <c r="K331" s="138" t="s">
        <v>4022</v>
      </c>
      <c r="L331" s="151"/>
      <c r="M331" s="261"/>
      <c r="N331" s="262"/>
      <c r="O331" s="263"/>
      <c r="P331" s="151"/>
      <c r="Q331" s="381"/>
      <c r="R331" s="384"/>
      <c r="S331" s="136">
        <f t="shared" ref="S331" si="3720">IF(OR(E331="",Q331=""),0,E331)</f>
        <v>0</v>
      </c>
      <c r="T331" s="137">
        <f>IF(S331=0,0,COUNTIF($S$7:S331,"*"))</f>
        <v>0</v>
      </c>
      <c r="U331" s="137">
        <f>IF(S331=0,0,COUNTIF($S$7:S331,S331))</f>
        <v>0</v>
      </c>
      <c r="V331" s="137">
        <f t="shared" si="3171"/>
        <v>0</v>
      </c>
      <c r="W331" s="137">
        <f>IF(V331=0,0,COUNTIF($V$7:V331,"*"))</f>
        <v>0</v>
      </c>
      <c r="X331" s="137">
        <f>IF(V331=0,0,COUNTIF($V$7:V331,V331))</f>
        <v>0</v>
      </c>
      <c r="Y331" s="218">
        <f t="shared" ref="Y331" si="3721">IF(OR(E331="",J331=""),0,J331&amp;E331)</f>
        <v>0</v>
      </c>
      <c r="Z331" s="218">
        <f>IF(Y331=0,0,COUNTIF($Y$7:Y331,Y331))</f>
        <v>0</v>
      </c>
      <c r="AA331" s="218" t="b">
        <f t="shared" ref="AA331" si="3722">IF(COUNTIF(J331:J334,"十種競技")&gt;0,TRUE,FALSE)</f>
        <v>0</v>
      </c>
      <c r="AB331" s="218">
        <f>IF(E331="",0,IF(AA331,COUNTIF($AA$7:AA331,TRUE),0))</f>
        <v>0</v>
      </c>
      <c r="AC331" s="218">
        <f>IFERROR(VLOOKUP("十種競技",J331:L334,3,0),0)</f>
        <v>0</v>
      </c>
      <c r="AD331" s="218">
        <f>IFERROR(VLOOKUP(J331,競技会設定!$P$2:$S$22,2,0),0)</f>
        <v>0</v>
      </c>
      <c r="AE331" s="218">
        <f t="shared" ref="AE331" si="3723">IF(E331="",0,IF(AD331=0,0,IF(AD331&lt;3,E331&amp;$AE$6,0)))</f>
        <v>0</v>
      </c>
      <c r="AF331" s="218">
        <f>IF(AE331=0,0,E331&amp;COUNTIF($AE$7:AE331,AE331))</f>
        <v>0</v>
      </c>
      <c r="AG331" s="218">
        <f t="shared" ref="AG331" si="3724">IF(E331="",0,IF(AD331=0,0,IF(AD331&gt;=3,E331&amp;$AG$6,0)))</f>
        <v>0</v>
      </c>
      <c r="AH331" s="218">
        <f>IF(AG331=0,0,E331&amp;COUNTIF($AG$7:AG331,AG331))</f>
        <v>0</v>
      </c>
      <c r="AI331" s="218">
        <f t="shared" ref="AI331:AI379" si="3725">IF(COUNTIF(Y331,"*十種*")&gt;0,0,IF($AD331=AI$6,$E331,0))</f>
        <v>0</v>
      </c>
      <c r="AJ331" s="218" t="b">
        <f>IF(AI331=0,FALSE,IF(COUNTIF(AI$7:AI331,AI331)&gt;1,TRUE,FALSE))</f>
        <v>0</v>
      </c>
      <c r="AK331" s="218">
        <f t="shared" ref="AK331" si="3726">IF($AD331=AK$6,$E331,0)</f>
        <v>0</v>
      </c>
      <c r="AL331" s="218" t="b">
        <f>IF(AK331=0,FALSE,IF(COUNTIF(AK$7:AK331,AK331)&gt;1,TRUE,FALSE))</f>
        <v>0</v>
      </c>
      <c r="AM331" s="218">
        <f t="shared" ref="AM331" si="3727">IF($AD331=AM$6,$E331,0)</f>
        <v>0</v>
      </c>
      <c r="AN331" s="218" t="b">
        <f>IF(AM331=0,FALSE,IF(COUNTIF(AM$7:AM331,AM331)&gt;1,TRUE,FALSE))</f>
        <v>0</v>
      </c>
      <c r="AO331" s="218">
        <f t="shared" ref="AO331" si="3728">IF($AD331=AO$6,$E331,0)</f>
        <v>0</v>
      </c>
      <c r="AP331" s="218" t="b">
        <f>IF(AO331=0,FALSE,IF(COUNTIF(AO$7:AO331,AO331)&gt;1,TRUE,FALSE))</f>
        <v>0</v>
      </c>
      <c r="AQ331" s="218">
        <f t="shared" ref="AQ331" si="3729">IF(COUNTIF(Y331,"*十種競技*")&gt;0,E331,0)</f>
        <v>0</v>
      </c>
      <c r="AR331" s="218" t="b">
        <f>IF(AQ331=0,FALSE,IF(OR(COUNTIF($AI$7:$AI$406,AQ331)+COUNTIF($AQ331:$AQ$406,AQ331)&gt;1,COUNTIF($AK$7:$AK$406,AQ331)+COUNTIF($AQ$7:$AQ$406,AQ331)&gt;1),TRUE,FALSE))</f>
        <v>0</v>
      </c>
      <c r="AS331" s="218" t="b">
        <f t="shared" ref="AS331" si="3730">IF(AND(C331="",E331&lt;&gt;"",F331&lt;&gt;"",E333&lt;&gt;"",G331&lt;&gt;"",G332&lt;&gt;"",G333&lt;&gt;""),TRUE,FALSE)</f>
        <v>0</v>
      </c>
      <c r="AT331" s="218" t="b">
        <f t="shared" si="3694"/>
        <v>0</v>
      </c>
      <c r="AU331" s="274" t="b">
        <f t="shared" ref="AU331" si="3731">IFERROR(IF(D331&amp;E331&amp;F331&amp;E333&amp;G331&amp;G332&amp;G333&amp;J331&amp;J332&amp;J333&amp;J334&amp;L331&amp;L332&amp;L333&amp;L334&amp;M331&amp;M332&amp;M333&amp;M334&amp;N331&amp;N332&amp;N333&amp;N334&amp;O331&amp;O332&amp;O333&amp;O334&amp;P331&amp;P332&amp;P333&amp;P334&amp;Q331&amp;R331="",FALSE,TRUE),FALSE)</f>
        <v>0</v>
      </c>
      <c r="AV331" s="218" t="b">
        <f t="shared" ref="AV331" si="3732">IF(AS331,FALSE,IF(C331="",AU331,FALSE))</f>
        <v>0</v>
      </c>
      <c r="AW331" s="218" t="b">
        <f>IF(C331="",FALSE,IF(C331&gt;2000,TRUE,FALSE))</f>
        <v>0</v>
      </c>
      <c r="AX331" s="274" t="b">
        <f>IF(H331=0,FALSE,IF(EXACT(基本情報!$E$5,H331)=TRUE,FALSE,TRUE))</f>
        <v>0</v>
      </c>
      <c r="AY331" s="218" t="b">
        <f>IF(C331="",FALSE,IF(ISNA(E331)=TRUE,TRUE,FALSE))</f>
        <v>0</v>
      </c>
      <c r="AZ331" s="274" t="b">
        <f>IFERROR(IF(E331="",FALSE,IF(COUNTIF($E$7:E331,E331)&gt;1,TRUE,FALSE)),FALSE)</f>
        <v>0</v>
      </c>
      <c r="BA331" s="218" t="b">
        <f t="shared" ref="BA331" si="3733">IF(OR(J331&amp;J332&amp;J333&amp;J334&amp;Q331&amp;R331="",AT331,AT332,AT333,AT334),AU331,FALSE)</f>
        <v>0</v>
      </c>
      <c r="BB331" s="218" t="b">
        <f>IF(U331&gt;1,TRUE,FALSE)</f>
        <v>0</v>
      </c>
      <c r="BC331" s="218" t="b">
        <f>IF(X331&gt;1,TRUE,FALSE)</f>
        <v>0</v>
      </c>
      <c r="BD331" s="218" t="b">
        <f t="shared" si="3681"/>
        <v>0</v>
      </c>
      <c r="BF331" s="231" t="b">
        <f t="shared" ref="BF331" si="3734">IF(J331="",FALSE,IF(OR(AND(AU331,L331=""),AND(AU331,L331="",OR(M331&lt;&gt;"",N331&lt;&gt;"",O331&lt;&gt;"",P331&lt;&gt;""))),TRUE,FALSE))</f>
        <v>0</v>
      </c>
      <c r="BG331" s="218" t="b">
        <f t="shared" si="3683"/>
        <v>0</v>
      </c>
      <c r="BH331" s="218" t="b">
        <f t="shared" si="3696"/>
        <v>0</v>
      </c>
      <c r="BI331" s="231" t="b">
        <f t="shared" ref="BI331" si="3735">IF(J331="",FALSE,IF(L331=0,FALSE,IF(AND(AU331,NOT(BF331),OR(M331="",N331="",O331="")),TRUE,FALSE)))</f>
        <v>0</v>
      </c>
      <c r="BJ331" s="240" t="b">
        <f t="shared" si="3698"/>
        <v>0</v>
      </c>
      <c r="BK331" s="231" t="b">
        <f>IF(NOT(BJ331),FALSE,IF(AND(競技会設定!$C$5&lt;=BJ331,BJ331&lt;=競技会設定!$C$6),FALSE,TRUE))</f>
        <v>0</v>
      </c>
      <c r="BL331" s="218" t="b">
        <f>IF(J331="",FALSE,IF(L331=0,FALSE,IF(AND(AU331,NOT(BF331),NOT(BI331),P331=""),TRUE,FALSE)))</f>
        <v>0</v>
      </c>
      <c r="BO331" s="274">
        <f t="shared" ref="BO331" si="3736">IF(AND(AU331,SUM(COUNTIF(AV331:BC331,TRUE),COUNTIF(BF331:BL334,TRUE),COUNTIF(BD331:BD334,TRUE))=0,NOT($BE$7)),1,0)</f>
        <v>0</v>
      </c>
    </row>
    <row r="332" spans="1:67" ht="17.399999999999999" customHeight="1">
      <c r="A332" s="421"/>
      <c r="B332" s="374"/>
      <c r="C332" s="376"/>
      <c r="D332" s="139"/>
      <c r="E332" s="378"/>
      <c r="F332" s="378"/>
      <c r="G332" s="139" t="str">
        <f>IF(C331="","",(VLOOKUP(D331,男子登録!$A$2:$N$2001,13,0)))</f>
        <v/>
      </c>
      <c r="H332" s="139"/>
      <c r="I332" s="139" t="s">
        <v>4020</v>
      </c>
      <c r="J332" s="152"/>
      <c r="K332" s="139" t="s">
        <v>4023</v>
      </c>
      <c r="L332" s="152"/>
      <c r="M332" s="264"/>
      <c r="N332" s="265"/>
      <c r="O332" s="266"/>
      <c r="P332" s="152"/>
      <c r="Q332" s="382"/>
      <c r="R332" s="385"/>
      <c r="S332" s="136"/>
      <c r="T332" s="137"/>
      <c r="U332" s="137"/>
      <c r="V332" s="137"/>
      <c r="W332" s="137"/>
      <c r="X332" s="137"/>
      <c r="Y332" s="218">
        <f t="shared" ref="Y332" si="3737">IF(OR(E331="",J332=""),0,J332&amp;E331)</f>
        <v>0</v>
      </c>
      <c r="Z332" s="218">
        <f>IF(Y332=0,0,COUNTIF($Y$7:Y332,Y332))</f>
        <v>0</v>
      </c>
      <c r="AD332" s="218">
        <f>IFERROR(VLOOKUP(J332,競技会設定!$P$2:$S$22,2,0),0)</f>
        <v>0</v>
      </c>
      <c r="AE332" s="218">
        <f t="shared" ref="AE332" si="3738">IF(E331="",0,IF(AD332=0,0,IF(AD332&lt;3,E331&amp;$AE$6,0)))</f>
        <v>0</v>
      </c>
      <c r="AF332" s="218">
        <f>IF(AE332=0,0,E331&amp;COUNTIF($AE$7:AE332,AE332))</f>
        <v>0</v>
      </c>
      <c r="AG332" s="218">
        <f t="shared" ref="AG332" si="3739">IF(E331="",0,IF(AD332=0,0,IF(AD332&gt;=3,E331&amp;$AG$6,0)))</f>
        <v>0</v>
      </c>
      <c r="AH332" s="218">
        <f>IF(AG332=0,0,E331&amp;COUNTIF($AG$7:AG332,AG332))</f>
        <v>0</v>
      </c>
      <c r="AI332" s="218">
        <f t="shared" ref="AI332:AI380" si="3740">IF(COUNTIF(Y332,"*十種*")&gt;0,0,IF($AD332=AI$6,$E331,0))</f>
        <v>0</v>
      </c>
      <c r="AJ332" s="218" t="b">
        <f>IF(AI332=0,FALSE,IF(COUNTIF(AI$7:AI332,AI332)&gt;1,TRUE,FALSE))</f>
        <v>0</v>
      </c>
      <c r="AK332" s="218">
        <f t="shared" ref="AK332" si="3741">IF($AD332=AK$6,$E331,0)</f>
        <v>0</v>
      </c>
      <c r="AL332" s="218" t="b">
        <f>IF(AK332=0,FALSE,IF(COUNTIF(AK$7:AK332,AK332)&gt;1,TRUE,FALSE))</f>
        <v>0</v>
      </c>
      <c r="AM332" s="218">
        <f t="shared" ref="AM332" si="3742">IF($AD332=AM$6,$E331,0)</f>
        <v>0</v>
      </c>
      <c r="AN332" s="218" t="b">
        <f>IF(AM332=0,FALSE,IF(COUNTIF(AM$7:AM332,AM332)&gt;1,TRUE,FALSE))</f>
        <v>0</v>
      </c>
      <c r="AO332" s="218">
        <f t="shared" ref="AO332" si="3743">IF($AD332=AO$6,$E331,0)</f>
        <v>0</v>
      </c>
      <c r="AP332" s="218" t="b">
        <f>IF(AO332=0,FALSE,IF(COUNTIF(AO$7:AO332,AO332)&gt;1,TRUE,FALSE))</f>
        <v>0</v>
      </c>
      <c r="AQ332" s="218">
        <f t="shared" ref="AQ332" si="3744">IF(COUNTIF(Y332,"*十種競技*")&gt;0,E331,0)</f>
        <v>0</v>
      </c>
      <c r="AR332" s="218" t="b">
        <f>IF(AQ332=0,FALSE,IF(OR(COUNTIF($AI$7:$AI$406,AQ332)+COUNTIF($AQ332:$AQ$406,AQ332)&gt;1,COUNTIF($AK$7:$AK$406,AQ332)+COUNTIF($AQ$7:$AQ$406,AQ332)&gt;1),TRUE,FALSE))</f>
        <v>0</v>
      </c>
      <c r="AT332" s="218" t="b">
        <f t="shared" si="3694"/>
        <v>0</v>
      </c>
      <c r="AU332" s="274"/>
      <c r="AX332" s="274"/>
      <c r="BD332" s="218" t="b">
        <f t="shared" si="3681"/>
        <v>0</v>
      </c>
      <c r="BF332" s="231" t="b">
        <f t="shared" ref="BF332" si="3745">IF(J332="",FALSE,IF(OR(AND(AU331,L332=""),AND(AU331,L332="",OR(M332&lt;&gt;"",N332&lt;&gt;"",O332&lt;&gt;"",P332&lt;&gt;""))),TRUE,FALSE))</f>
        <v>0</v>
      </c>
      <c r="BG332" s="218" t="b">
        <f t="shared" si="3683"/>
        <v>0</v>
      </c>
      <c r="BH332" s="218" t="b">
        <f t="shared" si="3696"/>
        <v>0</v>
      </c>
      <c r="BI332" s="231" t="b">
        <f t="shared" ref="BI332" si="3746">IF(J332="",FALSE,IF(L332=0,FALSE,IF(AND(AU331,NOT(BF332),OR(M332="",N332="",O332="")),TRUE,FALSE)))</f>
        <v>0</v>
      </c>
      <c r="BJ332" s="240" t="b">
        <f t="shared" si="3698"/>
        <v>0</v>
      </c>
      <c r="BK332" s="231" t="b">
        <f>IF(NOT(BJ332),FALSE,IF(AND(競技会設定!$C$5&lt;=BJ332,BJ332&lt;=競技会設定!$C$6),FALSE,TRUE))</f>
        <v>0</v>
      </c>
      <c r="BL332" s="218" t="b">
        <f>IF(J332="",FALSE,IF(L332=0,FALSE,IF(AND(AU331,NOT(BF332),NOT(BI332),P332=""),TRUE,FALSE)))</f>
        <v>0</v>
      </c>
      <c r="BO332" s="274"/>
    </row>
    <row r="333" spans="1:67" ht="17.399999999999999" customHeight="1">
      <c r="A333" s="421"/>
      <c r="B333" s="374"/>
      <c r="C333" s="376"/>
      <c r="D333" s="140"/>
      <c r="E333" s="379" t="str">
        <f>IF(C331="","",VLOOKUP(D331,男子登録!$A$2:$O$2001,14,0)&amp;" ("&amp;VLOOKUP(D331,男子登録!$A$2:$O$2001,15,0)&amp;")")</f>
        <v/>
      </c>
      <c r="F333" s="380"/>
      <c r="G333" s="140" t="str">
        <f>IF(C331="","",(VLOOKUP(D331,男子登録!$A$2:$N$2001,9,0)))</f>
        <v/>
      </c>
      <c r="H333" s="140"/>
      <c r="I333" s="140" t="s">
        <v>4021</v>
      </c>
      <c r="J333" s="153"/>
      <c r="K333" s="140" t="s">
        <v>6760</v>
      </c>
      <c r="L333" s="153"/>
      <c r="M333" s="264"/>
      <c r="N333" s="265"/>
      <c r="O333" s="266"/>
      <c r="P333" s="152"/>
      <c r="Q333" s="382"/>
      <c r="R333" s="385"/>
      <c r="S333" s="136"/>
      <c r="T333" s="137"/>
      <c r="U333" s="137"/>
      <c r="V333" s="137"/>
      <c r="W333" s="137"/>
      <c r="X333" s="137"/>
      <c r="Y333" s="218">
        <f t="shared" ref="Y333" si="3747">IF(OR(E331="",J333=""),0,J333&amp;E331)</f>
        <v>0</v>
      </c>
      <c r="Z333" s="218">
        <f>IF(Y333=0,0,COUNTIF($Y$7:Y333,Y333))</f>
        <v>0</v>
      </c>
      <c r="AD333" s="218">
        <f>IFERROR(VLOOKUP(J333,競技会設定!$P$2:$S$22,2,0),0)</f>
        <v>0</v>
      </c>
      <c r="AE333" s="218">
        <f t="shared" ref="AE333" si="3748">IF(E331="",0,IF(AD333=0,0,IF(AD333&lt;3,E331&amp;$AE$6,0)))</f>
        <v>0</v>
      </c>
      <c r="AF333" s="218">
        <f>IF(AE333=0,0,E331&amp;COUNTIF($AE$7:AE333,AE333))</f>
        <v>0</v>
      </c>
      <c r="AG333" s="218">
        <f t="shared" ref="AG333" si="3749">IF(E331="",0,IF(AD333=0,0,IF(AD333&gt;=3,E331&amp;$AG$6,0)))</f>
        <v>0</v>
      </c>
      <c r="AH333" s="218">
        <f>IF(AG333=0,0,E331&amp;COUNTIF($AG$7:AG333,AG333))</f>
        <v>0</v>
      </c>
      <c r="AI333" s="218">
        <f t="shared" ref="AI333:AI381" si="3750">IF(COUNTIF(Y333,"*十種*")&gt;0,0,IF($AD333=AI$6,$E331,0))</f>
        <v>0</v>
      </c>
      <c r="AJ333" s="218" t="b">
        <f>IF(AI333=0,FALSE,IF(COUNTIF(AI$7:AI333,AI333)&gt;1,TRUE,FALSE))</f>
        <v>0</v>
      </c>
      <c r="AK333" s="218">
        <f t="shared" ref="AK333" si="3751">IF($AD333=AK$6,$E331,0)</f>
        <v>0</v>
      </c>
      <c r="AL333" s="218" t="b">
        <f>IF(AK333=0,FALSE,IF(COUNTIF(AK$7:AK333,AK333)&gt;1,TRUE,FALSE))</f>
        <v>0</v>
      </c>
      <c r="AM333" s="218">
        <f t="shared" ref="AM333" si="3752">IF($AD333=AM$6,$E331,0)</f>
        <v>0</v>
      </c>
      <c r="AN333" s="218" t="b">
        <f>IF(AM333=0,FALSE,IF(COUNTIF(AM$7:AM333,AM333)&gt;1,TRUE,FALSE))</f>
        <v>0</v>
      </c>
      <c r="AO333" s="218">
        <f t="shared" ref="AO333" si="3753">IF($AD333=AO$6,$E331,0)</f>
        <v>0</v>
      </c>
      <c r="AP333" s="218" t="b">
        <f>IF(AO333=0,FALSE,IF(COUNTIF(AO$7:AO333,AO333)&gt;1,TRUE,FALSE))</f>
        <v>0</v>
      </c>
      <c r="AQ333" s="218">
        <f t="shared" ref="AQ333" si="3754">IF(COUNTIF(Y333,"*十種競技*")&gt;0,E331,0)</f>
        <v>0</v>
      </c>
      <c r="AR333" s="218" t="b">
        <f>IF(AQ333=0,FALSE,IF(OR(COUNTIF($AI$7:$AI$406,AQ333)+COUNTIF($AQ333:$AQ$406,AQ333)&gt;1,COUNTIF($AK$7:$AK$406,AQ333)+COUNTIF($AQ$7:$AQ$406,AQ333)&gt;1),TRUE,FALSE))</f>
        <v>0</v>
      </c>
      <c r="AT333" s="218" t="b">
        <f t="shared" si="3694"/>
        <v>0</v>
      </c>
      <c r="AU333" s="274"/>
      <c r="AX333" s="274"/>
      <c r="BD333" s="218" t="b">
        <f t="shared" si="3681"/>
        <v>0</v>
      </c>
      <c r="BF333" s="231" t="b">
        <f t="shared" ref="BF333" si="3755">IF(J333="",FALSE,IF(OR(AND(AU331,L333=""),AND(AU331,L333="",OR(M333&lt;&gt;"",N333&lt;&gt;"",O333&lt;&gt;"",P333&lt;&gt;""))),TRUE,FALSE))</f>
        <v>0</v>
      </c>
      <c r="BG333" s="218" t="b">
        <f t="shared" si="3683"/>
        <v>0</v>
      </c>
      <c r="BH333" s="218" t="b">
        <f t="shared" si="3696"/>
        <v>0</v>
      </c>
      <c r="BI333" s="231" t="b">
        <f t="shared" ref="BI333" si="3756">IF(J333="",FALSE,IF(L333=0,FALSE,IF(AND(AU331,NOT(BF333),OR(M333="",N333="",O333="")),TRUE,FALSE)))</f>
        <v>0</v>
      </c>
      <c r="BJ333" s="240" t="b">
        <f t="shared" si="3698"/>
        <v>0</v>
      </c>
      <c r="BK333" s="231" t="b">
        <f>IF(NOT(BJ333),FALSE,IF(AND(競技会設定!$C$5&lt;=BJ333,BJ333&lt;=競技会設定!$C$6),FALSE,TRUE))</f>
        <v>0</v>
      </c>
      <c r="BL333" s="218" t="b">
        <f>IF(J333="",FALSE,IF(L333=0,FALSE,IF(AND(AU331,NOT(BF333),NOT(BI333),P333=""),TRUE,FALSE)))</f>
        <v>0</v>
      </c>
      <c r="BO333" s="274"/>
    </row>
    <row r="334" spans="1:67" ht="18" customHeight="1" thickBot="1">
      <c r="A334" s="422"/>
      <c r="B334" s="387" t="s">
        <v>6764</v>
      </c>
      <c r="C334" s="387"/>
      <c r="D334" s="213"/>
      <c r="E334" s="388"/>
      <c r="F334" s="389"/>
      <c r="G334" s="390"/>
      <c r="H334" s="141"/>
      <c r="I334" s="213" t="s">
        <v>6759</v>
      </c>
      <c r="J334" s="154"/>
      <c r="K334" s="213" t="s">
        <v>6761</v>
      </c>
      <c r="L334" s="154"/>
      <c r="M334" s="267"/>
      <c r="N334" s="268"/>
      <c r="O334" s="269"/>
      <c r="P334" s="154"/>
      <c r="Q334" s="383"/>
      <c r="R334" s="386"/>
      <c r="S334" s="136"/>
      <c r="T334" s="137"/>
      <c r="U334" s="137"/>
      <c r="V334" s="137"/>
      <c r="W334" s="137"/>
      <c r="X334" s="137"/>
      <c r="Y334" s="218">
        <f t="shared" ref="Y334" si="3757">IF(OR(E331="",J334=""),0,J334&amp;E331)</f>
        <v>0</v>
      </c>
      <c r="Z334" s="218">
        <f>IF(Y334=0,0,COUNTIF($Y$7:Y334,Y334))</f>
        <v>0</v>
      </c>
      <c r="AD334" s="218">
        <f>IFERROR(VLOOKUP(J334,競技会設定!$P$2:$S$22,2,0),0)</f>
        <v>0</v>
      </c>
      <c r="AE334" s="218">
        <f t="shared" ref="AE334" si="3758">IF(E331="",0,IF(AD334=0,0,IF(AD334&lt;3,E331&amp;$AE$6,0)))</f>
        <v>0</v>
      </c>
      <c r="AF334" s="218">
        <f>IF(AE334=0,0,E331&amp;COUNTIF($AE$7:AE334,AE334))</f>
        <v>0</v>
      </c>
      <c r="AG334" s="218">
        <f t="shared" ref="AG334" si="3759">IF(E331="",0,IF(AD334=0,0,IF(AD334&gt;=3,E331&amp;$AG$6,0)))</f>
        <v>0</v>
      </c>
      <c r="AH334" s="218">
        <f>IF(AG334=0,0,E331&amp;COUNTIF($AG$7:AG334,AG334))</f>
        <v>0</v>
      </c>
      <c r="AI334" s="218">
        <f t="shared" ref="AI334:AI382" si="3760">IF(COUNTIF(Y334,"*十種*")&gt;0,0,IF($AD334=AI$6,$E331,0))</f>
        <v>0</v>
      </c>
      <c r="AJ334" s="218" t="b">
        <f>IF(AI334=0,FALSE,IF(COUNTIF(AI$7:AI334,AI334)&gt;1,TRUE,FALSE))</f>
        <v>0</v>
      </c>
      <c r="AK334" s="218">
        <f t="shared" ref="AK334" si="3761">IF($AD334=AK$6,$E331,0)</f>
        <v>0</v>
      </c>
      <c r="AL334" s="218" t="b">
        <f>IF(AK334=0,FALSE,IF(COUNTIF(AK$7:AK334,AK334)&gt;1,TRUE,FALSE))</f>
        <v>0</v>
      </c>
      <c r="AM334" s="218">
        <f t="shared" ref="AM334" si="3762">IF($AD334=AM$6,$E331,0)</f>
        <v>0</v>
      </c>
      <c r="AN334" s="218" t="b">
        <f>IF(AM334=0,FALSE,IF(COUNTIF(AM$7:AM334,AM334)&gt;1,TRUE,FALSE))</f>
        <v>0</v>
      </c>
      <c r="AO334" s="218">
        <f t="shared" ref="AO334" si="3763">IF($AD334=AO$6,$E331,0)</f>
        <v>0</v>
      </c>
      <c r="AP334" s="218" t="b">
        <f>IF(AO334=0,FALSE,IF(COUNTIF(AO$7:AO334,AO334)&gt;1,TRUE,FALSE))</f>
        <v>0</v>
      </c>
      <c r="AQ334" s="218">
        <f t="shared" ref="AQ334" si="3764">IF(COUNTIF(Y334,"*十種競技*")&gt;0,E331,0)</f>
        <v>0</v>
      </c>
      <c r="AR334" s="218" t="b">
        <f>IF(AQ334=0,FALSE,IF(OR(COUNTIF($AI$7:$AI$406,AQ334)+COUNTIF($AQ334:$AQ$406,AQ334)&gt;1,COUNTIF($AK$7:$AK$406,AQ334)+COUNTIF($AQ$7:$AQ$406,AQ334)&gt;1),TRUE,FALSE))</f>
        <v>0</v>
      </c>
      <c r="AT334" s="218" t="b">
        <f t="shared" si="3694"/>
        <v>0</v>
      </c>
      <c r="AU334" s="274"/>
      <c r="AX334" s="274"/>
      <c r="BD334" s="218" t="b">
        <f t="shared" si="3681"/>
        <v>0</v>
      </c>
      <c r="BF334" s="231" t="b">
        <f t="shared" ref="BF334" si="3765">IF(J334="",FALSE,IF(OR(AND(AU331,L334=""),AND(AU331,L334="",OR(M334&lt;&gt;"",N334&lt;&gt;"",O334&lt;&gt;"",P334&lt;&gt;""))),TRUE,FALSE))</f>
        <v>0</v>
      </c>
      <c r="BG334" s="218" t="b">
        <f t="shared" si="3683"/>
        <v>0</v>
      </c>
      <c r="BH334" s="218" t="b">
        <f t="shared" si="3696"/>
        <v>0</v>
      </c>
      <c r="BI334" s="231" t="b">
        <f t="shared" ref="BI334" si="3766">IF(J334="",FALSE,IF(L334=0,FALSE,IF(AND(AU331,NOT(BF334),OR(M334="",N334="",O334="")),TRUE,FALSE)))</f>
        <v>0</v>
      </c>
      <c r="BJ334" s="240" t="b">
        <f t="shared" si="3698"/>
        <v>0</v>
      </c>
      <c r="BK334" s="231" t="b">
        <f>IF(NOT(BJ334),FALSE,IF(AND(競技会設定!$C$5&lt;=BJ334,BJ334&lt;=競技会設定!$C$6),FALSE,TRUE))</f>
        <v>0</v>
      </c>
      <c r="BL334" s="218" t="b">
        <f>IF(J334="",FALSE,IF(L334=0,FALSE,IF(AND(AU331,NOT(BF334),NOT(BI334),P334=""),TRUE,FALSE)))</f>
        <v>0</v>
      </c>
      <c r="BO334" s="274"/>
    </row>
    <row r="335" spans="1:67" ht="18" customHeight="1" thickTop="1">
      <c r="A335" s="417">
        <v>83</v>
      </c>
      <c r="B335" s="401" t="s">
        <v>4018</v>
      </c>
      <c r="C335" s="403"/>
      <c r="D335" s="220" t="str">
        <f t="shared" ref="D335" si="3767">IF(C335="","",501&amp;TEXT(C335,"000000"))</f>
        <v/>
      </c>
      <c r="E335" s="396" t="str">
        <f>IF(D335="","",(VLOOKUP(D335,男子登録!$A$2:$N$2001,3,0)))</f>
        <v/>
      </c>
      <c r="F335" s="396" t="str">
        <f>IF(D335="","",(VLOOKUP(D335,男子登録!$A$2:$N$2001,4,0)))</f>
        <v/>
      </c>
      <c r="G335" s="220" t="str">
        <f>IF(C335="","",(VLOOKUP(D335,男子登録!$A$2:$N$2001,8,0)))</f>
        <v/>
      </c>
      <c r="H335" s="220">
        <f>IFERROR(VLOOKUP(D335,男子登録!$A$2:$N$2001,11,0),基本情報!$E$5)</f>
        <v>0</v>
      </c>
      <c r="I335" s="220" t="s">
        <v>4019</v>
      </c>
      <c r="J335" s="148"/>
      <c r="K335" s="220" t="s">
        <v>4022</v>
      </c>
      <c r="L335" s="148"/>
      <c r="M335" s="252"/>
      <c r="N335" s="253"/>
      <c r="O335" s="254"/>
      <c r="P335" s="148"/>
      <c r="Q335" s="398"/>
      <c r="R335" s="391"/>
      <c r="S335" s="136">
        <f t="shared" ref="S335" si="3768">IF(OR(E335="",Q335=""),0,E335)</f>
        <v>0</v>
      </c>
      <c r="T335" s="137">
        <f>IF(S335=0,0,COUNTIF($S$7:S335,"*"))</f>
        <v>0</v>
      </c>
      <c r="U335" s="137">
        <f>IF(S335=0,0,COUNTIF($S$7:S335,S335))</f>
        <v>0</v>
      </c>
      <c r="V335" s="137">
        <f t="shared" si="3171"/>
        <v>0</v>
      </c>
      <c r="W335" s="137">
        <f>IF(V335=0,0,COUNTIF($V$7:V335,"*"))</f>
        <v>0</v>
      </c>
      <c r="X335" s="137">
        <f>IF(V335=0,0,COUNTIF($V$7:V335,V335))</f>
        <v>0</v>
      </c>
      <c r="Y335" s="218">
        <f t="shared" ref="Y335" si="3769">IF(OR(E335="",J335=""),0,J335&amp;E335)</f>
        <v>0</v>
      </c>
      <c r="Z335" s="218">
        <f>IF(Y335=0,0,COUNTIF($Y$7:Y335,Y335))</f>
        <v>0</v>
      </c>
      <c r="AA335" s="218" t="b">
        <f t="shared" ref="AA335" si="3770">IF(COUNTIF(J335:J338,"十種競技")&gt;0,TRUE,FALSE)</f>
        <v>0</v>
      </c>
      <c r="AB335" s="218">
        <f>IF(E335="",0,IF(AA335,COUNTIF($AA$7:AA335,TRUE),0))</f>
        <v>0</v>
      </c>
      <c r="AC335" s="218">
        <f>IFERROR(VLOOKUP("十種競技",J335:L338,3,0),0)</f>
        <v>0</v>
      </c>
      <c r="AD335" s="218">
        <f>IFERROR(VLOOKUP(J335,競技会設定!$P$2:$S$22,2,0),0)</f>
        <v>0</v>
      </c>
      <c r="AE335" s="218">
        <f t="shared" ref="AE335" si="3771">IF(E335="",0,IF(AD335=0,0,IF(AD335&lt;3,E335&amp;$AE$6,0)))</f>
        <v>0</v>
      </c>
      <c r="AF335" s="218">
        <f>IF(AE335=0,0,E335&amp;COUNTIF($AE$7:AE335,AE335))</f>
        <v>0</v>
      </c>
      <c r="AG335" s="218">
        <f t="shared" ref="AG335" si="3772">IF(E335="",0,IF(AD335=0,0,IF(AD335&gt;=3,E335&amp;$AG$6,0)))</f>
        <v>0</v>
      </c>
      <c r="AH335" s="218">
        <f>IF(AG335=0,0,E335&amp;COUNTIF($AG$7:AG335,AG335))</f>
        <v>0</v>
      </c>
      <c r="AI335" s="218">
        <f t="shared" ref="AI335:AI383" si="3773">IF(COUNTIF(Y335,"*十種*")&gt;0,0,IF($AD335=AI$6,$E335,0))</f>
        <v>0</v>
      </c>
      <c r="AJ335" s="218" t="b">
        <f>IF(AI335=0,FALSE,IF(COUNTIF(AI$7:AI335,AI335)&gt;1,TRUE,FALSE))</f>
        <v>0</v>
      </c>
      <c r="AK335" s="218">
        <f t="shared" ref="AK335" si="3774">IF($AD335=AK$6,$E335,0)</f>
        <v>0</v>
      </c>
      <c r="AL335" s="218" t="b">
        <f>IF(AK335=0,FALSE,IF(COUNTIF(AK$7:AK335,AK335)&gt;1,TRUE,FALSE))</f>
        <v>0</v>
      </c>
      <c r="AM335" s="218">
        <f t="shared" ref="AM335" si="3775">IF($AD335=AM$6,$E335,0)</f>
        <v>0</v>
      </c>
      <c r="AN335" s="218" t="b">
        <f>IF(AM335=0,FALSE,IF(COUNTIF(AM$7:AM335,AM335)&gt;1,TRUE,FALSE))</f>
        <v>0</v>
      </c>
      <c r="AO335" s="218">
        <f t="shared" ref="AO335" si="3776">IF($AD335=AO$6,$E335,0)</f>
        <v>0</v>
      </c>
      <c r="AP335" s="218" t="b">
        <f>IF(AO335=0,FALSE,IF(COUNTIF(AO$7:AO335,AO335)&gt;1,TRUE,FALSE))</f>
        <v>0</v>
      </c>
      <c r="AQ335" s="218">
        <f t="shared" ref="AQ335" si="3777">IF(COUNTIF(Y335,"*十種競技*")&gt;0,E335,0)</f>
        <v>0</v>
      </c>
      <c r="AR335" s="218" t="b">
        <f>IF(AQ335=0,FALSE,IF(OR(COUNTIF($AI$7:$AI$406,AQ335)+COUNTIF($AQ335:$AQ$406,AQ335)&gt;1,COUNTIF($AK$7:$AK$406,AQ335)+COUNTIF($AQ$7:$AQ$406,AQ335)&gt;1),TRUE,FALSE))</f>
        <v>0</v>
      </c>
      <c r="AS335" s="218" t="b">
        <f t="shared" ref="AS335" si="3778">IF(AND(C335="",E335&lt;&gt;"",F335&lt;&gt;"",E337&lt;&gt;"",G335&lt;&gt;"",G336&lt;&gt;"",G337&lt;&gt;""),TRUE,FALSE)</f>
        <v>0</v>
      </c>
      <c r="AT335" s="218" t="b">
        <f t="shared" si="3694"/>
        <v>0</v>
      </c>
      <c r="AU335" s="274" t="b">
        <f t="shared" ref="AU335" si="3779">IFERROR(IF(D335&amp;E335&amp;F335&amp;E337&amp;G335&amp;G336&amp;G337&amp;J335&amp;J336&amp;J337&amp;J338&amp;L335&amp;L336&amp;L337&amp;L338&amp;M335&amp;M336&amp;M337&amp;M338&amp;N335&amp;N336&amp;N337&amp;N338&amp;O335&amp;O336&amp;O337&amp;O338&amp;P335&amp;P336&amp;P337&amp;P338&amp;Q335&amp;R335="",FALSE,TRUE),FALSE)</f>
        <v>0</v>
      </c>
      <c r="AV335" s="218" t="b">
        <f t="shared" ref="AV335" si="3780">IF(AS335,FALSE,IF(C335="",AU335,FALSE))</f>
        <v>0</v>
      </c>
      <c r="AW335" s="218" t="b">
        <f>IF(C335="",FALSE,IF(C335&gt;2000,TRUE,FALSE))</f>
        <v>0</v>
      </c>
      <c r="AX335" s="274" t="b">
        <f>IF(H335=0,FALSE,IF(EXACT(基本情報!$E$5,H335)=TRUE,FALSE,TRUE))</f>
        <v>0</v>
      </c>
      <c r="AY335" s="218" t="b">
        <f>IF(C335="",FALSE,IF(ISNA(E335)=TRUE,TRUE,FALSE))</f>
        <v>0</v>
      </c>
      <c r="AZ335" s="274" t="b">
        <f>IFERROR(IF(E335="",FALSE,IF(COUNTIF($E$7:E335,E335)&gt;1,TRUE,FALSE)),FALSE)</f>
        <v>0</v>
      </c>
      <c r="BA335" s="218" t="b">
        <f t="shared" ref="BA335" si="3781">IF(OR(J335&amp;J336&amp;J337&amp;J338&amp;Q335&amp;R335="",AT335,AT336,AT337,AT338),AU335,FALSE)</f>
        <v>0</v>
      </c>
      <c r="BB335" s="218" t="b">
        <f>IF(U335&gt;1,TRUE,FALSE)</f>
        <v>0</v>
      </c>
      <c r="BC335" s="218" t="b">
        <f>IF(X335&gt;1,TRUE,FALSE)</f>
        <v>0</v>
      </c>
      <c r="BD335" s="218" t="b">
        <f t="shared" si="3681"/>
        <v>0</v>
      </c>
      <c r="BF335" s="231" t="b">
        <f t="shared" ref="BF335" si="3782">IF(J335="",FALSE,IF(OR(AND(AU335,L335=""),AND(AU335,L335="",OR(M335&lt;&gt;"",N335&lt;&gt;"",O335&lt;&gt;"",P335&lt;&gt;""))),TRUE,FALSE))</f>
        <v>0</v>
      </c>
      <c r="BG335" s="218" t="b">
        <f t="shared" si="3683"/>
        <v>0</v>
      </c>
      <c r="BH335" s="218" t="b">
        <f t="shared" si="3696"/>
        <v>0</v>
      </c>
      <c r="BI335" s="231" t="b">
        <f t="shared" ref="BI335" si="3783">IF(J335="",FALSE,IF(L335=0,FALSE,IF(AND(AU335,NOT(BF335),OR(M335="",N335="",O335="")),TRUE,FALSE)))</f>
        <v>0</v>
      </c>
      <c r="BJ335" s="240" t="b">
        <f t="shared" si="3698"/>
        <v>0</v>
      </c>
      <c r="BK335" s="231" t="b">
        <f>IF(NOT(BJ335),FALSE,IF(AND(競技会設定!$C$5&lt;=BJ335,BJ335&lt;=競技会設定!$C$6),FALSE,TRUE))</f>
        <v>0</v>
      </c>
      <c r="BL335" s="218" t="b">
        <f>IF(J335="",FALSE,IF(L335=0,FALSE,IF(AND(AU335,NOT(BF335),NOT(BI335),P335=""),TRUE,FALSE)))</f>
        <v>0</v>
      </c>
      <c r="BO335" s="274">
        <f t="shared" ref="BO335" si="3784">IF(AND(AU335,SUM(COUNTIF(AV335:BC335,TRUE),COUNTIF(BF335:BL338,TRUE),COUNTIF(BD335:BD338,TRUE))=0,NOT($BE$7)),1,0)</f>
        <v>0</v>
      </c>
    </row>
    <row r="336" spans="1:67" ht="17.399999999999999" customHeight="1">
      <c r="A336" s="418"/>
      <c r="B336" s="402"/>
      <c r="C336" s="404"/>
      <c r="D336" s="221"/>
      <c r="E336" s="397"/>
      <c r="F336" s="397"/>
      <c r="G336" s="221" t="str">
        <f>IF(C335="","",(VLOOKUP(D335,男子登録!$A$2:$N$2001,13,0)))</f>
        <v/>
      </c>
      <c r="H336" s="221"/>
      <c r="I336" s="221" t="s">
        <v>4020</v>
      </c>
      <c r="J336" s="149"/>
      <c r="K336" s="221" t="s">
        <v>4023</v>
      </c>
      <c r="L336" s="149"/>
      <c r="M336" s="255"/>
      <c r="N336" s="256"/>
      <c r="O336" s="257"/>
      <c r="P336" s="149"/>
      <c r="Q336" s="399"/>
      <c r="R336" s="392"/>
      <c r="S336" s="136"/>
      <c r="T336" s="137"/>
      <c r="U336" s="137"/>
      <c r="V336" s="137"/>
      <c r="W336" s="137"/>
      <c r="X336" s="137"/>
      <c r="Y336" s="218">
        <f t="shared" ref="Y336" si="3785">IF(OR(E335="",J336=""),0,J336&amp;E335)</f>
        <v>0</v>
      </c>
      <c r="Z336" s="218">
        <f>IF(Y336=0,0,COUNTIF($Y$7:Y336,Y336))</f>
        <v>0</v>
      </c>
      <c r="AD336" s="218">
        <f>IFERROR(VLOOKUP(J336,競技会設定!$P$2:$S$22,2,0),0)</f>
        <v>0</v>
      </c>
      <c r="AE336" s="218">
        <f t="shared" ref="AE336" si="3786">IF(E335="",0,IF(AD336=0,0,IF(AD336&lt;3,E335&amp;$AE$6,0)))</f>
        <v>0</v>
      </c>
      <c r="AF336" s="218">
        <f>IF(AE336=0,0,E335&amp;COUNTIF($AE$7:AE336,AE336))</f>
        <v>0</v>
      </c>
      <c r="AG336" s="218">
        <f t="shared" ref="AG336" si="3787">IF(E335="",0,IF(AD336=0,0,IF(AD336&gt;=3,E335&amp;$AG$6,0)))</f>
        <v>0</v>
      </c>
      <c r="AH336" s="218">
        <f>IF(AG336=0,0,E335&amp;COUNTIF($AG$7:AG336,AG336))</f>
        <v>0</v>
      </c>
      <c r="AI336" s="218">
        <f t="shared" ref="AI336:AI384" si="3788">IF(COUNTIF(Y336,"*十種*")&gt;0,0,IF($AD336=AI$6,$E335,0))</f>
        <v>0</v>
      </c>
      <c r="AJ336" s="218" t="b">
        <f>IF(AI336=0,FALSE,IF(COUNTIF(AI$7:AI336,AI336)&gt;1,TRUE,FALSE))</f>
        <v>0</v>
      </c>
      <c r="AK336" s="218">
        <f t="shared" ref="AK336" si="3789">IF($AD336=AK$6,$E335,0)</f>
        <v>0</v>
      </c>
      <c r="AL336" s="218" t="b">
        <f>IF(AK336=0,FALSE,IF(COUNTIF(AK$7:AK336,AK336)&gt;1,TRUE,FALSE))</f>
        <v>0</v>
      </c>
      <c r="AM336" s="218">
        <f t="shared" ref="AM336" si="3790">IF($AD336=AM$6,$E335,0)</f>
        <v>0</v>
      </c>
      <c r="AN336" s="218" t="b">
        <f>IF(AM336=0,FALSE,IF(COUNTIF(AM$7:AM336,AM336)&gt;1,TRUE,FALSE))</f>
        <v>0</v>
      </c>
      <c r="AO336" s="218">
        <f t="shared" ref="AO336" si="3791">IF($AD336=AO$6,$E335,0)</f>
        <v>0</v>
      </c>
      <c r="AP336" s="218" t="b">
        <f>IF(AO336=0,FALSE,IF(COUNTIF(AO$7:AO336,AO336)&gt;1,TRUE,FALSE))</f>
        <v>0</v>
      </c>
      <c r="AQ336" s="218">
        <f t="shared" ref="AQ336" si="3792">IF(COUNTIF(Y336,"*十種競技*")&gt;0,E335,0)</f>
        <v>0</v>
      </c>
      <c r="AR336" s="218" t="b">
        <f>IF(AQ336=0,FALSE,IF(OR(COUNTIF($AI$7:$AI$406,AQ336)+COUNTIF($AQ336:$AQ$406,AQ336)&gt;1,COUNTIF($AK$7:$AK$406,AQ336)+COUNTIF($AQ$7:$AQ$406,AQ336)&gt;1),TRUE,FALSE))</f>
        <v>0</v>
      </c>
      <c r="AT336" s="218" t="b">
        <f t="shared" si="3694"/>
        <v>0</v>
      </c>
      <c r="AU336" s="274"/>
      <c r="AX336" s="274"/>
      <c r="BD336" s="218" t="b">
        <f t="shared" si="3681"/>
        <v>0</v>
      </c>
      <c r="BF336" s="231" t="b">
        <f t="shared" ref="BF336" si="3793">IF(J336="",FALSE,IF(OR(AND(AU335,L336=""),AND(AU335,L336="",OR(M336&lt;&gt;"",N336&lt;&gt;"",O336&lt;&gt;"",P336&lt;&gt;""))),TRUE,FALSE))</f>
        <v>0</v>
      </c>
      <c r="BG336" s="218" t="b">
        <f t="shared" si="3683"/>
        <v>0</v>
      </c>
      <c r="BH336" s="218" t="b">
        <f t="shared" si="3696"/>
        <v>0</v>
      </c>
      <c r="BI336" s="231" t="b">
        <f t="shared" ref="BI336" si="3794">IF(J336="",FALSE,IF(L336=0,FALSE,IF(AND(AU335,NOT(BF336),OR(M336="",N336="",O336="")),TRUE,FALSE)))</f>
        <v>0</v>
      </c>
      <c r="BJ336" s="240" t="b">
        <f t="shared" si="3698"/>
        <v>0</v>
      </c>
      <c r="BK336" s="231" t="b">
        <f>IF(NOT(BJ336),FALSE,IF(AND(競技会設定!$C$5&lt;=BJ336,BJ336&lt;=競技会設定!$C$6),FALSE,TRUE))</f>
        <v>0</v>
      </c>
      <c r="BL336" s="218" t="b">
        <f>IF(J336="",FALSE,IF(L336=0,FALSE,IF(AND(AU335,NOT(BF336),NOT(BI336),P336=""),TRUE,FALSE)))</f>
        <v>0</v>
      </c>
      <c r="BO336" s="274"/>
    </row>
    <row r="337" spans="1:67" ht="17.399999999999999" customHeight="1">
      <c r="A337" s="418"/>
      <c r="B337" s="402"/>
      <c r="C337" s="404"/>
      <c r="D337" s="221"/>
      <c r="E337" s="394" t="str">
        <f>IF(C335="","",VLOOKUP(D335,男子登録!$A$2:$O$2001,14,0)&amp;" ("&amp;VLOOKUP(D335,男子登録!$A$2:$O$2001,15,0)&amp;")")</f>
        <v/>
      </c>
      <c r="F337" s="394"/>
      <c r="G337" s="222" t="str">
        <f>IF(C335="","",(VLOOKUP(D335,男子登録!$A$2:$N$2001,9,0)))</f>
        <v/>
      </c>
      <c r="H337" s="222"/>
      <c r="I337" s="222" t="s">
        <v>4021</v>
      </c>
      <c r="J337" s="150"/>
      <c r="K337" s="222" t="s">
        <v>6760</v>
      </c>
      <c r="L337" s="150"/>
      <c r="M337" s="255"/>
      <c r="N337" s="256"/>
      <c r="O337" s="257"/>
      <c r="P337" s="149"/>
      <c r="Q337" s="399"/>
      <c r="R337" s="392"/>
      <c r="S337" s="136"/>
      <c r="T337" s="137"/>
      <c r="U337" s="137"/>
      <c r="V337" s="137"/>
      <c r="W337" s="137"/>
      <c r="X337" s="137"/>
      <c r="Y337" s="218">
        <f t="shared" ref="Y337" si="3795">IF(OR(E335="",J337=""),0,J337&amp;E335)</f>
        <v>0</v>
      </c>
      <c r="Z337" s="218">
        <f>IF(Y337=0,0,COUNTIF($Y$7:Y337,Y337))</f>
        <v>0</v>
      </c>
      <c r="AD337" s="218">
        <f>IFERROR(VLOOKUP(J337,競技会設定!$P$2:$S$22,2,0),0)</f>
        <v>0</v>
      </c>
      <c r="AE337" s="218">
        <f t="shared" ref="AE337" si="3796">IF(E335="",0,IF(AD337=0,0,IF(AD337&lt;3,E335&amp;$AE$6,0)))</f>
        <v>0</v>
      </c>
      <c r="AF337" s="218">
        <f>IF(AE337=0,0,E335&amp;COUNTIF($AE$7:AE337,AE337))</f>
        <v>0</v>
      </c>
      <c r="AG337" s="218">
        <f t="shared" ref="AG337" si="3797">IF(E335="",0,IF(AD337=0,0,IF(AD337&gt;=3,E335&amp;$AG$6,0)))</f>
        <v>0</v>
      </c>
      <c r="AH337" s="218">
        <f>IF(AG337=0,0,E335&amp;COUNTIF($AG$7:AG337,AG337))</f>
        <v>0</v>
      </c>
      <c r="AI337" s="218">
        <f t="shared" ref="AI337:AI385" si="3798">IF(COUNTIF(Y337,"*十種*")&gt;0,0,IF($AD337=AI$6,$E335,0))</f>
        <v>0</v>
      </c>
      <c r="AJ337" s="218" t="b">
        <f>IF(AI337=0,FALSE,IF(COUNTIF(AI$7:AI337,AI337)&gt;1,TRUE,FALSE))</f>
        <v>0</v>
      </c>
      <c r="AK337" s="218">
        <f t="shared" ref="AK337" si="3799">IF($AD337=AK$6,$E335,0)</f>
        <v>0</v>
      </c>
      <c r="AL337" s="218" t="b">
        <f>IF(AK337=0,FALSE,IF(COUNTIF(AK$7:AK337,AK337)&gt;1,TRUE,FALSE))</f>
        <v>0</v>
      </c>
      <c r="AM337" s="218">
        <f t="shared" ref="AM337" si="3800">IF($AD337=AM$6,$E335,0)</f>
        <v>0</v>
      </c>
      <c r="AN337" s="218" t="b">
        <f>IF(AM337=0,FALSE,IF(COUNTIF(AM$7:AM337,AM337)&gt;1,TRUE,FALSE))</f>
        <v>0</v>
      </c>
      <c r="AO337" s="218">
        <f t="shared" ref="AO337" si="3801">IF($AD337=AO$6,$E335,0)</f>
        <v>0</v>
      </c>
      <c r="AP337" s="218" t="b">
        <f>IF(AO337=0,FALSE,IF(COUNTIF(AO$7:AO337,AO337)&gt;1,TRUE,FALSE))</f>
        <v>0</v>
      </c>
      <c r="AQ337" s="218">
        <f t="shared" ref="AQ337" si="3802">IF(COUNTIF(Y337,"*十種競技*")&gt;0,E335,0)</f>
        <v>0</v>
      </c>
      <c r="AR337" s="218" t="b">
        <f>IF(AQ337=0,FALSE,IF(OR(COUNTIF($AI$7:$AI$406,AQ337)+COUNTIF($AQ337:$AQ$406,AQ337)&gt;1,COUNTIF($AK$7:$AK$406,AQ337)+COUNTIF($AQ$7:$AQ$406,AQ337)&gt;1),TRUE,FALSE))</f>
        <v>0</v>
      </c>
      <c r="AT337" s="218" t="b">
        <f t="shared" si="3694"/>
        <v>0</v>
      </c>
      <c r="AU337" s="274"/>
      <c r="AX337" s="274"/>
      <c r="BD337" s="218" t="b">
        <f t="shared" si="3681"/>
        <v>0</v>
      </c>
      <c r="BF337" s="231" t="b">
        <f t="shared" ref="BF337" si="3803">IF(J337="",FALSE,IF(OR(AND(AU335,L337=""),AND(AU335,L337="",OR(M337&lt;&gt;"",N337&lt;&gt;"",O337&lt;&gt;"",P337&lt;&gt;""))),TRUE,FALSE))</f>
        <v>0</v>
      </c>
      <c r="BG337" s="218" t="b">
        <f t="shared" si="3683"/>
        <v>0</v>
      </c>
      <c r="BH337" s="218" t="b">
        <f t="shared" si="3696"/>
        <v>0</v>
      </c>
      <c r="BI337" s="231" t="b">
        <f t="shared" ref="BI337" si="3804">IF(J337="",FALSE,IF(L337=0,FALSE,IF(AND(AU335,NOT(BF337),OR(M337="",N337="",O337="")),TRUE,FALSE)))</f>
        <v>0</v>
      </c>
      <c r="BJ337" s="240" t="b">
        <f t="shared" si="3698"/>
        <v>0</v>
      </c>
      <c r="BK337" s="231" t="b">
        <f>IF(NOT(BJ337),FALSE,IF(AND(競技会設定!$C$5&lt;=BJ337,BJ337&lt;=競技会設定!$C$6),FALSE,TRUE))</f>
        <v>0</v>
      </c>
      <c r="BL337" s="218" t="b">
        <f>IF(J337="",FALSE,IF(L337=0,FALSE,IF(AND(AU335,NOT(BF337),NOT(BI337),P337=""),TRUE,FALSE)))</f>
        <v>0</v>
      </c>
      <c r="BO337" s="274"/>
    </row>
    <row r="338" spans="1:67" ht="18" customHeight="1" thickBot="1">
      <c r="A338" s="419"/>
      <c r="B338" s="395" t="s">
        <v>6764</v>
      </c>
      <c r="C338" s="395"/>
      <c r="D338" s="221"/>
      <c r="E338" s="372"/>
      <c r="F338" s="372"/>
      <c r="G338" s="372"/>
      <c r="H338" s="214"/>
      <c r="I338" s="214" t="s">
        <v>6759</v>
      </c>
      <c r="J338" s="219"/>
      <c r="K338" s="214" t="s">
        <v>6761</v>
      </c>
      <c r="L338" s="219"/>
      <c r="M338" s="258"/>
      <c r="N338" s="259"/>
      <c r="O338" s="260"/>
      <c r="P338" s="219"/>
      <c r="Q338" s="400"/>
      <c r="R338" s="393"/>
      <c r="S338" s="136"/>
      <c r="T338" s="137"/>
      <c r="U338" s="137"/>
      <c r="V338" s="137"/>
      <c r="W338" s="137"/>
      <c r="X338" s="137"/>
      <c r="Y338" s="218">
        <f t="shared" ref="Y338" si="3805">IF(OR(E335="",J338=""),0,J338&amp;E335)</f>
        <v>0</v>
      </c>
      <c r="Z338" s="218">
        <f>IF(Y338=0,0,COUNTIF($Y$7:Y338,Y338))</f>
        <v>0</v>
      </c>
      <c r="AD338" s="218">
        <f>IFERROR(VLOOKUP(J338,競技会設定!$P$2:$S$22,2,0),0)</f>
        <v>0</v>
      </c>
      <c r="AE338" s="218">
        <f t="shared" ref="AE338" si="3806">IF(E335="",0,IF(AD338=0,0,IF(AD338&lt;3,E335&amp;$AE$6,0)))</f>
        <v>0</v>
      </c>
      <c r="AF338" s="218">
        <f>IF(AE338=0,0,E335&amp;COUNTIF($AE$7:AE338,AE338))</f>
        <v>0</v>
      </c>
      <c r="AG338" s="218">
        <f t="shared" ref="AG338" si="3807">IF(E335="",0,IF(AD338=0,0,IF(AD338&gt;=3,E335&amp;$AG$6,0)))</f>
        <v>0</v>
      </c>
      <c r="AH338" s="218">
        <f>IF(AG338=0,0,E335&amp;COUNTIF($AG$7:AG338,AG338))</f>
        <v>0</v>
      </c>
      <c r="AI338" s="218">
        <f t="shared" ref="AI338:AI386" si="3808">IF(COUNTIF(Y338,"*十種*")&gt;0,0,IF($AD338=AI$6,$E335,0))</f>
        <v>0</v>
      </c>
      <c r="AJ338" s="218" t="b">
        <f>IF(AI338=0,FALSE,IF(COUNTIF(AI$7:AI338,AI338)&gt;1,TRUE,FALSE))</f>
        <v>0</v>
      </c>
      <c r="AK338" s="218">
        <f t="shared" ref="AK338" si="3809">IF($AD338=AK$6,$E335,0)</f>
        <v>0</v>
      </c>
      <c r="AL338" s="218" t="b">
        <f>IF(AK338=0,FALSE,IF(COUNTIF(AK$7:AK338,AK338)&gt;1,TRUE,FALSE))</f>
        <v>0</v>
      </c>
      <c r="AM338" s="218">
        <f t="shared" ref="AM338" si="3810">IF($AD338=AM$6,$E335,0)</f>
        <v>0</v>
      </c>
      <c r="AN338" s="218" t="b">
        <f>IF(AM338=0,FALSE,IF(COUNTIF(AM$7:AM338,AM338)&gt;1,TRUE,FALSE))</f>
        <v>0</v>
      </c>
      <c r="AO338" s="218">
        <f t="shared" ref="AO338" si="3811">IF($AD338=AO$6,$E335,0)</f>
        <v>0</v>
      </c>
      <c r="AP338" s="218" t="b">
        <f>IF(AO338=0,FALSE,IF(COUNTIF(AO$7:AO338,AO338)&gt;1,TRUE,FALSE))</f>
        <v>0</v>
      </c>
      <c r="AQ338" s="218">
        <f t="shared" ref="AQ338" si="3812">IF(COUNTIF(Y338,"*十種競技*")&gt;0,E335,0)</f>
        <v>0</v>
      </c>
      <c r="AR338" s="218" t="b">
        <f>IF(AQ338=0,FALSE,IF(OR(COUNTIF($AI$7:$AI$406,AQ338)+COUNTIF($AQ338:$AQ$406,AQ338)&gt;1,COUNTIF($AK$7:$AK$406,AQ338)+COUNTIF($AQ$7:$AQ$406,AQ338)&gt;1),TRUE,FALSE))</f>
        <v>0</v>
      </c>
      <c r="AT338" s="218" t="b">
        <f t="shared" si="3694"/>
        <v>0</v>
      </c>
      <c r="AU338" s="274"/>
      <c r="AX338" s="274"/>
      <c r="BD338" s="218" t="b">
        <f t="shared" si="3681"/>
        <v>0</v>
      </c>
      <c r="BF338" s="231" t="b">
        <f t="shared" ref="BF338" si="3813">IF(J338="",FALSE,IF(OR(AND(AU335,L338=""),AND(AU335,L338="",OR(M338&lt;&gt;"",N338&lt;&gt;"",O338&lt;&gt;"",P338&lt;&gt;""))),TRUE,FALSE))</f>
        <v>0</v>
      </c>
      <c r="BG338" s="218" t="b">
        <f t="shared" si="3683"/>
        <v>0</v>
      </c>
      <c r="BH338" s="218" t="b">
        <f t="shared" si="3696"/>
        <v>0</v>
      </c>
      <c r="BI338" s="231" t="b">
        <f t="shared" ref="BI338" si="3814">IF(J338="",FALSE,IF(L338=0,FALSE,IF(AND(AU335,NOT(BF338),OR(M338="",N338="",O338="")),TRUE,FALSE)))</f>
        <v>0</v>
      </c>
      <c r="BJ338" s="240" t="b">
        <f t="shared" si="3698"/>
        <v>0</v>
      </c>
      <c r="BK338" s="231" t="b">
        <f>IF(NOT(BJ338),FALSE,IF(AND(競技会設定!$C$5&lt;=BJ338,BJ338&lt;=競技会設定!$C$6),FALSE,TRUE))</f>
        <v>0</v>
      </c>
      <c r="BL338" s="218" t="b">
        <f>IF(J338="",FALSE,IF(L338=0,FALSE,IF(AND(AU335,NOT(BF338),NOT(BI338),P338=""),TRUE,FALSE)))</f>
        <v>0</v>
      </c>
      <c r="BO338" s="274"/>
    </row>
    <row r="339" spans="1:67" ht="18" customHeight="1" thickTop="1">
      <c r="A339" s="420">
        <v>84</v>
      </c>
      <c r="B339" s="373" t="s">
        <v>4018</v>
      </c>
      <c r="C339" s="375"/>
      <c r="D339" s="138" t="str">
        <f t="shared" ref="D339" si="3815">IF(C339="","",501&amp;TEXT(C339,"000000"))</f>
        <v/>
      </c>
      <c r="E339" s="377" t="str">
        <f>IF(D339="","",(VLOOKUP(D339,男子登録!$A$2:$N$2001,3,0)))</f>
        <v/>
      </c>
      <c r="F339" s="377" t="str">
        <f>IF(D339="","",(VLOOKUP(D339,男子登録!$A$2:$N$2001,4,0)))</f>
        <v/>
      </c>
      <c r="G339" s="138" t="str">
        <f>IF(C339="","",(VLOOKUP(D339,男子登録!$A$2:$N$2001,8,0)))</f>
        <v/>
      </c>
      <c r="H339" s="138">
        <f>IFERROR(VLOOKUP(D339,男子登録!$A$2:$N$2001,11,0),基本情報!$E$5)</f>
        <v>0</v>
      </c>
      <c r="I339" s="138" t="s">
        <v>4019</v>
      </c>
      <c r="J339" s="151"/>
      <c r="K339" s="138" t="s">
        <v>4022</v>
      </c>
      <c r="L339" s="151"/>
      <c r="M339" s="261"/>
      <c r="N339" s="262"/>
      <c r="O339" s="263"/>
      <c r="P339" s="151"/>
      <c r="Q339" s="381"/>
      <c r="R339" s="384"/>
      <c r="S339" s="136">
        <f t="shared" ref="S339" si="3816">IF(OR(E339="",Q339=""),0,E339)</f>
        <v>0</v>
      </c>
      <c r="T339" s="137">
        <f>IF(S339=0,0,COUNTIF($S$7:S339,"*"))</f>
        <v>0</v>
      </c>
      <c r="U339" s="137">
        <f>IF(S339=0,0,COUNTIF($S$7:S339,S339))</f>
        <v>0</v>
      </c>
      <c r="V339" s="137">
        <f t="shared" si="3171"/>
        <v>0</v>
      </c>
      <c r="W339" s="137">
        <f>IF(V339=0,0,COUNTIF($V$7:V339,"*"))</f>
        <v>0</v>
      </c>
      <c r="X339" s="137">
        <f>IF(V339=0,0,COUNTIF($V$7:V339,V339))</f>
        <v>0</v>
      </c>
      <c r="Y339" s="218">
        <f t="shared" ref="Y339" si="3817">IF(OR(E339="",J339=""),0,J339&amp;E339)</f>
        <v>0</v>
      </c>
      <c r="Z339" s="218">
        <f>IF(Y339=0,0,COUNTIF($Y$7:Y339,Y339))</f>
        <v>0</v>
      </c>
      <c r="AA339" s="218" t="b">
        <f t="shared" ref="AA339" si="3818">IF(COUNTIF(J339:J342,"十種競技")&gt;0,TRUE,FALSE)</f>
        <v>0</v>
      </c>
      <c r="AB339" s="218">
        <f>IF(E339="",0,IF(AA339,COUNTIF($AA$7:AA339,TRUE),0))</f>
        <v>0</v>
      </c>
      <c r="AC339" s="218">
        <f>IFERROR(VLOOKUP("十種競技",J339:L342,3,0),0)</f>
        <v>0</v>
      </c>
      <c r="AD339" s="218">
        <f>IFERROR(VLOOKUP(J339,競技会設定!$P$2:$S$22,2,0),0)</f>
        <v>0</v>
      </c>
      <c r="AE339" s="218">
        <f t="shared" ref="AE339" si="3819">IF(E339="",0,IF(AD339=0,0,IF(AD339&lt;3,E339&amp;$AE$6,0)))</f>
        <v>0</v>
      </c>
      <c r="AF339" s="218">
        <f>IF(AE339=0,0,E339&amp;COUNTIF($AE$7:AE339,AE339))</f>
        <v>0</v>
      </c>
      <c r="AG339" s="218">
        <f t="shared" ref="AG339" si="3820">IF(E339="",0,IF(AD339=0,0,IF(AD339&gt;=3,E339&amp;$AG$6,0)))</f>
        <v>0</v>
      </c>
      <c r="AH339" s="218">
        <f>IF(AG339=0,0,E339&amp;COUNTIF($AG$7:AG339,AG339))</f>
        <v>0</v>
      </c>
      <c r="AI339" s="218">
        <f t="shared" ref="AI339:AI387" si="3821">IF(COUNTIF(Y339,"*十種*")&gt;0,0,IF($AD339=AI$6,$E339,0))</f>
        <v>0</v>
      </c>
      <c r="AJ339" s="218" t="b">
        <f>IF(AI339=0,FALSE,IF(COUNTIF(AI$7:AI339,AI339)&gt;1,TRUE,FALSE))</f>
        <v>0</v>
      </c>
      <c r="AK339" s="218">
        <f t="shared" ref="AK339" si="3822">IF($AD339=AK$6,$E339,0)</f>
        <v>0</v>
      </c>
      <c r="AL339" s="218" t="b">
        <f>IF(AK339=0,FALSE,IF(COUNTIF(AK$7:AK339,AK339)&gt;1,TRUE,FALSE))</f>
        <v>0</v>
      </c>
      <c r="AM339" s="218">
        <f t="shared" ref="AM339" si="3823">IF($AD339=AM$6,$E339,0)</f>
        <v>0</v>
      </c>
      <c r="AN339" s="218" t="b">
        <f>IF(AM339=0,FALSE,IF(COUNTIF(AM$7:AM339,AM339)&gt;1,TRUE,FALSE))</f>
        <v>0</v>
      </c>
      <c r="AO339" s="218">
        <f t="shared" ref="AO339" si="3824">IF($AD339=AO$6,$E339,0)</f>
        <v>0</v>
      </c>
      <c r="AP339" s="218" t="b">
        <f>IF(AO339=0,FALSE,IF(COUNTIF(AO$7:AO339,AO339)&gt;1,TRUE,FALSE))</f>
        <v>0</v>
      </c>
      <c r="AQ339" s="218">
        <f t="shared" ref="AQ339" si="3825">IF(COUNTIF(Y339,"*十種競技*")&gt;0,E339,0)</f>
        <v>0</v>
      </c>
      <c r="AR339" s="218" t="b">
        <f>IF(AQ339=0,FALSE,IF(OR(COUNTIF($AI$7:$AI$406,AQ339)+COUNTIF($AQ339:$AQ$406,AQ339)&gt;1,COUNTIF($AK$7:$AK$406,AQ339)+COUNTIF($AQ$7:$AQ$406,AQ339)&gt;1),TRUE,FALSE))</f>
        <v>0</v>
      </c>
      <c r="AS339" s="218" t="b">
        <f t="shared" ref="AS339" si="3826">IF(AND(C339="",E339&lt;&gt;"",F339&lt;&gt;"",E341&lt;&gt;"",G339&lt;&gt;"",G340&lt;&gt;"",G341&lt;&gt;""),TRUE,FALSE)</f>
        <v>0</v>
      </c>
      <c r="AT339" s="218" t="b">
        <f t="shared" si="3694"/>
        <v>0</v>
      </c>
      <c r="AU339" s="274" t="b">
        <f t="shared" ref="AU339" si="3827">IFERROR(IF(D339&amp;E339&amp;F339&amp;E341&amp;G339&amp;G340&amp;G341&amp;J339&amp;J340&amp;J341&amp;J342&amp;L339&amp;L340&amp;L341&amp;L342&amp;M339&amp;M340&amp;M341&amp;M342&amp;N339&amp;N340&amp;N341&amp;N342&amp;O339&amp;O340&amp;O341&amp;O342&amp;P339&amp;P340&amp;P341&amp;P342&amp;Q339&amp;R339="",FALSE,TRUE),FALSE)</f>
        <v>0</v>
      </c>
      <c r="AV339" s="218" t="b">
        <f t="shared" ref="AV339" si="3828">IF(AS339,FALSE,IF(C339="",AU339,FALSE))</f>
        <v>0</v>
      </c>
      <c r="AW339" s="218" t="b">
        <f>IF(C339="",FALSE,IF(C339&gt;2000,TRUE,FALSE))</f>
        <v>0</v>
      </c>
      <c r="AX339" s="274" t="b">
        <f>IF(H339=0,FALSE,IF(EXACT(基本情報!$E$5,H339)=TRUE,FALSE,TRUE))</f>
        <v>0</v>
      </c>
      <c r="AY339" s="218" t="b">
        <f>IF(C339="",FALSE,IF(ISNA(E339)=TRUE,TRUE,FALSE))</f>
        <v>0</v>
      </c>
      <c r="AZ339" s="274" t="b">
        <f>IFERROR(IF(E339="",FALSE,IF(COUNTIF($E$7:E339,E339)&gt;1,TRUE,FALSE)),FALSE)</f>
        <v>0</v>
      </c>
      <c r="BA339" s="218" t="b">
        <f t="shared" ref="BA339" si="3829">IF(OR(J339&amp;J340&amp;J341&amp;J342&amp;Q339&amp;R339="",AT339,AT340,AT341,AT342),AU339,FALSE)</f>
        <v>0</v>
      </c>
      <c r="BB339" s="218" t="b">
        <f>IF(U339&gt;1,TRUE,FALSE)</f>
        <v>0</v>
      </c>
      <c r="BC339" s="218" t="b">
        <f>IF(X339&gt;1,TRUE,FALSE)</f>
        <v>0</v>
      </c>
      <c r="BD339" s="218" t="b">
        <f t="shared" si="3681"/>
        <v>0</v>
      </c>
      <c r="BF339" s="231" t="b">
        <f t="shared" ref="BF339" si="3830">IF(J339="",FALSE,IF(OR(AND(AU339,L339=""),AND(AU339,L339="",OR(M339&lt;&gt;"",N339&lt;&gt;"",O339&lt;&gt;"",P339&lt;&gt;""))),TRUE,FALSE))</f>
        <v>0</v>
      </c>
      <c r="BG339" s="218" t="b">
        <f t="shared" si="3683"/>
        <v>0</v>
      </c>
      <c r="BH339" s="218" t="b">
        <f t="shared" si="3696"/>
        <v>0</v>
      </c>
      <c r="BI339" s="231" t="b">
        <f t="shared" ref="BI339" si="3831">IF(J339="",FALSE,IF(L339=0,FALSE,IF(AND(AU339,NOT(BF339),OR(M339="",N339="",O339="")),TRUE,FALSE)))</f>
        <v>0</v>
      </c>
      <c r="BJ339" s="240" t="b">
        <f t="shared" si="3698"/>
        <v>0</v>
      </c>
      <c r="BK339" s="231" t="b">
        <f>IF(NOT(BJ339),FALSE,IF(AND(競技会設定!$C$5&lt;=BJ339,BJ339&lt;=競技会設定!$C$6),FALSE,TRUE))</f>
        <v>0</v>
      </c>
      <c r="BL339" s="218" t="b">
        <f>IF(J339="",FALSE,IF(L339=0,FALSE,IF(AND(AU339,NOT(BF339),NOT(BI339),P339=""),TRUE,FALSE)))</f>
        <v>0</v>
      </c>
      <c r="BO339" s="274">
        <f t="shared" ref="BO339" si="3832">IF(AND(AU339,SUM(COUNTIF(AV339:BC339,TRUE),COUNTIF(BF339:BL342,TRUE),COUNTIF(BD339:BD342,TRUE))=0,NOT($BE$7)),1,0)</f>
        <v>0</v>
      </c>
    </row>
    <row r="340" spans="1:67" ht="17.399999999999999" customHeight="1">
      <c r="A340" s="421"/>
      <c r="B340" s="374"/>
      <c r="C340" s="376"/>
      <c r="D340" s="139"/>
      <c r="E340" s="378"/>
      <c r="F340" s="378"/>
      <c r="G340" s="139" t="str">
        <f>IF(C339="","",(VLOOKUP(D339,男子登録!$A$2:$N$2001,13,0)))</f>
        <v/>
      </c>
      <c r="H340" s="139"/>
      <c r="I340" s="139" t="s">
        <v>4020</v>
      </c>
      <c r="J340" s="152"/>
      <c r="K340" s="139" t="s">
        <v>4023</v>
      </c>
      <c r="L340" s="152"/>
      <c r="M340" s="264"/>
      <c r="N340" s="265"/>
      <c r="O340" s="266"/>
      <c r="P340" s="152"/>
      <c r="Q340" s="382"/>
      <c r="R340" s="385"/>
      <c r="S340" s="136"/>
      <c r="T340" s="137"/>
      <c r="U340" s="137"/>
      <c r="V340" s="137"/>
      <c r="W340" s="137"/>
      <c r="X340" s="137"/>
      <c r="Y340" s="218">
        <f t="shared" ref="Y340" si="3833">IF(OR(E339="",J340=""),0,J340&amp;E339)</f>
        <v>0</v>
      </c>
      <c r="Z340" s="218">
        <f>IF(Y340=0,0,COUNTIF($Y$7:Y340,Y340))</f>
        <v>0</v>
      </c>
      <c r="AD340" s="218">
        <f>IFERROR(VLOOKUP(J340,競技会設定!$P$2:$S$22,2,0),0)</f>
        <v>0</v>
      </c>
      <c r="AE340" s="218">
        <f t="shared" ref="AE340" si="3834">IF(E339="",0,IF(AD340=0,0,IF(AD340&lt;3,E339&amp;$AE$6,0)))</f>
        <v>0</v>
      </c>
      <c r="AF340" s="218">
        <f>IF(AE340=0,0,E339&amp;COUNTIF($AE$7:AE340,AE340))</f>
        <v>0</v>
      </c>
      <c r="AG340" s="218">
        <f t="shared" ref="AG340" si="3835">IF(E339="",0,IF(AD340=0,0,IF(AD340&gt;=3,E339&amp;$AG$6,0)))</f>
        <v>0</v>
      </c>
      <c r="AH340" s="218">
        <f>IF(AG340=0,0,E339&amp;COUNTIF($AG$7:AG340,AG340))</f>
        <v>0</v>
      </c>
      <c r="AI340" s="218">
        <f t="shared" ref="AI340:AI388" si="3836">IF(COUNTIF(Y340,"*十種*")&gt;0,0,IF($AD340=AI$6,$E339,0))</f>
        <v>0</v>
      </c>
      <c r="AJ340" s="218" t="b">
        <f>IF(AI340=0,FALSE,IF(COUNTIF(AI$7:AI340,AI340)&gt;1,TRUE,FALSE))</f>
        <v>0</v>
      </c>
      <c r="AK340" s="218">
        <f t="shared" ref="AK340" si="3837">IF($AD340=AK$6,$E339,0)</f>
        <v>0</v>
      </c>
      <c r="AL340" s="218" t="b">
        <f>IF(AK340=0,FALSE,IF(COUNTIF(AK$7:AK340,AK340)&gt;1,TRUE,FALSE))</f>
        <v>0</v>
      </c>
      <c r="AM340" s="218">
        <f t="shared" ref="AM340" si="3838">IF($AD340=AM$6,$E339,0)</f>
        <v>0</v>
      </c>
      <c r="AN340" s="218" t="b">
        <f>IF(AM340=0,FALSE,IF(COUNTIF(AM$7:AM340,AM340)&gt;1,TRUE,FALSE))</f>
        <v>0</v>
      </c>
      <c r="AO340" s="218">
        <f t="shared" ref="AO340" si="3839">IF($AD340=AO$6,$E339,0)</f>
        <v>0</v>
      </c>
      <c r="AP340" s="218" t="b">
        <f>IF(AO340=0,FALSE,IF(COUNTIF(AO$7:AO340,AO340)&gt;1,TRUE,FALSE))</f>
        <v>0</v>
      </c>
      <c r="AQ340" s="218">
        <f t="shared" ref="AQ340" si="3840">IF(COUNTIF(Y340,"*十種競技*")&gt;0,E339,0)</f>
        <v>0</v>
      </c>
      <c r="AR340" s="218" t="b">
        <f>IF(AQ340=0,FALSE,IF(OR(COUNTIF($AI$7:$AI$406,AQ340)+COUNTIF($AQ340:$AQ$406,AQ340)&gt;1,COUNTIF($AK$7:$AK$406,AQ340)+COUNTIF($AQ$7:$AQ$406,AQ340)&gt;1),TRUE,FALSE))</f>
        <v>0</v>
      </c>
      <c r="AT340" s="218" t="b">
        <f t="shared" si="3694"/>
        <v>0</v>
      </c>
      <c r="AU340" s="274"/>
      <c r="AX340" s="274"/>
      <c r="BD340" s="218" t="b">
        <f t="shared" si="3681"/>
        <v>0</v>
      </c>
      <c r="BF340" s="231" t="b">
        <f t="shared" ref="BF340" si="3841">IF(J340="",FALSE,IF(OR(AND(AU339,L340=""),AND(AU339,L340="",OR(M340&lt;&gt;"",N340&lt;&gt;"",O340&lt;&gt;"",P340&lt;&gt;""))),TRUE,FALSE))</f>
        <v>0</v>
      </c>
      <c r="BG340" s="218" t="b">
        <f t="shared" si="3683"/>
        <v>0</v>
      </c>
      <c r="BH340" s="218" t="b">
        <f t="shared" si="3696"/>
        <v>0</v>
      </c>
      <c r="BI340" s="231" t="b">
        <f t="shared" ref="BI340" si="3842">IF(J340="",FALSE,IF(L340=0,FALSE,IF(AND(AU339,NOT(BF340),OR(M340="",N340="",O340="")),TRUE,FALSE)))</f>
        <v>0</v>
      </c>
      <c r="BJ340" s="240" t="b">
        <f t="shared" si="3698"/>
        <v>0</v>
      </c>
      <c r="BK340" s="231" t="b">
        <f>IF(NOT(BJ340),FALSE,IF(AND(競技会設定!$C$5&lt;=BJ340,BJ340&lt;=競技会設定!$C$6),FALSE,TRUE))</f>
        <v>0</v>
      </c>
      <c r="BL340" s="218" t="b">
        <f>IF(J340="",FALSE,IF(L340=0,FALSE,IF(AND(AU339,NOT(BF340),NOT(BI340),P340=""),TRUE,FALSE)))</f>
        <v>0</v>
      </c>
      <c r="BO340" s="274"/>
    </row>
    <row r="341" spans="1:67" ht="17.399999999999999" customHeight="1">
      <c r="A341" s="421"/>
      <c r="B341" s="374"/>
      <c r="C341" s="376"/>
      <c r="D341" s="140"/>
      <c r="E341" s="379" t="str">
        <f>IF(C339="","",VLOOKUP(D339,男子登録!$A$2:$O$2001,14,0)&amp;" ("&amp;VLOOKUP(D339,男子登録!$A$2:$O$2001,15,0)&amp;")")</f>
        <v/>
      </c>
      <c r="F341" s="380"/>
      <c r="G341" s="140" t="str">
        <f>IF(C339="","",(VLOOKUP(D339,男子登録!$A$2:$N$2001,9,0)))</f>
        <v/>
      </c>
      <c r="H341" s="140"/>
      <c r="I341" s="140" t="s">
        <v>4021</v>
      </c>
      <c r="J341" s="153"/>
      <c r="K341" s="140" t="s">
        <v>6760</v>
      </c>
      <c r="L341" s="153"/>
      <c r="M341" s="264"/>
      <c r="N341" s="265"/>
      <c r="O341" s="266"/>
      <c r="P341" s="152"/>
      <c r="Q341" s="382"/>
      <c r="R341" s="385"/>
      <c r="S341" s="136"/>
      <c r="T341" s="137"/>
      <c r="U341" s="137"/>
      <c r="V341" s="137"/>
      <c r="W341" s="137"/>
      <c r="X341" s="137"/>
      <c r="Y341" s="218">
        <f t="shared" ref="Y341" si="3843">IF(OR(E339="",J341=""),0,J341&amp;E339)</f>
        <v>0</v>
      </c>
      <c r="Z341" s="218">
        <f>IF(Y341=0,0,COUNTIF($Y$7:Y341,Y341))</f>
        <v>0</v>
      </c>
      <c r="AD341" s="218">
        <f>IFERROR(VLOOKUP(J341,競技会設定!$P$2:$S$22,2,0),0)</f>
        <v>0</v>
      </c>
      <c r="AE341" s="218">
        <f t="shared" ref="AE341" si="3844">IF(E339="",0,IF(AD341=0,0,IF(AD341&lt;3,E339&amp;$AE$6,0)))</f>
        <v>0</v>
      </c>
      <c r="AF341" s="218">
        <f>IF(AE341=0,0,E339&amp;COUNTIF($AE$7:AE341,AE341))</f>
        <v>0</v>
      </c>
      <c r="AG341" s="218">
        <f t="shared" ref="AG341" si="3845">IF(E339="",0,IF(AD341=0,0,IF(AD341&gt;=3,E339&amp;$AG$6,0)))</f>
        <v>0</v>
      </c>
      <c r="AH341" s="218">
        <f>IF(AG341=0,0,E339&amp;COUNTIF($AG$7:AG341,AG341))</f>
        <v>0</v>
      </c>
      <c r="AI341" s="218">
        <f t="shared" ref="AI341:AI389" si="3846">IF(COUNTIF(Y341,"*十種*")&gt;0,0,IF($AD341=AI$6,$E339,0))</f>
        <v>0</v>
      </c>
      <c r="AJ341" s="218" t="b">
        <f>IF(AI341=0,FALSE,IF(COUNTIF(AI$7:AI341,AI341)&gt;1,TRUE,FALSE))</f>
        <v>0</v>
      </c>
      <c r="AK341" s="218">
        <f t="shared" ref="AK341" si="3847">IF($AD341=AK$6,$E339,0)</f>
        <v>0</v>
      </c>
      <c r="AL341" s="218" t="b">
        <f>IF(AK341=0,FALSE,IF(COUNTIF(AK$7:AK341,AK341)&gt;1,TRUE,FALSE))</f>
        <v>0</v>
      </c>
      <c r="AM341" s="218">
        <f t="shared" ref="AM341" si="3848">IF($AD341=AM$6,$E339,0)</f>
        <v>0</v>
      </c>
      <c r="AN341" s="218" t="b">
        <f>IF(AM341=0,FALSE,IF(COUNTIF(AM$7:AM341,AM341)&gt;1,TRUE,FALSE))</f>
        <v>0</v>
      </c>
      <c r="AO341" s="218">
        <f t="shared" ref="AO341" si="3849">IF($AD341=AO$6,$E339,0)</f>
        <v>0</v>
      </c>
      <c r="AP341" s="218" t="b">
        <f>IF(AO341=0,FALSE,IF(COUNTIF(AO$7:AO341,AO341)&gt;1,TRUE,FALSE))</f>
        <v>0</v>
      </c>
      <c r="AQ341" s="218">
        <f t="shared" ref="AQ341" si="3850">IF(COUNTIF(Y341,"*十種競技*")&gt;0,E339,0)</f>
        <v>0</v>
      </c>
      <c r="AR341" s="218" t="b">
        <f>IF(AQ341=0,FALSE,IF(OR(COUNTIF($AI$7:$AI$406,AQ341)+COUNTIF($AQ341:$AQ$406,AQ341)&gt;1,COUNTIF($AK$7:$AK$406,AQ341)+COUNTIF($AQ$7:$AQ$406,AQ341)&gt;1),TRUE,FALSE))</f>
        <v>0</v>
      </c>
      <c r="AT341" s="218" t="b">
        <f t="shared" si="3694"/>
        <v>0</v>
      </c>
      <c r="AU341" s="274"/>
      <c r="AX341" s="274"/>
      <c r="BD341" s="218" t="b">
        <f t="shared" si="3681"/>
        <v>0</v>
      </c>
      <c r="BF341" s="231" t="b">
        <f t="shared" ref="BF341" si="3851">IF(J341="",FALSE,IF(OR(AND(AU339,L341=""),AND(AU339,L341="",OR(M341&lt;&gt;"",N341&lt;&gt;"",O341&lt;&gt;"",P341&lt;&gt;""))),TRUE,FALSE))</f>
        <v>0</v>
      </c>
      <c r="BG341" s="218" t="b">
        <f t="shared" si="3683"/>
        <v>0</v>
      </c>
      <c r="BH341" s="218" t="b">
        <f t="shared" si="3696"/>
        <v>0</v>
      </c>
      <c r="BI341" s="231" t="b">
        <f t="shared" ref="BI341" si="3852">IF(J341="",FALSE,IF(L341=0,FALSE,IF(AND(AU339,NOT(BF341),OR(M341="",N341="",O341="")),TRUE,FALSE)))</f>
        <v>0</v>
      </c>
      <c r="BJ341" s="240" t="b">
        <f t="shared" si="3698"/>
        <v>0</v>
      </c>
      <c r="BK341" s="231" t="b">
        <f>IF(NOT(BJ341),FALSE,IF(AND(競技会設定!$C$5&lt;=BJ341,BJ341&lt;=競技会設定!$C$6),FALSE,TRUE))</f>
        <v>0</v>
      </c>
      <c r="BL341" s="218" t="b">
        <f>IF(J341="",FALSE,IF(L341=0,FALSE,IF(AND(AU339,NOT(BF341),NOT(BI341),P341=""),TRUE,FALSE)))</f>
        <v>0</v>
      </c>
      <c r="BO341" s="274"/>
    </row>
    <row r="342" spans="1:67" ht="18" customHeight="1" thickBot="1">
      <c r="A342" s="422"/>
      <c r="B342" s="387" t="s">
        <v>6764</v>
      </c>
      <c r="C342" s="387"/>
      <c r="D342" s="213"/>
      <c r="E342" s="388"/>
      <c r="F342" s="389"/>
      <c r="G342" s="390"/>
      <c r="H342" s="141"/>
      <c r="I342" s="213" t="s">
        <v>6759</v>
      </c>
      <c r="J342" s="154"/>
      <c r="K342" s="213" t="s">
        <v>6761</v>
      </c>
      <c r="L342" s="154"/>
      <c r="M342" s="267"/>
      <c r="N342" s="268"/>
      <c r="O342" s="269"/>
      <c r="P342" s="154"/>
      <c r="Q342" s="383"/>
      <c r="R342" s="386"/>
      <c r="S342" s="136"/>
      <c r="T342" s="137"/>
      <c r="U342" s="137"/>
      <c r="V342" s="137"/>
      <c r="W342" s="137"/>
      <c r="X342" s="137"/>
      <c r="Y342" s="218">
        <f t="shared" ref="Y342" si="3853">IF(OR(E339="",J342=""),0,J342&amp;E339)</f>
        <v>0</v>
      </c>
      <c r="Z342" s="218">
        <f>IF(Y342=0,0,COUNTIF($Y$7:Y342,Y342))</f>
        <v>0</v>
      </c>
      <c r="AD342" s="218">
        <f>IFERROR(VLOOKUP(J342,競技会設定!$P$2:$S$22,2,0),0)</f>
        <v>0</v>
      </c>
      <c r="AE342" s="218">
        <f t="shared" ref="AE342" si="3854">IF(E339="",0,IF(AD342=0,0,IF(AD342&lt;3,E339&amp;$AE$6,0)))</f>
        <v>0</v>
      </c>
      <c r="AF342" s="218">
        <f>IF(AE342=0,0,E339&amp;COUNTIF($AE$7:AE342,AE342))</f>
        <v>0</v>
      </c>
      <c r="AG342" s="218">
        <f t="shared" ref="AG342" si="3855">IF(E339="",0,IF(AD342=0,0,IF(AD342&gt;=3,E339&amp;$AG$6,0)))</f>
        <v>0</v>
      </c>
      <c r="AH342" s="218">
        <f>IF(AG342=0,0,E339&amp;COUNTIF($AG$7:AG342,AG342))</f>
        <v>0</v>
      </c>
      <c r="AI342" s="218">
        <f t="shared" ref="AI342:AI390" si="3856">IF(COUNTIF(Y342,"*十種*")&gt;0,0,IF($AD342=AI$6,$E339,0))</f>
        <v>0</v>
      </c>
      <c r="AJ342" s="218" t="b">
        <f>IF(AI342=0,FALSE,IF(COUNTIF(AI$7:AI342,AI342)&gt;1,TRUE,FALSE))</f>
        <v>0</v>
      </c>
      <c r="AK342" s="218">
        <f t="shared" ref="AK342" si="3857">IF($AD342=AK$6,$E339,0)</f>
        <v>0</v>
      </c>
      <c r="AL342" s="218" t="b">
        <f>IF(AK342=0,FALSE,IF(COUNTIF(AK$7:AK342,AK342)&gt;1,TRUE,FALSE))</f>
        <v>0</v>
      </c>
      <c r="AM342" s="218">
        <f t="shared" ref="AM342" si="3858">IF($AD342=AM$6,$E339,0)</f>
        <v>0</v>
      </c>
      <c r="AN342" s="218" t="b">
        <f>IF(AM342=0,FALSE,IF(COUNTIF(AM$7:AM342,AM342)&gt;1,TRUE,FALSE))</f>
        <v>0</v>
      </c>
      <c r="AO342" s="218">
        <f t="shared" ref="AO342" si="3859">IF($AD342=AO$6,$E339,0)</f>
        <v>0</v>
      </c>
      <c r="AP342" s="218" t="b">
        <f>IF(AO342=0,FALSE,IF(COUNTIF(AO$7:AO342,AO342)&gt;1,TRUE,FALSE))</f>
        <v>0</v>
      </c>
      <c r="AQ342" s="218">
        <f t="shared" ref="AQ342" si="3860">IF(COUNTIF(Y342,"*十種競技*")&gt;0,E339,0)</f>
        <v>0</v>
      </c>
      <c r="AR342" s="218" t="b">
        <f>IF(AQ342=0,FALSE,IF(OR(COUNTIF($AI$7:$AI$406,AQ342)+COUNTIF($AQ342:$AQ$406,AQ342)&gt;1,COUNTIF($AK$7:$AK$406,AQ342)+COUNTIF($AQ$7:$AQ$406,AQ342)&gt;1),TRUE,FALSE))</f>
        <v>0</v>
      </c>
      <c r="AT342" s="218" t="b">
        <f t="shared" si="3694"/>
        <v>0</v>
      </c>
      <c r="AU342" s="274"/>
      <c r="AX342" s="274"/>
      <c r="BD342" s="218" t="b">
        <f t="shared" si="3681"/>
        <v>0</v>
      </c>
      <c r="BF342" s="231" t="b">
        <f t="shared" ref="BF342" si="3861">IF(J342="",FALSE,IF(OR(AND(AU339,L342=""),AND(AU339,L342="",OR(M342&lt;&gt;"",N342&lt;&gt;"",O342&lt;&gt;"",P342&lt;&gt;""))),TRUE,FALSE))</f>
        <v>0</v>
      </c>
      <c r="BG342" s="218" t="b">
        <f t="shared" si="3683"/>
        <v>0</v>
      </c>
      <c r="BH342" s="218" t="b">
        <f t="shared" si="3696"/>
        <v>0</v>
      </c>
      <c r="BI342" s="231" t="b">
        <f t="shared" ref="BI342" si="3862">IF(J342="",FALSE,IF(L342=0,FALSE,IF(AND(AU339,NOT(BF342),OR(M342="",N342="",O342="")),TRUE,FALSE)))</f>
        <v>0</v>
      </c>
      <c r="BJ342" s="240" t="b">
        <f t="shared" si="3698"/>
        <v>0</v>
      </c>
      <c r="BK342" s="231" t="b">
        <f>IF(NOT(BJ342),FALSE,IF(AND(競技会設定!$C$5&lt;=BJ342,BJ342&lt;=競技会設定!$C$6),FALSE,TRUE))</f>
        <v>0</v>
      </c>
      <c r="BL342" s="218" t="b">
        <f>IF(J342="",FALSE,IF(L342=0,FALSE,IF(AND(AU339,NOT(BF342),NOT(BI342),P342=""),TRUE,FALSE)))</f>
        <v>0</v>
      </c>
      <c r="BO342" s="274"/>
    </row>
    <row r="343" spans="1:67" ht="18" customHeight="1" thickTop="1">
      <c r="A343" s="417">
        <v>85</v>
      </c>
      <c r="B343" s="401" t="s">
        <v>4018</v>
      </c>
      <c r="C343" s="403"/>
      <c r="D343" s="220" t="str">
        <f t="shared" ref="D343" si="3863">IF(C343="","",501&amp;TEXT(C343,"000000"))</f>
        <v/>
      </c>
      <c r="E343" s="396" t="str">
        <f>IF(D343="","",(VLOOKUP(D343,男子登録!$A$2:$N$2001,3,0)))</f>
        <v/>
      </c>
      <c r="F343" s="396" t="str">
        <f>IF(D343="","",(VLOOKUP(D343,男子登録!$A$2:$N$2001,4,0)))</f>
        <v/>
      </c>
      <c r="G343" s="220" t="str">
        <f>IF(C343="","",(VLOOKUP(D343,男子登録!$A$2:$N$2001,8,0)))</f>
        <v/>
      </c>
      <c r="H343" s="220">
        <f>IFERROR(VLOOKUP(D343,男子登録!$A$2:$N$2001,11,0),基本情報!$E$5)</f>
        <v>0</v>
      </c>
      <c r="I343" s="220" t="s">
        <v>4019</v>
      </c>
      <c r="J343" s="148"/>
      <c r="K343" s="220" t="s">
        <v>4022</v>
      </c>
      <c r="L343" s="148"/>
      <c r="M343" s="252"/>
      <c r="N343" s="253"/>
      <c r="O343" s="254"/>
      <c r="P343" s="148"/>
      <c r="Q343" s="398"/>
      <c r="R343" s="391"/>
      <c r="S343" s="136">
        <f t="shared" ref="S343" si="3864">IF(OR(E343="",Q343=""),0,E343)</f>
        <v>0</v>
      </c>
      <c r="T343" s="137">
        <f>IF(S343=0,0,COUNTIF($S$7:S343,"*"))</f>
        <v>0</v>
      </c>
      <c r="U343" s="137">
        <f>IF(S343=0,0,COUNTIF($S$7:S343,S343))</f>
        <v>0</v>
      </c>
      <c r="V343" s="137">
        <f t="shared" si="3171"/>
        <v>0</v>
      </c>
      <c r="W343" s="137">
        <f>IF(V343=0,0,COUNTIF($V$7:V343,"*"))</f>
        <v>0</v>
      </c>
      <c r="X343" s="137">
        <f>IF(V343=0,0,COUNTIF($V$7:V343,V343))</f>
        <v>0</v>
      </c>
      <c r="Y343" s="218">
        <f t="shared" ref="Y343" si="3865">IF(OR(E343="",J343=""),0,J343&amp;E343)</f>
        <v>0</v>
      </c>
      <c r="Z343" s="218">
        <f>IF(Y343=0,0,COUNTIF($Y$7:Y343,Y343))</f>
        <v>0</v>
      </c>
      <c r="AA343" s="218" t="b">
        <f t="shared" ref="AA343" si="3866">IF(COUNTIF(J343:J346,"十種競技")&gt;0,TRUE,FALSE)</f>
        <v>0</v>
      </c>
      <c r="AB343" s="218">
        <f>IF(E343="",0,IF(AA343,COUNTIF($AA$7:AA343,TRUE),0))</f>
        <v>0</v>
      </c>
      <c r="AC343" s="218">
        <f>IFERROR(VLOOKUP("十種競技",J343:L346,3,0),0)</f>
        <v>0</v>
      </c>
      <c r="AD343" s="218">
        <f>IFERROR(VLOOKUP(J343,競技会設定!$P$2:$S$22,2,0),0)</f>
        <v>0</v>
      </c>
      <c r="AE343" s="218">
        <f t="shared" ref="AE343" si="3867">IF(E343="",0,IF(AD343=0,0,IF(AD343&lt;3,E343&amp;$AE$6,0)))</f>
        <v>0</v>
      </c>
      <c r="AF343" s="218">
        <f>IF(AE343=0,0,E343&amp;COUNTIF($AE$7:AE343,AE343))</f>
        <v>0</v>
      </c>
      <c r="AG343" s="218">
        <f t="shared" ref="AG343" si="3868">IF(E343="",0,IF(AD343=0,0,IF(AD343&gt;=3,E343&amp;$AG$6,0)))</f>
        <v>0</v>
      </c>
      <c r="AH343" s="218">
        <f>IF(AG343=0,0,E343&amp;COUNTIF($AG$7:AG343,AG343))</f>
        <v>0</v>
      </c>
      <c r="AI343" s="218">
        <f t="shared" ref="AI343" si="3869">IF(COUNTIF(Y343,"*十種*")&gt;0,0,IF($AD343=AI$6,$E343,0))</f>
        <v>0</v>
      </c>
      <c r="AJ343" s="218" t="b">
        <f>IF(AI343=0,FALSE,IF(COUNTIF(AI$7:AI343,AI343)&gt;1,TRUE,FALSE))</f>
        <v>0</v>
      </c>
      <c r="AK343" s="218">
        <f t="shared" ref="AK343" si="3870">IF($AD343=AK$6,$E343,0)</f>
        <v>0</v>
      </c>
      <c r="AL343" s="218" t="b">
        <f>IF(AK343=0,FALSE,IF(COUNTIF(AK$7:AK343,AK343)&gt;1,TRUE,FALSE))</f>
        <v>0</v>
      </c>
      <c r="AM343" s="218">
        <f t="shared" ref="AM343" si="3871">IF($AD343=AM$6,$E343,0)</f>
        <v>0</v>
      </c>
      <c r="AN343" s="218" t="b">
        <f>IF(AM343=0,FALSE,IF(COUNTIF(AM$7:AM343,AM343)&gt;1,TRUE,FALSE))</f>
        <v>0</v>
      </c>
      <c r="AO343" s="218">
        <f t="shared" ref="AO343" si="3872">IF($AD343=AO$6,$E343,0)</f>
        <v>0</v>
      </c>
      <c r="AP343" s="218" t="b">
        <f>IF(AO343=0,FALSE,IF(COUNTIF(AO$7:AO343,AO343)&gt;1,TRUE,FALSE))</f>
        <v>0</v>
      </c>
      <c r="AQ343" s="218">
        <f t="shared" ref="AQ343" si="3873">IF(COUNTIF(Y343,"*十種競技*")&gt;0,E343,0)</f>
        <v>0</v>
      </c>
      <c r="AR343" s="218" t="b">
        <f>IF(AQ343=0,FALSE,IF(OR(COUNTIF($AI$7:$AI$406,AQ343)+COUNTIF($AQ343:$AQ$406,AQ343)&gt;1,COUNTIF($AK$7:$AK$406,AQ343)+COUNTIF($AQ$7:$AQ$406,AQ343)&gt;1),TRUE,FALSE))</f>
        <v>0</v>
      </c>
      <c r="AS343" s="218" t="b">
        <f t="shared" ref="AS343" si="3874">IF(AND(C343="",E343&lt;&gt;"",F343&lt;&gt;"",E345&lt;&gt;"",G343&lt;&gt;"",G344&lt;&gt;"",G345&lt;&gt;""),TRUE,FALSE)</f>
        <v>0</v>
      </c>
      <c r="AT343" s="218" t="b">
        <f t="shared" si="3694"/>
        <v>0</v>
      </c>
      <c r="AU343" s="274" t="b">
        <f t="shared" ref="AU343" si="3875">IFERROR(IF(D343&amp;E343&amp;F343&amp;E345&amp;G343&amp;G344&amp;G345&amp;J343&amp;J344&amp;J345&amp;J346&amp;L343&amp;L344&amp;L345&amp;L346&amp;M343&amp;M344&amp;M345&amp;M346&amp;N343&amp;N344&amp;N345&amp;N346&amp;O343&amp;O344&amp;O345&amp;O346&amp;P343&amp;P344&amp;P345&amp;P346&amp;Q343&amp;R343="",FALSE,TRUE),FALSE)</f>
        <v>0</v>
      </c>
      <c r="AV343" s="218" t="b">
        <f t="shared" ref="AV343" si="3876">IF(AS343,FALSE,IF(C343="",AU343,FALSE))</f>
        <v>0</v>
      </c>
      <c r="AW343" s="218" t="b">
        <f>IF(C343="",FALSE,IF(C343&gt;2000,TRUE,FALSE))</f>
        <v>0</v>
      </c>
      <c r="AX343" s="274" t="b">
        <f>IF(H343=0,FALSE,IF(EXACT(基本情報!$E$5,H343)=TRUE,FALSE,TRUE))</f>
        <v>0</v>
      </c>
      <c r="AY343" s="218" t="b">
        <f>IF(C343="",FALSE,IF(ISNA(E343)=TRUE,TRUE,FALSE))</f>
        <v>0</v>
      </c>
      <c r="AZ343" s="274" t="b">
        <f>IFERROR(IF(E343="",FALSE,IF(COUNTIF($E$7:E343,E343)&gt;1,TRUE,FALSE)),FALSE)</f>
        <v>0</v>
      </c>
      <c r="BA343" s="218" t="b">
        <f t="shared" ref="BA343" si="3877">IF(OR(J343&amp;J344&amp;J345&amp;J346&amp;Q343&amp;R343="",AT343,AT344,AT345,AT346),AU343,FALSE)</f>
        <v>0</v>
      </c>
      <c r="BB343" s="218" t="b">
        <f>IF(U343&gt;1,TRUE,FALSE)</f>
        <v>0</v>
      </c>
      <c r="BC343" s="218" t="b">
        <f>IF(X343&gt;1,TRUE,FALSE)</f>
        <v>0</v>
      </c>
      <c r="BD343" s="218" t="b">
        <f t="shared" si="3681"/>
        <v>0</v>
      </c>
      <c r="BF343" s="231" t="b">
        <f t="shared" ref="BF343" si="3878">IF(J343="",FALSE,IF(OR(AND(AU343,L343=""),AND(AU343,L343="",OR(M343&lt;&gt;"",N343&lt;&gt;"",O343&lt;&gt;"",P343&lt;&gt;""))),TRUE,FALSE))</f>
        <v>0</v>
      </c>
      <c r="BG343" s="218" t="b">
        <f t="shared" si="3683"/>
        <v>0</v>
      </c>
      <c r="BH343" s="218" t="b">
        <f t="shared" si="3696"/>
        <v>0</v>
      </c>
      <c r="BI343" s="231" t="b">
        <f t="shared" ref="BI343" si="3879">IF(J343="",FALSE,IF(L343=0,FALSE,IF(AND(AU343,NOT(BF343),OR(M343="",N343="",O343="")),TRUE,FALSE)))</f>
        <v>0</v>
      </c>
      <c r="BJ343" s="240" t="b">
        <f t="shared" si="3698"/>
        <v>0</v>
      </c>
      <c r="BK343" s="231" t="b">
        <f>IF(NOT(BJ343),FALSE,IF(AND(競技会設定!$C$5&lt;=BJ343,BJ343&lt;=競技会設定!$C$6),FALSE,TRUE))</f>
        <v>0</v>
      </c>
      <c r="BL343" s="218" t="b">
        <f>IF(J343="",FALSE,IF(L343=0,FALSE,IF(AND(AU343,NOT(BF343),NOT(BI343),P343=""),TRUE,FALSE)))</f>
        <v>0</v>
      </c>
      <c r="BO343" s="274">
        <f t="shared" ref="BO343" si="3880">IF(AND(AU343,SUM(COUNTIF(AV343:BC343,TRUE),COUNTIF(BF343:BL346,TRUE),COUNTIF(BD343:BD346,TRUE))=0,NOT($BE$7)),1,0)</f>
        <v>0</v>
      </c>
    </row>
    <row r="344" spans="1:67" ht="17.399999999999999" customHeight="1">
      <c r="A344" s="418"/>
      <c r="B344" s="402"/>
      <c r="C344" s="404"/>
      <c r="D344" s="221"/>
      <c r="E344" s="397"/>
      <c r="F344" s="397"/>
      <c r="G344" s="221" t="str">
        <f>IF(C343="","",(VLOOKUP(D343,男子登録!$A$2:$N$2001,13,0)))</f>
        <v/>
      </c>
      <c r="H344" s="221"/>
      <c r="I344" s="221" t="s">
        <v>4020</v>
      </c>
      <c r="J344" s="149"/>
      <c r="K344" s="221" t="s">
        <v>4023</v>
      </c>
      <c r="L344" s="149"/>
      <c r="M344" s="255"/>
      <c r="N344" s="256"/>
      <c r="O344" s="257"/>
      <c r="P344" s="149"/>
      <c r="Q344" s="399"/>
      <c r="R344" s="392"/>
      <c r="S344" s="136"/>
      <c r="T344" s="137"/>
      <c r="U344" s="137"/>
      <c r="V344" s="137"/>
      <c r="W344" s="137"/>
      <c r="X344" s="137"/>
      <c r="Y344" s="218">
        <f t="shared" ref="Y344" si="3881">IF(OR(E343="",J344=""),0,J344&amp;E343)</f>
        <v>0</v>
      </c>
      <c r="Z344" s="218">
        <f>IF(Y344=0,0,COUNTIF($Y$7:Y344,Y344))</f>
        <v>0</v>
      </c>
      <c r="AD344" s="218">
        <f>IFERROR(VLOOKUP(J344,競技会設定!$P$2:$S$22,2,0),0)</f>
        <v>0</v>
      </c>
      <c r="AE344" s="218">
        <f t="shared" ref="AE344" si="3882">IF(E343="",0,IF(AD344=0,0,IF(AD344&lt;3,E343&amp;$AE$6,0)))</f>
        <v>0</v>
      </c>
      <c r="AF344" s="218">
        <f>IF(AE344=0,0,E343&amp;COUNTIF($AE$7:AE344,AE344))</f>
        <v>0</v>
      </c>
      <c r="AG344" s="218">
        <f t="shared" ref="AG344" si="3883">IF(E343="",0,IF(AD344=0,0,IF(AD344&gt;=3,E343&amp;$AG$6,0)))</f>
        <v>0</v>
      </c>
      <c r="AH344" s="218">
        <f>IF(AG344=0,0,E343&amp;COUNTIF($AG$7:AG344,AG344))</f>
        <v>0</v>
      </c>
      <c r="AI344" s="218">
        <f t="shared" ref="AI344" si="3884">IF(COUNTIF(Y344,"*十種*")&gt;0,0,IF($AD344=AI$6,$E343,0))</f>
        <v>0</v>
      </c>
      <c r="AJ344" s="218" t="b">
        <f>IF(AI344=0,FALSE,IF(COUNTIF(AI$7:AI344,AI344)&gt;1,TRUE,FALSE))</f>
        <v>0</v>
      </c>
      <c r="AK344" s="218">
        <f t="shared" ref="AK344" si="3885">IF($AD344=AK$6,$E343,0)</f>
        <v>0</v>
      </c>
      <c r="AL344" s="218" t="b">
        <f>IF(AK344=0,FALSE,IF(COUNTIF(AK$7:AK344,AK344)&gt;1,TRUE,FALSE))</f>
        <v>0</v>
      </c>
      <c r="AM344" s="218">
        <f t="shared" ref="AM344" si="3886">IF($AD344=AM$6,$E343,0)</f>
        <v>0</v>
      </c>
      <c r="AN344" s="218" t="b">
        <f>IF(AM344=0,FALSE,IF(COUNTIF(AM$7:AM344,AM344)&gt;1,TRUE,FALSE))</f>
        <v>0</v>
      </c>
      <c r="AO344" s="218">
        <f t="shared" ref="AO344" si="3887">IF($AD344=AO$6,$E343,0)</f>
        <v>0</v>
      </c>
      <c r="AP344" s="218" t="b">
        <f>IF(AO344=0,FALSE,IF(COUNTIF(AO$7:AO344,AO344)&gt;1,TRUE,FALSE))</f>
        <v>0</v>
      </c>
      <c r="AQ344" s="218">
        <f t="shared" ref="AQ344" si="3888">IF(COUNTIF(Y344,"*十種競技*")&gt;0,E343,0)</f>
        <v>0</v>
      </c>
      <c r="AR344" s="218" t="b">
        <f>IF(AQ344=0,FALSE,IF(OR(COUNTIF($AI$7:$AI$406,AQ344)+COUNTIF($AQ344:$AQ$406,AQ344)&gt;1,COUNTIF($AK$7:$AK$406,AQ344)+COUNTIF($AQ$7:$AQ$406,AQ344)&gt;1),TRUE,FALSE))</f>
        <v>0</v>
      </c>
      <c r="AT344" s="218" t="b">
        <f t="shared" si="3694"/>
        <v>0</v>
      </c>
      <c r="AU344" s="274"/>
      <c r="AX344" s="274"/>
      <c r="BD344" s="218" t="b">
        <f t="shared" si="3681"/>
        <v>0</v>
      </c>
      <c r="BF344" s="231" t="b">
        <f t="shared" ref="BF344" si="3889">IF(J344="",FALSE,IF(OR(AND(AU343,L344=""),AND(AU343,L344="",OR(M344&lt;&gt;"",N344&lt;&gt;"",O344&lt;&gt;"",P344&lt;&gt;""))),TRUE,FALSE))</f>
        <v>0</v>
      </c>
      <c r="BG344" s="218" t="b">
        <f t="shared" si="3683"/>
        <v>0</v>
      </c>
      <c r="BH344" s="218" t="b">
        <f t="shared" si="3696"/>
        <v>0</v>
      </c>
      <c r="BI344" s="231" t="b">
        <f t="shared" ref="BI344" si="3890">IF(J344="",FALSE,IF(L344=0,FALSE,IF(AND(AU343,NOT(BF344),OR(M344="",N344="",O344="")),TRUE,FALSE)))</f>
        <v>0</v>
      </c>
      <c r="BJ344" s="240" t="b">
        <f t="shared" si="3698"/>
        <v>0</v>
      </c>
      <c r="BK344" s="231" t="b">
        <f>IF(NOT(BJ344),FALSE,IF(AND(競技会設定!$C$5&lt;=BJ344,BJ344&lt;=競技会設定!$C$6),FALSE,TRUE))</f>
        <v>0</v>
      </c>
      <c r="BL344" s="218" t="b">
        <f>IF(J344="",FALSE,IF(L344=0,FALSE,IF(AND(AU343,NOT(BF344),NOT(BI344),P344=""),TRUE,FALSE)))</f>
        <v>0</v>
      </c>
      <c r="BO344" s="274"/>
    </row>
    <row r="345" spans="1:67" ht="17.399999999999999" customHeight="1">
      <c r="A345" s="418"/>
      <c r="B345" s="402"/>
      <c r="C345" s="404"/>
      <c r="D345" s="221"/>
      <c r="E345" s="394" t="str">
        <f>IF(C343="","",VLOOKUP(D343,男子登録!$A$2:$O$2001,14,0)&amp;" ("&amp;VLOOKUP(D343,男子登録!$A$2:$O$2001,15,0)&amp;")")</f>
        <v/>
      </c>
      <c r="F345" s="394"/>
      <c r="G345" s="222" t="str">
        <f>IF(C343="","",(VLOOKUP(D343,男子登録!$A$2:$N$2001,9,0)))</f>
        <v/>
      </c>
      <c r="H345" s="222"/>
      <c r="I345" s="222" t="s">
        <v>4021</v>
      </c>
      <c r="J345" s="150"/>
      <c r="K345" s="222" t="s">
        <v>6760</v>
      </c>
      <c r="L345" s="150"/>
      <c r="M345" s="255"/>
      <c r="N345" s="256"/>
      <c r="O345" s="257"/>
      <c r="P345" s="149"/>
      <c r="Q345" s="399"/>
      <c r="R345" s="392"/>
      <c r="S345" s="136"/>
      <c r="T345" s="137"/>
      <c r="U345" s="137"/>
      <c r="V345" s="137"/>
      <c r="W345" s="137"/>
      <c r="X345" s="137"/>
      <c r="Y345" s="218">
        <f t="shared" ref="Y345" si="3891">IF(OR(E343="",J345=""),0,J345&amp;E343)</f>
        <v>0</v>
      </c>
      <c r="Z345" s="218">
        <f>IF(Y345=0,0,COUNTIF($Y$7:Y345,Y345))</f>
        <v>0</v>
      </c>
      <c r="AD345" s="218">
        <f>IFERROR(VLOOKUP(J345,競技会設定!$P$2:$S$22,2,0),0)</f>
        <v>0</v>
      </c>
      <c r="AE345" s="218">
        <f t="shared" ref="AE345" si="3892">IF(E343="",0,IF(AD345=0,0,IF(AD345&lt;3,E343&amp;$AE$6,0)))</f>
        <v>0</v>
      </c>
      <c r="AF345" s="218">
        <f>IF(AE345=0,0,E343&amp;COUNTIF($AE$7:AE345,AE345))</f>
        <v>0</v>
      </c>
      <c r="AG345" s="218">
        <f t="shared" ref="AG345" si="3893">IF(E343="",0,IF(AD345=0,0,IF(AD345&gt;=3,E343&amp;$AG$6,0)))</f>
        <v>0</v>
      </c>
      <c r="AH345" s="218">
        <f>IF(AG345=0,0,E343&amp;COUNTIF($AG$7:AG345,AG345))</f>
        <v>0</v>
      </c>
      <c r="AI345" s="218">
        <f t="shared" ref="AI345" si="3894">IF(COUNTIF(Y345,"*十種*")&gt;0,0,IF($AD345=AI$6,$E343,0))</f>
        <v>0</v>
      </c>
      <c r="AJ345" s="218" t="b">
        <f>IF(AI345=0,FALSE,IF(COUNTIF(AI$7:AI345,AI345)&gt;1,TRUE,FALSE))</f>
        <v>0</v>
      </c>
      <c r="AK345" s="218">
        <f t="shared" ref="AK345" si="3895">IF($AD345=AK$6,$E343,0)</f>
        <v>0</v>
      </c>
      <c r="AL345" s="218" t="b">
        <f>IF(AK345=0,FALSE,IF(COUNTIF(AK$7:AK345,AK345)&gt;1,TRUE,FALSE))</f>
        <v>0</v>
      </c>
      <c r="AM345" s="218">
        <f t="shared" ref="AM345" si="3896">IF($AD345=AM$6,$E343,0)</f>
        <v>0</v>
      </c>
      <c r="AN345" s="218" t="b">
        <f>IF(AM345=0,FALSE,IF(COUNTIF(AM$7:AM345,AM345)&gt;1,TRUE,FALSE))</f>
        <v>0</v>
      </c>
      <c r="AO345" s="218">
        <f t="shared" ref="AO345" si="3897">IF($AD345=AO$6,$E343,0)</f>
        <v>0</v>
      </c>
      <c r="AP345" s="218" t="b">
        <f>IF(AO345=0,FALSE,IF(COUNTIF(AO$7:AO345,AO345)&gt;1,TRUE,FALSE))</f>
        <v>0</v>
      </c>
      <c r="AQ345" s="218">
        <f t="shared" ref="AQ345" si="3898">IF(COUNTIF(Y345,"*十種競技*")&gt;0,E343,0)</f>
        <v>0</v>
      </c>
      <c r="AR345" s="218" t="b">
        <f>IF(AQ345=0,FALSE,IF(OR(COUNTIF($AI$7:$AI$406,AQ345)+COUNTIF($AQ345:$AQ$406,AQ345)&gt;1,COUNTIF($AK$7:$AK$406,AQ345)+COUNTIF($AQ$7:$AQ$406,AQ345)&gt;1),TRUE,FALSE))</f>
        <v>0</v>
      </c>
      <c r="AT345" s="218" t="b">
        <f t="shared" si="3694"/>
        <v>0</v>
      </c>
      <c r="AU345" s="274"/>
      <c r="AX345" s="274"/>
      <c r="BD345" s="218" t="b">
        <f t="shared" si="3681"/>
        <v>0</v>
      </c>
      <c r="BF345" s="231" t="b">
        <f t="shared" ref="BF345" si="3899">IF(J345="",FALSE,IF(OR(AND(AU343,L345=""),AND(AU343,L345="",OR(M345&lt;&gt;"",N345&lt;&gt;"",O345&lt;&gt;"",P345&lt;&gt;""))),TRUE,FALSE))</f>
        <v>0</v>
      </c>
      <c r="BG345" s="218" t="b">
        <f t="shared" si="3683"/>
        <v>0</v>
      </c>
      <c r="BH345" s="218" t="b">
        <f t="shared" si="3696"/>
        <v>0</v>
      </c>
      <c r="BI345" s="231" t="b">
        <f t="shared" ref="BI345" si="3900">IF(J345="",FALSE,IF(L345=0,FALSE,IF(AND(AU343,NOT(BF345),OR(M345="",N345="",O345="")),TRUE,FALSE)))</f>
        <v>0</v>
      </c>
      <c r="BJ345" s="240" t="b">
        <f t="shared" si="3698"/>
        <v>0</v>
      </c>
      <c r="BK345" s="231" t="b">
        <f>IF(NOT(BJ345),FALSE,IF(AND(競技会設定!$C$5&lt;=BJ345,BJ345&lt;=競技会設定!$C$6),FALSE,TRUE))</f>
        <v>0</v>
      </c>
      <c r="BL345" s="218" t="b">
        <f>IF(J345="",FALSE,IF(L345=0,FALSE,IF(AND(AU343,NOT(BF345),NOT(BI345),P345=""),TRUE,FALSE)))</f>
        <v>0</v>
      </c>
      <c r="BO345" s="274"/>
    </row>
    <row r="346" spans="1:67" ht="18" customHeight="1" thickBot="1">
      <c r="A346" s="419"/>
      <c r="B346" s="395" t="s">
        <v>6764</v>
      </c>
      <c r="C346" s="395"/>
      <c r="D346" s="221"/>
      <c r="E346" s="372"/>
      <c r="F346" s="372"/>
      <c r="G346" s="372"/>
      <c r="H346" s="214"/>
      <c r="I346" s="214" t="s">
        <v>6759</v>
      </c>
      <c r="J346" s="219"/>
      <c r="K346" s="214" t="s">
        <v>6761</v>
      </c>
      <c r="L346" s="219"/>
      <c r="M346" s="258"/>
      <c r="N346" s="259"/>
      <c r="O346" s="260"/>
      <c r="P346" s="219"/>
      <c r="Q346" s="400"/>
      <c r="R346" s="393"/>
      <c r="S346" s="136"/>
      <c r="T346" s="137"/>
      <c r="U346" s="137"/>
      <c r="V346" s="137"/>
      <c r="W346" s="137"/>
      <c r="X346" s="137"/>
      <c r="Y346" s="218">
        <f t="shared" ref="Y346" si="3901">IF(OR(E343="",J346=""),0,J346&amp;E343)</f>
        <v>0</v>
      </c>
      <c r="Z346" s="218">
        <f>IF(Y346=0,0,COUNTIF($Y$7:Y346,Y346))</f>
        <v>0</v>
      </c>
      <c r="AD346" s="218">
        <f>IFERROR(VLOOKUP(J346,競技会設定!$P$2:$S$22,2,0),0)</f>
        <v>0</v>
      </c>
      <c r="AE346" s="218">
        <f t="shared" ref="AE346" si="3902">IF(E343="",0,IF(AD346=0,0,IF(AD346&lt;3,E343&amp;$AE$6,0)))</f>
        <v>0</v>
      </c>
      <c r="AF346" s="218">
        <f>IF(AE346=0,0,E343&amp;COUNTIF($AE$7:AE346,AE346))</f>
        <v>0</v>
      </c>
      <c r="AG346" s="218">
        <f t="shared" ref="AG346" si="3903">IF(E343="",0,IF(AD346=0,0,IF(AD346&gt;=3,E343&amp;$AG$6,0)))</f>
        <v>0</v>
      </c>
      <c r="AH346" s="218">
        <f>IF(AG346=0,0,E343&amp;COUNTIF($AG$7:AG346,AG346))</f>
        <v>0</v>
      </c>
      <c r="AI346" s="218">
        <f t="shared" ref="AI346" si="3904">IF(COUNTIF(Y346,"*十種*")&gt;0,0,IF($AD346=AI$6,$E343,0))</f>
        <v>0</v>
      </c>
      <c r="AJ346" s="218" t="b">
        <f>IF(AI346=0,FALSE,IF(COUNTIF(AI$7:AI346,AI346)&gt;1,TRUE,FALSE))</f>
        <v>0</v>
      </c>
      <c r="AK346" s="218">
        <f t="shared" ref="AK346" si="3905">IF($AD346=AK$6,$E343,0)</f>
        <v>0</v>
      </c>
      <c r="AL346" s="218" t="b">
        <f>IF(AK346=0,FALSE,IF(COUNTIF(AK$7:AK346,AK346)&gt;1,TRUE,FALSE))</f>
        <v>0</v>
      </c>
      <c r="AM346" s="218">
        <f t="shared" ref="AM346" si="3906">IF($AD346=AM$6,$E343,0)</f>
        <v>0</v>
      </c>
      <c r="AN346" s="218" t="b">
        <f>IF(AM346=0,FALSE,IF(COUNTIF(AM$7:AM346,AM346)&gt;1,TRUE,FALSE))</f>
        <v>0</v>
      </c>
      <c r="AO346" s="218">
        <f t="shared" ref="AO346" si="3907">IF($AD346=AO$6,$E343,0)</f>
        <v>0</v>
      </c>
      <c r="AP346" s="218" t="b">
        <f>IF(AO346=0,FALSE,IF(COUNTIF(AO$7:AO346,AO346)&gt;1,TRUE,FALSE))</f>
        <v>0</v>
      </c>
      <c r="AQ346" s="218">
        <f t="shared" ref="AQ346" si="3908">IF(COUNTIF(Y346,"*十種競技*")&gt;0,E343,0)</f>
        <v>0</v>
      </c>
      <c r="AR346" s="218" t="b">
        <f>IF(AQ346=0,FALSE,IF(OR(COUNTIF($AI$7:$AI$406,AQ346)+COUNTIF($AQ346:$AQ$406,AQ346)&gt;1,COUNTIF($AK$7:$AK$406,AQ346)+COUNTIF($AQ$7:$AQ$406,AQ346)&gt;1),TRUE,FALSE))</f>
        <v>0</v>
      </c>
      <c r="AT346" s="218" t="b">
        <f t="shared" si="3694"/>
        <v>0</v>
      </c>
      <c r="AU346" s="274"/>
      <c r="AX346" s="274"/>
      <c r="BD346" s="218" t="b">
        <f t="shared" si="3681"/>
        <v>0</v>
      </c>
      <c r="BF346" s="231" t="b">
        <f t="shared" ref="BF346" si="3909">IF(J346="",FALSE,IF(OR(AND(AU343,L346=""),AND(AU343,L346="",OR(M346&lt;&gt;"",N346&lt;&gt;"",O346&lt;&gt;"",P346&lt;&gt;""))),TRUE,FALSE))</f>
        <v>0</v>
      </c>
      <c r="BG346" s="218" t="b">
        <f t="shared" si="3683"/>
        <v>0</v>
      </c>
      <c r="BH346" s="218" t="b">
        <f t="shared" si="3696"/>
        <v>0</v>
      </c>
      <c r="BI346" s="231" t="b">
        <f t="shared" ref="BI346" si="3910">IF(J346="",FALSE,IF(L346=0,FALSE,IF(AND(AU343,NOT(BF346),OR(M346="",N346="",O346="")),TRUE,FALSE)))</f>
        <v>0</v>
      </c>
      <c r="BJ346" s="240" t="b">
        <f t="shared" si="3698"/>
        <v>0</v>
      </c>
      <c r="BK346" s="231" t="b">
        <f>IF(NOT(BJ346),FALSE,IF(AND(競技会設定!$C$5&lt;=BJ346,BJ346&lt;=競技会設定!$C$6),FALSE,TRUE))</f>
        <v>0</v>
      </c>
      <c r="BL346" s="218" t="b">
        <f>IF(J346="",FALSE,IF(L346=0,FALSE,IF(AND(AU343,NOT(BF346),NOT(BI346),P346=""),TRUE,FALSE)))</f>
        <v>0</v>
      </c>
      <c r="BO346" s="274"/>
    </row>
    <row r="347" spans="1:67" ht="18" customHeight="1" thickTop="1">
      <c r="A347" s="420">
        <v>86</v>
      </c>
      <c r="B347" s="373" t="s">
        <v>4018</v>
      </c>
      <c r="C347" s="375"/>
      <c r="D347" s="138" t="str">
        <f t="shared" ref="D347" si="3911">IF(C347="","",501&amp;TEXT(C347,"000000"))</f>
        <v/>
      </c>
      <c r="E347" s="377" t="str">
        <f>IF(D347="","",(VLOOKUP(D347,男子登録!$A$2:$N$2001,3,0)))</f>
        <v/>
      </c>
      <c r="F347" s="377" t="str">
        <f>IF(D347="","",(VLOOKUP(D347,男子登録!$A$2:$N$2001,4,0)))</f>
        <v/>
      </c>
      <c r="G347" s="138" t="str">
        <f>IF(C347="","",(VLOOKUP(D347,男子登録!$A$2:$N$2001,8,0)))</f>
        <v/>
      </c>
      <c r="H347" s="138">
        <f>IFERROR(VLOOKUP(D347,男子登録!$A$2:$N$2001,11,0),基本情報!$E$5)</f>
        <v>0</v>
      </c>
      <c r="I347" s="138" t="s">
        <v>4019</v>
      </c>
      <c r="J347" s="151"/>
      <c r="K347" s="138" t="s">
        <v>4022</v>
      </c>
      <c r="L347" s="151"/>
      <c r="M347" s="261"/>
      <c r="N347" s="262"/>
      <c r="O347" s="263"/>
      <c r="P347" s="151"/>
      <c r="Q347" s="381"/>
      <c r="R347" s="384"/>
      <c r="S347" s="136">
        <f t="shared" ref="S347" si="3912">IF(OR(E347="",Q347=""),0,E347)</f>
        <v>0</v>
      </c>
      <c r="T347" s="137">
        <f>IF(S347=0,0,COUNTIF($S$7:S347,"*"))</f>
        <v>0</v>
      </c>
      <c r="U347" s="137">
        <f>IF(S347=0,0,COUNTIF($S$7:S347,S347))</f>
        <v>0</v>
      </c>
      <c r="V347" s="137">
        <f t="shared" ref="V347:V403" si="3913">IF(OR(E347="",R347=""),0,E347&amp;MAX(COUNTIF($AG$7:$AG$406,E347&amp;"nans21v"))+1)</f>
        <v>0</v>
      </c>
      <c r="W347" s="137">
        <f>IF(V347=0,0,COUNTIF($V$7:V347,"*"))</f>
        <v>0</v>
      </c>
      <c r="X347" s="137">
        <f>IF(V347=0,0,COUNTIF($V$7:V347,V347))</f>
        <v>0</v>
      </c>
      <c r="Y347" s="218">
        <f t="shared" ref="Y347" si="3914">IF(OR(E347="",J347=""),0,J347&amp;E347)</f>
        <v>0</v>
      </c>
      <c r="Z347" s="218">
        <f>IF(Y347=0,0,COUNTIF($Y$7:Y347,Y347))</f>
        <v>0</v>
      </c>
      <c r="AA347" s="218" t="b">
        <f t="shared" ref="AA347" si="3915">IF(COUNTIF(J347:J350,"十種競技")&gt;0,TRUE,FALSE)</f>
        <v>0</v>
      </c>
      <c r="AB347" s="218">
        <f>IF(E347="",0,IF(AA347,COUNTIF($AA$7:AA347,TRUE),0))</f>
        <v>0</v>
      </c>
      <c r="AC347" s="218">
        <f>IFERROR(VLOOKUP("十種競技",J347:L350,3,0),0)</f>
        <v>0</v>
      </c>
      <c r="AD347" s="218">
        <f>IFERROR(VLOOKUP(J347,競技会設定!$P$2:$S$22,2,0),0)</f>
        <v>0</v>
      </c>
      <c r="AE347" s="218">
        <f t="shared" ref="AE347" si="3916">IF(E347="",0,IF(AD347=0,0,IF(AD347&lt;3,E347&amp;$AE$6,0)))</f>
        <v>0</v>
      </c>
      <c r="AF347" s="218">
        <f>IF(AE347=0,0,E347&amp;COUNTIF($AE$7:AE347,AE347))</f>
        <v>0</v>
      </c>
      <c r="AG347" s="218">
        <f t="shared" ref="AG347" si="3917">IF(E347="",0,IF(AD347=0,0,IF(AD347&gt;=3,E347&amp;$AG$6,0)))</f>
        <v>0</v>
      </c>
      <c r="AH347" s="218">
        <f>IF(AG347=0,0,E347&amp;COUNTIF($AG$7:AG347,AG347))</f>
        <v>0</v>
      </c>
      <c r="AI347" s="218">
        <f t="shared" si="3624"/>
        <v>0</v>
      </c>
      <c r="AJ347" s="218" t="b">
        <f>IF(AI347=0,FALSE,IF(COUNTIF(AI$7:AI347,AI347)&gt;1,TRUE,FALSE))</f>
        <v>0</v>
      </c>
      <c r="AK347" s="218">
        <f t="shared" ref="AK347" si="3918">IF($AD347=AK$6,$E347,0)</f>
        <v>0</v>
      </c>
      <c r="AL347" s="218" t="b">
        <f>IF(AK347=0,FALSE,IF(COUNTIF(AK$7:AK347,AK347)&gt;1,TRUE,FALSE))</f>
        <v>0</v>
      </c>
      <c r="AM347" s="218">
        <f t="shared" ref="AM347" si="3919">IF($AD347=AM$6,$E347,0)</f>
        <v>0</v>
      </c>
      <c r="AN347" s="218" t="b">
        <f>IF(AM347=0,FALSE,IF(COUNTIF(AM$7:AM347,AM347)&gt;1,TRUE,FALSE))</f>
        <v>0</v>
      </c>
      <c r="AO347" s="218">
        <f t="shared" ref="AO347" si="3920">IF($AD347=AO$6,$E347,0)</f>
        <v>0</v>
      </c>
      <c r="AP347" s="218" t="b">
        <f>IF(AO347=0,FALSE,IF(COUNTIF(AO$7:AO347,AO347)&gt;1,TRUE,FALSE))</f>
        <v>0</v>
      </c>
      <c r="AQ347" s="218">
        <f t="shared" ref="AQ347" si="3921">IF(COUNTIF(Y347,"*十種競技*")&gt;0,E347,0)</f>
        <v>0</v>
      </c>
      <c r="AR347" s="218" t="b">
        <f>IF(AQ347=0,FALSE,IF(OR(COUNTIF($AI$7:$AI$406,AQ347)+COUNTIF($AQ347:$AQ$406,AQ347)&gt;1,COUNTIF($AK$7:$AK$406,AQ347)+COUNTIF($AQ$7:$AQ$406,AQ347)&gt;1),TRUE,FALSE))</f>
        <v>0</v>
      </c>
      <c r="AS347" s="218" t="b">
        <f t="shared" ref="AS347" si="3922">IF(AND(C347="",E347&lt;&gt;"",F347&lt;&gt;"",E349&lt;&gt;"",G347&lt;&gt;"",G348&lt;&gt;"",G349&lt;&gt;""),TRUE,FALSE)</f>
        <v>0</v>
      </c>
      <c r="AT347" s="218" t="b">
        <f t="shared" si="3694"/>
        <v>0</v>
      </c>
      <c r="AU347" s="274" t="b">
        <f t="shared" ref="AU347" si="3923">IFERROR(IF(D347&amp;E347&amp;F347&amp;E349&amp;G347&amp;G348&amp;G349&amp;J347&amp;J348&amp;J349&amp;J350&amp;L347&amp;L348&amp;L349&amp;L350&amp;M347&amp;M348&amp;M349&amp;M350&amp;N347&amp;N348&amp;N349&amp;N350&amp;O347&amp;O348&amp;O349&amp;O350&amp;P347&amp;P348&amp;P349&amp;P350&amp;Q347&amp;R347="",FALSE,TRUE),FALSE)</f>
        <v>0</v>
      </c>
      <c r="AV347" s="218" t="b">
        <f t="shared" ref="AV347" si="3924">IF(AS347,FALSE,IF(C347="",AU347,FALSE))</f>
        <v>0</v>
      </c>
      <c r="AW347" s="218" t="b">
        <f>IF(C347="",FALSE,IF(C347&gt;2000,TRUE,FALSE))</f>
        <v>0</v>
      </c>
      <c r="AX347" s="274" t="b">
        <f>IF(H347=0,FALSE,IF(EXACT(基本情報!$E$5,H347)=TRUE,FALSE,TRUE))</f>
        <v>0</v>
      </c>
      <c r="AY347" s="218" t="b">
        <f>IF(C347="",FALSE,IF(ISNA(E347)=TRUE,TRUE,FALSE))</f>
        <v>0</v>
      </c>
      <c r="AZ347" s="274" t="b">
        <f>IFERROR(IF(E347="",FALSE,IF(COUNTIF($E$7:E347,E347)&gt;1,TRUE,FALSE)),FALSE)</f>
        <v>0</v>
      </c>
      <c r="BA347" s="218" t="b">
        <f t="shared" ref="BA347" si="3925">IF(OR(J347&amp;J348&amp;J349&amp;J350&amp;Q347&amp;R347="",AT347,AT348,AT349,AT350),AU347,FALSE)</f>
        <v>0</v>
      </c>
      <c r="BB347" s="218" t="b">
        <f>IF(U347&gt;1,TRUE,FALSE)</f>
        <v>0</v>
      </c>
      <c r="BC347" s="218" t="b">
        <f>IF(X347&gt;1,TRUE,FALSE)</f>
        <v>0</v>
      </c>
      <c r="BD347" s="218" t="b">
        <f t="shared" si="3681"/>
        <v>0</v>
      </c>
      <c r="BF347" s="231" t="b">
        <f t="shared" ref="BF347" si="3926">IF(J347="",FALSE,IF(OR(AND(AU347,L347=""),AND(AU347,L347="",OR(M347&lt;&gt;"",N347&lt;&gt;"",O347&lt;&gt;"",P347&lt;&gt;""))),TRUE,FALSE))</f>
        <v>0</v>
      </c>
      <c r="BG347" s="218" t="b">
        <f t="shared" si="3683"/>
        <v>0</v>
      </c>
      <c r="BH347" s="218" t="b">
        <f t="shared" si="3696"/>
        <v>0</v>
      </c>
      <c r="BI347" s="231" t="b">
        <f t="shared" ref="BI347" si="3927">IF(J347="",FALSE,IF(L347=0,FALSE,IF(AND(AU347,NOT(BF347),OR(M347="",N347="",O347="")),TRUE,FALSE)))</f>
        <v>0</v>
      </c>
      <c r="BJ347" s="240" t="b">
        <f t="shared" si="3698"/>
        <v>0</v>
      </c>
      <c r="BK347" s="231" t="b">
        <f>IF(NOT(BJ347),FALSE,IF(AND(競技会設定!$C$5&lt;=BJ347,BJ347&lt;=競技会設定!$C$6),FALSE,TRUE))</f>
        <v>0</v>
      </c>
      <c r="BL347" s="218" t="b">
        <f>IF(J347="",FALSE,IF(L347=0,FALSE,IF(AND(AU347,NOT(BF347),NOT(BI347),P347=""),TRUE,FALSE)))</f>
        <v>0</v>
      </c>
      <c r="BO347" s="274">
        <f t="shared" ref="BO347" si="3928">IF(AND(AU347,SUM(COUNTIF(AV347:BC347,TRUE),COUNTIF(BF347:BL350,TRUE),COUNTIF(BD347:BD350,TRUE))=0,NOT($BE$7)),1,0)</f>
        <v>0</v>
      </c>
    </row>
    <row r="348" spans="1:67" ht="17.399999999999999" customHeight="1">
      <c r="A348" s="421"/>
      <c r="B348" s="374"/>
      <c r="C348" s="376"/>
      <c r="D348" s="139"/>
      <c r="E348" s="378"/>
      <c r="F348" s="378"/>
      <c r="G348" s="139" t="str">
        <f>IF(C347="","",(VLOOKUP(D347,男子登録!$A$2:$N$2001,13,0)))</f>
        <v/>
      </c>
      <c r="H348" s="139"/>
      <c r="I348" s="139" t="s">
        <v>4020</v>
      </c>
      <c r="J348" s="152"/>
      <c r="K348" s="139" t="s">
        <v>4023</v>
      </c>
      <c r="L348" s="152"/>
      <c r="M348" s="264"/>
      <c r="N348" s="265"/>
      <c r="O348" s="266"/>
      <c r="P348" s="152"/>
      <c r="Q348" s="382"/>
      <c r="R348" s="385"/>
      <c r="S348" s="136"/>
      <c r="T348" s="137"/>
      <c r="U348" s="137"/>
      <c r="V348" s="137"/>
      <c r="W348" s="137"/>
      <c r="X348" s="137"/>
      <c r="Y348" s="218">
        <f t="shared" ref="Y348" si="3929">IF(OR(E347="",J348=""),0,J348&amp;E347)</f>
        <v>0</v>
      </c>
      <c r="Z348" s="218">
        <f>IF(Y348=0,0,COUNTIF($Y$7:Y348,Y348))</f>
        <v>0</v>
      </c>
      <c r="AD348" s="218">
        <f>IFERROR(VLOOKUP(J348,競技会設定!$P$2:$S$22,2,0),0)</f>
        <v>0</v>
      </c>
      <c r="AE348" s="218">
        <f t="shared" ref="AE348" si="3930">IF(E347="",0,IF(AD348=0,0,IF(AD348&lt;3,E347&amp;$AE$6,0)))</f>
        <v>0</v>
      </c>
      <c r="AF348" s="218">
        <f>IF(AE348=0,0,E347&amp;COUNTIF($AE$7:AE348,AE348))</f>
        <v>0</v>
      </c>
      <c r="AG348" s="218">
        <f t="shared" ref="AG348" si="3931">IF(E347="",0,IF(AD348=0,0,IF(AD348&gt;=3,E347&amp;$AG$6,0)))</f>
        <v>0</v>
      </c>
      <c r="AH348" s="218">
        <f>IF(AG348=0,0,E347&amp;COUNTIF($AG$7:AG348,AG348))</f>
        <v>0</v>
      </c>
      <c r="AI348" s="218">
        <f t="shared" si="3639"/>
        <v>0</v>
      </c>
      <c r="AJ348" s="218" t="b">
        <f>IF(AI348=0,FALSE,IF(COUNTIF(AI$7:AI348,AI348)&gt;1,TRUE,FALSE))</f>
        <v>0</v>
      </c>
      <c r="AK348" s="218">
        <f t="shared" ref="AK348" si="3932">IF($AD348=AK$6,$E347,0)</f>
        <v>0</v>
      </c>
      <c r="AL348" s="218" t="b">
        <f>IF(AK348=0,FALSE,IF(COUNTIF(AK$7:AK348,AK348)&gt;1,TRUE,FALSE))</f>
        <v>0</v>
      </c>
      <c r="AM348" s="218">
        <f t="shared" ref="AM348" si="3933">IF($AD348=AM$6,$E347,0)</f>
        <v>0</v>
      </c>
      <c r="AN348" s="218" t="b">
        <f>IF(AM348=0,FALSE,IF(COUNTIF(AM$7:AM348,AM348)&gt;1,TRUE,FALSE))</f>
        <v>0</v>
      </c>
      <c r="AO348" s="218">
        <f t="shared" ref="AO348" si="3934">IF($AD348=AO$6,$E347,0)</f>
        <v>0</v>
      </c>
      <c r="AP348" s="218" t="b">
        <f>IF(AO348=0,FALSE,IF(COUNTIF(AO$7:AO348,AO348)&gt;1,TRUE,FALSE))</f>
        <v>0</v>
      </c>
      <c r="AQ348" s="218">
        <f t="shared" ref="AQ348" si="3935">IF(COUNTIF(Y348,"*十種競技*")&gt;0,E347,0)</f>
        <v>0</v>
      </c>
      <c r="AR348" s="218" t="b">
        <f>IF(AQ348=0,FALSE,IF(OR(COUNTIF($AI$7:$AI$406,AQ348)+COUNTIF($AQ348:$AQ$406,AQ348)&gt;1,COUNTIF($AK$7:$AK$406,AQ348)+COUNTIF($AQ$7:$AQ$406,AQ348)&gt;1),TRUE,FALSE))</f>
        <v>0</v>
      </c>
      <c r="AT348" s="218" t="b">
        <f t="shared" si="3694"/>
        <v>0</v>
      </c>
      <c r="AU348" s="274"/>
      <c r="AX348" s="274"/>
      <c r="BD348" s="218" t="b">
        <f t="shared" si="3681"/>
        <v>0</v>
      </c>
      <c r="BF348" s="231" t="b">
        <f t="shared" ref="BF348" si="3936">IF(J348="",FALSE,IF(OR(AND(AU347,L348=""),AND(AU347,L348="",OR(M348&lt;&gt;"",N348&lt;&gt;"",O348&lt;&gt;"",P348&lt;&gt;""))),TRUE,FALSE))</f>
        <v>0</v>
      </c>
      <c r="BG348" s="218" t="b">
        <f t="shared" si="3683"/>
        <v>0</v>
      </c>
      <c r="BH348" s="218" t="b">
        <f t="shared" si="3696"/>
        <v>0</v>
      </c>
      <c r="BI348" s="231" t="b">
        <f t="shared" ref="BI348" si="3937">IF(J348="",FALSE,IF(L348=0,FALSE,IF(AND(AU347,NOT(BF348),OR(M348="",N348="",O348="")),TRUE,FALSE)))</f>
        <v>0</v>
      </c>
      <c r="BJ348" s="240" t="b">
        <f t="shared" si="3698"/>
        <v>0</v>
      </c>
      <c r="BK348" s="231" t="b">
        <f>IF(NOT(BJ348),FALSE,IF(AND(競技会設定!$C$5&lt;=BJ348,BJ348&lt;=競技会設定!$C$6),FALSE,TRUE))</f>
        <v>0</v>
      </c>
      <c r="BL348" s="218" t="b">
        <f>IF(J348="",FALSE,IF(L348=0,FALSE,IF(AND(AU347,NOT(BF348),NOT(BI348),P348=""),TRUE,FALSE)))</f>
        <v>0</v>
      </c>
      <c r="BO348" s="274"/>
    </row>
    <row r="349" spans="1:67" ht="17.399999999999999" customHeight="1">
      <c r="A349" s="421"/>
      <c r="B349" s="374"/>
      <c r="C349" s="376"/>
      <c r="D349" s="140"/>
      <c r="E349" s="379" t="str">
        <f>IF(C347="","",VLOOKUP(D347,男子登録!$A$2:$O$2001,14,0)&amp;" ("&amp;VLOOKUP(D347,男子登録!$A$2:$O$2001,15,0)&amp;")")</f>
        <v/>
      </c>
      <c r="F349" s="380"/>
      <c r="G349" s="140" t="str">
        <f>IF(C347="","",(VLOOKUP(D347,男子登録!$A$2:$N$2001,9,0)))</f>
        <v/>
      </c>
      <c r="H349" s="140"/>
      <c r="I349" s="140" t="s">
        <v>4021</v>
      </c>
      <c r="J349" s="153"/>
      <c r="K349" s="140" t="s">
        <v>6760</v>
      </c>
      <c r="L349" s="153"/>
      <c r="M349" s="264"/>
      <c r="N349" s="265"/>
      <c r="O349" s="266"/>
      <c r="P349" s="152"/>
      <c r="Q349" s="382"/>
      <c r="R349" s="385"/>
      <c r="S349" s="136"/>
      <c r="T349" s="137"/>
      <c r="U349" s="137"/>
      <c r="V349" s="137"/>
      <c r="W349" s="137"/>
      <c r="X349" s="137"/>
      <c r="Y349" s="218">
        <f t="shared" ref="Y349" si="3938">IF(OR(E347="",J349=""),0,J349&amp;E347)</f>
        <v>0</v>
      </c>
      <c r="Z349" s="218">
        <f>IF(Y349=0,0,COUNTIF($Y$7:Y349,Y349))</f>
        <v>0</v>
      </c>
      <c r="AD349" s="218">
        <f>IFERROR(VLOOKUP(J349,競技会設定!$P$2:$S$22,2,0),0)</f>
        <v>0</v>
      </c>
      <c r="AE349" s="218">
        <f t="shared" ref="AE349" si="3939">IF(E347="",0,IF(AD349=0,0,IF(AD349&lt;3,E347&amp;$AE$6,0)))</f>
        <v>0</v>
      </c>
      <c r="AF349" s="218">
        <f>IF(AE349=0,0,E347&amp;COUNTIF($AE$7:AE349,AE349))</f>
        <v>0</v>
      </c>
      <c r="AG349" s="218">
        <f t="shared" ref="AG349" si="3940">IF(E347="",0,IF(AD349=0,0,IF(AD349&gt;=3,E347&amp;$AG$6,0)))</f>
        <v>0</v>
      </c>
      <c r="AH349" s="218">
        <f>IF(AG349=0,0,E347&amp;COUNTIF($AG$7:AG349,AG349))</f>
        <v>0</v>
      </c>
      <c r="AI349" s="218">
        <f t="shared" si="3649"/>
        <v>0</v>
      </c>
      <c r="AJ349" s="218" t="b">
        <f>IF(AI349=0,FALSE,IF(COUNTIF(AI$7:AI349,AI349)&gt;1,TRUE,FALSE))</f>
        <v>0</v>
      </c>
      <c r="AK349" s="218">
        <f t="shared" ref="AK349" si="3941">IF($AD349=AK$6,$E347,0)</f>
        <v>0</v>
      </c>
      <c r="AL349" s="218" t="b">
        <f>IF(AK349=0,FALSE,IF(COUNTIF(AK$7:AK349,AK349)&gt;1,TRUE,FALSE))</f>
        <v>0</v>
      </c>
      <c r="AM349" s="218">
        <f t="shared" ref="AM349" si="3942">IF($AD349=AM$6,$E347,0)</f>
        <v>0</v>
      </c>
      <c r="AN349" s="218" t="b">
        <f>IF(AM349=0,FALSE,IF(COUNTIF(AM$7:AM349,AM349)&gt;1,TRUE,FALSE))</f>
        <v>0</v>
      </c>
      <c r="AO349" s="218">
        <f t="shared" ref="AO349" si="3943">IF($AD349=AO$6,$E347,0)</f>
        <v>0</v>
      </c>
      <c r="AP349" s="218" t="b">
        <f>IF(AO349=0,FALSE,IF(COUNTIF(AO$7:AO349,AO349)&gt;1,TRUE,FALSE))</f>
        <v>0</v>
      </c>
      <c r="AQ349" s="218">
        <f t="shared" ref="AQ349" si="3944">IF(COUNTIF(Y349,"*十種競技*")&gt;0,E347,0)</f>
        <v>0</v>
      </c>
      <c r="AR349" s="218" t="b">
        <f>IF(AQ349=0,FALSE,IF(OR(COUNTIF($AI$7:$AI$406,AQ349)+COUNTIF($AQ349:$AQ$406,AQ349)&gt;1,COUNTIF($AK$7:$AK$406,AQ349)+COUNTIF($AQ$7:$AQ$406,AQ349)&gt;1),TRUE,FALSE))</f>
        <v>0</v>
      </c>
      <c r="AT349" s="218" t="b">
        <f t="shared" si="3694"/>
        <v>0</v>
      </c>
      <c r="AU349" s="274"/>
      <c r="AX349" s="274"/>
      <c r="BD349" s="218" t="b">
        <f t="shared" si="3681"/>
        <v>0</v>
      </c>
      <c r="BF349" s="231" t="b">
        <f t="shared" ref="BF349" si="3945">IF(J349="",FALSE,IF(OR(AND(AU347,L349=""),AND(AU347,L349="",OR(M349&lt;&gt;"",N349&lt;&gt;"",O349&lt;&gt;"",P349&lt;&gt;""))),TRUE,FALSE))</f>
        <v>0</v>
      </c>
      <c r="BG349" s="218" t="b">
        <f t="shared" si="3683"/>
        <v>0</v>
      </c>
      <c r="BH349" s="218" t="b">
        <f t="shared" si="3696"/>
        <v>0</v>
      </c>
      <c r="BI349" s="231" t="b">
        <f t="shared" ref="BI349" si="3946">IF(J349="",FALSE,IF(L349=0,FALSE,IF(AND(AU347,NOT(BF349),OR(M349="",N349="",O349="")),TRUE,FALSE)))</f>
        <v>0</v>
      </c>
      <c r="BJ349" s="240" t="b">
        <f t="shared" si="3698"/>
        <v>0</v>
      </c>
      <c r="BK349" s="231" t="b">
        <f>IF(NOT(BJ349),FALSE,IF(AND(競技会設定!$C$5&lt;=BJ349,BJ349&lt;=競技会設定!$C$6),FALSE,TRUE))</f>
        <v>0</v>
      </c>
      <c r="BL349" s="218" t="b">
        <f>IF(J349="",FALSE,IF(L349=0,FALSE,IF(AND(AU347,NOT(BF349),NOT(BI349),P349=""),TRUE,FALSE)))</f>
        <v>0</v>
      </c>
      <c r="BO349" s="274"/>
    </row>
    <row r="350" spans="1:67" ht="18" customHeight="1" thickBot="1">
      <c r="A350" s="422"/>
      <c r="B350" s="387" t="s">
        <v>6764</v>
      </c>
      <c r="C350" s="387"/>
      <c r="D350" s="213"/>
      <c r="E350" s="388"/>
      <c r="F350" s="389"/>
      <c r="G350" s="390"/>
      <c r="H350" s="141"/>
      <c r="I350" s="213" t="s">
        <v>6759</v>
      </c>
      <c r="J350" s="154"/>
      <c r="K350" s="213" t="s">
        <v>6761</v>
      </c>
      <c r="L350" s="154"/>
      <c r="M350" s="267"/>
      <c r="N350" s="268"/>
      <c r="O350" s="269"/>
      <c r="P350" s="154"/>
      <c r="Q350" s="383"/>
      <c r="R350" s="386"/>
      <c r="S350" s="136"/>
      <c r="T350" s="137"/>
      <c r="U350" s="137"/>
      <c r="V350" s="137"/>
      <c r="W350" s="137"/>
      <c r="X350" s="137"/>
      <c r="Y350" s="218">
        <f t="shared" ref="Y350" si="3947">IF(OR(E347="",J350=""),0,J350&amp;E347)</f>
        <v>0</v>
      </c>
      <c r="Z350" s="218">
        <f>IF(Y350=0,0,COUNTIF($Y$7:Y350,Y350))</f>
        <v>0</v>
      </c>
      <c r="AD350" s="218">
        <f>IFERROR(VLOOKUP(J350,競技会設定!$P$2:$S$22,2,0),0)</f>
        <v>0</v>
      </c>
      <c r="AE350" s="218">
        <f t="shared" ref="AE350" si="3948">IF(E347="",0,IF(AD350=0,0,IF(AD350&lt;3,E347&amp;$AE$6,0)))</f>
        <v>0</v>
      </c>
      <c r="AF350" s="218">
        <f>IF(AE350=0,0,E347&amp;COUNTIF($AE$7:AE350,AE350))</f>
        <v>0</v>
      </c>
      <c r="AG350" s="218">
        <f t="shared" ref="AG350" si="3949">IF(E347="",0,IF(AD350=0,0,IF(AD350&gt;=3,E347&amp;$AG$6,0)))</f>
        <v>0</v>
      </c>
      <c r="AH350" s="218">
        <f>IF(AG350=0,0,E347&amp;COUNTIF($AG$7:AG350,AG350))</f>
        <v>0</v>
      </c>
      <c r="AI350" s="218">
        <f t="shared" si="3659"/>
        <v>0</v>
      </c>
      <c r="AJ350" s="218" t="b">
        <f>IF(AI350=0,FALSE,IF(COUNTIF(AI$7:AI350,AI350)&gt;1,TRUE,FALSE))</f>
        <v>0</v>
      </c>
      <c r="AK350" s="218">
        <f t="shared" ref="AK350" si="3950">IF($AD350=AK$6,$E347,0)</f>
        <v>0</v>
      </c>
      <c r="AL350" s="218" t="b">
        <f>IF(AK350=0,FALSE,IF(COUNTIF(AK$7:AK350,AK350)&gt;1,TRUE,FALSE))</f>
        <v>0</v>
      </c>
      <c r="AM350" s="218">
        <f t="shared" ref="AM350" si="3951">IF($AD350=AM$6,$E347,0)</f>
        <v>0</v>
      </c>
      <c r="AN350" s="218" t="b">
        <f>IF(AM350=0,FALSE,IF(COUNTIF(AM$7:AM350,AM350)&gt;1,TRUE,FALSE))</f>
        <v>0</v>
      </c>
      <c r="AO350" s="218">
        <f t="shared" ref="AO350" si="3952">IF($AD350=AO$6,$E347,0)</f>
        <v>0</v>
      </c>
      <c r="AP350" s="218" t="b">
        <f>IF(AO350=0,FALSE,IF(COUNTIF(AO$7:AO350,AO350)&gt;1,TRUE,FALSE))</f>
        <v>0</v>
      </c>
      <c r="AQ350" s="218">
        <f t="shared" ref="AQ350" si="3953">IF(COUNTIF(Y350,"*十種競技*")&gt;0,E347,0)</f>
        <v>0</v>
      </c>
      <c r="AR350" s="218" t="b">
        <f>IF(AQ350=0,FALSE,IF(OR(COUNTIF($AI$7:$AI$406,AQ350)+COUNTIF($AQ350:$AQ$406,AQ350)&gt;1,COUNTIF($AK$7:$AK$406,AQ350)+COUNTIF($AQ$7:$AQ$406,AQ350)&gt;1),TRUE,FALSE))</f>
        <v>0</v>
      </c>
      <c r="AT350" s="218" t="b">
        <f t="shared" si="3694"/>
        <v>0</v>
      </c>
      <c r="AU350" s="274"/>
      <c r="AX350" s="274"/>
      <c r="BD350" s="218" t="b">
        <f t="shared" si="3681"/>
        <v>0</v>
      </c>
      <c r="BF350" s="231" t="b">
        <f t="shared" ref="BF350" si="3954">IF(J350="",FALSE,IF(OR(AND(AU347,L350=""),AND(AU347,L350="",OR(M350&lt;&gt;"",N350&lt;&gt;"",O350&lt;&gt;"",P350&lt;&gt;""))),TRUE,FALSE))</f>
        <v>0</v>
      </c>
      <c r="BG350" s="218" t="b">
        <f t="shared" si="3683"/>
        <v>0</v>
      </c>
      <c r="BH350" s="218" t="b">
        <f t="shared" si="3696"/>
        <v>0</v>
      </c>
      <c r="BI350" s="231" t="b">
        <f t="shared" ref="BI350" si="3955">IF(J350="",FALSE,IF(L350=0,FALSE,IF(AND(AU347,NOT(BF350),OR(M350="",N350="",O350="")),TRUE,FALSE)))</f>
        <v>0</v>
      </c>
      <c r="BJ350" s="240" t="b">
        <f t="shared" si="3698"/>
        <v>0</v>
      </c>
      <c r="BK350" s="231" t="b">
        <f>IF(NOT(BJ350),FALSE,IF(AND(競技会設定!$C$5&lt;=BJ350,BJ350&lt;=競技会設定!$C$6),FALSE,TRUE))</f>
        <v>0</v>
      </c>
      <c r="BL350" s="218" t="b">
        <f>IF(J350="",FALSE,IF(L350=0,FALSE,IF(AND(AU347,NOT(BF350),NOT(BI350),P350=""),TRUE,FALSE)))</f>
        <v>0</v>
      </c>
      <c r="BO350" s="274"/>
    </row>
    <row r="351" spans="1:67" ht="18" customHeight="1" thickTop="1">
      <c r="A351" s="417">
        <v>87</v>
      </c>
      <c r="B351" s="401" t="s">
        <v>4018</v>
      </c>
      <c r="C351" s="403"/>
      <c r="D351" s="220" t="str">
        <f t="shared" ref="D351" si="3956">IF(C351="","",501&amp;TEXT(C351,"000000"))</f>
        <v/>
      </c>
      <c r="E351" s="396" t="str">
        <f>IF(D351="","",(VLOOKUP(D351,男子登録!$A$2:$N$2001,3,0)))</f>
        <v/>
      </c>
      <c r="F351" s="396" t="str">
        <f>IF(D351="","",(VLOOKUP(D351,男子登録!$A$2:$N$2001,4,0)))</f>
        <v/>
      </c>
      <c r="G351" s="220" t="str">
        <f>IF(C351="","",(VLOOKUP(D351,男子登録!$A$2:$N$2001,8,0)))</f>
        <v/>
      </c>
      <c r="H351" s="220">
        <f>IFERROR(VLOOKUP(D351,男子登録!$A$2:$N$2001,11,0),基本情報!$E$5)</f>
        <v>0</v>
      </c>
      <c r="I351" s="220" t="s">
        <v>4019</v>
      </c>
      <c r="J351" s="148"/>
      <c r="K351" s="220" t="s">
        <v>4022</v>
      </c>
      <c r="L351" s="148"/>
      <c r="M351" s="252"/>
      <c r="N351" s="253"/>
      <c r="O351" s="254"/>
      <c r="P351" s="148"/>
      <c r="Q351" s="398"/>
      <c r="R351" s="391"/>
      <c r="S351" s="136">
        <f t="shared" ref="S351" si="3957">IF(OR(E351="",Q351=""),0,E351)</f>
        <v>0</v>
      </c>
      <c r="T351" s="137">
        <f>IF(S351=0,0,COUNTIF($S$7:S351,"*"))</f>
        <v>0</v>
      </c>
      <c r="U351" s="137">
        <f>IF(S351=0,0,COUNTIF($S$7:S351,S351))</f>
        <v>0</v>
      </c>
      <c r="V351" s="137">
        <f t="shared" si="3913"/>
        <v>0</v>
      </c>
      <c r="W351" s="137">
        <f>IF(V351=0,0,COUNTIF($V$7:V351,"*"))</f>
        <v>0</v>
      </c>
      <c r="X351" s="137">
        <f>IF(V351=0,0,COUNTIF($V$7:V351,V351))</f>
        <v>0</v>
      </c>
      <c r="Y351" s="218">
        <f t="shared" ref="Y351" si="3958">IF(OR(E351="",J351=""),0,J351&amp;E351)</f>
        <v>0</v>
      </c>
      <c r="Z351" s="218">
        <f>IF(Y351=0,0,COUNTIF($Y$7:Y351,Y351))</f>
        <v>0</v>
      </c>
      <c r="AA351" s="218" t="b">
        <f t="shared" ref="AA351" si="3959">IF(COUNTIF(J351:J354,"十種競技")&gt;0,TRUE,FALSE)</f>
        <v>0</v>
      </c>
      <c r="AB351" s="218">
        <f>IF(E351="",0,IF(AA351,COUNTIF($AA$7:AA351,TRUE),0))</f>
        <v>0</v>
      </c>
      <c r="AC351" s="218">
        <f>IFERROR(VLOOKUP("十種競技",J351:L354,3,0),0)</f>
        <v>0</v>
      </c>
      <c r="AD351" s="218">
        <f>IFERROR(VLOOKUP(J351,競技会設定!$P$2:$S$22,2,0),0)</f>
        <v>0</v>
      </c>
      <c r="AE351" s="218">
        <f t="shared" ref="AE351" si="3960">IF(E351="",0,IF(AD351=0,0,IF(AD351&lt;3,E351&amp;$AE$6,0)))</f>
        <v>0</v>
      </c>
      <c r="AF351" s="218">
        <f>IF(AE351=0,0,E351&amp;COUNTIF($AE$7:AE351,AE351))</f>
        <v>0</v>
      </c>
      <c r="AG351" s="218">
        <f t="shared" ref="AG351" si="3961">IF(E351="",0,IF(AD351=0,0,IF(AD351&gt;=3,E351&amp;$AG$6,0)))</f>
        <v>0</v>
      </c>
      <c r="AH351" s="218">
        <f>IF(AG351=0,0,E351&amp;COUNTIF($AG$7:AG351,AG351))</f>
        <v>0</v>
      </c>
      <c r="AI351" s="218">
        <f t="shared" si="3672"/>
        <v>0</v>
      </c>
      <c r="AJ351" s="218" t="b">
        <f>IF(AI351=0,FALSE,IF(COUNTIF(AI$7:AI351,AI351)&gt;1,TRUE,FALSE))</f>
        <v>0</v>
      </c>
      <c r="AK351" s="218">
        <f t="shared" ref="AK351" si="3962">IF($AD351=AK$6,$E351,0)</f>
        <v>0</v>
      </c>
      <c r="AL351" s="218" t="b">
        <f>IF(AK351=0,FALSE,IF(COUNTIF(AK$7:AK351,AK351)&gt;1,TRUE,FALSE))</f>
        <v>0</v>
      </c>
      <c r="AM351" s="218">
        <f t="shared" ref="AM351" si="3963">IF($AD351=AM$6,$E351,0)</f>
        <v>0</v>
      </c>
      <c r="AN351" s="218" t="b">
        <f>IF(AM351=0,FALSE,IF(COUNTIF(AM$7:AM351,AM351)&gt;1,TRUE,FALSE))</f>
        <v>0</v>
      </c>
      <c r="AO351" s="218">
        <f t="shared" ref="AO351" si="3964">IF($AD351=AO$6,$E351,0)</f>
        <v>0</v>
      </c>
      <c r="AP351" s="218" t="b">
        <f>IF(AO351=0,FALSE,IF(COUNTIF(AO$7:AO351,AO351)&gt;1,TRUE,FALSE))</f>
        <v>0</v>
      </c>
      <c r="AQ351" s="218">
        <f t="shared" ref="AQ351" si="3965">IF(COUNTIF(Y351,"*十種競技*")&gt;0,E351,0)</f>
        <v>0</v>
      </c>
      <c r="AR351" s="218" t="b">
        <f>IF(AQ351=0,FALSE,IF(OR(COUNTIF($AI$7:$AI$406,AQ351)+COUNTIF($AQ351:$AQ$406,AQ351)&gt;1,COUNTIF($AK$7:$AK$406,AQ351)+COUNTIF($AQ$7:$AQ$406,AQ351)&gt;1),TRUE,FALSE))</f>
        <v>0</v>
      </c>
      <c r="AS351" s="218" t="b">
        <f t="shared" ref="AS351" si="3966">IF(AND(C351="",E351&lt;&gt;"",F351&lt;&gt;"",E353&lt;&gt;"",G351&lt;&gt;"",G352&lt;&gt;"",G353&lt;&gt;""),TRUE,FALSE)</f>
        <v>0</v>
      </c>
      <c r="AT351" s="218" t="b">
        <f t="shared" si="3694"/>
        <v>0</v>
      </c>
      <c r="AU351" s="274" t="b">
        <f t="shared" ref="AU351" si="3967">IFERROR(IF(D351&amp;E351&amp;F351&amp;E353&amp;G351&amp;G352&amp;G353&amp;J351&amp;J352&amp;J353&amp;J354&amp;L351&amp;L352&amp;L353&amp;L354&amp;M351&amp;M352&amp;M353&amp;M354&amp;N351&amp;N352&amp;N353&amp;N354&amp;O351&amp;O352&amp;O353&amp;O354&amp;P351&amp;P352&amp;P353&amp;P354&amp;Q351&amp;R351="",FALSE,TRUE),FALSE)</f>
        <v>0</v>
      </c>
      <c r="AV351" s="218" t="b">
        <f t="shared" ref="AV351" si="3968">IF(AS351,FALSE,IF(C351="",AU351,FALSE))</f>
        <v>0</v>
      </c>
      <c r="AW351" s="218" t="b">
        <f>IF(C351="",FALSE,IF(C351&gt;2000,TRUE,FALSE))</f>
        <v>0</v>
      </c>
      <c r="AX351" s="274" t="b">
        <f>IF(H351=0,FALSE,IF(EXACT(基本情報!$E$5,H351)=TRUE,FALSE,TRUE))</f>
        <v>0</v>
      </c>
      <c r="AY351" s="218" t="b">
        <f>IF(C351="",FALSE,IF(ISNA(E351)=TRUE,TRUE,FALSE))</f>
        <v>0</v>
      </c>
      <c r="AZ351" s="274" t="b">
        <f>IFERROR(IF(E351="",FALSE,IF(COUNTIF($E$7:E351,E351)&gt;1,TRUE,FALSE)),FALSE)</f>
        <v>0</v>
      </c>
      <c r="BA351" s="218" t="b">
        <f t="shared" ref="BA351" si="3969">IF(OR(J351&amp;J352&amp;J353&amp;J354&amp;Q351&amp;R351="",AT351,AT352,AT353,AT354),AU351,FALSE)</f>
        <v>0</v>
      </c>
      <c r="BB351" s="218" t="b">
        <f>IF(U351&gt;1,TRUE,FALSE)</f>
        <v>0</v>
      </c>
      <c r="BC351" s="218" t="b">
        <f>IF(X351&gt;1,TRUE,FALSE)</f>
        <v>0</v>
      </c>
      <c r="BD351" s="218" t="b">
        <f t="shared" si="3681"/>
        <v>0</v>
      </c>
      <c r="BF351" s="231" t="b">
        <f t="shared" ref="BF351" si="3970">IF(J351="",FALSE,IF(OR(AND(AU351,L351=""),AND(AU351,L351="",OR(M351&lt;&gt;"",N351&lt;&gt;"",O351&lt;&gt;"",P351&lt;&gt;""))),TRUE,FALSE))</f>
        <v>0</v>
      </c>
      <c r="BG351" s="218" t="b">
        <f t="shared" si="3683"/>
        <v>0</v>
      </c>
      <c r="BH351" s="218" t="b">
        <f t="shared" si="3696"/>
        <v>0</v>
      </c>
      <c r="BI351" s="231" t="b">
        <f t="shared" ref="BI351" si="3971">IF(J351="",FALSE,IF(L351=0,FALSE,IF(AND(AU351,NOT(BF351),OR(M351="",N351="",O351="")),TRUE,FALSE)))</f>
        <v>0</v>
      </c>
      <c r="BJ351" s="240" t="b">
        <f t="shared" si="3698"/>
        <v>0</v>
      </c>
      <c r="BK351" s="231" t="b">
        <f>IF(NOT(BJ351),FALSE,IF(AND(競技会設定!$C$5&lt;=BJ351,BJ351&lt;=競技会設定!$C$6),FALSE,TRUE))</f>
        <v>0</v>
      </c>
      <c r="BL351" s="218" t="b">
        <f>IF(J351="",FALSE,IF(L351=0,FALSE,IF(AND(AU351,NOT(BF351),NOT(BI351),P351=""),TRUE,FALSE)))</f>
        <v>0</v>
      </c>
      <c r="BO351" s="274">
        <f t="shared" ref="BO351" si="3972">IF(AND(AU351,SUM(COUNTIF(AV351:BC351,TRUE),COUNTIF(BF351:BL354,TRUE),COUNTIF(BD351:BD354,TRUE))=0,NOT($BE$7)),1,0)</f>
        <v>0</v>
      </c>
    </row>
    <row r="352" spans="1:67" ht="17.399999999999999" customHeight="1">
      <c r="A352" s="418"/>
      <c r="B352" s="402"/>
      <c r="C352" s="404"/>
      <c r="D352" s="221"/>
      <c r="E352" s="397"/>
      <c r="F352" s="397"/>
      <c r="G352" s="221" t="str">
        <f>IF(C351="","",(VLOOKUP(D351,男子登録!$A$2:$N$2001,13,0)))</f>
        <v/>
      </c>
      <c r="H352" s="221"/>
      <c r="I352" s="221" t="s">
        <v>4020</v>
      </c>
      <c r="J352" s="149"/>
      <c r="K352" s="221" t="s">
        <v>4023</v>
      </c>
      <c r="L352" s="149"/>
      <c r="M352" s="255"/>
      <c r="N352" s="256"/>
      <c r="O352" s="257"/>
      <c r="P352" s="149"/>
      <c r="Q352" s="399"/>
      <c r="R352" s="392"/>
      <c r="S352" s="136"/>
      <c r="T352" s="137"/>
      <c r="U352" s="137"/>
      <c r="V352" s="137"/>
      <c r="W352" s="137"/>
      <c r="X352" s="137"/>
      <c r="Y352" s="218">
        <f t="shared" ref="Y352" si="3973">IF(OR(E351="",J352=""),0,J352&amp;E351)</f>
        <v>0</v>
      </c>
      <c r="Z352" s="218">
        <f>IF(Y352=0,0,COUNTIF($Y$7:Y352,Y352))</f>
        <v>0</v>
      </c>
      <c r="AD352" s="218">
        <f>IFERROR(VLOOKUP(J352,競技会設定!$P$2:$S$22,2,0),0)</f>
        <v>0</v>
      </c>
      <c r="AE352" s="218">
        <f t="shared" ref="AE352" si="3974">IF(E351="",0,IF(AD352=0,0,IF(AD352&lt;3,E351&amp;$AE$6,0)))</f>
        <v>0</v>
      </c>
      <c r="AF352" s="218">
        <f>IF(AE352=0,0,E351&amp;COUNTIF($AE$7:AE352,AE352))</f>
        <v>0</v>
      </c>
      <c r="AG352" s="218">
        <f t="shared" ref="AG352" si="3975">IF(E351="",0,IF(AD352=0,0,IF(AD352&gt;=3,E351&amp;$AG$6,0)))</f>
        <v>0</v>
      </c>
      <c r="AH352" s="218">
        <f>IF(AG352=0,0,E351&amp;COUNTIF($AG$7:AG352,AG352))</f>
        <v>0</v>
      </c>
      <c r="AI352" s="218">
        <f t="shared" si="3689"/>
        <v>0</v>
      </c>
      <c r="AJ352" s="218" t="b">
        <f>IF(AI352=0,FALSE,IF(COUNTIF(AI$7:AI352,AI352)&gt;1,TRUE,FALSE))</f>
        <v>0</v>
      </c>
      <c r="AK352" s="218">
        <f t="shared" ref="AK352" si="3976">IF($AD352=AK$6,$E351,0)</f>
        <v>0</v>
      </c>
      <c r="AL352" s="218" t="b">
        <f>IF(AK352=0,FALSE,IF(COUNTIF(AK$7:AK352,AK352)&gt;1,TRUE,FALSE))</f>
        <v>0</v>
      </c>
      <c r="AM352" s="218">
        <f t="shared" ref="AM352" si="3977">IF($AD352=AM$6,$E351,0)</f>
        <v>0</v>
      </c>
      <c r="AN352" s="218" t="b">
        <f>IF(AM352=0,FALSE,IF(COUNTIF(AM$7:AM352,AM352)&gt;1,TRUE,FALSE))</f>
        <v>0</v>
      </c>
      <c r="AO352" s="218">
        <f t="shared" ref="AO352" si="3978">IF($AD352=AO$6,$E351,0)</f>
        <v>0</v>
      </c>
      <c r="AP352" s="218" t="b">
        <f>IF(AO352=0,FALSE,IF(COUNTIF(AO$7:AO352,AO352)&gt;1,TRUE,FALSE))</f>
        <v>0</v>
      </c>
      <c r="AQ352" s="218">
        <f t="shared" ref="AQ352" si="3979">IF(COUNTIF(Y352,"*十種競技*")&gt;0,E351,0)</f>
        <v>0</v>
      </c>
      <c r="AR352" s="218" t="b">
        <f>IF(AQ352=0,FALSE,IF(OR(COUNTIF($AI$7:$AI$406,AQ352)+COUNTIF($AQ352:$AQ$406,AQ352)&gt;1,COUNTIF($AK$7:$AK$406,AQ352)+COUNTIF($AQ$7:$AQ$406,AQ352)&gt;1),TRUE,FALSE))</f>
        <v>0</v>
      </c>
      <c r="AT352" s="218" t="b">
        <f t="shared" si="3694"/>
        <v>0</v>
      </c>
      <c r="AU352" s="274"/>
      <c r="AX352" s="274"/>
      <c r="BD352" s="218" t="b">
        <f t="shared" si="3681"/>
        <v>0</v>
      </c>
      <c r="BF352" s="231" t="b">
        <f t="shared" ref="BF352" si="3980">IF(J352="",FALSE,IF(OR(AND(AU351,L352=""),AND(AU351,L352="",OR(M352&lt;&gt;"",N352&lt;&gt;"",O352&lt;&gt;"",P352&lt;&gt;""))),TRUE,FALSE))</f>
        <v>0</v>
      </c>
      <c r="BG352" s="218" t="b">
        <f t="shared" si="3683"/>
        <v>0</v>
      </c>
      <c r="BH352" s="218" t="b">
        <f t="shared" si="3696"/>
        <v>0</v>
      </c>
      <c r="BI352" s="231" t="b">
        <f t="shared" ref="BI352" si="3981">IF(J352="",FALSE,IF(L352=0,FALSE,IF(AND(AU351,NOT(BF352),OR(M352="",N352="",O352="")),TRUE,FALSE)))</f>
        <v>0</v>
      </c>
      <c r="BJ352" s="240" t="b">
        <f t="shared" si="3698"/>
        <v>0</v>
      </c>
      <c r="BK352" s="231" t="b">
        <f>IF(NOT(BJ352),FALSE,IF(AND(競技会設定!$C$5&lt;=BJ352,BJ352&lt;=競技会設定!$C$6),FALSE,TRUE))</f>
        <v>0</v>
      </c>
      <c r="BL352" s="218" t="b">
        <f>IF(J352="",FALSE,IF(L352=0,FALSE,IF(AND(AU351,NOT(BF352),NOT(BI352),P352=""),TRUE,FALSE)))</f>
        <v>0</v>
      </c>
      <c r="BO352" s="274"/>
    </row>
    <row r="353" spans="1:67" ht="17.399999999999999" customHeight="1">
      <c r="A353" s="418"/>
      <c r="B353" s="402"/>
      <c r="C353" s="404"/>
      <c r="D353" s="221"/>
      <c r="E353" s="394" t="str">
        <f>IF(C351="","",VLOOKUP(D351,男子登録!$A$2:$O$2001,14,0)&amp;" ("&amp;VLOOKUP(D351,男子登録!$A$2:$O$2001,15,0)&amp;")")</f>
        <v/>
      </c>
      <c r="F353" s="394"/>
      <c r="G353" s="222" t="str">
        <f>IF(C351="","",(VLOOKUP(D351,男子登録!$A$2:$N$2001,9,0)))</f>
        <v/>
      </c>
      <c r="H353" s="222"/>
      <c r="I353" s="222" t="s">
        <v>4021</v>
      </c>
      <c r="J353" s="150"/>
      <c r="K353" s="222" t="s">
        <v>6760</v>
      </c>
      <c r="L353" s="150"/>
      <c r="M353" s="255"/>
      <c r="N353" s="256"/>
      <c r="O353" s="257"/>
      <c r="P353" s="149"/>
      <c r="Q353" s="399"/>
      <c r="R353" s="392"/>
      <c r="S353" s="136"/>
      <c r="T353" s="137"/>
      <c r="U353" s="137"/>
      <c r="V353" s="137"/>
      <c r="W353" s="137"/>
      <c r="X353" s="137"/>
      <c r="Y353" s="218">
        <f t="shared" ref="Y353" si="3982">IF(OR(E351="",J353=""),0,J353&amp;E351)</f>
        <v>0</v>
      </c>
      <c r="Z353" s="218">
        <f>IF(Y353=0,0,COUNTIF($Y$7:Y353,Y353))</f>
        <v>0</v>
      </c>
      <c r="AD353" s="218">
        <f>IFERROR(VLOOKUP(J353,競技会設定!$P$2:$S$22,2,0),0)</f>
        <v>0</v>
      </c>
      <c r="AE353" s="218">
        <f t="shared" ref="AE353" si="3983">IF(E351="",0,IF(AD353=0,0,IF(AD353&lt;3,E351&amp;$AE$6,0)))</f>
        <v>0</v>
      </c>
      <c r="AF353" s="218">
        <f>IF(AE353=0,0,E351&amp;COUNTIF($AE$7:AE353,AE353))</f>
        <v>0</v>
      </c>
      <c r="AG353" s="218">
        <f t="shared" ref="AG353" si="3984">IF(E351="",0,IF(AD353=0,0,IF(AD353&gt;=3,E351&amp;$AG$6,0)))</f>
        <v>0</v>
      </c>
      <c r="AH353" s="218">
        <f>IF(AG353=0,0,E351&amp;COUNTIF($AG$7:AG353,AG353))</f>
        <v>0</v>
      </c>
      <c r="AI353" s="218">
        <f t="shared" si="3702"/>
        <v>0</v>
      </c>
      <c r="AJ353" s="218" t="b">
        <f>IF(AI353=0,FALSE,IF(COUNTIF(AI$7:AI353,AI353)&gt;1,TRUE,FALSE))</f>
        <v>0</v>
      </c>
      <c r="AK353" s="218">
        <f t="shared" ref="AK353" si="3985">IF($AD353=AK$6,$E351,0)</f>
        <v>0</v>
      </c>
      <c r="AL353" s="218" t="b">
        <f>IF(AK353=0,FALSE,IF(COUNTIF(AK$7:AK353,AK353)&gt;1,TRUE,FALSE))</f>
        <v>0</v>
      </c>
      <c r="AM353" s="218">
        <f t="shared" ref="AM353" si="3986">IF($AD353=AM$6,$E351,0)</f>
        <v>0</v>
      </c>
      <c r="AN353" s="218" t="b">
        <f>IF(AM353=0,FALSE,IF(COUNTIF(AM$7:AM353,AM353)&gt;1,TRUE,FALSE))</f>
        <v>0</v>
      </c>
      <c r="AO353" s="218">
        <f t="shared" ref="AO353" si="3987">IF($AD353=AO$6,$E351,0)</f>
        <v>0</v>
      </c>
      <c r="AP353" s="218" t="b">
        <f>IF(AO353=0,FALSE,IF(COUNTIF(AO$7:AO353,AO353)&gt;1,TRUE,FALSE))</f>
        <v>0</v>
      </c>
      <c r="AQ353" s="218">
        <f t="shared" ref="AQ353" si="3988">IF(COUNTIF(Y353,"*十種競技*")&gt;0,E351,0)</f>
        <v>0</v>
      </c>
      <c r="AR353" s="218" t="b">
        <f>IF(AQ353=0,FALSE,IF(OR(COUNTIF($AI$7:$AI$406,AQ353)+COUNTIF($AQ353:$AQ$406,AQ353)&gt;1,COUNTIF($AK$7:$AK$406,AQ353)+COUNTIF($AQ$7:$AQ$406,AQ353)&gt;1),TRUE,FALSE))</f>
        <v>0</v>
      </c>
      <c r="AT353" s="218" t="b">
        <f t="shared" si="3694"/>
        <v>0</v>
      </c>
      <c r="AU353" s="274"/>
      <c r="AX353" s="274"/>
      <c r="BD353" s="218" t="b">
        <f t="shared" si="3681"/>
        <v>0</v>
      </c>
      <c r="BF353" s="231" t="b">
        <f t="shared" ref="BF353" si="3989">IF(J353="",FALSE,IF(OR(AND(AU351,L353=""),AND(AU351,L353="",OR(M353&lt;&gt;"",N353&lt;&gt;"",O353&lt;&gt;"",P353&lt;&gt;""))),TRUE,FALSE))</f>
        <v>0</v>
      </c>
      <c r="BG353" s="218" t="b">
        <f t="shared" si="3683"/>
        <v>0</v>
      </c>
      <c r="BH353" s="218" t="b">
        <f t="shared" si="3696"/>
        <v>0</v>
      </c>
      <c r="BI353" s="231" t="b">
        <f t="shared" ref="BI353" si="3990">IF(J353="",FALSE,IF(L353=0,FALSE,IF(AND(AU351,NOT(BF353),OR(M353="",N353="",O353="")),TRUE,FALSE)))</f>
        <v>0</v>
      </c>
      <c r="BJ353" s="240" t="b">
        <f t="shared" si="3698"/>
        <v>0</v>
      </c>
      <c r="BK353" s="231" t="b">
        <f>IF(NOT(BJ353),FALSE,IF(AND(競技会設定!$C$5&lt;=BJ353,BJ353&lt;=競技会設定!$C$6),FALSE,TRUE))</f>
        <v>0</v>
      </c>
      <c r="BL353" s="218" t="b">
        <f>IF(J353="",FALSE,IF(L353=0,FALSE,IF(AND(AU351,NOT(BF353),NOT(BI353),P353=""),TRUE,FALSE)))</f>
        <v>0</v>
      </c>
      <c r="BO353" s="274"/>
    </row>
    <row r="354" spans="1:67" ht="18" customHeight="1" thickBot="1">
      <c r="A354" s="419"/>
      <c r="B354" s="395" t="s">
        <v>6764</v>
      </c>
      <c r="C354" s="395"/>
      <c r="D354" s="221"/>
      <c r="E354" s="372"/>
      <c r="F354" s="372"/>
      <c r="G354" s="372"/>
      <c r="H354" s="214"/>
      <c r="I354" s="214" t="s">
        <v>6759</v>
      </c>
      <c r="J354" s="219"/>
      <c r="K354" s="214" t="s">
        <v>6761</v>
      </c>
      <c r="L354" s="219"/>
      <c r="M354" s="258"/>
      <c r="N354" s="259"/>
      <c r="O354" s="260"/>
      <c r="P354" s="219"/>
      <c r="Q354" s="400"/>
      <c r="R354" s="393"/>
      <c r="S354" s="136"/>
      <c r="T354" s="137"/>
      <c r="U354" s="137"/>
      <c r="V354" s="137"/>
      <c r="W354" s="137"/>
      <c r="X354" s="137"/>
      <c r="Y354" s="218">
        <f t="shared" ref="Y354" si="3991">IF(OR(E351="",J354=""),0,J354&amp;E351)</f>
        <v>0</v>
      </c>
      <c r="Z354" s="218">
        <f>IF(Y354=0,0,COUNTIF($Y$7:Y354,Y354))</f>
        <v>0</v>
      </c>
      <c r="AD354" s="218">
        <f>IFERROR(VLOOKUP(J354,競技会設定!$P$2:$S$22,2,0),0)</f>
        <v>0</v>
      </c>
      <c r="AE354" s="218">
        <f t="shared" ref="AE354" si="3992">IF(E351="",0,IF(AD354=0,0,IF(AD354&lt;3,E351&amp;$AE$6,0)))</f>
        <v>0</v>
      </c>
      <c r="AF354" s="218">
        <f>IF(AE354=0,0,E351&amp;COUNTIF($AE$7:AE354,AE354))</f>
        <v>0</v>
      </c>
      <c r="AG354" s="218">
        <f t="shared" ref="AG354" si="3993">IF(E351="",0,IF(AD354=0,0,IF(AD354&gt;=3,E351&amp;$AG$6,0)))</f>
        <v>0</v>
      </c>
      <c r="AH354" s="218">
        <f>IF(AG354=0,0,E351&amp;COUNTIF($AG$7:AG354,AG354))</f>
        <v>0</v>
      </c>
      <c r="AI354" s="218">
        <f t="shared" si="3712"/>
        <v>0</v>
      </c>
      <c r="AJ354" s="218" t="b">
        <f>IF(AI354=0,FALSE,IF(COUNTIF(AI$7:AI354,AI354)&gt;1,TRUE,FALSE))</f>
        <v>0</v>
      </c>
      <c r="AK354" s="218">
        <f t="shared" ref="AK354" si="3994">IF($AD354=AK$6,$E351,0)</f>
        <v>0</v>
      </c>
      <c r="AL354" s="218" t="b">
        <f>IF(AK354=0,FALSE,IF(COUNTIF(AK$7:AK354,AK354)&gt;1,TRUE,FALSE))</f>
        <v>0</v>
      </c>
      <c r="AM354" s="218">
        <f t="shared" ref="AM354" si="3995">IF($AD354=AM$6,$E351,0)</f>
        <v>0</v>
      </c>
      <c r="AN354" s="218" t="b">
        <f>IF(AM354=0,FALSE,IF(COUNTIF(AM$7:AM354,AM354)&gt;1,TRUE,FALSE))</f>
        <v>0</v>
      </c>
      <c r="AO354" s="218">
        <f t="shared" ref="AO354" si="3996">IF($AD354=AO$6,$E351,0)</f>
        <v>0</v>
      </c>
      <c r="AP354" s="218" t="b">
        <f>IF(AO354=0,FALSE,IF(COUNTIF(AO$7:AO354,AO354)&gt;1,TRUE,FALSE))</f>
        <v>0</v>
      </c>
      <c r="AQ354" s="218">
        <f t="shared" ref="AQ354" si="3997">IF(COUNTIF(Y354,"*十種競技*")&gt;0,E351,0)</f>
        <v>0</v>
      </c>
      <c r="AR354" s="218" t="b">
        <f>IF(AQ354=0,FALSE,IF(OR(COUNTIF($AI$7:$AI$406,AQ354)+COUNTIF($AQ354:$AQ$406,AQ354)&gt;1,COUNTIF($AK$7:$AK$406,AQ354)+COUNTIF($AQ$7:$AQ$406,AQ354)&gt;1),TRUE,FALSE))</f>
        <v>0</v>
      </c>
      <c r="AT354" s="218" t="b">
        <f t="shared" si="3694"/>
        <v>0</v>
      </c>
      <c r="AU354" s="274"/>
      <c r="AX354" s="274"/>
      <c r="BD354" s="218" t="b">
        <f t="shared" si="3681"/>
        <v>0</v>
      </c>
      <c r="BF354" s="231" t="b">
        <f t="shared" ref="BF354" si="3998">IF(J354="",FALSE,IF(OR(AND(AU351,L354=""),AND(AU351,L354="",OR(M354&lt;&gt;"",N354&lt;&gt;"",O354&lt;&gt;"",P354&lt;&gt;""))),TRUE,FALSE))</f>
        <v>0</v>
      </c>
      <c r="BG354" s="218" t="b">
        <f t="shared" si="3683"/>
        <v>0</v>
      </c>
      <c r="BH354" s="218" t="b">
        <f t="shared" si="3696"/>
        <v>0</v>
      </c>
      <c r="BI354" s="231" t="b">
        <f t="shared" ref="BI354" si="3999">IF(J354="",FALSE,IF(L354=0,FALSE,IF(AND(AU351,NOT(BF354),OR(M354="",N354="",O354="")),TRUE,FALSE)))</f>
        <v>0</v>
      </c>
      <c r="BJ354" s="240" t="b">
        <f t="shared" si="3698"/>
        <v>0</v>
      </c>
      <c r="BK354" s="231" t="b">
        <f>IF(NOT(BJ354),FALSE,IF(AND(競技会設定!$C$5&lt;=BJ354,BJ354&lt;=競技会設定!$C$6),FALSE,TRUE))</f>
        <v>0</v>
      </c>
      <c r="BL354" s="218" t="b">
        <f>IF(J354="",FALSE,IF(L354=0,FALSE,IF(AND(AU351,NOT(BF354),NOT(BI354),P354=""),TRUE,FALSE)))</f>
        <v>0</v>
      </c>
      <c r="BO354" s="274"/>
    </row>
    <row r="355" spans="1:67" ht="18" customHeight="1" thickTop="1">
      <c r="A355" s="420">
        <v>88</v>
      </c>
      <c r="B355" s="373" t="s">
        <v>4018</v>
      </c>
      <c r="C355" s="375"/>
      <c r="D355" s="138" t="str">
        <f t="shared" ref="D355" si="4000">IF(C355="","",501&amp;TEXT(C355,"000000"))</f>
        <v/>
      </c>
      <c r="E355" s="377" t="str">
        <f>IF(D355="","",(VLOOKUP(D355,男子登録!$A$2:$N$2001,3,0)))</f>
        <v/>
      </c>
      <c r="F355" s="377" t="str">
        <f>IF(D355="","",(VLOOKUP(D355,男子登録!$A$2:$N$2001,4,0)))</f>
        <v/>
      </c>
      <c r="G355" s="138" t="str">
        <f>IF(C355="","",(VLOOKUP(D355,男子登録!$A$2:$N$2001,8,0)))</f>
        <v/>
      </c>
      <c r="H355" s="138">
        <f>IFERROR(VLOOKUP(D355,男子登録!$A$2:$N$2001,11,0),基本情報!$E$5)</f>
        <v>0</v>
      </c>
      <c r="I355" s="138" t="s">
        <v>4019</v>
      </c>
      <c r="J355" s="151"/>
      <c r="K355" s="138" t="s">
        <v>4022</v>
      </c>
      <c r="L355" s="151"/>
      <c r="M355" s="261"/>
      <c r="N355" s="262"/>
      <c r="O355" s="263"/>
      <c r="P355" s="151"/>
      <c r="Q355" s="381"/>
      <c r="R355" s="384"/>
      <c r="S355" s="136">
        <f t="shared" ref="S355" si="4001">IF(OR(E355="",Q355=""),0,E355)</f>
        <v>0</v>
      </c>
      <c r="T355" s="137">
        <f>IF(S355=0,0,COUNTIF($S$7:S355,"*"))</f>
        <v>0</v>
      </c>
      <c r="U355" s="137">
        <f>IF(S355=0,0,COUNTIF($S$7:S355,S355))</f>
        <v>0</v>
      </c>
      <c r="V355" s="137">
        <f t="shared" si="3913"/>
        <v>0</v>
      </c>
      <c r="W355" s="137">
        <f>IF(V355=0,0,COUNTIF($V$7:V355,"*"))</f>
        <v>0</v>
      </c>
      <c r="X355" s="137">
        <f>IF(V355=0,0,COUNTIF($V$7:V355,V355))</f>
        <v>0</v>
      </c>
      <c r="Y355" s="218">
        <f t="shared" ref="Y355" si="4002">IF(OR(E355="",J355=""),0,J355&amp;E355)</f>
        <v>0</v>
      </c>
      <c r="Z355" s="218">
        <f>IF(Y355=0,0,COUNTIF($Y$7:Y355,Y355))</f>
        <v>0</v>
      </c>
      <c r="AA355" s="218" t="b">
        <f t="shared" ref="AA355" si="4003">IF(COUNTIF(J355:J358,"十種競技")&gt;0,TRUE,FALSE)</f>
        <v>0</v>
      </c>
      <c r="AB355" s="218">
        <f>IF(E355="",0,IF(AA355,COUNTIF($AA$7:AA355,TRUE),0))</f>
        <v>0</v>
      </c>
      <c r="AC355" s="218">
        <f>IFERROR(VLOOKUP("十種競技",J355:L358,3,0),0)</f>
        <v>0</v>
      </c>
      <c r="AD355" s="218">
        <f>IFERROR(VLOOKUP(J355,競技会設定!$P$2:$S$22,2,0),0)</f>
        <v>0</v>
      </c>
      <c r="AE355" s="218">
        <f t="shared" ref="AE355" si="4004">IF(E355="",0,IF(AD355=0,0,IF(AD355&lt;3,E355&amp;$AE$6,0)))</f>
        <v>0</v>
      </c>
      <c r="AF355" s="218">
        <f>IF(AE355=0,0,E355&amp;COUNTIF($AE$7:AE355,AE355))</f>
        <v>0</v>
      </c>
      <c r="AG355" s="218">
        <f t="shared" ref="AG355" si="4005">IF(E355="",0,IF(AD355=0,0,IF(AD355&gt;=3,E355&amp;$AG$6,0)))</f>
        <v>0</v>
      </c>
      <c r="AH355" s="218">
        <f>IF(AG355=0,0,E355&amp;COUNTIF($AG$7:AG355,AG355))</f>
        <v>0</v>
      </c>
      <c r="AI355" s="218">
        <f t="shared" si="3725"/>
        <v>0</v>
      </c>
      <c r="AJ355" s="218" t="b">
        <f>IF(AI355=0,FALSE,IF(COUNTIF(AI$7:AI355,AI355)&gt;1,TRUE,FALSE))</f>
        <v>0</v>
      </c>
      <c r="AK355" s="218">
        <f t="shared" ref="AK355" si="4006">IF($AD355=AK$6,$E355,0)</f>
        <v>0</v>
      </c>
      <c r="AL355" s="218" t="b">
        <f>IF(AK355=0,FALSE,IF(COUNTIF(AK$7:AK355,AK355)&gt;1,TRUE,FALSE))</f>
        <v>0</v>
      </c>
      <c r="AM355" s="218">
        <f t="shared" ref="AM355" si="4007">IF($AD355=AM$6,$E355,0)</f>
        <v>0</v>
      </c>
      <c r="AN355" s="218" t="b">
        <f>IF(AM355=0,FALSE,IF(COUNTIF(AM$7:AM355,AM355)&gt;1,TRUE,FALSE))</f>
        <v>0</v>
      </c>
      <c r="AO355" s="218">
        <f t="shared" ref="AO355" si="4008">IF($AD355=AO$6,$E355,0)</f>
        <v>0</v>
      </c>
      <c r="AP355" s="218" t="b">
        <f>IF(AO355=0,FALSE,IF(COUNTIF(AO$7:AO355,AO355)&gt;1,TRUE,FALSE))</f>
        <v>0</v>
      </c>
      <c r="AQ355" s="218">
        <f t="shared" ref="AQ355" si="4009">IF(COUNTIF(Y355,"*十種競技*")&gt;0,E355,0)</f>
        <v>0</v>
      </c>
      <c r="AR355" s="218" t="b">
        <f>IF(AQ355=0,FALSE,IF(OR(COUNTIF($AI$7:$AI$406,AQ355)+COUNTIF($AQ355:$AQ$406,AQ355)&gt;1,COUNTIF($AK$7:$AK$406,AQ355)+COUNTIF($AQ$7:$AQ$406,AQ355)&gt;1),TRUE,FALSE))</f>
        <v>0</v>
      </c>
      <c r="AS355" s="218" t="b">
        <f t="shared" ref="AS355" si="4010">IF(AND(C355="",E355&lt;&gt;"",F355&lt;&gt;"",E357&lt;&gt;"",G355&lt;&gt;"",G356&lt;&gt;"",G357&lt;&gt;""),TRUE,FALSE)</f>
        <v>0</v>
      </c>
      <c r="AT355" s="218" t="b">
        <f t="shared" si="3694"/>
        <v>0</v>
      </c>
      <c r="AU355" s="274" t="b">
        <f t="shared" ref="AU355" si="4011">IFERROR(IF(D355&amp;E355&amp;F355&amp;E357&amp;G355&amp;G356&amp;G357&amp;J355&amp;J356&amp;J357&amp;J358&amp;L355&amp;L356&amp;L357&amp;L358&amp;M355&amp;M356&amp;M357&amp;M358&amp;N355&amp;N356&amp;N357&amp;N358&amp;O355&amp;O356&amp;O357&amp;O358&amp;P355&amp;P356&amp;P357&amp;P358&amp;Q355&amp;R355="",FALSE,TRUE),FALSE)</f>
        <v>0</v>
      </c>
      <c r="AV355" s="218" t="b">
        <f t="shared" ref="AV355" si="4012">IF(AS355,FALSE,IF(C355="",AU355,FALSE))</f>
        <v>0</v>
      </c>
      <c r="AW355" s="218" t="b">
        <f>IF(C355="",FALSE,IF(C355&gt;2000,TRUE,FALSE))</f>
        <v>0</v>
      </c>
      <c r="AX355" s="274" t="b">
        <f>IF(H355=0,FALSE,IF(EXACT(基本情報!$E$5,H355)=TRUE,FALSE,TRUE))</f>
        <v>0</v>
      </c>
      <c r="AY355" s="218" t="b">
        <f>IF(C355="",FALSE,IF(ISNA(E355)=TRUE,TRUE,FALSE))</f>
        <v>0</v>
      </c>
      <c r="AZ355" s="274" t="b">
        <f>IFERROR(IF(E355="",FALSE,IF(COUNTIF($E$7:E355,E355)&gt;1,TRUE,FALSE)),FALSE)</f>
        <v>0</v>
      </c>
      <c r="BA355" s="218" t="b">
        <f t="shared" ref="BA355" si="4013">IF(OR(J355&amp;J356&amp;J357&amp;J358&amp;Q355&amp;R355="",AT355,AT356,AT357,AT358),AU355,FALSE)</f>
        <v>0</v>
      </c>
      <c r="BB355" s="218" t="b">
        <f>IF(U355&gt;1,TRUE,FALSE)</f>
        <v>0</v>
      </c>
      <c r="BC355" s="218" t="b">
        <f>IF(X355&gt;1,TRUE,FALSE)</f>
        <v>0</v>
      </c>
      <c r="BD355" s="218" t="b">
        <f t="shared" si="3681"/>
        <v>0</v>
      </c>
      <c r="BF355" s="231" t="b">
        <f t="shared" ref="BF355" si="4014">IF(J355="",FALSE,IF(OR(AND(AU355,L355=""),AND(AU355,L355="",OR(M355&lt;&gt;"",N355&lt;&gt;"",O355&lt;&gt;"",P355&lt;&gt;""))),TRUE,FALSE))</f>
        <v>0</v>
      </c>
      <c r="BG355" s="218" t="b">
        <f t="shared" si="3683"/>
        <v>0</v>
      </c>
      <c r="BH355" s="218" t="b">
        <f t="shared" si="3696"/>
        <v>0</v>
      </c>
      <c r="BI355" s="231" t="b">
        <f t="shared" ref="BI355" si="4015">IF(J355="",FALSE,IF(L355=0,FALSE,IF(AND(AU355,NOT(BF355),OR(M355="",N355="",O355="")),TRUE,FALSE)))</f>
        <v>0</v>
      </c>
      <c r="BJ355" s="240" t="b">
        <f t="shared" si="3698"/>
        <v>0</v>
      </c>
      <c r="BK355" s="231" t="b">
        <f>IF(NOT(BJ355),FALSE,IF(AND(競技会設定!$C$5&lt;=BJ355,BJ355&lt;=競技会設定!$C$6),FALSE,TRUE))</f>
        <v>0</v>
      </c>
      <c r="BL355" s="218" t="b">
        <f>IF(J355="",FALSE,IF(L355=0,FALSE,IF(AND(AU355,NOT(BF355),NOT(BI355),P355=""),TRUE,FALSE)))</f>
        <v>0</v>
      </c>
      <c r="BO355" s="274">
        <f t="shared" ref="BO355" si="4016">IF(AND(AU355,SUM(COUNTIF(AV355:BC355,TRUE),COUNTIF(BF355:BL358,TRUE),COUNTIF(BD355:BD358,TRUE))=0,NOT($BE$7)),1,0)</f>
        <v>0</v>
      </c>
    </row>
    <row r="356" spans="1:67" ht="17.399999999999999" customHeight="1">
      <c r="A356" s="421"/>
      <c r="B356" s="374"/>
      <c r="C356" s="376"/>
      <c r="D356" s="139"/>
      <c r="E356" s="378"/>
      <c r="F356" s="378"/>
      <c r="G356" s="139" t="str">
        <f>IF(C355="","",(VLOOKUP(D355,男子登録!$A$2:$N$2001,13,0)))</f>
        <v/>
      </c>
      <c r="H356" s="139"/>
      <c r="I356" s="139" t="s">
        <v>4020</v>
      </c>
      <c r="J356" s="152"/>
      <c r="K356" s="139" t="s">
        <v>4023</v>
      </c>
      <c r="L356" s="152"/>
      <c r="M356" s="264"/>
      <c r="N356" s="265"/>
      <c r="O356" s="266"/>
      <c r="P356" s="152"/>
      <c r="Q356" s="382"/>
      <c r="R356" s="385"/>
      <c r="S356" s="136"/>
      <c r="T356" s="137"/>
      <c r="U356" s="137"/>
      <c r="V356" s="137"/>
      <c r="W356" s="137"/>
      <c r="X356" s="137"/>
      <c r="Y356" s="218">
        <f t="shared" ref="Y356" si="4017">IF(OR(E355="",J356=""),0,J356&amp;E355)</f>
        <v>0</v>
      </c>
      <c r="Z356" s="218">
        <f>IF(Y356=0,0,COUNTIF($Y$7:Y356,Y356))</f>
        <v>0</v>
      </c>
      <c r="AD356" s="218">
        <f>IFERROR(VLOOKUP(J356,競技会設定!$P$2:$S$22,2,0),0)</f>
        <v>0</v>
      </c>
      <c r="AE356" s="218">
        <f t="shared" ref="AE356" si="4018">IF(E355="",0,IF(AD356=0,0,IF(AD356&lt;3,E355&amp;$AE$6,0)))</f>
        <v>0</v>
      </c>
      <c r="AF356" s="218">
        <f>IF(AE356=0,0,E355&amp;COUNTIF($AE$7:AE356,AE356))</f>
        <v>0</v>
      </c>
      <c r="AG356" s="218">
        <f t="shared" ref="AG356" si="4019">IF(E355="",0,IF(AD356=0,0,IF(AD356&gt;=3,E355&amp;$AG$6,0)))</f>
        <v>0</v>
      </c>
      <c r="AH356" s="218">
        <f>IF(AG356=0,0,E355&amp;COUNTIF($AG$7:AG356,AG356))</f>
        <v>0</v>
      </c>
      <c r="AI356" s="218">
        <f t="shared" si="3740"/>
        <v>0</v>
      </c>
      <c r="AJ356" s="218" t="b">
        <f>IF(AI356=0,FALSE,IF(COUNTIF(AI$7:AI356,AI356)&gt;1,TRUE,FALSE))</f>
        <v>0</v>
      </c>
      <c r="AK356" s="218">
        <f t="shared" ref="AK356" si="4020">IF($AD356=AK$6,$E355,0)</f>
        <v>0</v>
      </c>
      <c r="AL356" s="218" t="b">
        <f>IF(AK356=0,FALSE,IF(COUNTIF(AK$7:AK356,AK356)&gt;1,TRUE,FALSE))</f>
        <v>0</v>
      </c>
      <c r="AM356" s="218">
        <f t="shared" ref="AM356" si="4021">IF($AD356=AM$6,$E355,0)</f>
        <v>0</v>
      </c>
      <c r="AN356" s="218" t="b">
        <f>IF(AM356=0,FALSE,IF(COUNTIF(AM$7:AM356,AM356)&gt;1,TRUE,FALSE))</f>
        <v>0</v>
      </c>
      <c r="AO356" s="218">
        <f t="shared" ref="AO356" si="4022">IF($AD356=AO$6,$E355,0)</f>
        <v>0</v>
      </c>
      <c r="AP356" s="218" t="b">
        <f>IF(AO356=0,FALSE,IF(COUNTIF(AO$7:AO356,AO356)&gt;1,TRUE,FALSE))</f>
        <v>0</v>
      </c>
      <c r="AQ356" s="218">
        <f t="shared" ref="AQ356" si="4023">IF(COUNTIF(Y356,"*十種競技*")&gt;0,E355,0)</f>
        <v>0</v>
      </c>
      <c r="AR356" s="218" t="b">
        <f>IF(AQ356=0,FALSE,IF(OR(COUNTIF($AI$7:$AI$406,AQ356)+COUNTIF($AQ356:$AQ$406,AQ356)&gt;1,COUNTIF($AK$7:$AK$406,AQ356)+COUNTIF($AQ$7:$AQ$406,AQ356)&gt;1),TRUE,FALSE))</f>
        <v>0</v>
      </c>
      <c r="AT356" s="218" t="b">
        <f t="shared" si="3694"/>
        <v>0</v>
      </c>
      <c r="AU356" s="274"/>
      <c r="AX356" s="274"/>
      <c r="BD356" s="218" t="b">
        <f t="shared" si="3681"/>
        <v>0</v>
      </c>
      <c r="BF356" s="231" t="b">
        <f t="shared" ref="BF356" si="4024">IF(J356="",FALSE,IF(OR(AND(AU355,L356=""),AND(AU355,L356="",OR(M356&lt;&gt;"",N356&lt;&gt;"",O356&lt;&gt;"",P356&lt;&gt;""))),TRUE,FALSE))</f>
        <v>0</v>
      </c>
      <c r="BG356" s="218" t="b">
        <f t="shared" si="3683"/>
        <v>0</v>
      </c>
      <c r="BH356" s="218" t="b">
        <f t="shared" si="3696"/>
        <v>0</v>
      </c>
      <c r="BI356" s="231" t="b">
        <f t="shared" ref="BI356" si="4025">IF(J356="",FALSE,IF(L356=0,FALSE,IF(AND(AU355,NOT(BF356),OR(M356="",N356="",O356="")),TRUE,FALSE)))</f>
        <v>0</v>
      </c>
      <c r="BJ356" s="240" t="b">
        <f t="shared" si="3698"/>
        <v>0</v>
      </c>
      <c r="BK356" s="231" t="b">
        <f>IF(NOT(BJ356),FALSE,IF(AND(競技会設定!$C$5&lt;=BJ356,BJ356&lt;=競技会設定!$C$6),FALSE,TRUE))</f>
        <v>0</v>
      </c>
      <c r="BL356" s="218" t="b">
        <f>IF(J356="",FALSE,IF(L356=0,FALSE,IF(AND(AU355,NOT(BF356),NOT(BI356),P356=""),TRUE,FALSE)))</f>
        <v>0</v>
      </c>
      <c r="BO356" s="274"/>
    </row>
    <row r="357" spans="1:67" ht="17.399999999999999" customHeight="1">
      <c r="A357" s="421"/>
      <c r="B357" s="374"/>
      <c r="C357" s="376"/>
      <c r="D357" s="140"/>
      <c r="E357" s="379" t="str">
        <f>IF(C355="","",VLOOKUP(D355,男子登録!$A$2:$O$2001,14,0)&amp;" ("&amp;VLOOKUP(D355,男子登録!$A$2:$O$2001,15,0)&amp;")")</f>
        <v/>
      </c>
      <c r="F357" s="380"/>
      <c r="G357" s="140" t="str">
        <f>IF(C355="","",(VLOOKUP(D355,男子登録!$A$2:$N$2001,9,0)))</f>
        <v/>
      </c>
      <c r="H357" s="140"/>
      <c r="I357" s="140" t="s">
        <v>4021</v>
      </c>
      <c r="J357" s="153"/>
      <c r="K357" s="140" t="s">
        <v>6760</v>
      </c>
      <c r="L357" s="153"/>
      <c r="M357" s="264"/>
      <c r="N357" s="265"/>
      <c r="O357" s="266"/>
      <c r="P357" s="152"/>
      <c r="Q357" s="382"/>
      <c r="R357" s="385"/>
      <c r="S357" s="136"/>
      <c r="T357" s="137"/>
      <c r="U357" s="137"/>
      <c r="V357" s="137"/>
      <c r="W357" s="137"/>
      <c r="X357" s="137"/>
      <c r="Y357" s="218">
        <f t="shared" ref="Y357" si="4026">IF(OR(E355="",J357=""),0,J357&amp;E355)</f>
        <v>0</v>
      </c>
      <c r="Z357" s="218">
        <f>IF(Y357=0,0,COUNTIF($Y$7:Y357,Y357))</f>
        <v>0</v>
      </c>
      <c r="AD357" s="218">
        <f>IFERROR(VLOOKUP(J357,競技会設定!$P$2:$S$22,2,0),0)</f>
        <v>0</v>
      </c>
      <c r="AE357" s="218">
        <f t="shared" ref="AE357" si="4027">IF(E355="",0,IF(AD357=0,0,IF(AD357&lt;3,E355&amp;$AE$6,0)))</f>
        <v>0</v>
      </c>
      <c r="AF357" s="218">
        <f>IF(AE357=0,0,E355&amp;COUNTIF($AE$7:AE357,AE357))</f>
        <v>0</v>
      </c>
      <c r="AG357" s="218">
        <f t="shared" ref="AG357" si="4028">IF(E355="",0,IF(AD357=0,0,IF(AD357&gt;=3,E355&amp;$AG$6,0)))</f>
        <v>0</v>
      </c>
      <c r="AH357" s="218">
        <f>IF(AG357=0,0,E355&amp;COUNTIF($AG$7:AG357,AG357))</f>
        <v>0</v>
      </c>
      <c r="AI357" s="218">
        <f t="shared" si="3750"/>
        <v>0</v>
      </c>
      <c r="AJ357" s="218" t="b">
        <f>IF(AI357=0,FALSE,IF(COUNTIF(AI$7:AI357,AI357)&gt;1,TRUE,FALSE))</f>
        <v>0</v>
      </c>
      <c r="AK357" s="218">
        <f t="shared" ref="AK357" si="4029">IF($AD357=AK$6,$E355,0)</f>
        <v>0</v>
      </c>
      <c r="AL357" s="218" t="b">
        <f>IF(AK357=0,FALSE,IF(COUNTIF(AK$7:AK357,AK357)&gt;1,TRUE,FALSE))</f>
        <v>0</v>
      </c>
      <c r="AM357" s="218">
        <f t="shared" ref="AM357" si="4030">IF($AD357=AM$6,$E355,0)</f>
        <v>0</v>
      </c>
      <c r="AN357" s="218" t="b">
        <f>IF(AM357=0,FALSE,IF(COUNTIF(AM$7:AM357,AM357)&gt;1,TRUE,FALSE))</f>
        <v>0</v>
      </c>
      <c r="AO357" s="218">
        <f t="shared" ref="AO357" si="4031">IF($AD357=AO$6,$E355,0)</f>
        <v>0</v>
      </c>
      <c r="AP357" s="218" t="b">
        <f>IF(AO357=0,FALSE,IF(COUNTIF(AO$7:AO357,AO357)&gt;1,TRUE,FALSE))</f>
        <v>0</v>
      </c>
      <c r="AQ357" s="218">
        <f t="shared" ref="AQ357" si="4032">IF(COUNTIF(Y357,"*十種競技*")&gt;0,E355,0)</f>
        <v>0</v>
      </c>
      <c r="AR357" s="218" t="b">
        <f>IF(AQ357=0,FALSE,IF(OR(COUNTIF($AI$7:$AI$406,AQ357)+COUNTIF($AQ357:$AQ$406,AQ357)&gt;1,COUNTIF($AK$7:$AK$406,AQ357)+COUNTIF($AQ$7:$AQ$406,AQ357)&gt;1),TRUE,FALSE))</f>
        <v>0</v>
      </c>
      <c r="AT357" s="218" t="b">
        <f t="shared" si="3694"/>
        <v>0</v>
      </c>
      <c r="AU357" s="274"/>
      <c r="AX357" s="274"/>
      <c r="BD357" s="218" t="b">
        <f t="shared" si="3681"/>
        <v>0</v>
      </c>
      <c r="BF357" s="231" t="b">
        <f t="shared" ref="BF357" si="4033">IF(J357="",FALSE,IF(OR(AND(AU355,L357=""),AND(AU355,L357="",OR(M357&lt;&gt;"",N357&lt;&gt;"",O357&lt;&gt;"",P357&lt;&gt;""))),TRUE,FALSE))</f>
        <v>0</v>
      </c>
      <c r="BG357" s="218" t="b">
        <f t="shared" si="3683"/>
        <v>0</v>
      </c>
      <c r="BH357" s="218" t="b">
        <f t="shared" si="3696"/>
        <v>0</v>
      </c>
      <c r="BI357" s="231" t="b">
        <f t="shared" ref="BI357" si="4034">IF(J357="",FALSE,IF(L357=0,FALSE,IF(AND(AU355,NOT(BF357),OR(M357="",N357="",O357="")),TRUE,FALSE)))</f>
        <v>0</v>
      </c>
      <c r="BJ357" s="240" t="b">
        <f t="shared" si="3698"/>
        <v>0</v>
      </c>
      <c r="BK357" s="231" t="b">
        <f>IF(NOT(BJ357),FALSE,IF(AND(競技会設定!$C$5&lt;=BJ357,BJ357&lt;=競技会設定!$C$6),FALSE,TRUE))</f>
        <v>0</v>
      </c>
      <c r="BL357" s="218" t="b">
        <f>IF(J357="",FALSE,IF(L357=0,FALSE,IF(AND(AU355,NOT(BF357),NOT(BI357),P357=""),TRUE,FALSE)))</f>
        <v>0</v>
      </c>
      <c r="BO357" s="274"/>
    </row>
    <row r="358" spans="1:67" ht="18" customHeight="1" thickBot="1">
      <c r="A358" s="422"/>
      <c r="B358" s="387" t="s">
        <v>6764</v>
      </c>
      <c r="C358" s="387"/>
      <c r="D358" s="213"/>
      <c r="E358" s="388"/>
      <c r="F358" s="389"/>
      <c r="G358" s="390"/>
      <c r="H358" s="141"/>
      <c r="I358" s="213" t="s">
        <v>6759</v>
      </c>
      <c r="J358" s="154"/>
      <c r="K358" s="213" t="s">
        <v>6761</v>
      </c>
      <c r="L358" s="154"/>
      <c r="M358" s="267"/>
      <c r="N358" s="268"/>
      <c r="O358" s="269"/>
      <c r="P358" s="154"/>
      <c r="Q358" s="383"/>
      <c r="R358" s="386"/>
      <c r="S358" s="136"/>
      <c r="T358" s="137"/>
      <c r="U358" s="137"/>
      <c r="V358" s="137"/>
      <c r="W358" s="137"/>
      <c r="X358" s="137"/>
      <c r="Y358" s="218">
        <f t="shared" ref="Y358" si="4035">IF(OR(E355="",J358=""),0,J358&amp;E355)</f>
        <v>0</v>
      </c>
      <c r="Z358" s="218">
        <f>IF(Y358=0,0,COUNTIF($Y$7:Y358,Y358))</f>
        <v>0</v>
      </c>
      <c r="AD358" s="218">
        <f>IFERROR(VLOOKUP(J358,競技会設定!$P$2:$S$22,2,0),0)</f>
        <v>0</v>
      </c>
      <c r="AE358" s="218">
        <f t="shared" ref="AE358" si="4036">IF(E355="",0,IF(AD358=0,0,IF(AD358&lt;3,E355&amp;$AE$6,0)))</f>
        <v>0</v>
      </c>
      <c r="AF358" s="218">
        <f>IF(AE358=0,0,E355&amp;COUNTIF($AE$7:AE358,AE358))</f>
        <v>0</v>
      </c>
      <c r="AG358" s="218">
        <f t="shared" ref="AG358" si="4037">IF(E355="",0,IF(AD358=0,0,IF(AD358&gt;=3,E355&amp;$AG$6,0)))</f>
        <v>0</v>
      </c>
      <c r="AH358" s="218">
        <f>IF(AG358=0,0,E355&amp;COUNTIF($AG$7:AG358,AG358))</f>
        <v>0</v>
      </c>
      <c r="AI358" s="218">
        <f t="shared" si="3760"/>
        <v>0</v>
      </c>
      <c r="AJ358" s="218" t="b">
        <f>IF(AI358=0,FALSE,IF(COUNTIF(AI$7:AI358,AI358)&gt;1,TRUE,FALSE))</f>
        <v>0</v>
      </c>
      <c r="AK358" s="218">
        <f t="shared" ref="AK358" si="4038">IF($AD358=AK$6,$E355,0)</f>
        <v>0</v>
      </c>
      <c r="AL358" s="218" t="b">
        <f>IF(AK358=0,FALSE,IF(COUNTIF(AK$7:AK358,AK358)&gt;1,TRUE,FALSE))</f>
        <v>0</v>
      </c>
      <c r="AM358" s="218">
        <f t="shared" ref="AM358" si="4039">IF($AD358=AM$6,$E355,0)</f>
        <v>0</v>
      </c>
      <c r="AN358" s="218" t="b">
        <f>IF(AM358=0,FALSE,IF(COUNTIF(AM$7:AM358,AM358)&gt;1,TRUE,FALSE))</f>
        <v>0</v>
      </c>
      <c r="AO358" s="218">
        <f t="shared" ref="AO358" si="4040">IF($AD358=AO$6,$E355,0)</f>
        <v>0</v>
      </c>
      <c r="AP358" s="218" t="b">
        <f>IF(AO358=0,FALSE,IF(COUNTIF(AO$7:AO358,AO358)&gt;1,TRUE,FALSE))</f>
        <v>0</v>
      </c>
      <c r="AQ358" s="218">
        <f t="shared" ref="AQ358" si="4041">IF(COUNTIF(Y358,"*十種競技*")&gt;0,E355,0)</f>
        <v>0</v>
      </c>
      <c r="AR358" s="218" t="b">
        <f>IF(AQ358=0,FALSE,IF(OR(COUNTIF($AI$7:$AI$406,AQ358)+COUNTIF($AQ358:$AQ$406,AQ358)&gt;1,COUNTIF($AK$7:$AK$406,AQ358)+COUNTIF($AQ$7:$AQ$406,AQ358)&gt;1),TRUE,FALSE))</f>
        <v>0</v>
      </c>
      <c r="AT358" s="218" t="b">
        <f t="shared" si="3694"/>
        <v>0</v>
      </c>
      <c r="AU358" s="274"/>
      <c r="AX358" s="274"/>
      <c r="BD358" s="218" t="b">
        <f t="shared" si="3681"/>
        <v>0</v>
      </c>
      <c r="BF358" s="231" t="b">
        <f t="shared" ref="BF358" si="4042">IF(J358="",FALSE,IF(OR(AND(AU355,L358=""),AND(AU355,L358="",OR(M358&lt;&gt;"",N358&lt;&gt;"",O358&lt;&gt;"",P358&lt;&gt;""))),TRUE,FALSE))</f>
        <v>0</v>
      </c>
      <c r="BG358" s="218" t="b">
        <f t="shared" si="3683"/>
        <v>0</v>
      </c>
      <c r="BH358" s="218" t="b">
        <f t="shared" si="3696"/>
        <v>0</v>
      </c>
      <c r="BI358" s="231" t="b">
        <f t="shared" ref="BI358" si="4043">IF(J358="",FALSE,IF(L358=0,FALSE,IF(AND(AU355,NOT(BF358),OR(M358="",N358="",O358="")),TRUE,FALSE)))</f>
        <v>0</v>
      </c>
      <c r="BJ358" s="240" t="b">
        <f t="shared" si="3698"/>
        <v>0</v>
      </c>
      <c r="BK358" s="231" t="b">
        <f>IF(NOT(BJ358),FALSE,IF(AND(競技会設定!$C$5&lt;=BJ358,BJ358&lt;=競技会設定!$C$6),FALSE,TRUE))</f>
        <v>0</v>
      </c>
      <c r="BL358" s="218" t="b">
        <f>IF(J358="",FALSE,IF(L358=0,FALSE,IF(AND(AU355,NOT(BF358),NOT(BI358),P358=""),TRUE,FALSE)))</f>
        <v>0</v>
      </c>
      <c r="BO358" s="274"/>
    </row>
    <row r="359" spans="1:67" ht="18" customHeight="1" thickTop="1">
      <c r="A359" s="417">
        <v>89</v>
      </c>
      <c r="B359" s="401" t="s">
        <v>4018</v>
      </c>
      <c r="C359" s="403"/>
      <c r="D359" s="220" t="str">
        <f t="shared" ref="D359" si="4044">IF(C359="","",501&amp;TEXT(C359,"000000"))</f>
        <v/>
      </c>
      <c r="E359" s="396" t="str">
        <f>IF(D359="","",(VLOOKUP(D359,男子登録!$A$2:$N$2001,3,0)))</f>
        <v/>
      </c>
      <c r="F359" s="396" t="str">
        <f>IF(D359="","",(VLOOKUP(D359,男子登録!$A$2:$N$2001,4,0)))</f>
        <v/>
      </c>
      <c r="G359" s="220" t="str">
        <f>IF(C359="","",(VLOOKUP(D359,男子登録!$A$2:$N$2001,8,0)))</f>
        <v/>
      </c>
      <c r="H359" s="220">
        <f>IFERROR(VLOOKUP(D359,男子登録!$A$2:$N$2001,11,0),基本情報!$E$5)</f>
        <v>0</v>
      </c>
      <c r="I359" s="220" t="s">
        <v>4019</v>
      </c>
      <c r="J359" s="148"/>
      <c r="K359" s="220" t="s">
        <v>4022</v>
      </c>
      <c r="L359" s="148"/>
      <c r="M359" s="252"/>
      <c r="N359" s="253"/>
      <c r="O359" s="254"/>
      <c r="P359" s="148"/>
      <c r="Q359" s="398"/>
      <c r="R359" s="391"/>
      <c r="S359" s="136">
        <f t="shared" ref="S359" si="4045">IF(OR(E359="",Q359=""),0,E359)</f>
        <v>0</v>
      </c>
      <c r="T359" s="137">
        <f>IF(S359=0,0,COUNTIF($S$7:S359,"*"))</f>
        <v>0</v>
      </c>
      <c r="U359" s="137">
        <f>IF(S359=0,0,COUNTIF($S$7:S359,S359))</f>
        <v>0</v>
      </c>
      <c r="V359" s="137">
        <f t="shared" si="3913"/>
        <v>0</v>
      </c>
      <c r="W359" s="137">
        <f>IF(V359=0,0,COUNTIF($V$7:V359,"*"))</f>
        <v>0</v>
      </c>
      <c r="X359" s="137">
        <f>IF(V359=0,0,COUNTIF($V$7:V359,V359))</f>
        <v>0</v>
      </c>
      <c r="Y359" s="218">
        <f t="shared" ref="Y359" si="4046">IF(OR(E359="",J359=""),0,J359&amp;E359)</f>
        <v>0</v>
      </c>
      <c r="Z359" s="218">
        <f>IF(Y359=0,0,COUNTIF($Y$7:Y359,Y359))</f>
        <v>0</v>
      </c>
      <c r="AA359" s="218" t="b">
        <f t="shared" ref="AA359" si="4047">IF(COUNTIF(J359:J362,"十種競技")&gt;0,TRUE,FALSE)</f>
        <v>0</v>
      </c>
      <c r="AB359" s="218">
        <f>IF(E359="",0,IF(AA359,COUNTIF($AA$7:AA359,TRUE),0))</f>
        <v>0</v>
      </c>
      <c r="AC359" s="218">
        <f>IFERROR(VLOOKUP("十種競技",J359:L362,3,0),0)</f>
        <v>0</v>
      </c>
      <c r="AD359" s="218">
        <f>IFERROR(VLOOKUP(J359,競技会設定!$P$2:$S$22,2,0),0)</f>
        <v>0</v>
      </c>
      <c r="AE359" s="218">
        <f t="shared" ref="AE359" si="4048">IF(E359="",0,IF(AD359=0,0,IF(AD359&lt;3,E359&amp;$AE$6,0)))</f>
        <v>0</v>
      </c>
      <c r="AF359" s="218">
        <f>IF(AE359=0,0,E359&amp;COUNTIF($AE$7:AE359,AE359))</f>
        <v>0</v>
      </c>
      <c r="AG359" s="218">
        <f t="shared" ref="AG359" si="4049">IF(E359="",0,IF(AD359=0,0,IF(AD359&gt;=3,E359&amp;$AG$6,0)))</f>
        <v>0</v>
      </c>
      <c r="AH359" s="218">
        <f>IF(AG359=0,0,E359&amp;COUNTIF($AG$7:AG359,AG359))</f>
        <v>0</v>
      </c>
      <c r="AI359" s="218">
        <f t="shared" si="3773"/>
        <v>0</v>
      </c>
      <c r="AJ359" s="218" t="b">
        <f>IF(AI359=0,FALSE,IF(COUNTIF(AI$7:AI359,AI359)&gt;1,TRUE,FALSE))</f>
        <v>0</v>
      </c>
      <c r="AK359" s="218">
        <f t="shared" ref="AK359" si="4050">IF($AD359=AK$6,$E359,0)</f>
        <v>0</v>
      </c>
      <c r="AL359" s="218" t="b">
        <f>IF(AK359=0,FALSE,IF(COUNTIF(AK$7:AK359,AK359)&gt;1,TRUE,FALSE))</f>
        <v>0</v>
      </c>
      <c r="AM359" s="218">
        <f t="shared" ref="AM359" si="4051">IF($AD359=AM$6,$E359,0)</f>
        <v>0</v>
      </c>
      <c r="AN359" s="218" t="b">
        <f>IF(AM359=0,FALSE,IF(COUNTIF(AM$7:AM359,AM359)&gt;1,TRUE,FALSE))</f>
        <v>0</v>
      </c>
      <c r="AO359" s="218">
        <f t="shared" ref="AO359" si="4052">IF($AD359=AO$6,$E359,0)</f>
        <v>0</v>
      </c>
      <c r="AP359" s="218" t="b">
        <f>IF(AO359=0,FALSE,IF(COUNTIF(AO$7:AO359,AO359)&gt;1,TRUE,FALSE))</f>
        <v>0</v>
      </c>
      <c r="AQ359" s="218">
        <f t="shared" ref="AQ359" si="4053">IF(COUNTIF(Y359,"*十種競技*")&gt;0,E359,0)</f>
        <v>0</v>
      </c>
      <c r="AR359" s="218" t="b">
        <f>IF(AQ359=0,FALSE,IF(OR(COUNTIF($AI$7:$AI$406,AQ359)+COUNTIF($AQ359:$AQ$406,AQ359)&gt;1,COUNTIF($AK$7:$AK$406,AQ359)+COUNTIF($AQ$7:$AQ$406,AQ359)&gt;1),TRUE,FALSE))</f>
        <v>0</v>
      </c>
      <c r="AS359" s="218" t="b">
        <f t="shared" ref="AS359" si="4054">IF(AND(C359="",E359&lt;&gt;"",F359&lt;&gt;"",E361&lt;&gt;"",G359&lt;&gt;"",G360&lt;&gt;"",G361&lt;&gt;""),TRUE,FALSE)</f>
        <v>0</v>
      </c>
      <c r="AT359" s="218" t="b">
        <f t="shared" si="3694"/>
        <v>0</v>
      </c>
      <c r="AU359" s="274" t="b">
        <f t="shared" ref="AU359" si="4055">IFERROR(IF(D359&amp;E359&amp;F359&amp;E361&amp;G359&amp;G360&amp;G361&amp;J359&amp;J360&amp;J361&amp;J362&amp;L359&amp;L360&amp;L361&amp;L362&amp;M359&amp;M360&amp;M361&amp;M362&amp;N359&amp;N360&amp;N361&amp;N362&amp;O359&amp;O360&amp;O361&amp;O362&amp;P359&amp;P360&amp;P361&amp;P362&amp;Q359&amp;R359="",FALSE,TRUE),FALSE)</f>
        <v>0</v>
      </c>
      <c r="AV359" s="218" t="b">
        <f t="shared" ref="AV359" si="4056">IF(AS359,FALSE,IF(C359="",AU359,FALSE))</f>
        <v>0</v>
      </c>
      <c r="AW359" s="218" t="b">
        <f>IF(C359="",FALSE,IF(C359&gt;2000,TRUE,FALSE))</f>
        <v>0</v>
      </c>
      <c r="AX359" s="274" t="b">
        <f>IF(H359=0,FALSE,IF(EXACT(基本情報!$E$5,H359)=TRUE,FALSE,TRUE))</f>
        <v>0</v>
      </c>
      <c r="AY359" s="218" t="b">
        <f>IF(C359="",FALSE,IF(ISNA(E359)=TRUE,TRUE,FALSE))</f>
        <v>0</v>
      </c>
      <c r="AZ359" s="274" t="b">
        <f>IFERROR(IF(E359="",FALSE,IF(COUNTIF($E$7:E359,E359)&gt;1,TRUE,FALSE)),FALSE)</f>
        <v>0</v>
      </c>
      <c r="BA359" s="218" t="b">
        <f t="shared" ref="BA359" si="4057">IF(OR(J359&amp;J360&amp;J361&amp;J362&amp;Q359&amp;R359="",AT359,AT360,AT361,AT362),AU359,FALSE)</f>
        <v>0</v>
      </c>
      <c r="BB359" s="218" t="b">
        <f>IF(U359&gt;1,TRUE,FALSE)</f>
        <v>0</v>
      </c>
      <c r="BC359" s="218" t="b">
        <f>IF(X359&gt;1,TRUE,FALSE)</f>
        <v>0</v>
      </c>
      <c r="BD359" s="218" t="b">
        <f t="shared" si="3681"/>
        <v>0</v>
      </c>
      <c r="BF359" s="231" t="b">
        <f t="shared" ref="BF359" si="4058">IF(J359="",FALSE,IF(OR(AND(AU359,L359=""),AND(AU359,L359="",OR(M359&lt;&gt;"",N359&lt;&gt;"",O359&lt;&gt;"",P359&lt;&gt;""))),TRUE,FALSE))</f>
        <v>0</v>
      </c>
      <c r="BG359" s="218" t="b">
        <f t="shared" si="3683"/>
        <v>0</v>
      </c>
      <c r="BH359" s="218" t="b">
        <f t="shared" si="3696"/>
        <v>0</v>
      </c>
      <c r="BI359" s="231" t="b">
        <f t="shared" ref="BI359" si="4059">IF(J359="",FALSE,IF(L359=0,FALSE,IF(AND(AU359,NOT(BF359),OR(M359="",N359="",O359="")),TRUE,FALSE)))</f>
        <v>0</v>
      </c>
      <c r="BJ359" s="240" t="b">
        <f t="shared" si="3698"/>
        <v>0</v>
      </c>
      <c r="BK359" s="231" t="b">
        <f>IF(NOT(BJ359),FALSE,IF(AND(競技会設定!$C$5&lt;=BJ359,BJ359&lt;=競技会設定!$C$6),FALSE,TRUE))</f>
        <v>0</v>
      </c>
      <c r="BL359" s="218" t="b">
        <f>IF(J359="",FALSE,IF(L359=0,FALSE,IF(AND(AU359,NOT(BF359),NOT(BI359),P359=""),TRUE,FALSE)))</f>
        <v>0</v>
      </c>
      <c r="BO359" s="274">
        <f t="shared" ref="BO359" si="4060">IF(AND(AU359,SUM(COUNTIF(AV359:BC359,TRUE),COUNTIF(BF359:BL362,TRUE),COUNTIF(BD359:BD362,TRUE))=0,NOT($BE$7)),1,0)</f>
        <v>0</v>
      </c>
    </row>
    <row r="360" spans="1:67" ht="17.399999999999999" customHeight="1">
      <c r="A360" s="418"/>
      <c r="B360" s="402"/>
      <c r="C360" s="404"/>
      <c r="D360" s="221"/>
      <c r="E360" s="397"/>
      <c r="F360" s="397"/>
      <c r="G360" s="221" t="str">
        <f>IF(C359="","",(VLOOKUP(D359,男子登録!$A$2:$N$2001,13,0)))</f>
        <v/>
      </c>
      <c r="H360" s="221"/>
      <c r="I360" s="221" t="s">
        <v>4020</v>
      </c>
      <c r="J360" s="149"/>
      <c r="K360" s="221" t="s">
        <v>4023</v>
      </c>
      <c r="L360" s="149"/>
      <c r="M360" s="255"/>
      <c r="N360" s="256"/>
      <c r="O360" s="257"/>
      <c r="P360" s="149"/>
      <c r="Q360" s="399"/>
      <c r="R360" s="392"/>
      <c r="S360" s="136"/>
      <c r="T360" s="137"/>
      <c r="U360" s="137"/>
      <c r="V360" s="137"/>
      <c r="W360" s="137"/>
      <c r="X360" s="137"/>
      <c r="Y360" s="218">
        <f t="shared" ref="Y360" si="4061">IF(OR(E359="",J360=""),0,J360&amp;E359)</f>
        <v>0</v>
      </c>
      <c r="Z360" s="218">
        <f>IF(Y360=0,0,COUNTIF($Y$7:Y360,Y360))</f>
        <v>0</v>
      </c>
      <c r="AD360" s="218">
        <f>IFERROR(VLOOKUP(J360,競技会設定!$P$2:$S$22,2,0),0)</f>
        <v>0</v>
      </c>
      <c r="AE360" s="218">
        <f t="shared" ref="AE360" si="4062">IF(E359="",0,IF(AD360=0,0,IF(AD360&lt;3,E359&amp;$AE$6,0)))</f>
        <v>0</v>
      </c>
      <c r="AF360" s="218">
        <f>IF(AE360=0,0,E359&amp;COUNTIF($AE$7:AE360,AE360))</f>
        <v>0</v>
      </c>
      <c r="AG360" s="218">
        <f t="shared" ref="AG360" si="4063">IF(E359="",0,IF(AD360=0,0,IF(AD360&gt;=3,E359&amp;$AG$6,0)))</f>
        <v>0</v>
      </c>
      <c r="AH360" s="218">
        <f>IF(AG360=0,0,E359&amp;COUNTIF($AG$7:AG360,AG360))</f>
        <v>0</v>
      </c>
      <c r="AI360" s="218">
        <f t="shared" si="3788"/>
        <v>0</v>
      </c>
      <c r="AJ360" s="218" t="b">
        <f>IF(AI360=0,FALSE,IF(COUNTIF(AI$7:AI360,AI360)&gt;1,TRUE,FALSE))</f>
        <v>0</v>
      </c>
      <c r="AK360" s="218">
        <f t="shared" ref="AK360" si="4064">IF($AD360=AK$6,$E359,0)</f>
        <v>0</v>
      </c>
      <c r="AL360" s="218" t="b">
        <f>IF(AK360=0,FALSE,IF(COUNTIF(AK$7:AK360,AK360)&gt;1,TRUE,FALSE))</f>
        <v>0</v>
      </c>
      <c r="AM360" s="218">
        <f t="shared" ref="AM360" si="4065">IF($AD360=AM$6,$E359,0)</f>
        <v>0</v>
      </c>
      <c r="AN360" s="218" t="b">
        <f>IF(AM360=0,FALSE,IF(COUNTIF(AM$7:AM360,AM360)&gt;1,TRUE,FALSE))</f>
        <v>0</v>
      </c>
      <c r="AO360" s="218">
        <f t="shared" ref="AO360" si="4066">IF($AD360=AO$6,$E359,0)</f>
        <v>0</v>
      </c>
      <c r="AP360" s="218" t="b">
        <f>IF(AO360=0,FALSE,IF(COUNTIF(AO$7:AO360,AO360)&gt;1,TRUE,FALSE))</f>
        <v>0</v>
      </c>
      <c r="AQ360" s="218">
        <f t="shared" ref="AQ360" si="4067">IF(COUNTIF(Y360,"*十種競技*")&gt;0,E359,0)</f>
        <v>0</v>
      </c>
      <c r="AR360" s="218" t="b">
        <f>IF(AQ360=0,FALSE,IF(OR(COUNTIF($AI$7:$AI$406,AQ360)+COUNTIF($AQ360:$AQ$406,AQ360)&gt;1,COUNTIF($AK$7:$AK$406,AQ360)+COUNTIF($AQ$7:$AQ$406,AQ360)&gt;1),TRUE,FALSE))</f>
        <v>0</v>
      </c>
      <c r="AT360" s="218" t="b">
        <f t="shared" si="3694"/>
        <v>0</v>
      </c>
      <c r="AU360" s="274"/>
      <c r="AX360" s="274"/>
      <c r="BD360" s="218" t="b">
        <f t="shared" si="3681"/>
        <v>0</v>
      </c>
      <c r="BF360" s="231" t="b">
        <f t="shared" ref="BF360" si="4068">IF(J360="",FALSE,IF(OR(AND(AU359,L360=""),AND(AU359,L360="",OR(M360&lt;&gt;"",N360&lt;&gt;"",O360&lt;&gt;"",P360&lt;&gt;""))),TRUE,FALSE))</f>
        <v>0</v>
      </c>
      <c r="BG360" s="218" t="b">
        <f t="shared" si="3683"/>
        <v>0</v>
      </c>
      <c r="BH360" s="218" t="b">
        <f t="shared" si="3696"/>
        <v>0</v>
      </c>
      <c r="BI360" s="231" t="b">
        <f t="shared" ref="BI360" si="4069">IF(J360="",FALSE,IF(L360=0,FALSE,IF(AND(AU359,NOT(BF360),OR(M360="",N360="",O360="")),TRUE,FALSE)))</f>
        <v>0</v>
      </c>
      <c r="BJ360" s="240" t="b">
        <f t="shared" si="3698"/>
        <v>0</v>
      </c>
      <c r="BK360" s="231" t="b">
        <f>IF(NOT(BJ360),FALSE,IF(AND(競技会設定!$C$5&lt;=BJ360,BJ360&lt;=競技会設定!$C$6),FALSE,TRUE))</f>
        <v>0</v>
      </c>
      <c r="BL360" s="218" t="b">
        <f>IF(J360="",FALSE,IF(L360=0,FALSE,IF(AND(AU359,NOT(BF360),NOT(BI360),P360=""),TRUE,FALSE)))</f>
        <v>0</v>
      </c>
      <c r="BO360" s="274"/>
    </row>
    <row r="361" spans="1:67" ht="17.399999999999999" customHeight="1">
      <c r="A361" s="418"/>
      <c r="B361" s="402"/>
      <c r="C361" s="404"/>
      <c r="D361" s="221"/>
      <c r="E361" s="394" t="str">
        <f>IF(C359="","",VLOOKUP(D359,男子登録!$A$2:$O$2001,14,0)&amp;" ("&amp;VLOOKUP(D359,男子登録!$A$2:$O$2001,15,0)&amp;")")</f>
        <v/>
      </c>
      <c r="F361" s="394"/>
      <c r="G361" s="222" t="str">
        <f>IF(C359="","",(VLOOKUP(D359,男子登録!$A$2:$N$2001,9,0)))</f>
        <v/>
      </c>
      <c r="H361" s="222"/>
      <c r="I361" s="222" t="s">
        <v>4021</v>
      </c>
      <c r="J361" s="150"/>
      <c r="K361" s="222" t="s">
        <v>6760</v>
      </c>
      <c r="L361" s="150"/>
      <c r="M361" s="255"/>
      <c r="N361" s="256"/>
      <c r="O361" s="257"/>
      <c r="P361" s="149"/>
      <c r="Q361" s="399"/>
      <c r="R361" s="392"/>
      <c r="S361" s="136"/>
      <c r="T361" s="137"/>
      <c r="U361" s="137"/>
      <c r="V361" s="137"/>
      <c r="W361" s="137"/>
      <c r="X361" s="137"/>
      <c r="Y361" s="218">
        <f t="shared" ref="Y361" si="4070">IF(OR(E359="",J361=""),0,J361&amp;E359)</f>
        <v>0</v>
      </c>
      <c r="Z361" s="218">
        <f>IF(Y361=0,0,COUNTIF($Y$7:Y361,Y361))</f>
        <v>0</v>
      </c>
      <c r="AD361" s="218">
        <f>IFERROR(VLOOKUP(J361,競技会設定!$P$2:$S$22,2,0),0)</f>
        <v>0</v>
      </c>
      <c r="AE361" s="218">
        <f t="shared" ref="AE361" si="4071">IF(E359="",0,IF(AD361=0,0,IF(AD361&lt;3,E359&amp;$AE$6,0)))</f>
        <v>0</v>
      </c>
      <c r="AF361" s="218">
        <f>IF(AE361=0,0,E359&amp;COUNTIF($AE$7:AE361,AE361))</f>
        <v>0</v>
      </c>
      <c r="AG361" s="218">
        <f t="shared" ref="AG361" si="4072">IF(E359="",0,IF(AD361=0,0,IF(AD361&gt;=3,E359&amp;$AG$6,0)))</f>
        <v>0</v>
      </c>
      <c r="AH361" s="218">
        <f>IF(AG361=0,0,E359&amp;COUNTIF($AG$7:AG361,AG361))</f>
        <v>0</v>
      </c>
      <c r="AI361" s="218">
        <f t="shared" si="3798"/>
        <v>0</v>
      </c>
      <c r="AJ361" s="218" t="b">
        <f>IF(AI361=0,FALSE,IF(COUNTIF(AI$7:AI361,AI361)&gt;1,TRUE,FALSE))</f>
        <v>0</v>
      </c>
      <c r="AK361" s="218">
        <f t="shared" ref="AK361" si="4073">IF($AD361=AK$6,$E359,0)</f>
        <v>0</v>
      </c>
      <c r="AL361" s="218" t="b">
        <f>IF(AK361=0,FALSE,IF(COUNTIF(AK$7:AK361,AK361)&gt;1,TRUE,FALSE))</f>
        <v>0</v>
      </c>
      <c r="AM361" s="218">
        <f t="shared" ref="AM361" si="4074">IF($AD361=AM$6,$E359,0)</f>
        <v>0</v>
      </c>
      <c r="AN361" s="218" t="b">
        <f>IF(AM361=0,FALSE,IF(COUNTIF(AM$7:AM361,AM361)&gt;1,TRUE,FALSE))</f>
        <v>0</v>
      </c>
      <c r="AO361" s="218">
        <f t="shared" ref="AO361" si="4075">IF($AD361=AO$6,$E359,0)</f>
        <v>0</v>
      </c>
      <c r="AP361" s="218" t="b">
        <f>IF(AO361=0,FALSE,IF(COUNTIF(AO$7:AO361,AO361)&gt;1,TRUE,FALSE))</f>
        <v>0</v>
      </c>
      <c r="AQ361" s="218">
        <f t="shared" ref="AQ361" si="4076">IF(COUNTIF(Y361,"*十種競技*")&gt;0,E359,0)</f>
        <v>0</v>
      </c>
      <c r="AR361" s="218" t="b">
        <f>IF(AQ361=0,FALSE,IF(OR(COUNTIF($AI$7:$AI$406,AQ361)+COUNTIF($AQ361:$AQ$406,AQ361)&gt;1,COUNTIF($AK$7:$AK$406,AQ361)+COUNTIF($AQ$7:$AQ$406,AQ361)&gt;1),TRUE,FALSE))</f>
        <v>0</v>
      </c>
      <c r="AT361" s="218" t="b">
        <f t="shared" si="3694"/>
        <v>0</v>
      </c>
      <c r="AU361" s="274"/>
      <c r="AX361" s="274"/>
      <c r="BD361" s="218" t="b">
        <f t="shared" si="3681"/>
        <v>0</v>
      </c>
      <c r="BF361" s="231" t="b">
        <f t="shared" ref="BF361" si="4077">IF(J361="",FALSE,IF(OR(AND(AU359,L361=""),AND(AU359,L361="",OR(M361&lt;&gt;"",N361&lt;&gt;"",O361&lt;&gt;"",P361&lt;&gt;""))),TRUE,FALSE))</f>
        <v>0</v>
      </c>
      <c r="BG361" s="218" t="b">
        <f t="shared" si="3683"/>
        <v>0</v>
      </c>
      <c r="BH361" s="218" t="b">
        <f t="shared" si="3696"/>
        <v>0</v>
      </c>
      <c r="BI361" s="231" t="b">
        <f t="shared" ref="BI361" si="4078">IF(J361="",FALSE,IF(L361=0,FALSE,IF(AND(AU359,NOT(BF361),OR(M361="",N361="",O361="")),TRUE,FALSE)))</f>
        <v>0</v>
      </c>
      <c r="BJ361" s="240" t="b">
        <f t="shared" si="3698"/>
        <v>0</v>
      </c>
      <c r="BK361" s="231" t="b">
        <f>IF(NOT(BJ361),FALSE,IF(AND(競技会設定!$C$5&lt;=BJ361,BJ361&lt;=競技会設定!$C$6),FALSE,TRUE))</f>
        <v>0</v>
      </c>
      <c r="BL361" s="218" t="b">
        <f>IF(J361="",FALSE,IF(L361=0,FALSE,IF(AND(AU359,NOT(BF361),NOT(BI361),P361=""),TRUE,FALSE)))</f>
        <v>0</v>
      </c>
      <c r="BO361" s="274"/>
    </row>
    <row r="362" spans="1:67" ht="18" customHeight="1" thickBot="1">
      <c r="A362" s="419"/>
      <c r="B362" s="395" t="s">
        <v>6764</v>
      </c>
      <c r="C362" s="395"/>
      <c r="D362" s="221"/>
      <c r="E362" s="372"/>
      <c r="F362" s="372"/>
      <c r="G362" s="372"/>
      <c r="H362" s="214"/>
      <c r="I362" s="214" t="s">
        <v>6759</v>
      </c>
      <c r="J362" s="219"/>
      <c r="K362" s="214" t="s">
        <v>6761</v>
      </c>
      <c r="L362" s="219"/>
      <c r="M362" s="258"/>
      <c r="N362" s="259"/>
      <c r="O362" s="260"/>
      <c r="P362" s="219"/>
      <c r="Q362" s="400"/>
      <c r="R362" s="393"/>
      <c r="S362" s="136"/>
      <c r="T362" s="137"/>
      <c r="U362" s="137"/>
      <c r="V362" s="137"/>
      <c r="W362" s="137"/>
      <c r="X362" s="137"/>
      <c r="Y362" s="218">
        <f t="shared" ref="Y362" si="4079">IF(OR(E359="",J362=""),0,J362&amp;E359)</f>
        <v>0</v>
      </c>
      <c r="Z362" s="218">
        <f>IF(Y362=0,0,COUNTIF($Y$7:Y362,Y362))</f>
        <v>0</v>
      </c>
      <c r="AD362" s="218">
        <f>IFERROR(VLOOKUP(J362,競技会設定!$P$2:$S$22,2,0),0)</f>
        <v>0</v>
      </c>
      <c r="AE362" s="218">
        <f t="shared" ref="AE362" si="4080">IF(E359="",0,IF(AD362=0,0,IF(AD362&lt;3,E359&amp;$AE$6,0)))</f>
        <v>0</v>
      </c>
      <c r="AF362" s="218">
        <f>IF(AE362=0,0,E359&amp;COUNTIF($AE$7:AE362,AE362))</f>
        <v>0</v>
      </c>
      <c r="AG362" s="218">
        <f t="shared" ref="AG362" si="4081">IF(E359="",0,IF(AD362=0,0,IF(AD362&gt;=3,E359&amp;$AG$6,0)))</f>
        <v>0</v>
      </c>
      <c r="AH362" s="218">
        <f>IF(AG362=0,0,E359&amp;COUNTIF($AG$7:AG362,AG362))</f>
        <v>0</v>
      </c>
      <c r="AI362" s="218">
        <f t="shared" si="3808"/>
        <v>0</v>
      </c>
      <c r="AJ362" s="218" t="b">
        <f>IF(AI362=0,FALSE,IF(COUNTIF(AI$7:AI362,AI362)&gt;1,TRUE,FALSE))</f>
        <v>0</v>
      </c>
      <c r="AK362" s="218">
        <f t="shared" ref="AK362" si="4082">IF($AD362=AK$6,$E359,0)</f>
        <v>0</v>
      </c>
      <c r="AL362" s="218" t="b">
        <f>IF(AK362=0,FALSE,IF(COUNTIF(AK$7:AK362,AK362)&gt;1,TRUE,FALSE))</f>
        <v>0</v>
      </c>
      <c r="AM362" s="218">
        <f t="shared" ref="AM362" si="4083">IF($AD362=AM$6,$E359,0)</f>
        <v>0</v>
      </c>
      <c r="AN362" s="218" t="b">
        <f>IF(AM362=0,FALSE,IF(COUNTIF(AM$7:AM362,AM362)&gt;1,TRUE,FALSE))</f>
        <v>0</v>
      </c>
      <c r="AO362" s="218">
        <f t="shared" ref="AO362" si="4084">IF($AD362=AO$6,$E359,0)</f>
        <v>0</v>
      </c>
      <c r="AP362" s="218" t="b">
        <f>IF(AO362=0,FALSE,IF(COUNTIF(AO$7:AO362,AO362)&gt;1,TRUE,FALSE))</f>
        <v>0</v>
      </c>
      <c r="AQ362" s="218">
        <f t="shared" ref="AQ362" si="4085">IF(COUNTIF(Y362,"*十種競技*")&gt;0,E359,0)</f>
        <v>0</v>
      </c>
      <c r="AR362" s="218" t="b">
        <f>IF(AQ362=0,FALSE,IF(OR(COUNTIF($AI$7:$AI$406,AQ362)+COUNTIF($AQ362:$AQ$406,AQ362)&gt;1,COUNTIF($AK$7:$AK$406,AQ362)+COUNTIF($AQ$7:$AQ$406,AQ362)&gt;1),TRUE,FALSE))</f>
        <v>0</v>
      </c>
      <c r="AT362" s="218" t="b">
        <f t="shared" si="3694"/>
        <v>0</v>
      </c>
      <c r="AU362" s="274"/>
      <c r="AX362" s="274"/>
      <c r="BD362" s="218" t="b">
        <f t="shared" si="3681"/>
        <v>0</v>
      </c>
      <c r="BF362" s="231" t="b">
        <f t="shared" ref="BF362" si="4086">IF(J362="",FALSE,IF(OR(AND(AU359,L362=""),AND(AU359,L362="",OR(M362&lt;&gt;"",N362&lt;&gt;"",O362&lt;&gt;"",P362&lt;&gt;""))),TRUE,FALSE))</f>
        <v>0</v>
      </c>
      <c r="BG362" s="218" t="b">
        <f t="shared" si="3683"/>
        <v>0</v>
      </c>
      <c r="BH362" s="218" t="b">
        <f t="shared" si="3696"/>
        <v>0</v>
      </c>
      <c r="BI362" s="231" t="b">
        <f t="shared" ref="BI362" si="4087">IF(J362="",FALSE,IF(L362=0,FALSE,IF(AND(AU359,NOT(BF362),OR(M362="",N362="",O362="")),TRUE,FALSE)))</f>
        <v>0</v>
      </c>
      <c r="BJ362" s="240" t="b">
        <f t="shared" si="3698"/>
        <v>0</v>
      </c>
      <c r="BK362" s="231" t="b">
        <f>IF(NOT(BJ362),FALSE,IF(AND(競技会設定!$C$5&lt;=BJ362,BJ362&lt;=競技会設定!$C$6),FALSE,TRUE))</f>
        <v>0</v>
      </c>
      <c r="BL362" s="218" t="b">
        <f>IF(J362="",FALSE,IF(L362=0,FALSE,IF(AND(AU359,NOT(BF362),NOT(BI362),P362=""),TRUE,FALSE)))</f>
        <v>0</v>
      </c>
      <c r="BO362" s="274"/>
    </row>
    <row r="363" spans="1:67" ht="18" customHeight="1" thickTop="1">
      <c r="A363" s="420">
        <v>90</v>
      </c>
      <c r="B363" s="373" t="s">
        <v>4018</v>
      </c>
      <c r="C363" s="375"/>
      <c r="D363" s="138" t="str">
        <f t="shared" ref="D363" si="4088">IF(C363="","",501&amp;TEXT(C363,"000000"))</f>
        <v/>
      </c>
      <c r="E363" s="377" t="str">
        <f>IF(D363="","",(VLOOKUP(D363,男子登録!$A$2:$N$2001,3,0)))</f>
        <v/>
      </c>
      <c r="F363" s="377" t="str">
        <f>IF(D363="","",(VLOOKUP(D363,男子登録!$A$2:$N$2001,4,0)))</f>
        <v/>
      </c>
      <c r="G363" s="138" t="str">
        <f>IF(C363="","",(VLOOKUP(D363,男子登録!$A$2:$N$2001,8,0)))</f>
        <v/>
      </c>
      <c r="H363" s="138">
        <f>IFERROR(VLOOKUP(D363,男子登録!$A$2:$N$2001,11,0),基本情報!$E$5)</f>
        <v>0</v>
      </c>
      <c r="I363" s="138" t="s">
        <v>4019</v>
      </c>
      <c r="J363" s="151"/>
      <c r="K363" s="138" t="s">
        <v>4022</v>
      </c>
      <c r="L363" s="151"/>
      <c r="M363" s="261"/>
      <c r="N363" s="262"/>
      <c r="O363" s="263"/>
      <c r="P363" s="151"/>
      <c r="Q363" s="381"/>
      <c r="R363" s="384"/>
      <c r="S363" s="136">
        <f t="shared" ref="S363" si="4089">IF(OR(E363="",Q363=""),0,E363)</f>
        <v>0</v>
      </c>
      <c r="T363" s="137">
        <f>IF(S363=0,0,COUNTIF($S$7:S363,"*"))</f>
        <v>0</v>
      </c>
      <c r="U363" s="137">
        <f>IF(S363=0,0,COUNTIF($S$7:S363,S363))</f>
        <v>0</v>
      </c>
      <c r="V363" s="137">
        <f t="shared" si="3913"/>
        <v>0</v>
      </c>
      <c r="W363" s="137">
        <f>IF(V363=0,0,COUNTIF($V$7:V363,"*"))</f>
        <v>0</v>
      </c>
      <c r="X363" s="137">
        <f>IF(V363=0,0,COUNTIF($V$7:V363,V363))</f>
        <v>0</v>
      </c>
      <c r="Y363" s="218">
        <f t="shared" ref="Y363" si="4090">IF(OR(E363="",J363=""),0,J363&amp;E363)</f>
        <v>0</v>
      </c>
      <c r="Z363" s="218">
        <f>IF(Y363=0,0,COUNTIF($Y$7:Y363,Y363))</f>
        <v>0</v>
      </c>
      <c r="AA363" s="218" t="b">
        <f t="shared" ref="AA363" si="4091">IF(COUNTIF(J363:J366,"十種競技")&gt;0,TRUE,FALSE)</f>
        <v>0</v>
      </c>
      <c r="AB363" s="218">
        <f>IF(E363="",0,IF(AA363,COUNTIF($AA$7:AA363,TRUE),0))</f>
        <v>0</v>
      </c>
      <c r="AC363" s="218">
        <f>IFERROR(VLOOKUP("十種競技",J363:L366,3,0),0)</f>
        <v>0</v>
      </c>
      <c r="AD363" s="218">
        <f>IFERROR(VLOOKUP(J363,競技会設定!$P$2:$S$22,2,0),0)</f>
        <v>0</v>
      </c>
      <c r="AE363" s="218">
        <f t="shared" ref="AE363" si="4092">IF(E363="",0,IF(AD363=0,0,IF(AD363&lt;3,E363&amp;$AE$6,0)))</f>
        <v>0</v>
      </c>
      <c r="AF363" s="218">
        <f>IF(AE363=0,0,E363&amp;COUNTIF($AE$7:AE363,AE363))</f>
        <v>0</v>
      </c>
      <c r="AG363" s="218">
        <f t="shared" ref="AG363" si="4093">IF(E363="",0,IF(AD363=0,0,IF(AD363&gt;=3,E363&amp;$AG$6,0)))</f>
        <v>0</v>
      </c>
      <c r="AH363" s="218">
        <f>IF(AG363=0,0,E363&amp;COUNTIF($AG$7:AG363,AG363))</f>
        <v>0</v>
      </c>
      <c r="AI363" s="218">
        <f t="shared" si="3821"/>
        <v>0</v>
      </c>
      <c r="AJ363" s="218" t="b">
        <f>IF(AI363=0,FALSE,IF(COUNTIF(AI$7:AI363,AI363)&gt;1,TRUE,FALSE))</f>
        <v>0</v>
      </c>
      <c r="AK363" s="218">
        <f t="shared" ref="AK363" si="4094">IF($AD363=AK$6,$E363,0)</f>
        <v>0</v>
      </c>
      <c r="AL363" s="218" t="b">
        <f>IF(AK363=0,FALSE,IF(COUNTIF(AK$7:AK363,AK363)&gt;1,TRUE,FALSE))</f>
        <v>0</v>
      </c>
      <c r="AM363" s="218">
        <f t="shared" ref="AM363" si="4095">IF($AD363=AM$6,$E363,0)</f>
        <v>0</v>
      </c>
      <c r="AN363" s="218" t="b">
        <f>IF(AM363=0,FALSE,IF(COUNTIF(AM$7:AM363,AM363)&gt;1,TRUE,FALSE))</f>
        <v>0</v>
      </c>
      <c r="AO363" s="218">
        <f t="shared" ref="AO363" si="4096">IF($AD363=AO$6,$E363,0)</f>
        <v>0</v>
      </c>
      <c r="AP363" s="218" t="b">
        <f>IF(AO363=0,FALSE,IF(COUNTIF(AO$7:AO363,AO363)&gt;1,TRUE,FALSE))</f>
        <v>0</v>
      </c>
      <c r="AQ363" s="218">
        <f t="shared" ref="AQ363" si="4097">IF(COUNTIF(Y363,"*十種競技*")&gt;0,E363,0)</f>
        <v>0</v>
      </c>
      <c r="AR363" s="218" t="b">
        <f>IF(AQ363=0,FALSE,IF(OR(COUNTIF($AI$7:$AI$406,AQ363)+COUNTIF($AQ363:$AQ$406,AQ363)&gt;1,COUNTIF($AK$7:$AK$406,AQ363)+COUNTIF($AQ$7:$AQ$406,AQ363)&gt;1),TRUE,FALSE))</f>
        <v>0</v>
      </c>
      <c r="AS363" s="218" t="b">
        <f t="shared" ref="AS363" si="4098">IF(AND(C363="",E363&lt;&gt;"",F363&lt;&gt;"",E365&lt;&gt;"",G363&lt;&gt;"",G364&lt;&gt;"",G365&lt;&gt;""),TRUE,FALSE)</f>
        <v>0</v>
      </c>
      <c r="AT363" s="218" t="b">
        <f t="shared" si="3694"/>
        <v>0</v>
      </c>
      <c r="AU363" s="274" t="b">
        <f t="shared" ref="AU363" si="4099">IFERROR(IF(D363&amp;E363&amp;F363&amp;E365&amp;G363&amp;G364&amp;G365&amp;J363&amp;J364&amp;J365&amp;J366&amp;L363&amp;L364&amp;L365&amp;L366&amp;M363&amp;M364&amp;M365&amp;M366&amp;N363&amp;N364&amp;N365&amp;N366&amp;O363&amp;O364&amp;O365&amp;O366&amp;P363&amp;P364&amp;P365&amp;P366&amp;Q363&amp;R363="",FALSE,TRUE),FALSE)</f>
        <v>0</v>
      </c>
      <c r="AV363" s="218" t="b">
        <f t="shared" ref="AV363" si="4100">IF(AS363,FALSE,IF(C363="",AU363,FALSE))</f>
        <v>0</v>
      </c>
      <c r="AW363" s="218" t="b">
        <f>IF(C363="",FALSE,IF(C363&gt;2000,TRUE,FALSE))</f>
        <v>0</v>
      </c>
      <c r="AX363" s="274" t="b">
        <f>IF(H363=0,FALSE,IF(EXACT(基本情報!$E$5,H363)=TRUE,FALSE,TRUE))</f>
        <v>0</v>
      </c>
      <c r="AY363" s="218" t="b">
        <f>IF(C363="",FALSE,IF(ISNA(E363)=TRUE,TRUE,FALSE))</f>
        <v>0</v>
      </c>
      <c r="AZ363" s="274" t="b">
        <f>IFERROR(IF(E363="",FALSE,IF(COUNTIF($E$7:E363,E363)&gt;1,TRUE,FALSE)),FALSE)</f>
        <v>0</v>
      </c>
      <c r="BA363" s="218" t="b">
        <f t="shared" ref="BA363" si="4101">IF(OR(J363&amp;J364&amp;J365&amp;J366&amp;Q363&amp;R363="",AT363,AT364,AT365,AT366),AU363,FALSE)</f>
        <v>0</v>
      </c>
      <c r="BB363" s="218" t="b">
        <f>IF(U363&gt;1,TRUE,FALSE)</f>
        <v>0</v>
      </c>
      <c r="BC363" s="218" t="b">
        <f>IF(X363&gt;1,TRUE,FALSE)</f>
        <v>0</v>
      </c>
      <c r="BD363" s="218" t="b">
        <f t="shared" si="3681"/>
        <v>0</v>
      </c>
      <c r="BF363" s="231" t="b">
        <f t="shared" ref="BF363" si="4102">IF(J363="",FALSE,IF(OR(AND(AU363,L363=""),AND(AU363,L363="",OR(M363&lt;&gt;"",N363&lt;&gt;"",O363&lt;&gt;"",P363&lt;&gt;""))),TRUE,FALSE))</f>
        <v>0</v>
      </c>
      <c r="BG363" s="218" t="b">
        <f t="shared" si="3683"/>
        <v>0</v>
      </c>
      <c r="BH363" s="218" t="b">
        <f t="shared" si="3696"/>
        <v>0</v>
      </c>
      <c r="BI363" s="231" t="b">
        <f t="shared" ref="BI363" si="4103">IF(J363="",FALSE,IF(L363=0,FALSE,IF(AND(AU363,NOT(BF363),OR(M363="",N363="",O363="")),TRUE,FALSE)))</f>
        <v>0</v>
      </c>
      <c r="BJ363" s="240" t="b">
        <f t="shared" si="3698"/>
        <v>0</v>
      </c>
      <c r="BK363" s="231" t="b">
        <f>IF(NOT(BJ363),FALSE,IF(AND(競技会設定!$C$5&lt;=BJ363,BJ363&lt;=競技会設定!$C$6),FALSE,TRUE))</f>
        <v>0</v>
      </c>
      <c r="BL363" s="218" t="b">
        <f>IF(J363="",FALSE,IF(L363=0,FALSE,IF(AND(AU363,NOT(BF363),NOT(BI363),P363=""),TRUE,FALSE)))</f>
        <v>0</v>
      </c>
      <c r="BO363" s="274">
        <f t="shared" ref="BO363" si="4104">IF(AND(AU363,SUM(COUNTIF(AV363:BC363,TRUE),COUNTIF(BF363:BL366,TRUE),COUNTIF(BD363:BD366,TRUE))=0,NOT($BE$7)),1,0)</f>
        <v>0</v>
      </c>
    </row>
    <row r="364" spans="1:67" ht="17.399999999999999" customHeight="1">
      <c r="A364" s="421"/>
      <c r="B364" s="374"/>
      <c r="C364" s="376"/>
      <c r="D364" s="139"/>
      <c r="E364" s="378"/>
      <c r="F364" s="378"/>
      <c r="G364" s="139" t="str">
        <f>IF(C363="","",(VLOOKUP(D363,男子登録!$A$2:$N$2001,13,0)))</f>
        <v/>
      </c>
      <c r="H364" s="139"/>
      <c r="I364" s="139" t="s">
        <v>4020</v>
      </c>
      <c r="J364" s="152"/>
      <c r="K364" s="139" t="s">
        <v>4023</v>
      </c>
      <c r="L364" s="152"/>
      <c r="M364" s="264"/>
      <c r="N364" s="265"/>
      <c r="O364" s="266"/>
      <c r="P364" s="152"/>
      <c r="Q364" s="382"/>
      <c r="R364" s="385"/>
      <c r="S364" s="136"/>
      <c r="T364" s="137"/>
      <c r="U364" s="137"/>
      <c r="V364" s="137"/>
      <c r="W364" s="137"/>
      <c r="X364" s="137"/>
      <c r="Y364" s="218">
        <f t="shared" ref="Y364" si="4105">IF(OR(E363="",J364=""),0,J364&amp;E363)</f>
        <v>0</v>
      </c>
      <c r="Z364" s="218">
        <f>IF(Y364=0,0,COUNTIF($Y$7:Y364,Y364))</f>
        <v>0</v>
      </c>
      <c r="AD364" s="218">
        <f>IFERROR(VLOOKUP(J364,競技会設定!$P$2:$S$22,2,0),0)</f>
        <v>0</v>
      </c>
      <c r="AE364" s="218">
        <f t="shared" ref="AE364" si="4106">IF(E363="",0,IF(AD364=0,0,IF(AD364&lt;3,E363&amp;$AE$6,0)))</f>
        <v>0</v>
      </c>
      <c r="AF364" s="218">
        <f>IF(AE364=0,0,E363&amp;COUNTIF($AE$7:AE364,AE364))</f>
        <v>0</v>
      </c>
      <c r="AG364" s="218">
        <f t="shared" ref="AG364" si="4107">IF(E363="",0,IF(AD364=0,0,IF(AD364&gt;=3,E363&amp;$AG$6,0)))</f>
        <v>0</v>
      </c>
      <c r="AH364" s="218">
        <f>IF(AG364=0,0,E363&amp;COUNTIF($AG$7:AG364,AG364))</f>
        <v>0</v>
      </c>
      <c r="AI364" s="218">
        <f t="shared" si="3836"/>
        <v>0</v>
      </c>
      <c r="AJ364" s="218" t="b">
        <f>IF(AI364=0,FALSE,IF(COUNTIF(AI$7:AI364,AI364)&gt;1,TRUE,FALSE))</f>
        <v>0</v>
      </c>
      <c r="AK364" s="218">
        <f t="shared" ref="AK364" si="4108">IF($AD364=AK$6,$E363,0)</f>
        <v>0</v>
      </c>
      <c r="AL364" s="218" t="b">
        <f>IF(AK364=0,FALSE,IF(COUNTIF(AK$7:AK364,AK364)&gt;1,TRUE,FALSE))</f>
        <v>0</v>
      </c>
      <c r="AM364" s="218">
        <f t="shared" ref="AM364" si="4109">IF($AD364=AM$6,$E363,0)</f>
        <v>0</v>
      </c>
      <c r="AN364" s="218" t="b">
        <f>IF(AM364=0,FALSE,IF(COUNTIF(AM$7:AM364,AM364)&gt;1,TRUE,FALSE))</f>
        <v>0</v>
      </c>
      <c r="AO364" s="218">
        <f t="shared" ref="AO364" si="4110">IF($AD364=AO$6,$E363,0)</f>
        <v>0</v>
      </c>
      <c r="AP364" s="218" t="b">
        <f>IF(AO364=0,FALSE,IF(COUNTIF(AO$7:AO364,AO364)&gt;1,TRUE,FALSE))</f>
        <v>0</v>
      </c>
      <c r="AQ364" s="218">
        <f t="shared" ref="AQ364" si="4111">IF(COUNTIF(Y364,"*十種競技*")&gt;0,E363,0)</f>
        <v>0</v>
      </c>
      <c r="AR364" s="218" t="b">
        <f>IF(AQ364=0,FALSE,IF(OR(COUNTIF($AI$7:$AI$406,AQ364)+COUNTIF($AQ364:$AQ$406,AQ364)&gt;1,COUNTIF($AK$7:$AK$406,AQ364)+COUNTIF($AQ$7:$AQ$406,AQ364)&gt;1),TRUE,FALSE))</f>
        <v>0</v>
      </c>
      <c r="AT364" s="218" t="b">
        <f t="shared" si="3694"/>
        <v>0</v>
      </c>
      <c r="AU364" s="274"/>
      <c r="AX364" s="274"/>
      <c r="BD364" s="218" t="b">
        <f t="shared" si="3681"/>
        <v>0</v>
      </c>
      <c r="BF364" s="231" t="b">
        <f t="shared" ref="BF364" si="4112">IF(J364="",FALSE,IF(OR(AND(AU363,L364=""),AND(AU363,L364="",OR(M364&lt;&gt;"",N364&lt;&gt;"",O364&lt;&gt;"",P364&lt;&gt;""))),TRUE,FALSE))</f>
        <v>0</v>
      </c>
      <c r="BG364" s="218" t="b">
        <f t="shared" si="3683"/>
        <v>0</v>
      </c>
      <c r="BH364" s="218" t="b">
        <f t="shared" si="3696"/>
        <v>0</v>
      </c>
      <c r="BI364" s="231" t="b">
        <f t="shared" ref="BI364" si="4113">IF(J364="",FALSE,IF(L364=0,FALSE,IF(AND(AU363,NOT(BF364),OR(M364="",N364="",O364="")),TRUE,FALSE)))</f>
        <v>0</v>
      </c>
      <c r="BJ364" s="240" t="b">
        <f t="shared" si="3698"/>
        <v>0</v>
      </c>
      <c r="BK364" s="231" t="b">
        <f>IF(NOT(BJ364),FALSE,IF(AND(競技会設定!$C$5&lt;=BJ364,BJ364&lt;=競技会設定!$C$6),FALSE,TRUE))</f>
        <v>0</v>
      </c>
      <c r="BL364" s="218" t="b">
        <f>IF(J364="",FALSE,IF(L364=0,FALSE,IF(AND(AU363,NOT(BF364),NOT(BI364),P364=""),TRUE,FALSE)))</f>
        <v>0</v>
      </c>
      <c r="BO364" s="274"/>
    </row>
    <row r="365" spans="1:67" ht="17.399999999999999" customHeight="1">
      <c r="A365" s="421"/>
      <c r="B365" s="374"/>
      <c r="C365" s="376"/>
      <c r="D365" s="140"/>
      <c r="E365" s="379" t="str">
        <f>IF(C363="","",VLOOKUP(D363,男子登録!$A$2:$O$2001,14,0)&amp;" ("&amp;VLOOKUP(D363,男子登録!$A$2:$O$2001,15,0)&amp;")")</f>
        <v/>
      </c>
      <c r="F365" s="380"/>
      <c r="G365" s="140" t="str">
        <f>IF(C363="","",(VLOOKUP(D363,男子登録!$A$2:$N$2001,9,0)))</f>
        <v/>
      </c>
      <c r="H365" s="140"/>
      <c r="I365" s="140" t="s">
        <v>4021</v>
      </c>
      <c r="J365" s="153"/>
      <c r="K365" s="140" t="s">
        <v>6760</v>
      </c>
      <c r="L365" s="153"/>
      <c r="M365" s="264"/>
      <c r="N365" s="265"/>
      <c r="O365" s="266"/>
      <c r="P365" s="152"/>
      <c r="Q365" s="382"/>
      <c r="R365" s="385"/>
      <c r="S365" s="136"/>
      <c r="T365" s="137"/>
      <c r="U365" s="137"/>
      <c r="V365" s="137"/>
      <c r="W365" s="137"/>
      <c r="X365" s="137"/>
      <c r="Y365" s="218">
        <f t="shared" ref="Y365" si="4114">IF(OR(E363="",J365=""),0,J365&amp;E363)</f>
        <v>0</v>
      </c>
      <c r="Z365" s="218">
        <f>IF(Y365=0,0,COUNTIF($Y$7:Y365,Y365))</f>
        <v>0</v>
      </c>
      <c r="AD365" s="218">
        <f>IFERROR(VLOOKUP(J365,競技会設定!$P$2:$S$22,2,0),0)</f>
        <v>0</v>
      </c>
      <c r="AE365" s="218">
        <f t="shared" ref="AE365" si="4115">IF(E363="",0,IF(AD365=0,0,IF(AD365&lt;3,E363&amp;$AE$6,0)))</f>
        <v>0</v>
      </c>
      <c r="AF365" s="218">
        <f>IF(AE365=0,0,E363&amp;COUNTIF($AE$7:AE365,AE365))</f>
        <v>0</v>
      </c>
      <c r="AG365" s="218">
        <f t="shared" ref="AG365" si="4116">IF(E363="",0,IF(AD365=0,0,IF(AD365&gt;=3,E363&amp;$AG$6,0)))</f>
        <v>0</v>
      </c>
      <c r="AH365" s="218">
        <f>IF(AG365=0,0,E363&amp;COUNTIF($AG$7:AG365,AG365))</f>
        <v>0</v>
      </c>
      <c r="AI365" s="218">
        <f t="shared" si="3846"/>
        <v>0</v>
      </c>
      <c r="AJ365" s="218" t="b">
        <f>IF(AI365=0,FALSE,IF(COUNTIF(AI$7:AI365,AI365)&gt;1,TRUE,FALSE))</f>
        <v>0</v>
      </c>
      <c r="AK365" s="218">
        <f t="shared" ref="AK365" si="4117">IF($AD365=AK$6,$E363,0)</f>
        <v>0</v>
      </c>
      <c r="AL365" s="218" t="b">
        <f>IF(AK365=0,FALSE,IF(COUNTIF(AK$7:AK365,AK365)&gt;1,TRUE,FALSE))</f>
        <v>0</v>
      </c>
      <c r="AM365" s="218">
        <f t="shared" ref="AM365" si="4118">IF($AD365=AM$6,$E363,0)</f>
        <v>0</v>
      </c>
      <c r="AN365" s="218" t="b">
        <f>IF(AM365=0,FALSE,IF(COUNTIF(AM$7:AM365,AM365)&gt;1,TRUE,FALSE))</f>
        <v>0</v>
      </c>
      <c r="AO365" s="218">
        <f t="shared" ref="AO365" si="4119">IF($AD365=AO$6,$E363,0)</f>
        <v>0</v>
      </c>
      <c r="AP365" s="218" t="b">
        <f>IF(AO365=0,FALSE,IF(COUNTIF(AO$7:AO365,AO365)&gt;1,TRUE,FALSE))</f>
        <v>0</v>
      </c>
      <c r="AQ365" s="218">
        <f t="shared" ref="AQ365" si="4120">IF(COUNTIF(Y365,"*十種競技*")&gt;0,E363,0)</f>
        <v>0</v>
      </c>
      <c r="AR365" s="218" t="b">
        <f>IF(AQ365=0,FALSE,IF(OR(COUNTIF($AI$7:$AI$406,AQ365)+COUNTIF($AQ365:$AQ$406,AQ365)&gt;1,COUNTIF($AK$7:$AK$406,AQ365)+COUNTIF($AQ$7:$AQ$406,AQ365)&gt;1),TRUE,FALSE))</f>
        <v>0</v>
      </c>
      <c r="AT365" s="218" t="b">
        <f t="shared" si="3694"/>
        <v>0</v>
      </c>
      <c r="AU365" s="274"/>
      <c r="AX365" s="274"/>
      <c r="BD365" s="218" t="b">
        <f t="shared" si="3681"/>
        <v>0</v>
      </c>
      <c r="BF365" s="231" t="b">
        <f t="shared" ref="BF365" si="4121">IF(J365="",FALSE,IF(OR(AND(AU363,L365=""),AND(AU363,L365="",OR(M365&lt;&gt;"",N365&lt;&gt;"",O365&lt;&gt;"",P365&lt;&gt;""))),TRUE,FALSE))</f>
        <v>0</v>
      </c>
      <c r="BG365" s="218" t="b">
        <f t="shared" si="3683"/>
        <v>0</v>
      </c>
      <c r="BH365" s="218" t="b">
        <f t="shared" si="3696"/>
        <v>0</v>
      </c>
      <c r="BI365" s="231" t="b">
        <f t="shared" ref="BI365" si="4122">IF(J365="",FALSE,IF(L365=0,FALSE,IF(AND(AU363,NOT(BF365),OR(M365="",N365="",O365="")),TRUE,FALSE)))</f>
        <v>0</v>
      </c>
      <c r="BJ365" s="240" t="b">
        <f t="shared" si="3698"/>
        <v>0</v>
      </c>
      <c r="BK365" s="231" t="b">
        <f>IF(NOT(BJ365),FALSE,IF(AND(競技会設定!$C$5&lt;=BJ365,BJ365&lt;=競技会設定!$C$6),FALSE,TRUE))</f>
        <v>0</v>
      </c>
      <c r="BL365" s="218" t="b">
        <f>IF(J365="",FALSE,IF(L365=0,FALSE,IF(AND(AU363,NOT(BF365),NOT(BI365),P365=""),TRUE,FALSE)))</f>
        <v>0</v>
      </c>
      <c r="BO365" s="274"/>
    </row>
    <row r="366" spans="1:67" ht="18" customHeight="1" thickBot="1">
      <c r="A366" s="422"/>
      <c r="B366" s="387" t="s">
        <v>6764</v>
      </c>
      <c r="C366" s="387"/>
      <c r="D366" s="213"/>
      <c r="E366" s="388"/>
      <c r="F366" s="389"/>
      <c r="G366" s="390"/>
      <c r="H366" s="141"/>
      <c r="I366" s="213" t="s">
        <v>6759</v>
      </c>
      <c r="J366" s="154"/>
      <c r="K366" s="213" t="s">
        <v>6761</v>
      </c>
      <c r="L366" s="154"/>
      <c r="M366" s="267"/>
      <c r="N366" s="268"/>
      <c r="O366" s="269"/>
      <c r="P366" s="154"/>
      <c r="Q366" s="383"/>
      <c r="R366" s="386"/>
      <c r="S366" s="136"/>
      <c r="T366" s="137"/>
      <c r="U366" s="137"/>
      <c r="V366" s="137"/>
      <c r="W366" s="137"/>
      <c r="X366" s="137"/>
      <c r="Y366" s="218">
        <f t="shared" ref="Y366" si="4123">IF(OR(E363="",J366=""),0,J366&amp;E363)</f>
        <v>0</v>
      </c>
      <c r="Z366" s="218">
        <f>IF(Y366=0,0,COUNTIF($Y$7:Y366,Y366))</f>
        <v>0</v>
      </c>
      <c r="AD366" s="218">
        <f>IFERROR(VLOOKUP(J366,競技会設定!$P$2:$S$22,2,0),0)</f>
        <v>0</v>
      </c>
      <c r="AE366" s="218">
        <f t="shared" ref="AE366" si="4124">IF(E363="",0,IF(AD366=0,0,IF(AD366&lt;3,E363&amp;$AE$6,0)))</f>
        <v>0</v>
      </c>
      <c r="AF366" s="218">
        <f>IF(AE366=0,0,E363&amp;COUNTIF($AE$7:AE366,AE366))</f>
        <v>0</v>
      </c>
      <c r="AG366" s="218">
        <f t="shared" ref="AG366" si="4125">IF(E363="",0,IF(AD366=0,0,IF(AD366&gt;=3,E363&amp;$AG$6,0)))</f>
        <v>0</v>
      </c>
      <c r="AH366" s="218">
        <f>IF(AG366=0,0,E363&amp;COUNTIF($AG$7:AG366,AG366))</f>
        <v>0</v>
      </c>
      <c r="AI366" s="218">
        <f t="shared" si="3856"/>
        <v>0</v>
      </c>
      <c r="AJ366" s="218" t="b">
        <f>IF(AI366=0,FALSE,IF(COUNTIF(AI$7:AI366,AI366)&gt;1,TRUE,FALSE))</f>
        <v>0</v>
      </c>
      <c r="AK366" s="218">
        <f t="shared" ref="AK366" si="4126">IF($AD366=AK$6,$E363,0)</f>
        <v>0</v>
      </c>
      <c r="AL366" s="218" t="b">
        <f>IF(AK366=0,FALSE,IF(COUNTIF(AK$7:AK366,AK366)&gt;1,TRUE,FALSE))</f>
        <v>0</v>
      </c>
      <c r="AM366" s="218">
        <f t="shared" ref="AM366" si="4127">IF($AD366=AM$6,$E363,0)</f>
        <v>0</v>
      </c>
      <c r="AN366" s="218" t="b">
        <f>IF(AM366=0,FALSE,IF(COUNTIF(AM$7:AM366,AM366)&gt;1,TRUE,FALSE))</f>
        <v>0</v>
      </c>
      <c r="AO366" s="218">
        <f t="shared" ref="AO366" si="4128">IF($AD366=AO$6,$E363,0)</f>
        <v>0</v>
      </c>
      <c r="AP366" s="218" t="b">
        <f>IF(AO366=0,FALSE,IF(COUNTIF(AO$7:AO366,AO366)&gt;1,TRUE,FALSE))</f>
        <v>0</v>
      </c>
      <c r="AQ366" s="218">
        <f t="shared" ref="AQ366" si="4129">IF(COUNTIF(Y366,"*十種競技*")&gt;0,E363,0)</f>
        <v>0</v>
      </c>
      <c r="AR366" s="218" t="b">
        <f>IF(AQ366=0,FALSE,IF(OR(COUNTIF($AI$7:$AI$406,AQ366)+COUNTIF($AQ366:$AQ$406,AQ366)&gt;1,COUNTIF($AK$7:$AK$406,AQ366)+COUNTIF($AQ$7:$AQ$406,AQ366)&gt;1),TRUE,FALSE))</f>
        <v>0</v>
      </c>
      <c r="AT366" s="218" t="b">
        <f t="shared" si="3694"/>
        <v>0</v>
      </c>
      <c r="AU366" s="274"/>
      <c r="AX366" s="274"/>
      <c r="BD366" s="218" t="b">
        <f t="shared" si="3681"/>
        <v>0</v>
      </c>
      <c r="BF366" s="231" t="b">
        <f t="shared" ref="BF366" si="4130">IF(J366="",FALSE,IF(OR(AND(AU363,L366=""),AND(AU363,L366="",OR(M366&lt;&gt;"",N366&lt;&gt;"",O366&lt;&gt;"",P366&lt;&gt;""))),TRUE,FALSE))</f>
        <v>0</v>
      </c>
      <c r="BG366" s="218" t="b">
        <f t="shared" si="3683"/>
        <v>0</v>
      </c>
      <c r="BH366" s="218" t="b">
        <f t="shared" si="3696"/>
        <v>0</v>
      </c>
      <c r="BI366" s="231" t="b">
        <f t="shared" ref="BI366" si="4131">IF(J366="",FALSE,IF(L366=0,FALSE,IF(AND(AU363,NOT(BF366),OR(M366="",N366="",O366="")),TRUE,FALSE)))</f>
        <v>0</v>
      </c>
      <c r="BJ366" s="240" t="b">
        <f t="shared" si="3698"/>
        <v>0</v>
      </c>
      <c r="BK366" s="231" t="b">
        <f>IF(NOT(BJ366),FALSE,IF(AND(競技会設定!$C$5&lt;=BJ366,BJ366&lt;=競技会設定!$C$6),FALSE,TRUE))</f>
        <v>0</v>
      </c>
      <c r="BL366" s="218" t="b">
        <f>IF(J366="",FALSE,IF(L366=0,FALSE,IF(AND(AU363,NOT(BF366),NOT(BI366),P366=""),TRUE,FALSE)))</f>
        <v>0</v>
      </c>
      <c r="BO366" s="274"/>
    </row>
    <row r="367" spans="1:67" ht="18" customHeight="1" thickTop="1">
      <c r="A367" s="417">
        <v>91</v>
      </c>
      <c r="B367" s="401" t="s">
        <v>4018</v>
      </c>
      <c r="C367" s="403"/>
      <c r="D367" s="220" t="str">
        <f t="shared" ref="D367" si="4132">IF(C367="","",501&amp;TEXT(C367,"000000"))</f>
        <v/>
      </c>
      <c r="E367" s="396" t="str">
        <f>IF(D367="","",(VLOOKUP(D367,男子登録!$A$2:$N$2001,3,0)))</f>
        <v/>
      </c>
      <c r="F367" s="396" t="str">
        <f>IF(D367="","",(VLOOKUP(D367,男子登録!$A$2:$N$2001,4,0)))</f>
        <v/>
      </c>
      <c r="G367" s="220" t="str">
        <f>IF(C367="","",(VLOOKUP(D367,男子登録!$A$2:$N$2001,8,0)))</f>
        <v/>
      </c>
      <c r="H367" s="220">
        <f>IFERROR(VLOOKUP(D367,男子登録!$A$2:$N$2001,11,0),基本情報!$E$5)</f>
        <v>0</v>
      </c>
      <c r="I367" s="220" t="s">
        <v>4019</v>
      </c>
      <c r="J367" s="148"/>
      <c r="K367" s="220" t="s">
        <v>4022</v>
      </c>
      <c r="L367" s="148"/>
      <c r="M367" s="252"/>
      <c r="N367" s="253"/>
      <c r="O367" s="254"/>
      <c r="P367" s="148"/>
      <c r="Q367" s="398"/>
      <c r="R367" s="391"/>
      <c r="S367" s="136">
        <f t="shared" ref="S367" si="4133">IF(OR(E367="",Q367=""),0,E367)</f>
        <v>0</v>
      </c>
      <c r="T367" s="137">
        <f>IF(S367=0,0,COUNTIF($S$7:S367,"*"))</f>
        <v>0</v>
      </c>
      <c r="U367" s="137">
        <f>IF(S367=0,0,COUNTIF($S$7:S367,S367))</f>
        <v>0</v>
      </c>
      <c r="V367" s="137">
        <f t="shared" si="3913"/>
        <v>0</v>
      </c>
      <c r="W367" s="137">
        <f>IF(V367=0,0,COUNTIF($V$7:V367,"*"))</f>
        <v>0</v>
      </c>
      <c r="X367" s="137">
        <f>IF(V367=0,0,COUNTIF($V$7:V367,V367))</f>
        <v>0</v>
      </c>
      <c r="Y367" s="218">
        <f t="shared" ref="Y367" si="4134">IF(OR(E367="",J367=""),0,J367&amp;E367)</f>
        <v>0</v>
      </c>
      <c r="Z367" s="218">
        <f>IF(Y367=0,0,COUNTIF($Y$7:Y367,Y367))</f>
        <v>0</v>
      </c>
      <c r="AA367" s="218" t="b">
        <f t="shared" ref="AA367" si="4135">IF(COUNTIF(J367:J370,"十種競技")&gt;0,TRUE,FALSE)</f>
        <v>0</v>
      </c>
      <c r="AB367" s="218">
        <f>IF(E367="",0,IF(AA367,COUNTIF($AA$7:AA367,TRUE),0))</f>
        <v>0</v>
      </c>
      <c r="AC367" s="218">
        <f>IFERROR(VLOOKUP("十種競技",J367:L370,3,0),0)</f>
        <v>0</v>
      </c>
      <c r="AD367" s="218">
        <f>IFERROR(VLOOKUP(J367,競技会設定!$P$2:$S$22,2,0),0)</f>
        <v>0</v>
      </c>
      <c r="AE367" s="218">
        <f t="shared" ref="AE367" si="4136">IF(E367="",0,IF(AD367=0,0,IF(AD367&lt;3,E367&amp;$AE$6,0)))</f>
        <v>0</v>
      </c>
      <c r="AF367" s="218">
        <f>IF(AE367=0,0,E367&amp;COUNTIF($AE$7:AE367,AE367))</f>
        <v>0</v>
      </c>
      <c r="AG367" s="218">
        <f t="shared" ref="AG367" si="4137">IF(E367="",0,IF(AD367=0,0,IF(AD367&gt;=3,E367&amp;$AG$6,0)))</f>
        <v>0</v>
      </c>
      <c r="AH367" s="218">
        <f>IF(AG367=0,0,E367&amp;COUNTIF($AG$7:AG367,AG367))</f>
        <v>0</v>
      </c>
      <c r="AI367" s="218">
        <f t="shared" ref="AI367" si="4138">IF(COUNTIF(Y367,"*十種*")&gt;0,0,IF($AD367=AI$6,$E367,0))</f>
        <v>0</v>
      </c>
      <c r="AJ367" s="218" t="b">
        <f>IF(AI367=0,FALSE,IF(COUNTIF(AI$7:AI367,AI367)&gt;1,TRUE,FALSE))</f>
        <v>0</v>
      </c>
      <c r="AK367" s="218">
        <f t="shared" ref="AK367" si="4139">IF($AD367=AK$6,$E367,0)</f>
        <v>0</v>
      </c>
      <c r="AL367" s="218" t="b">
        <f>IF(AK367=0,FALSE,IF(COUNTIF(AK$7:AK367,AK367)&gt;1,TRUE,FALSE))</f>
        <v>0</v>
      </c>
      <c r="AM367" s="218">
        <f t="shared" ref="AM367" si="4140">IF($AD367=AM$6,$E367,0)</f>
        <v>0</v>
      </c>
      <c r="AN367" s="218" t="b">
        <f>IF(AM367=0,FALSE,IF(COUNTIF(AM$7:AM367,AM367)&gt;1,TRUE,FALSE))</f>
        <v>0</v>
      </c>
      <c r="AO367" s="218">
        <f t="shared" ref="AO367" si="4141">IF($AD367=AO$6,$E367,0)</f>
        <v>0</v>
      </c>
      <c r="AP367" s="218" t="b">
        <f>IF(AO367=0,FALSE,IF(COUNTIF(AO$7:AO367,AO367)&gt;1,TRUE,FALSE))</f>
        <v>0</v>
      </c>
      <c r="AQ367" s="218">
        <f t="shared" ref="AQ367" si="4142">IF(COUNTIF(Y367,"*十種競技*")&gt;0,E367,0)</f>
        <v>0</v>
      </c>
      <c r="AR367" s="218" t="b">
        <f>IF(AQ367=0,FALSE,IF(OR(COUNTIF($AI$7:$AI$406,AQ367)+COUNTIF($AQ367:$AQ$406,AQ367)&gt;1,COUNTIF($AK$7:$AK$406,AQ367)+COUNTIF($AQ$7:$AQ$406,AQ367)&gt;1),TRUE,FALSE))</f>
        <v>0</v>
      </c>
      <c r="AS367" s="218" t="b">
        <f t="shared" ref="AS367" si="4143">IF(AND(C367="",E367&lt;&gt;"",F367&lt;&gt;"",E369&lt;&gt;"",G367&lt;&gt;"",G368&lt;&gt;"",G369&lt;&gt;""),TRUE,FALSE)</f>
        <v>0</v>
      </c>
      <c r="AT367" s="218" t="b">
        <f t="shared" si="3694"/>
        <v>0</v>
      </c>
      <c r="AU367" s="274" t="b">
        <f t="shared" ref="AU367" si="4144">IFERROR(IF(D367&amp;E367&amp;F367&amp;E369&amp;G367&amp;G368&amp;G369&amp;J367&amp;J368&amp;J369&amp;J370&amp;L367&amp;L368&amp;L369&amp;L370&amp;M367&amp;M368&amp;M369&amp;M370&amp;N367&amp;N368&amp;N369&amp;N370&amp;O367&amp;O368&amp;O369&amp;O370&amp;P367&amp;P368&amp;P369&amp;P370&amp;Q367&amp;R367="",FALSE,TRUE),FALSE)</f>
        <v>0</v>
      </c>
      <c r="AV367" s="218" t="b">
        <f t="shared" ref="AV367" si="4145">IF(AS367,FALSE,IF(C367="",AU367,FALSE))</f>
        <v>0</v>
      </c>
      <c r="AW367" s="218" t="b">
        <f>IF(C367="",FALSE,IF(C367&gt;2000,TRUE,FALSE))</f>
        <v>0</v>
      </c>
      <c r="AX367" s="274" t="b">
        <f>IF(H367=0,FALSE,IF(EXACT(基本情報!$E$5,H367)=TRUE,FALSE,TRUE))</f>
        <v>0</v>
      </c>
      <c r="AY367" s="218" t="b">
        <f>IF(C367="",FALSE,IF(ISNA(E367)=TRUE,TRUE,FALSE))</f>
        <v>0</v>
      </c>
      <c r="AZ367" s="274" t="b">
        <f>IFERROR(IF(E367="",FALSE,IF(COUNTIF($E$7:E367,E367)&gt;1,TRUE,FALSE)),FALSE)</f>
        <v>0</v>
      </c>
      <c r="BA367" s="218" t="b">
        <f t="shared" ref="BA367" si="4146">IF(OR(J367&amp;J368&amp;J369&amp;J370&amp;Q367&amp;R367="",AT367,AT368,AT369,AT370),AU367,FALSE)</f>
        <v>0</v>
      </c>
      <c r="BB367" s="218" t="b">
        <f>IF(U367&gt;1,TRUE,FALSE)</f>
        <v>0</v>
      </c>
      <c r="BC367" s="218" t="b">
        <f>IF(X367&gt;1,TRUE,FALSE)</f>
        <v>0</v>
      </c>
      <c r="BD367" s="218" t="b">
        <f t="shared" si="3681"/>
        <v>0</v>
      </c>
      <c r="BF367" s="231" t="b">
        <f t="shared" ref="BF367" si="4147">IF(J367="",FALSE,IF(OR(AND(AU367,L367=""),AND(AU367,L367="",OR(M367&lt;&gt;"",N367&lt;&gt;"",O367&lt;&gt;"",P367&lt;&gt;""))),TRUE,FALSE))</f>
        <v>0</v>
      </c>
      <c r="BG367" s="218" t="b">
        <f t="shared" si="3683"/>
        <v>0</v>
      </c>
      <c r="BH367" s="218" t="b">
        <f t="shared" si="3696"/>
        <v>0</v>
      </c>
      <c r="BI367" s="231" t="b">
        <f t="shared" ref="BI367" si="4148">IF(J367="",FALSE,IF(L367=0,FALSE,IF(AND(AU367,NOT(BF367),OR(M367="",N367="",O367="")),TRUE,FALSE)))</f>
        <v>0</v>
      </c>
      <c r="BJ367" s="240" t="b">
        <f t="shared" si="3698"/>
        <v>0</v>
      </c>
      <c r="BK367" s="231" t="b">
        <f>IF(NOT(BJ367),FALSE,IF(AND(競技会設定!$C$5&lt;=BJ367,BJ367&lt;=競技会設定!$C$6),FALSE,TRUE))</f>
        <v>0</v>
      </c>
      <c r="BL367" s="218" t="b">
        <f>IF(J367="",FALSE,IF(L367=0,FALSE,IF(AND(AU367,NOT(BF367),NOT(BI367),P367=""),TRUE,FALSE)))</f>
        <v>0</v>
      </c>
      <c r="BO367" s="274">
        <f t="shared" ref="BO367" si="4149">IF(AND(AU367,SUM(COUNTIF(AV367:BC367,TRUE),COUNTIF(BF367:BL370,TRUE),COUNTIF(BD367:BD370,TRUE))=0,NOT($BE$7)),1,0)</f>
        <v>0</v>
      </c>
    </row>
    <row r="368" spans="1:67" ht="17.399999999999999" customHeight="1">
      <c r="A368" s="418"/>
      <c r="B368" s="402"/>
      <c r="C368" s="404"/>
      <c r="D368" s="221"/>
      <c r="E368" s="397"/>
      <c r="F368" s="397"/>
      <c r="G368" s="221" t="str">
        <f>IF(C367="","",(VLOOKUP(D367,男子登録!$A$2:$N$2001,13,0)))</f>
        <v/>
      </c>
      <c r="H368" s="221"/>
      <c r="I368" s="221" t="s">
        <v>4020</v>
      </c>
      <c r="J368" s="149"/>
      <c r="K368" s="221" t="s">
        <v>4023</v>
      </c>
      <c r="L368" s="149"/>
      <c r="M368" s="255"/>
      <c r="N368" s="256"/>
      <c r="O368" s="257"/>
      <c r="P368" s="149"/>
      <c r="Q368" s="399"/>
      <c r="R368" s="392"/>
      <c r="S368" s="136"/>
      <c r="T368" s="137"/>
      <c r="U368" s="137"/>
      <c r="V368" s="137"/>
      <c r="W368" s="137"/>
      <c r="X368" s="137"/>
      <c r="Y368" s="218">
        <f t="shared" ref="Y368" si="4150">IF(OR(E367="",J368=""),0,J368&amp;E367)</f>
        <v>0</v>
      </c>
      <c r="Z368" s="218">
        <f>IF(Y368=0,0,COUNTIF($Y$7:Y368,Y368))</f>
        <v>0</v>
      </c>
      <c r="AD368" s="218">
        <f>IFERROR(VLOOKUP(J368,競技会設定!$P$2:$S$22,2,0),0)</f>
        <v>0</v>
      </c>
      <c r="AE368" s="218">
        <f t="shared" ref="AE368" si="4151">IF(E367="",0,IF(AD368=0,0,IF(AD368&lt;3,E367&amp;$AE$6,0)))</f>
        <v>0</v>
      </c>
      <c r="AF368" s="218">
        <f>IF(AE368=0,0,E367&amp;COUNTIF($AE$7:AE368,AE368))</f>
        <v>0</v>
      </c>
      <c r="AG368" s="218">
        <f t="shared" ref="AG368" si="4152">IF(E367="",0,IF(AD368=0,0,IF(AD368&gt;=3,E367&amp;$AG$6,0)))</f>
        <v>0</v>
      </c>
      <c r="AH368" s="218">
        <f>IF(AG368=0,0,E367&amp;COUNTIF($AG$7:AG368,AG368))</f>
        <v>0</v>
      </c>
      <c r="AI368" s="218">
        <f t="shared" ref="AI368" si="4153">IF(COUNTIF(Y368,"*十種*")&gt;0,0,IF($AD368=AI$6,$E367,0))</f>
        <v>0</v>
      </c>
      <c r="AJ368" s="218" t="b">
        <f>IF(AI368=0,FALSE,IF(COUNTIF(AI$7:AI368,AI368)&gt;1,TRUE,FALSE))</f>
        <v>0</v>
      </c>
      <c r="AK368" s="218">
        <f t="shared" ref="AK368" si="4154">IF($AD368=AK$6,$E367,0)</f>
        <v>0</v>
      </c>
      <c r="AL368" s="218" t="b">
        <f>IF(AK368=0,FALSE,IF(COUNTIF(AK$7:AK368,AK368)&gt;1,TRUE,FALSE))</f>
        <v>0</v>
      </c>
      <c r="AM368" s="218">
        <f t="shared" ref="AM368" si="4155">IF($AD368=AM$6,$E367,0)</f>
        <v>0</v>
      </c>
      <c r="AN368" s="218" t="b">
        <f>IF(AM368=0,FALSE,IF(COUNTIF(AM$7:AM368,AM368)&gt;1,TRUE,FALSE))</f>
        <v>0</v>
      </c>
      <c r="AO368" s="218">
        <f t="shared" ref="AO368" si="4156">IF($AD368=AO$6,$E367,0)</f>
        <v>0</v>
      </c>
      <c r="AP368" s="218" t="b">
        <f>IF(AO368=0,FALSE,IF(COUNTIF(AO$7:AO368,AO368)&gt;1,TRUE,FALSE))</f>
        <v>0</v>
      </c>
      <c r="AQ368" s="218">
        <f t="shared" ref="AQ368" si="4157">IF(COUNTIF(Y368,"*十種競技*")&gt;0,E367,0)</f>
        <v>0</v>
      </c>
      <c r="AR368" s="218" t="b">
        <f>IF(AQ368=0,FALSE,IF(OR(COUNTIF($AI$7:$AI$406,AQ368)+COUNTIF($AQ368:$AQ$406,AQ368)&gt;1,COUNTIF($AK$7:$AK$406,AQ368)+COUNTIF($AQ$7:$AQ$406,AQ368)&gt;1),TRUE,FALSE))</f>
        <v>0</v>
      </c>
      <c r="AT368" s="218" t="b">
        <f t="shared" si="3694"/>
        <v>0</v>
      </c>
      <c r="AU368" s="274"/>
      <c r="AX368" s="274"/>
      <c r="BD368" s="218" t="b">
        <f t="shared" si="3681"/>
        <v>0</v>
      </c>
      <c r="BF368" s="231" t="b">
        <f t="shared" ref="BF368" si="4158">IF(J368="",FALSE,IF(OR(AND(AU367,L368=""),AND(AU367,L368="",OR(M368&lt;&gt;"",N368&lt;&gt;"",O368&lt;&gt;"",P368&lt;&gt;""))),TRUE,FALSE))</f>
        <v>0</v>
      </c>
      <c r="BG368" s="218" t="b">
        <f t="shared" si="3683"/>
        <v>0</v>
      </c>
      <c r="BH368" s="218" t="b">
        <f t="shared" si="3696"/>
        <v>0</v>
      </c>
      <c r="BI368" s="231" t="b">
        <f t="shared" ref="BI368" si="4159">IF(J368="",FALSE,IF(L368=0,FALSE,IF(AND(AU367,NOT(BF368),OR(M368="",N368="",O368="")),TRUE,FALSE)))</f>
        <v>0</v>
      </c>
      <c r="BJ368" s="240" t="b">
        <f t="shared" si="3698"/>
        <v>0</v>
      </c>
      <c r="BK368" s="231" t="b">
        <f>IF(NOT(BJ368),FALSE,IF(AND(競技会設定!$C$5&lt;=BJ368,BJ368&lt;=競技会設定!$C$6),FALSE,TRUE))</f>
        <v>0</v>
      </c>
      <c r="BL368" s="218" t="b">
        <f>IF(J368="",FALSE,IF(L368=0,FALSE,IF(AND(AU367,NOT(BF368),NOT(BI368),P368=""),TRUE,FALSE)))</f>
        <v>0</v>
      </c>
      <c r="BO368" s="274"/>
    </row>
    <row r="369" spans="1:67" ht="17.399999999999999" customHeight="1">
      <c r="A369" s="418"/>
      <c r="B369" s="402"/>
      <c r="C369" s="404"/>
      <c r="D369" s="221"/>
      <c r="E369" s="394" t="str">
        <f>IF(C367="","",VLOOKUP(D367,男子登録!$A$2:$O$2001,14,0)&amp;" ("&amp;VLOOKUP(D367,男子登録!$A$2:$O$2001,15,0)&amp;")")</f>
        <v/>
      </c>
      <c r="F369" s="394"/>
      <c r="G369" s="222" t="str">
        <f>IF(C367="","",(VLOOKUP(D367,男子登録!$A$2:$N$2001,9,0)))</f>
        <v/>
      </c>
      <c r="H369" s="222"/>
      <c r="I369" s="222" t="s">
        <v>4021</v>
      </c>
      <c r="J369" s="150"/>
      <c r="K369" s="222" t="s">
        <v>6760</v>
      </c>
      <c r="L369" s="150"/>
      <c r="M369" s="255"/>
      <c r="N369" s="256"/>
      <c r="O369" s="257"/>
      <c r="P369" s="149"/>
      <c r="Q369" s="399"/>
      <c r="R369" s="392"/>
      <c r="S369" s="136"/>
      <c r="T369" s="137"/>
      <c r="U369" s="137"/>
      <c r="V369" s="137"/>
      <c r="W369" s="137"/>
      <c r="X369" s="137"/>
      <c r="Y369" s="218">
        <f t="shared" ref="Y369" si="4160">IF(OR(E367="",J369=""),0,J369&amp;E367)</f>
        <v>0</v>
      </c>
      <c r="Z369" s="218">
        <f>IF(Y369=0,0,COUNTIF($Y$7:Y369,Y369))</f>
        <v>0</v>
      </c>
      <c r="AD369" s="218">
        <f>IFERROR(VLOOKUP(J369,競技会設定!$P$2:$S$22,2,0),0)</f>
        <v>0</v>
      </c>
      <c r="AE369" s="218">
        <f t="shared" ref="AE369" si="4161">IF(E367="",0,IF(AD369=0,0,IF(AD369&lt;3,E367&amp;$AE$6,0)))</f>
        <v>0</v>
      </c>
      <c r="AF369" s="218">
        <f>IF(AE369=0,0,E367&amp;COUNTIF($AE$7:AE369,AE369))</f>
        <v>0</v>
      </c>
      <c r="AG369" s="218">
        <f t="shared" ref="AG369" si="4162">IF(E367="",0,IF(AD369=0,0,IF(AD369&gt;=3,E367&amp;$AG$6,0)))</f>
        <v>0</v>
      </c>
      <c r="AH369" s="218">
        <f>IF(AG369=0,0,E367&amp;COUNTIF($AG$7:AG369,AG369))</f>
        <v>0</v>
      </c>
      <c r="AI369" s="218">
        <f t="shared" ref="AI369" si="4163">IF(COUNTIF(Y369,"*十種*")&gt;0,0,IF($AD369=AI$6,$E367,0))</f>
        <v>0</v>
      </c>
      <c r="AJ369" s="218" t="b">
        <f>IF(AI369=0,FALSE,IF(COUNTIF(AI$7:AI369,AI369)&gt;1,TRUE,FALSE))</f>
        <v>0</v>
      </c>
      <c r="AK369" s="218">
        <f t="shared" ref="AK369" si="4164">IF($AD369=AK$6,$E367,0)</f>
        <v>0</v>
      </c>
      <c r="AL369" s="218" t="b">
        <f>IF(AK369=0,FALSE,IF(COUNTIF(AK$7:AK369,AK369)&gt;1,TRUE,FALSE))</f>
        <v>0</v>
      </c>
      <c r="AM369" s="218">
        <f t="shared" ref="AM369" si="4165">IF($AD369=AM$6,$E367,0)</f>
        <v>0</v>
      </c>
      <c r="AN369" s="218" t="b">
        <f>IF(AM369=0,FALSE,IF(COUNTIF(AM$7:AM369,AM369)&gt;1,TRUE,FALSE))</f>
        <v>0</v>
      </c>
      <c r="AO369" s="218">
        <f t="shared" ref="AO369" si="4166">IF($AD369=AO$6,$E367,0)</f>
        <v>0</v>
      </c>
      <c r="AP369" s="218" t="b">
        <f>IF(AO369=0,FALSE,IF(COUNTIF(AO$7:AO369,AO369)&gt;1,TRUE,FALSE))</f>
        <v>0</v>
      </c>
      <c r="AQ369" s="218">
        <f t="shared" ref="AQ369" si="4167">IF(COUNTIF(Y369,"*十種競技*")&gt;0,E367,0)</f>
        <v>0</v>
      </c>
      <c r="AR369" s="218" t="b">
        <f>IF(AQ369=0,FALSE,IF(OR(COUNTIF($AI$7:$AI$406,AQ369)+COUNTIF($AQ369:$AQ$406,AQ369)&gt;1,COUNTIF($AK$7:$AK$406,AQ369)+COUNTIF($AQ$7:$AQ$406,AQ369)&gt;1),TRUE,FALSE))</f>
        <v>0</v>
      </c>
      <c r="AT369" s="218" t="b">
        <f t="shared" si="3694"/>
        <v>0</v>
      </c>
      <c r="AU369" s="274"/>
      <c r="AX369" s="274"/>
      <c r="BD369" s="218" t="b">
        <f t="shared" si="3681"/>
        <v>0</v>
      </c>
      <c r="BF369" s="231" t="b">
        <f t="shared" ref="BF369" si="4168">IF(J369="",FALSE,IF(OR(AND(AU367,L369=""),AND(AU367,L369="",OR(M369&lt;&gt;"",N369&lt;&gt;"",O369&lt;&gt;"",P369&lt;&gt;""))),TRUE,FALSE))</f>
        <v>0</v>
      </c>
      <c r="BG369" s="218" t="b">
        <f t="shared" si="3683"/>
        <v>0</v>
      </c>
      <c r="BH369" s="218" t="b">
        <f t="shared" si="3696"/>
        <v>0</v>
      </c>
      <c r="BI369" s="231" t="b">
        <f t="shared" ref="BI369" si="4169">IF(J369="",FALSE,IF(L369=0,FALSE,IF(AND(AU367,NOT(BF369),OR(M369="",N369="",O369="")),TRUE,FALSE)))</f>
        <v>0</v>
      </c>
      <c r="BJ369" s="240" t="b">
        <f t="shared" si="3698"/>
        <v>0</v>
      </c>
      <c r="BK369" s="231" t="b">
        <f>IF(NOT(BJ369),FALSE,IF(AND(競技会設定!$C$5&lt;=BJ369,BJ369&lt;=競技会設定!$C$6),FALSE,TRUE))</f>
        <v>0</v>
      </c>
      <c r="BL369" s="218" t="b">
        <f>IF(J369="",FALSE,IF(L369=0,FALSE,IF(AND(AU367,NOT(BF369),NOT(BI369),P369=""),TRUE,FALSE)))</f>
        <v>0</v>
      </c>
      <c r="BO369" s="274"/>
    </row>
    <row r="370" spans="1:67" ht="18" customHeight="1" thickBot="1">
      <c r="A370" s="419"/>
      <c r="B370" s="395" t="s">
        <v>6764</v>
      </c>
      <c r="C370" s="395"/>
      <c r="D370" s="221"/>
      <c r="E370" s="372"/>
      <c r="F370" s="372"/>
      <c r="G370" s="372"/>
      <c r="H370" s="214"/>
      <c r="I370" s="214" t="s">
        <v>6759</v>
      </c>
      <c r="J370" s="219"/>
      <c r="K370" s="214" t="s">
        <v>6761</v>
      </c>
      <c r="L370" s="219"/>
      <c r="M370" s="258"/>
      <c r="N370" s="259"/>
      <c r="O370" s="260"/>
      <c r="P370" s="219"/>
      <c r="Q370" s="400"/>
      <c r="R370" s="393"/>
      <c r="S370" s="136"/>
      <c r="T370" s="137"/>
      <c r="U370" s="137"/>
      <c r="V370" s="137"/>
      <c r="W370" s="137"/>
      <c r="X370" s="137"/>
      <c r="Y370" s="218">
        <f t="shared" ref="Y370" si="4170">IF(OR(E367="",J370=""),0,J370&amp;E367)</f>
        <v>0</v>
      </c>
      <c r="Z370" s="218">
        <f>IF(Y370=0,0,COUNTIF($Y$7:Y370,Y370))</f>
        <v>0</v>
      </c>
      <c r="AD370" s="218">
        <f>IFERROR(VLOOKUP(J370,競技会設定!$P$2:$S$22,2,0),0)</f>
        <v>0</v>
      </c>
      <c r="AE370" s="218">
        <f t="shared" ref="AE370" si="4171">IF(E367="",0,IF(AD370=0,0,IF(AD370&lt;3,E367&amp;$AE$6,0)))</f>
        <v>0</v>
      </c>
      <c r="AF370" s="218">
        <f>IF(AE370=0,0,E367&amp;COUNTIF($AE$7:AE370,AE370))</f>
        <v>0</v>
      </c>
      <c r="AG370" s="218">
        <f t="shared" ref="AG370" si="4172">IF(E367="",0,IF(AD370=0,0,IF(AD370&gt;=3,E367&amp;$AG$6,0)))</f>
        <v>0</v>
      </c>
      <c r="AH370" s="218">
        <f>IF(AG370=0,0,E367&amp;COUNTIF($AG$7:AG370,AG370))</f>
        <v>0</v>
      </c>
      <c r="AI370" s="218">
        <f t="shared" ref="AI370" si="4173">IF(COUNTIF(Y370,"*十種*")&gt;0,0,IF($AD370=AI$6,$E367,0))</f>
        <v>0</v>
      </c>
      <c r="AJ370" s="218" t="b">
        <f>IF(AI370=0,FALSE,IF(COUNTIF(AI$7:AI370,AI370)&gt;1,TRUE,FALSE))</f>
        <v>0</v>
      </c>
      <c r="AK370" s="218">
        <f t="shared" ref="AK370" si="4174">IF($AD370=AK$6,$E367,0)</f>
        <v>0</v>
      </c>
      <c r="AL370" s="218" t="b">
        <f>IF(AK370=0,FALSE,IF(COUNTIF(AK$7:AK370,AK370)&gt;1,TRUE,FALSE))</f>
        <v>0</v>
      </c>
      <c r="AM370" s="218">
        <f t="shared" ref="AM370" si="4175">IF($AD370=AM$6,$E367,0)</f>
        <v>0</v>
      </c>
      <c r="AN370" s="218" t="b">
        <f>IF(AM370=0,FALSE,IF(COUNTIF(AM$7:AM370,AM370)&gt;1,TRUE,FALSE))</f>
        <v>0</v>
      </c>
      <c r="AO370" s="218">
        <f t="shared" ref="AO370" si="4176">IF($AD370=AO$6,$E367,0)</f>
        <v>0</v>
      </c>
      <c r="AP370" s="218" t="b">
        <f>IF(AO370=0,FALSE,IF(COUNTIF(AO$7:AO370,AO370)&gt;1,TRUE,FALSE))</f>
        <v>0</v>
      </c>
      <c r="AQ370" s="218">
        <f t="shared" ref="AQ370" si="4177">IF(COUNTIF(Y370,"*十種競技*")&gt;0,E367,0)</f>
        <v>0</v>
      </c>
      <c r="AR370" s="218" t="b">
        <f>IF(AQ370=0,FALSE,IF(OR(COUNTIF($AI$7:$AI$406,AQ370)+COUNTIF($AQ370:$AQ$406,AQ370)&gt;1,COUNTIF($AK$7:$AK$406,AQ370)+COUNTIF($AQ$7:$AQ$406,AQ370)&gt;1),TRUE,FALSE))</f>
        <v>0</v>
      </c>
      <c r="AT370" s="218" t="b">
        <f t="shared" si="3694"/>
        <v>0</v>
      </c>
      <c r="AU370" s="274"/>
      <c r="AX370" s="274"/>
      <c r="BD370" s="218" t="b">
        <f t="shared" si="3681"/>
        <v>0</v>
      </c>
      <c r="BF370" s="231" t="b">
        <f t="shared" ref="BF370" si="4178">IF(J370="",FALSE,IF(OR(AND(AU367,L370=""),AND(AU367,L370="",OR(M370&lt;&gt;"",N370&lt;&gt;"",O370&lt;&gt;"",P370&lt;&gt;""))),TRUE,FALSE))</f>
        <v>0</v>
      </c>
      <c r="BG370" s="218" t="b">
        <f t="shared" si="3683"/>
        <v>0</v>
      </c>
      <c r="BH370" s="218" t="b">
        <f t="shared" si="3696"/>
        <v>0</v>
      </c>
      <c r="BI370" s="231" t="b">
        <f t="shared" ref="BI370" si="4179">IF(J370="",FALSE,IF(L370=0,FALSE,IF(AND(AU367,NOT(BF370),OR(M370="",N370="",O370="")),TRUE,FALSE)))</f>
        <v>0</v>
      </c>
      <c r="BJ370" s="240" t="b">
        <f t="shared" si="3698"/>
        <v>0</v>
      </c>
      <c r="BK370" s="231" t="b">
        <f>IF(NOT(BJ370),FALSE,IF(AND(競技会設定!$C$5&lt;=BJ370,BJ370&lt;=競技会設定!$C$6),FALSE,TRUE))</f>
        <v>0</v>
      </c>
      <c r="BL370" s="218" t="b">
        <f>IF(J370="",FALSE,IF(L370=0,FALSE,IF(AND(AU367,NOT(BF370),NOT(BI370),P370=""),TRUE,FALSE)))</f>
        <v>0</v>
      </c>
      <c r="BO370" s="274"/>
    </row>
    <row r="371" spans="1:67" ht="18" customHeight="1" thickTop="1">
      <c r="A371" s="420">
        <v>92</v>
      </c>
      <c r="B371" s="373" t="s">
        <v>4018</v>
      </c>
      <c r="C371" s="375"/>
      <c r="D371" s="138" t="str">
        <f t="shared" ref="D371" si="4180">IF(C371="","",501&amp;TEXT(C371,"000000"))</f>
        <v/>
      </c>
      <c r="E371" s="377" t="str">
        <f>IF(D371="","",(VLOOKUP(D371,男子登録!$A$2:$N$2001,3,0)))</f>
        <v/>
      </c>
      <c r="F371" s="377" t="str">
        <f>IF(D371="","",(VLOOKUP(D371,男子登録!$A$2:$N$2001,4,0)))</f>
        <v/>
      </c>
      <c r="G371" s="138" t="str">
        <f>IF(C371="","",(VLOOKUP(D371,男子登録!$A$2:$N$2001,8,0)))</f>
        <v/>
      </c>
      <c r="H371" s="138">
        <f>IFERROR(VLOOKUP(D371,男子登録!$A$2:$N$2001,11,0),基本情報!$E$5)</f>
        <v>0</v>
      </c>
      <c r="I371" s="138" t="s">
        <v>4019</v>
      </c>
      <c r="J371" s="151"/>
      <c r="K371" s="138" t="s">
        <v>4022</v>
      </c>
      <c r="L371" s="151"/>
      <c r="M371" s="261"/>
      <c r="N371" s="262"/>
      <c r="O371" s="263"/>
      <c r="P371" s="151"/>
      <c r="Q371" s="381"/>
      <c r="R371" s="384"/>
      <c r="S371" s="136">
        <f t="shared" ref="S371" si="4181">IF(OR(E371="",Q371=""),0,E371)</f>
        <v>0</v>
      </c>
      <c r="T371" s="137">
        <f>IF(S371=0,0,COUNTIF($S$7:S371,"*"))</f>
        <v>0</v>
      </c>
      <c r="U371" s="137">
        <f>IF(S371=0,0,COUNTIF($S$7:S371,S371))</f>
        <v>0</v>
      </c>
      <c r="V371" s="137">
        <f t="shared" si="3913"/>
        <v>0</v>
      </c>
      <c r="W371" s="137">
        <f>IF(V371=0,0,COUNTIF($V$7:V371,"*"))</f>
        <v>0</v>
      </c>
      <c r="X371" s="137">
        <f>IF(V371=0,0,COUNTIF($V$7:V371,V371))</f>
        <v>0</v>
      </c>
      <c r="Y371" s="218">
        <f t="shared" ref="Y371" si="4182">IF(OR(E371="",J371=""),0,J371&amp;E371)</f>
        <v>0</v>
      </c>
      <c r="Z371" s="218">
        <f>IF(Y371=0,0,COUNTIF($Y$7:Y371,Y371))</f>
        <v>0</v>
      </c>
      <c r="AA371" s="218" t="b">
        <f t="shared" ref="AA371" si="4183">IF(COUNTIF(J371:J374,"十種競技")&gt;0,TRUE,FALSE)</f>
        <v>0</v>
      </c>
      <c r="AB371" s="218">
        <f>IF(E371="",0,IF(AA371,COUNTIF($AA$7:AA371,TRUE),0))</f>
        <v>0</v>
      </c>
      <c r="AC371" s="218">
        <f>IFERROR(VLOOKUP("十種競技",J371:L374,3,0),0)</f>
        <v>0</v>
      </c>
      <c r="AD371" s="218">
        <f>IFERROR(VLOOKUP(J371,競技会設定!$P$2:$S$22,2,0),0)</f>
        <v>0</v>
      </c>
      <c r="AE371" s="218">
        <f t="shared" ref="AE371" si="4184">IF(E371="",0,IF(AD371=0,0,IF(AD371&lt;3,E371&amp;$AE$6,0)))</f>
        <v>0</v>
      </c>
      <c r="AF371" s="218">
        <f>IF(AE371=0,0,E371&amp;COUNTIF($AE$7:AE371,AE371))</f>
        <v>0</v>
      </c>
      <c r="AG371" s="218">
        <f t="shared" ref="AG371" si="4185">IF(E371="",0,IF(AD371=0,0,IF(AD371&gt;=3,E371&amp;$AG$6,0)))</f>
        <v>0</v>
      </c>
      <c r="AH371" s="218">
        <f>IF(AG371=0,0,E371&amp;COUNTIF($AG$7:AG371,AG371))</f>
        <v>0</v>
      </c>
      <c r="AI371" s="218">
        <f t="shared" si="3624"/>
        <v>0</v>
      </c>
      <c r="AJ371" s="218" t="b">
        <f>IF(AI371=0,FALSE,IF(COUNTIF(AI$7:AI371,AI371)&gt;1,TRUE,FALSE))</f>
        <v>0</v>
      </c>
      <c r="AK371" s="218">
        <f t="shared" ref="AK371" si="4186">IF($AD371=AK$6,$E371,0)</f>
        <v>0</v>
      </c>
      <c r="AL371" s="218" t="b">
        <f>IF(AK371=0,FALSE,IF(COUNTIF(AK$7:AK371,AK371)&gt;1,TRUE,FALSE))</f>
        <v>0</v>
      </c>
      <c r="AM371" s="218">
        <f t="shared" ref="AM371" si="4187">IF($AD371=AM$6,$E371,0)</f>
        <v>0</v>
      </c>
      <c r="AN371" s="218" t="b">
        <f>IF(AM371=0,FALSE,IF(COUNTIF(AM$7:AM371,AM371)&gt;1,TRUE,FALSE))</f>
        <v>0</v>
      </c>
      <c r="AO371" s="218">
        <f t="shared" ref="AO371" si="4188">IF($AD371=AO$6,$E371,0)</f>
        <v>0</v>
      </c>
      <c r="AP371" s="218" t="b">
        <f>IF(AO371=0,FALSE,IF(COUNTIF(AO$7:AO371,AO371)&gt;1,TRUE,FALSE))</f>
        <v>0</v>
      </c>
      <c r="AQ371" s="218">
        <f t="shared" ref="AQ371" si="4189">IF(COUNTIF(Y371,"*十種競技*")&gt;0,E371,0)</f>
        <v>0</v>
      </c>
      <c r="AR371" s="218" t="b">
        <f>IF(AQ371=0,FALSE,IF(OR(COUNTIF($AI$7:$AI$406,AQ371)+COUNTIF($AQ371:$AQ$406,AQ371)&gt;1,COUNTIF($AK$7:$AK$406,AQ371)+COUNTIF($AQ$7:$AQ$406,AQ371)&gt;1),TRUE,FALSE))</f>
        <v>0</v>
      </c>
      <c r="AS371" s="218" t="b">
        <f t="shared" ref="AS371" si="4190">IF(AND(C371="",E371&lt;&gt;"",F371&lt;&gt;"",E373&lt;&gt;"",G371&lt;&gt;"",G372&lt;&gt;"",G373&lt;&gt;""),TRUE,FALSE)</f>
        <v>0</v>
      </c>
      <c r="AT371" s="218" t="b">
        <f t="shared" si="3694"/>
        <v>0</v>
      </c>
      <c r="AU371" s="274" t="b">
        <f t="shared" ref="AU371" si="4191">IFERROR(IF(D371&amp;E371&amp;F371&amp;E373&amp;G371&amp;G372&amp;G373&amp;J371&amp;J372&amp;J373&amp;J374&amp;L371&amp;L372&amp;L373&amp;L374&amp;M371&amp;M372&amp;M373&amp;M374&amp;N371&amp;N372&amp;N373&amp;N374&amp;O371&amp;O372&amp;O373&amp;O374&amp;P371&amp;P372&amp;P373&amp;P374&amp;Q371&amp;R371="",FALSE,TRUE),FALSE)</f>
        <v>0</v>
      </c>
      <c r="AV371" s="218" t="b">
        <f t="shared" ref="AV371" si="4192">IF(AS371,FALSE,IF(C371="",AU371,FALSE))</f>
        <v>0</v>
      </c>
      <c r="AW371" s="218" t="b">
        <f>IF(C371="",FALSE,IF(C371&gt;2000,TRUE,FALSE))</f>
        <v>0</v>
      </c>
      <c r="AX371" s="274" t="b">
        <f>IF(H371=0,FALSE,IF(EXACT(基本情報!$E$5,H371)=TRUE,FALSE,TRUE))</f>
        <v>0</v>
      </c>
      <c r="AY371" s="218" t="b">
        <f>IF(C371="",FALSE,IF(ISNA(E371)=TRUE,TRUE,FALSE))</f>
        <v>0</v>
      </c>
      <c r="AZ371" s="274" t="b">
        <f>IFERROR(IF(E371="",FALSE,IF(COUNTIF($E$7:E371,E371)&gt;1,TRUE,FALSE)),FALSE)</f>
        <v>0</v>
      </c>
      <c r="BA371" s="218" t="b">
        <f t="shared" ref="BA371" si="4193">IF(OR(J371&amp;J372&amp;J373&amp;J374&amp;Q371&amp;R371="",AT371,AT372,AT373,AT374),AU371,FALSE)</f>
        <v>0</v>
      </c>
      <c r="BB371" s="218" t="b">
        <f>IF(U371&gt;1,TRUE,FALSE)</f>
        <v>0</v>
      </c>
      <c r="BC371" s="218" t="b">
        <f>IF(X371&gt;1,TRUE,FALSE)</f>
        <v>0</v>
      </c>
      <c r="BD371" s="218" t="b">
        <f t="shared" si="3681"/>
        <v>0</v>
      </c>
      <c r="BF371" s="231" t="b">
        <f t="shared" ref="BF371" si="4194">IF(J371="",FALSE,IF(OR(AND(AU371,L371=""),AND(AU371,L371="",OR(M371&lt;&gt;"",N371&lt;&gt;"",O371&lt;&gt;"",P371&lt;&gt;""))),TRUE,FALSE))</f>
        <v>0</v>
      </c>
      <c r="BG371" s="218" t="b">
        <f t="shared" si="3683"/>
        <v>0</v>
      </c>
      <c r="BH371" s="218" t="b">
        <f t="shared" si="3696"/>
        <v>0</v>
      </c>
      <c r="BI371" s="231" t="b">
        <f t="shared" ref="BI371" si="4195">IF(J371="",FALSE,IF(L371=0,FALSE,IF(AND(AU371,NOT(BF371),OR(M371="",N371="",O371="")),TRUE,FALSE)))</f>
        <v>0</v>
      </c>
      <c r="BJ371" s="240" t="b">
        <f t="shared" si="3698"/>
        <v>0</v>
      </c>
      <c r="BK371" s="231" t="b">
        <f>IF(NOT(BJ371),FALSE,IF(AND(競技会設定!$C$5&lt;=BJ371,BJ371&lt;=競技会設定!$C$6),FALSE,TRUE))</f>
        <v>0</v>
      </c>
      <c r="BL371" s="218" t="b">
        <f>IF(J371="",FALSE,IF(L371=0,FALSE,IF(AND(AU371,NOT(BF371),NOT(BI371),P371=""),TRUE,FALSE)))</f>
        <v>0</v>
      </c>
      <c r="BO371" s="274">
        <f t="shared" ref="BO371" si="4196">IF(AND(AU371,SUM(COUNTIF(AV371:BC371,TRUE),COUNTIF(BF371:BL374,TRUE),COUNTIF(BD371:BD374,TRUE))=0,NOT($BE$7)),1,0)</f>
        <v>0</v>
      </c>
    </row>
    <row r="372" spans="1:67" ht="17.399999999999999" customHeight="1">
      <c r="A372" s="421"/>
      <c r="B372" s="374"/>
      <c r="C372" s="376"/>
      <c r="D372" s="139"/>
      <c r="E372" s="378"/>
      <c r="F372" s="378"/>
      <c r="G372" s="139" t="str">
        <f>IF(C371="","",(VLOOKUP(D371,男子登録!$A$2:$N$2001,13,0)))</f>
        <v/>
      </c>
      <c r="H372" s="139"/>
      <c r="I372" s="139" t="s">
        <v>4020</v>
      </c>
      <c r="J372" s="152"/>
      <c r="K372" s="139" t="s">
        <v>4023</v>
      </c>
      <c r="L372" s="152"/>
      <c r="M372" s="264"/>
      <c r="N372" s="265"/>
      <c r="O372" s="266"/>
      <c r="P372" s="152"/>
      <c r="Q372" s="382"/>
      <c r="R372" s="385"/>
      <c r="S372" s="136"/>
      <c r="T372" s="137"/>
      <c r="U372" s="137"/>
      <c r="V372" s="137"/>
      <c r="W372" s="137"/>
      <c r="X372" s="137"/>
      <c r="Y372" s="218">
        <f t="shared" ref="Y372" si="4197">IF(OR(E371="",J372=""),0,J372&amp;E371)</f>
        <v>0</v>
      </c>
      <c r="Z372" s="218">
        <f>IF(Y372=0,0,COUNTIF($Y$7:Y372,Y372))</f>
        <v>0</v>
      </c>
      <c r="AD372" s="218">
        <f>IFERROR(VLOOKUP(J372,競技会設定!$P$2:$S$22,2,0),0)</f>
        <v>0</v>
      </c>
      <c r="AE372" s="218">
        <f t="shared" ref="AE372" si="4198">IF(E371="",0,IF(AD372=0,0,IF(AD372&lt;3,E371&amp;$AE$6,0)))</f>
        <v>0</v>
      </c>
      <c r="AF372" s="218">
        <f>IF(AE372=0,0,E371&amp;COUNTIF($AE$7:AE372,AE372))</f>
        <v>0</v>
      </c>
      <c r="AG372" s="218">
        <f t="shared" ref="AG372" si="4199">IF(E371="",0,IF(AD372=0,0,IF(AD372&gt;=3,E371&amp;$AG$6,0)))</f>
        <v>0</v>
      </c>
      <c r="AH372" s="218">
        <f>IF(AG372=0,0,E371&amp;COUNTIF($AG$7:AG372,AG372))</f>
        <v>0</v>
      </c>
      <c r="AI372" s="218">
        <f t="shared" si="3639"/>
        <v>0</v>
      </c>
      <c r="AJ372" s="218" t="b">
        <f>IF(AI372=0,FALSE,IF(COUNTIF(AI$7:AI372,AI372)&gt;1,TRUE,FALSE))</f>
        <v>0</v>
      </c>
      <c r="AK372" s="218">
        <f t="shared" ref="AK372" si="4200">IF($AD372=AK$6,$E371,0)</f>
        <v>0</v>
      </c>
      <c r="AL372" s="218" t="b">
        <f>IF(AK372=0,FALSE,IF(COUNTIF(AK$7:AK372,AK372)&gt;1,TRUE,FALSE))</f>
        <v>0</v>
      </c>
      <c r="AM372" s="218">
        <f t="shared" ref="AM372" si="4201">IF($AD372=AM$6,$E371,0)</f>
        <v>0</v>
      </c>
      <c r="AN372" s="218" t="b">
        <f>IF(AM372=0,FALSE,IF(COUNTIF(AM$7:AM372,AM372)&gt;1,TRUE,FALSE))</f>
        <v>0</v>
      </c>
      <c r="AO372" s="218">
        <f t="shared" ref="AO372" si="4202">IF($AD372=AO$6,$E371,0)</f>
        <v>0</v>
      </c>
      <c r="AP372" s="218" t="b">
        <f>IF(AO372=0,FALSE,IF(COUNTIF(AO$7:AO372,AO372)&gt;1,TRUE,FALSE))</f>
        <v>0</v>
      </c>
      <c r="AQ372" s="218">
        <f t="shared" ref="AQ372" si="4203">IF(COUNTIF(Y372,"*十種競技*")&gt;0,E371,0)</f>
        <v>0</v>
      </c>
      <c r="AR372" s="218" t="b">
        <f>IF(AQ372=0,FALSE,IF(OR(COUNTIF($AI$7:$AI$406,AQ372)+COUNTIF($AQ372:$AQ$406,AQ372)&gt;1,COUNTIF($AK$7:$AK$406,AQ372)+COUNTIF($AQ$7:$AQ$406,AQ372)&gt;1),TRUE,FALSE))</f>
        <v>0</v>
      </c>
      <c r="AT372" s="218" t="b">
        <f t="shared" si="3694"/>
        <v>0</v>
      </c>
      <c r="AU372" s="274"/>
      <c r="AX372" s="274"/>
      <c r="BD372" s="218" t="b">
        <f t="shared" si="3681"/>
        <v>0</v>
      </c>
      <c r="BF372" s="231" t="b">
        <f t="shared" ref="BF372" si="4204">IF(J372="",FALSE,IF(OR(AND(AU371,L372=""),AND(AU371,L372="",OR(M372&lt;&gt;"",N372&lt;&gt;"",O372&lt;&gt;"",P372&lt;&gt;""))),TRUE,FALSE))</f>
        <v>0</v>
      </c>
      <c r="BG372" s="218" t="b">
        <f t="shared" si="3683"/>
        <v>0</v>
      </c>
      <c r="BH372" s="218" t="b">
        <f t="shared" si="3696"/>
        <v>0</v>
      </c>
      <c r="BI372" s="231" t="b">
        <f t="shared" ref="BI372" si="4205">IF(J372="",FALSE,IF(L372=0,FALSE,IF(AND(AU371,NOT(BF372),OR(M372="",N372="",O372="")),TRUE,FALSE)))</f>
        <v>0</v>
      </c>
      <c r="BJ372" s="240" t="b">
        <f t="shared" si="3698"/>
        <v>0</v>
      </c>
      <c r="BK372" s="231" t="b">
        <f>IF(NOT(BJ372),FALSE,IF(AND(競技会設定!$C$5&lt;=BJ372,BJ372&lt;=競技会設定!$C$6),FALSE,TRUE))</f>
        <v>0</v>
      </c>
      <c r="BL372" s="218" t="b">
        <f>IF(J372="",FALSE,IF(L372=0,FALSE,IF(AND(AU371,NOT(BF372),NOT(BI372),P372=""),TRUE,FALSE)))</f>
        <v>0</v>
      </c>
      <c r="BO372" s="274"/>
    </row>
    <row r="373" spans="1:67" ht="17.399999999999999" customHeight="1">
      <c r="A373" s="421"/>
      <c r="B373" s="374"/>
      <c r="C373" s="376"/>
      <c r="D373" s="140"/>
      <c r="E373" s="379" t="str">
        <f>IF(C371="","",VLOOKUP(D371,男子登録!$A$2:$O$2001,14,0)&amp;" ("&amp;VLOOKUP(D371,男子登録!$A$2:$O$2001,15,0)&amp;")")</f>
        <v/>
      </c>
      <c r="F373" s="380"/>
      <c r="G373" s="140" t="str">
        <f>IF(C371="","",(VLOOKUP(D371,男子登録!$A$2:$N$2001,9,0)))</f>
        <v/>
      </c>
      <c r="H373" s="140"/>
      <c r="I373" s="140" t="s">
        <v>4021</v>
      </c>
      <c r="J373" s="153"/>
      <c r="K373" s="140" t="s">
        <v>6760</v>
      </c>
      <c r="L373" s="153"/>
      <c r="M373" s="264"/>
      <c r="N373" s="265"/>
      <c r="O373" s="266"/>
      <c r="P373" s="152"/>
      <c r="Q373" s="382"/>
      <c r="R373" s="385"/>
      <c r="S373" s="136"/>
      <c r="T373" s="137"/>
      <c r="U373" s="137"/>
      <c r="V373" s="137"/>
      <c r="W373" s="137"/>
      <c r="X373" s="137"/>
      <c r="Y373" s="218">
        <f t="shared" ref="Y373" si="4206">IF(OR(E371="",J373=""),0,J373&amp;E371)</f>
        <v>0</v>
      </c>
      <c r="Z373" s="218">
        <f>IF(Y373=0,0,COUNTIF($Y$7:Y373,Y373))</f>
        <v>0</v>
      </c>
      <c r="AD373" s="218">
        <f>IFERROR(VLOOKUP(J373,競技会設定!$P$2:$S$22,2,0),0)</f>
        <v>0</v>
      </c>
      <c r="AE373" s="218">
        <f t="shared" ref="AE373" si="4207">IF(E371="",0,IF(AD373=0,0,IF(AD373&lt;3,E371&amp;$AE$6,0)))</f>
        <v>0</v>
      </c>
      <c r="AF373" s="218">
        <f>IF(AE373=0,0,E371&amp;COUNTIF($AE$7:AE373,AE373))</f>
        <v>0</v>
      </c>
      <c r="AG373" s="218">
        <f t="shared" ref="AG373" si="4208">IF(E371="",0,IF(AD373=0,0,IF(AD373&gt;=3,E371&amp;$AG$6,0)))</f>
        <v>0</v>
      </c>
      <c r="AH373" s="218">
        <f>IF(AG373=0,0,E371&amp;COUNTIF($AG$7:AG373,AG373))</f>
        <v>0</v>
      </c>
      <c r="AI373" s="218">
        <f t="shared" si="3649"/>
        <v>0</v>
      </c>
      <c r="AJ373" s="218" t="b">
        <f>IF(AI373=0,FALSE,IF(COUNTIF(AI$7:AI373,AI373)&gt;1,TRUE,FALSE))</f>
        <v>0</v>
      </c>
      <c r="AK373" s="218">
        <f t="shared" ref="AK373" si="4209">IF($AD373=AK$6,$E371,0)</f>
        <v>0</v>
      </c>
      <c r="AL373" s="218" t="b">
        <f>IF(AK373=0,FALSE,IF(COUNTIF(AK$7:AK373,AK373)&gt;1,TRUE,FALSE))</f>
        <v>0</v>
      </c>
      <c r="AM373" s="218">
        <f t="shared" ref="AM373" si="4210">IF($AD373=AM$6,$E371,0)</f>
        <v>0</v>
      </c>
      <c r="AN373" s="218" t="b">
        <f>IF(AM373=0,FALSE,IF(COUNTIF(AM$7:AM373,AM373)&gt;1,TRUE,FALSE))</f>
        <v>0</v>
      </c>
      <c r="AO373" s="218">
        <f t="shared" ref="AO373" si="4211">IF($AD373=AO$6,$E371,0)</f>
        <v>0</v>
      </c>
      <c r="AP373" s="218" t="b">
        <f>IF(AO373=0,FALSE,IF(COUNTIF(AO$7:AO373,AO373)&gt;1,TRUE,FALSE))</f>
        <v>0</v>
      </c>
      <c r="AQ373" s="218">
        <f t="shared" ref="AQ373" si="4212">IF(COUNTIF(Y373,"*十種競技*")&gt;0,E371,0)</f>
        <v>0</v>
      </c>
      <c r="AR373" s="218" t="b">
        <f>IF(AQ373=0,FALSE,IF(OR(COUNTIF($AI$7:$AI$406,AQ373)+COUNTIF($AQ373:$AQ$406,AQ373)&gt;1,COUNTIF($AK$7:$AK$406,AQ373)+COUNTIF($AQ$7:$AQ$406,AQ373)&gt;1),TRUE,FALSE))</f>
        <v>0</v>
      </c>
      <c r="AT373" s="218" t="b">
        <f t="shared" si="3694"/>
        <v>0</v>
      </c>
      <c r="AU373" s="274"/>
      <c r="AX373" s="274"/>
      <c r="BD373" s="218" t="b">
        <f t="shared" si="3681"/>
        <v>0</v>
      </c>
      <c r="BF373" s="231" t="b">
        <f t="shared" ref="BF373" si="4213">IF(J373="",FALSE,IF(OR(AND(AU371,L373=""),AND(AU371,L373="",OR(M373&lt;&gt;"",N373&lt;&gt;"",O373&lt;&gt;"",P373&lt;&gt;""))),TRUE,FALSE))</f>
        <v>0</v>
      </c>
      <c r="BG373" s="218" t="b">
        <f t="shared" si="3683"/>
        <v>0</v>
      </c>
      <c r="BH373" s="218" t="b">
        <f t="shared" si="3696"/>
        <v>0</v>
      </c>
      <c r="BI373" s="231" t="b">
        <f t="shared" ref="BI373" si="4214">IF(J373="",FALSE,IF(L373=0,FALSE,IF(AND(AU371,NOT(BF373),OR(M373="",N373="",O373="")),TRUE,FALSE)))</f>
        <v>0</v>
      </c>
      <c r="BJ373" s="240" t="b">
        <f t="shared" si="3698"/>
        <v>0</v>
      </c>
      <c r="BK373" s="231" t="b">
        <f>IF(NOT(BJ373),FALSE,IF(AND(競技会設定!$C$5&lt;=BJ373,BJ373&lt;=競技会設定!$C$6),FALSE,TRUE))</f>
        <v>0</v>
      </c>
      <c r="BL373" s="218" t="b">
        <f>IF(J373="",FALSE,IF(L373=0,FALSE,IF(AND(AU371,NOT(BF373),NOT(BI373),P373=""),TRUE,FALSE)))</f>
        <v>0</v>
      </c>
      <c r="BO373" s="274"/>
    </row>
    <row r="374" spans="1:67" ht="18" customHeight="1" thickBot="1">
      <c r="A374" s="422"/>
      <c r="B374" s="387" t="s">
        <v>6764</v>
      </c>
      <c r="C374" s="387"/>
      <c r="D374" s="213"/>
      <c r="E374" s="388"/>
      <c r="F374" s="389"/>
      <c r="G374" s="390"/>
      <c r="H374" s="141"/>
      <c r="I374" s="213" t="s">
        <v>6759</v>
      </c>
      <c r="J374" s="154"/>
      <c r="K374" s="213" t="s">
        <v>6761</v>
      </c>
      <c r="L374" s="154"/>
      <c r="M374" s="267"/>
      <c r="N374" s="268"/>
      <c r="O374" s="269"/>
      <c r="P374" s="154"/>
      <c r="Q374" s="383"/>
      <c r="R374" s="386"/>
      <c r="S374" s="136"/>
      <c r="T374" s="137"/>
      <c r="U374" s="137"/>
      <c r="V374" s="137"/>
      <c r="W374" s="137"/>
      <c r="X374" s="137"/>
      <c r="Y374" s="218">
        <f t="shared" ref="Y374" si="4215">IF(OR(E371="",J374=""),0,J374&amp;E371)</f>
        <v>0</v>
      </c>
      <c r="Z374" s="218">
        <f>IF(Y374=0,0,COUNTIF($Y$7:Y374,Y374))</f>
        <v>0</v>
      </c>
      <c r="AD374" s="218">
        <f>IFERROR(VLOOKUP(J374,競技会設定!$P$2:$S$22,2,0),0)</f>
        <v>0</v>
      </c>
      <c r="AE374" s="218">
        <f t="shared" ref="AE374" si="4216">IF(E371="",0,IF(AD374=0,0,IF(AD374&lt;3,E371&amp;$AE$6,0)))</f>
        <v>0</v>
      </c>
      <c r="AF374" s="218">
        <f>IF(AE374=0,0,E371&amp;COUNTIF($AE$7:AE374,AE374))</f>
        <v>0</v>
      </c>
      <c r="AG374" s="218">
        <f t="shared" ref="AG374" si="4217">IF(E371="",0,IF(AD374=0,0,IF(AD374&gt;=3,E371&amp;$AG$6,0)))</f>
        <v>0</v>
      </c>
      <c r="AH374" s="218">
        <f>IF(AG374=0,0,E371&amp;COUNTIF($AG$7:AG374,AG374))</f>
        <v>0</v>
      </c>
      <c r="AI374" s="218">
        <f t="shared" si="3659"/>
        <v>0</v>
      </c>
      <c r="AJ374" s="218" t="b">
        <f>IF(AI374=0,FALSE,IF(COUNTIF(AI$7:AI374,AI374)&gt;1,TRUE,FALSE))</f>
        <v>0</v>
      </c>
      <c r="AK374" s="218">
        <f t="shared" ref="AK374" si="4218">IF($AD374=AK$6,$E371,0)</f>
        <v>0</v>
      </c>
      <c r="AL374" s="218" t="b">
        <f>IF(AK374=0,FALSE,IF(COUNTIF(AK$7:AK374,AK374)&gt;1,TRUE,FALSE))</f>
        <v>0</v>
      </c>
      <c r="AM374" s="218">
        <f t="shared" ref="AM374" si="4219">IF($AD374=AM$6,$E371,0)</f>
        <v>0</v>
      </c>
      <c r="AN374" s="218" t="b">
        <f>IF(AM374=0,FALSE,IF(COUNTIF(AM$7:AM374,AM374)&gt;1,TRUE,FALSE))</f>
        <v>0</v>
      </c>
      <c r="AO374" s="218">
        <f t="shared" ref="AO374" si="4220">IF($AD374=AO$6,$E371,0)</f>
        <v>0</v>
      </c>
      <c r="AP374" s="218" t="b">
        <f>IF(AO374=0,FALSE,IF(COUNTIF(AO$7:AO374,AO374)&gt;1,TRUE,FALSE))</f>
        <v>0</v>
      </c>
      <c r="AQ374" s="218">
        <f t="shared" ref="AQ374" si="4221">IF(COUNTIF(Y374,"*十種競技*")&gt;0,E371,0)</f>
        <v>0</v>
      </c>
      <c r="AR374" s="218" t="b">
        <f>IF(AQ374=0,FALSE,IF(OR(COUNTIF($AI$7:$AI$406,AQ374)+COUNTIF($AQ374:$AQ$406,AQ374)&gt;1,COUNTIF($AK$7:$AK$406,AQ374)+COUNTIF($AQ$7:$AQ$406,AQ374)&gt;1),TRUE,FALSE))</f>
        <v>0</v>
      </c>
      <c r="AT374" s="218" t="b">
        <f t="shared" si="3694"/>
        <v>0</v>
      </c>
      <c r="AU374" s="274"/>
      <c r="AX374" s="274"/>
      <c r="BD374" s="218" t="b">
        <f t="shared" si="3681"/>
        <v>0</v>
      </c>
      <c r="BF374" s="231" t="b">
        <f t="shared" ref="BF374" si="4222">IF(J374="",FALSE,IF(OR(AND(AU371,L374=""),AND(AU371,L374="",OR(M374&lt;&gt;"",N374&lt;&gt;"",O374&lt;&gt;"",P374&lt;&gt;""))),TRUE,FALSE))</f>
        <v>0</v>
      </c>
      <c r="BG374" s="218" t="b">
        <f t="shared" si="3683"/>
        <v>0</v>
      </c>
      <c r="BH374" s="218" t="b">
        <f t="shared" si="3696"/>
        <v>0</v>
      </c>
      <c r="BI374" s="231" t="b">
        <f t="shared" ref="BI374" si="4223">IF(J374="",FALSE,IF(L374=0,FALSE,IF(AND(AU371,NOT(BF374),OR(M374="",N374="",O374="")),TRUE,FALSE)))</f>
        <v>0</v>
      </c>
      <c r="BJ374" s="240" t="b">
        <f t="shared" si="3698"/>
        <v>0</v>
      </c>
      <c r="BK374" s="231" t="b">
        <f>IF(NOT(BJ374),FALSE,IF(AND(競技会設定!$C$5&lt;=BJ374,BJ374&lt;=競技会設定!$C$6),FALSE,TRUE))</f>
        <v>0</v>
      </c>
      <c r="BL374" s="218" t="b">
        <f>IF(J374="",FALSE,IF(L374=0,FALSE,IF(AND(AU371,NOT(BF374),NOT(BI374),P374=""),TRUE,FALSE)))</f>
        <v>0</v>
      </c>
      <c r="BO374" s="274"/>
    </row>
    <row r="375" spans="1:67" ht="18" customHeight="1" thickTop="1">
      <c r="A375" s="417">
        <v>93</v>
      </c>
      <c r="B375" s="401" t="s">
        <v>4018</v>
      </c>
      <c r="C375" s="403"/>
      <c r="D375" s="220" t="str">
        <f t="shared" ref="D375" si="4224">IF(C375="","",501&amp;TEXT(C375,"000000"))</f>
        <v/>
      </c>
      <c r="E375" s="396" t="str">
        <f>IF(D375="","",(VLOOKUP(D375,男子登録!$A$2:$N$2001,3,0)))</f>
        <v/>
      </c>
      <c r="F375" s="396" t="str">
        <f>IF(D375="","",(VLOOKUP(D375,男子登録!$A$2:$N$2001,4,0)))</f>
        <v/>
      </c>
      <c r="G375" s="220" t="str">
        <f>IF(C375="","",(VLOOKUP(D375,男子登録!$A$2:$N$2001,8,0)))</f>
        <v/>
      </c>
      <c r="H375" s="220">
        <f>IFERROR(VLOOKUP(D375,男子登録!$A$2:$N$2001,11,0),基本情報!$E$5)</f>
        <v>0</v>
      </c>
      <c r="I375" s="220" t="s">
        <v>4019</v>
      </c>
      <c r="J375" s="148"/>
      <c r="K375" s="220" t="s">
        <v>4022</v>
      </c>
      <c r="L375" s="148"/>
      <c r="M375" s="252"/>
      <c r="N375" s="253"/>
      <c r="O375" s="254"/>
      <c r="P375" s="148"/>
      <c r="Q375" s="398"/>
      <c r="R375" s="391"/>
      <c r="S375" s="136">
        <f t="shared" ref="S375" si="4225">IF(OR(E375="",Q375=""),0,E375)</f>
        <v>0</v>
      </c>
      <c r="T375" s="137">
        <f>IF(S375=0,0,COUNTIF($S$7:S375,"*"))</f>
        <v>0</v>
      </c>
      <c r="U375" s="137">
        <f>IF(S375=0,0,COUNTIF($S$7:S375,S375))</f>
        <v>0</v>
      </c>
      <c r="V375" s="137">
        <f t="shared" si="3913"/>
        <v>0</v>
      </c>
      <c r="W375" s="137">
        <f>IF(V375=0,0,COUNTIF($V$7:V375,"*"))</f>
        <v>0</v>
      </c>
      <c r="X375" s="137">
        <f>IF(V375=0,0,COUNTIF($V$7:V375,V375))</f>
        <v>0</v>
      </c>
      <c r="Y375" s="218">
        <f t="shared" ref="Y375" si="4226">IF(OR(E375="",J375=""),0,J375&amp;E375)</f>
        <v>0</v>
      </c>
      <c r="Z375" s="218">
        <f>IF(Y375=0,0,COUNTIF($Y$7:Y375,Y375))</f>
        <v>0</v>
      </c>
      <c r="AA375" s="218" t="b">
        <f t="shared" ref="AA375" si="4227">IF(COUNTIF(J375:J378,"十種競技")&gt;0,TRUE,FALSE)</f>
        <v>0</v>
      </c>
      <c r="AB375" s="218">
        <f>IF(E375="",0,IF(AA375,COUNTIF($AA$7:AA375,TRUE),0))</f>
        <v>0</v>
      </c>
      <c r="AC375" s="218">
        <f>IFERROR(VLOOKUP("十種競技",J375:L378,3,0),0)</f>
        <v>0</v>
      </c>
      <c r="AD375" s="218">
        <f>IFERROR(VLOOKUP(J375,競技会設定!$P$2:$S$22,2,0),0)</f>
        <v>0</v>
      </c>
      <c r="AE375" s="218">
        <f t="shared" ref="AE375" si="4228">IF(E375="",0,IF(AD375=0,0,IF(AD375&lt;3,E375&amp;$AE$6,0)))</f>
        <v>0</v>
      </c>
      <c r="AF375" s="218">
        <f>IF(AE375=0,0,E375&amp;COUNTIF($AE$7:AE375,AE375))</f>
        <v>0</v>
      </c>
      <c r="AG375" s="218">
        <f t="shared" ref="AG375" si="4229">IF(E375="",0,IF(AD375=0,0,IF(AD375&gt;=3,E375&amp;$AG$6,0)))</f>
        <v>0</v>
      </c>
      <c r="AH375" s="218">
        <f>IF(AG375=0,0,E375&amp;COUNTIF($AG$7:AG375,AG375))</f>
        <v>0</v>
      </c>
      <c r="AI375" s="218">
        <f t="shared" si="3672"/>
        <v>0</v>
      </c>
      <c r="AJ375" s="218" t="b">
        <f>IF(AI375=0,FALSE,IF(COUNTIF(AI$7:AI375,AI375)&gt;1,TRUE,FALSE))</f>
        <v>0</v>
      </c>
      <c r="AK375" s="218">
        <f t="shared" ref="AK375" si="4230">IF($AD375=AK$6,$E375,0)</f>
        <v>0</v>
      </c>
      <c r="AL375" s="218" t="b">
        <f>IF(AK375=0,FALSE,IF(COUNTIF(AK$7:AK375,AK375)&gt;1,TRUE,FALSE))</f>
        <v>0</v>
      </c>
      <c r="AM375" s="218">
        <f t="shared" ref="AM375" si="4231">IF($AD375=AM$6,$E375,0)</f>
        <v>0</v>
      </c>
      <c r="AN375" s="218" t="b">
        <f>IF(AM375=0,FALSE,IF(COUNTIF(AM$7:AM375,AM375)&gt;1,TRUE,FALSE))</f>
        <v>0</v>
      </c>
      <c r="AO375" s="218">
        <f t="shared" ref="AO375" si="4232">IF($AD375=AO$6,$E375,0)</f>
        <v>0</v>
      </c>
      <c r="AP375" s="218" t="b">
        <f>IF(AO375=0,FALSE,IF(COUNTIF(AO$7:AO375,AO375)&gt;1,TRUE,FALSE))</f>
        <v>0</v>
      </c>
      <c r="AQ375" s="218">
        <f t="shared" ref="AQ375" si="4233">IF(COUNTIF(Y375,"*十種競技*")&gt;0,E375,0)</f>
        <v>0</v>
      </c>
      <c r="AR375" s="218" t="b">
        <f>IF(AQ375=0,FALSE,IF(OR(COUNTIF($AI$7:$AI$406,AQ375)+COUNTIF($AQ375:$AQ$406,AQ375)&gt;1,COUNTIF($AK$7:$AK$406,AQ375)+COUNTIF($AQ$7:$AQ$406,AQ375)&gt;1),TRUE,FALSE))</f>
        <v>0</v>
      </c>
      <c r="AS375" s="218" t="b">
        <f t="shared" ref="AS375" si="4234">IF(AND(C375="",E375&lt;&gt;"",F375&lt;&gt;"",E377&lt;&gt;"",G375&lt;&gt;"",G376&lt;&gt;"",G377&lt;&gt;""),TRUE,FALSE)</f>
        <v>0</v>
      </c>
      <c r="AT375" s="218" t="b">
        <f t="shared" si="3694"/>
        <v>0</v>
      </c>
      <c r="AU375" s="274" t="b">
        <f t="shared" ref="AU375" si="4235">IFERROR(IF(D375&amp;E375&amp;F375&amp;E377&amp;G375&amp;G376&amp;G377&amp;J375&amp;J376&amp;J377&amp;J378&amp;L375&amp;L376&amp;L377&amp;L378&amp;M375&amp;M376&amp;M377&amp;M378&amp;N375&amp;N376&amp;N377&amp;N378&amp;O375&amp;O376&amp;O377&amp;O378&amp;P375&amp;P376&amp;P377&amp;P378&amp;Q375&amp;R375="",FALSE,TRUE),FALSE)</f>
        <v>0</v>
      </c>
      <c r="AV375" s="218" t="b">
        <f t="shared" ref="AV375" si="4236">IF(AS375,FALSE,IF(C375="",AU375,FALSE))</f>
        <v>0</v>
      </c>
      <c r="AW375" s="218" t="b">
        <f>IF(C375="",FALSE,IF(C375&gt;2000,TRUE,FALSE))</f>
        <v>0</v>
      </c>
      <c r="AX375" s="274" t="b">
        <f>IF(H375=0,FALSE,IF(EXACT(基本情報!$E$5,H375)=TRUE,FALSE,TRUE))</f>
        <v>0</v>
      </c>
      <c r="AY375" s="218" t="b">
        <f>IF(C375="",FALSE,IF(ISNA(E375)=TRUE,TRUE,FALSE))</f>
        <v>0</v>
      </c>
      <c r="AZ375" s="274" t="b">
        <f>IFERROR(IF(E375="",FALSE,IF(COUNTIF($E$7:E375,E375)&gt;1,TRUE,FALSE)),FALSE)</f>
        <v>0</v>
      </c>
      <c r="BA375" s="218" t="b">
        <f t="shared" ref="BA375" si="4237">IF(OR(J375&amp;J376&amp;J377&amp;J378&amp;Q375&amp;R375="",AT375,AT376,AT377,AT378),AU375,FALSE)</f>
        <v>0</v>
      </c>
      <c r="BB375" s="218" t="b">
        <f>IF(U375&gt;1,TRUE,FALSE)</f>
        <v>0</v>
      </c>
      <c r="BC375" s="218" t="b">
        <f>IF(X375&gt;1,TRUE,FALSE)</f>
        <v>0</v>
      </c>
      <c r="BD375" s="218" t="b">
        <f t="shared" si="3681"/>
        <v>0</v>
      </c>
      <c r="BF375" s="231" t="b">
        <f t="shared" ref="BF375" si="4238">IF(J375="",FALSE,IF(OR(AND(AU375,L375=""),AND(AU375,L375="",OR(M375&lt;&gt;"",N375&lt;&gt;"",O375&lt;&gt;"",P375&lt;&gt;""))),TRUE,FALSE))</f>
        <v>0</v>
      </c>
      <c r="BG375" s="218" t="b">
        <f t="shared" si="3683"/>
        <v>0</v>
      </c>
      <c r="BH375" s="218" t="b">
        <f t="shared" si="3696"/>
        <v>0</v>
      </c>
      <c r="BI375" s="231" t="b">
        <f t="shared" ref="BI375" si="4239">IF(J375="",FALSE,IF(L375=0,FALSE,IF(AND(AU375,NOT(BF375),OR(M375="",N375="",O375="")),TRUE,FALSE)))</f>
        <v>0</v>
      </c>
      <c r="BJ375" s="240" t="b">
        <f t="shared" si="3698"/>
        <v>0</v>
      </c>
      <c r="BK375" s="231" t="b">
        <f>IF(NOT(BJ375),FALSE,IF(AND(競技会設定!$C$5&lt;=BJ375,BJ375&lt;=競技会設定!$C$6),FALSE,TRUE))</f>
        <v>0</v>
      </c>
      <c r="BL375" s="218" t="b">
        <f>IF(J375="",FALSE,IF(L375=0,FALSE,IF(AND(AU375,NOT(BF375),NOT(BI375),P375=""),TRUE,FALSE)))</f>
        <v>0</v>
      </c>
      <c r="BO375" s="274">
        <f t="shared" ref="BO375" si="4240">IF(AND(AU375,SUM(COUNTIF(AV375:BC375,TRUE),COUNTIF(BF375:BL378,TRUE),COUNTIF(BD375:BD378,TRUE))=0,NOT($BE$7)),1,0)</f>
        <v>0</v>
      </c>
    </row>
    <row r="376" spans="1:67" ht="17.399999999999999" customHeight="1">
      <c r="A376" s="418"/>
      <c r="B376" s="402"/>
      <c r="C376" s="404"/>
      <c r="D376" s="221"/>
      <c r="E376" s="397"/>
      <c r="F376" s="397"/>
      <c r="G376" s="221" t="str">
        <f>IF(C375="","",(VLOOKUP(D375,男子登録!$A$2:$N$2001,13,0)))</f>
        <v/>
      </c>
      <c r="H376" s="221"/>
      <c r="I376" s="221" t="s">
        <v>4020</v>
      </c>
      <c r="J376" s="149"/>
      <c r="K376" s="221" t="s">
        <v>4023</v>
      </c>
      <c r="L376" s="149"/>
      <c r="M376" s="255"/>
      <c r="N376" s="256"/>
      <c r="O376" s="257"/>
      <c r="P376" s="149"/>
      <c r="Q376" s="399"/>
      <c r="R376" s="392"/>
      <c r="S376" s="136"/>
      <c r="T376" s="137"/>
      <c r="U376" s="137"/>
      <c r="V376" s="137"/>
      <c r="W376" s="137"/>
      <c r="X376" s="137"/>
      <c r="Y376" s="218">
        <f t="shared" ref="Y376" si="4241">IF(OR(E375="",J376=""),0,J376&amp;E375)</f>
        <v>0</v>
      </c>
      <c r="Z376" s="218">
        <f>IF(Y376=0,0,COUNTIF($Y$7:Y376,Y376))</f>
        <v>0</v>
      </c>
      <c r="AD376" s="218">
        <f>IFERROR(VLOOKUP(J376,競技会設定!$P$2:$S$22,2,0),0)</f>
        <v>0</v>
      </c>
      <c r="AE376" s="218">
        <f t="shared" ref="AE376" si="4242">IF(E375="",0,IF(AD376=0,0,IF(AD376&lt;3,E375&amp;$AE$6,0)))</f>
        <v>0</v>
      </c>
      <c r="AF376" s="218">
        <f>IF(AE376=0,0,E375&amp;COUNTIF($AE$7:AE376,AE376))</f>
        <v>0</v>
      </c>
      <c r="AG376" s="218">
        <f t="shared" ref="AG376" si="4243">IF(E375="",0,IF(AD376=0,0,IF(AD376&gt;=3,E375&amp;$AG$6,0)))</f>
        <v>0</v>
      </c>
      <c r="AH376" s="218">
        <f>IF(AG376=0,0,E375&amp;COUNTIF($AG$7:AG376,AG376))</f>
        <v>0</v>
      </c>
      <c r="AI376" s="218">
        <f t="shared" si="3689"/>
        <v>0</v>
      </c>
      <c r="AJ376" s="218" t="b">
        <f>IF(AI376=0,FALSE,IF(COUNTIF(AI$7:AI376,AI376)&gt;1,TRUE,FALSE))</f>
        <v>0</v>
      </c>
      <c r="AK376" s="218">
        <f t="shared" ref="AK376" si="4244">IF($AD376=AK$6,$E375,0)</f>
        <v>0</v>
      </c>
      <c r="AL376" s="218" t="b">
        <f>IF(AK376=0,FALSE,IF(COUNTIF(AK$7:AK376,AK376)&gt;1,TRUE,FALSE))</f>
        <v>0</v>
      </c>
      <c r="AM376" s="218">
        <f t="shared" ref="AM376" si="4245">IF($AD376=AM$6,$E375,0)</f>
        <v>0</v>
      </c>
      <c r="AN376" s="218" t="b">
        <f>IF(AM376=0,FALSE,IF(COUNTIF(AM$7:AM376,AM376)&gt;1,TRUE,FALSE))</f>
        <v>0</v>
      </c>
      <c r="AO376" s="218">
        <f t="shared" ref="AO376" si="4246">IF($AD376=AO$6,$E375,0)</f>
        <v>0</v>
      </c>
      <c r="AP376" s="218" t="b">
        <f>IF(AO376=0,FALSE,IF(COUNTIF(AO$7:AO376,AO376)&gt;1,TRUE,FALSE))</f>
        <v>0</v>
      </c>
      <c r="AQ376" s="218">
        <f t="shared" ref="AQ376" si="4247">IF(COUNTIF(Y376,"*十種競技*")&gt;0,E375,0)</f>
        <v>0</v>
      </c>
      <c r="AR376" s="218" t="b">
        <f>IF(AQ376=0,FALSE,IF(OR(COUNTIF($AI$7:$AI$406,AQ376)+COUNTIF($AQ376:$AQ$406,AQ376)&gt;1,COUNTIF($AK$7:$AK$406,AQ376)+COUNTIF($AQ$7:$AQ$406,AQ376)&gt;1),TRUE,FALSE))</f>
        <v>0</v>
      </c>
      <c r="AT376" s="218" t="b">
        <f t="shared" si="3694"/>
        <v>0</v>
      </c>
      <c r="AU376" s="274"/>
      <c r="AX376" s="274"/>
      <c r="BD376" s="218" t="b">
        <f t="shared" si="3681"/>
        <v>0</v>
      </c>
      <c r="BF376" s="231" t="b">
        <f t="shared" ref="BF376" si="4248">IF(J376="",FALSE,IF(OR(AND(AU375,L376=""),AND(AU375,L376="",OR(M376&lt;&gt;"",N376&lt;&gt;"",O376&lt;&gt;"",P376&lt;&gt;""))),TRUE,FALSE))</f>
        <v>0</v>
      </c>
      <c r="BG376" s="218" t="b">
        <f t="shared" si="3683"/>
        <v>0</v>
      </c>
      <c r="BH376" s="218" t="b">
        <f t="shared" si="3696"/>
        <v>0</v>
      </c>
      <c r="BI376" s="231" t="b">
        <f t="shared" ref="BI376" si="4249">IF(J376="",FALSE,IF(L376=0,FALSE,IF(AND(AU375,NOT(BF376),OR(M376="",N376="",O376="")),TRUE,FALSE)))</f>
        <v>0</v>
      </c>
      <c r="BJ376" s="240" t="b">
        <f t="shared" si="3698"/>
        <v>0</v>
      </c>
      <c r="BK376" s="231" t="b">
        <f>IF(NOT(BJ376),FALSE,IF(AND(競技会設定!$C$5&lt;=BJ376,BJ376&lt;=競技会設定!$C$6),FALSE,TRUE))</f>
        <v>0</v>
      </c>
      <c r="BL376" s="218" t="b">
        <f>IF(J376="",FALSE,IF(L376=0,FALSE,IF(AND(AU375,NOT(BF376),NOT(BI376),P376=""),TRUE,FALSE)))</f>
        <v>0</v>
      </c>
      <c r="BO376" s="274"/>
    </row>
    <row r="377" spans="1:67" ht="17.399999999999999" customHeight="1">
      <c r="A377" s="418"/>
      <c r="B377" s="402"/>
      <c r="C377" s="404"/>
      <c r="D377" s="221"/>
      <c r="E377" s="394" t="str">
        <f>IF(C375="","",VLOOKUP(D375,男子登録!$A$2:$O$2001,14,0)&amp;" ("&amp;VLOOKUP(D375,男子登録!$A$2:$O$2001,15,0)&amp;")")</f>
        <v/>
      </c>
      <c r="F377" s="394"/>
      <c r="G377" s="222" t="str">
        <f>IF(C375="","",(VLOOKUP(D375,男子登録!$A$2:$N$2001,9,0)))</f>
        <v/>
      </c>
      <c r="H377" s="222"/>
      <c r="I377" s="222" t="s">
        <v>4021</v>
      </c>
      <c r="J377" s="150"/>
      <c r="K377" s="222" t="s">
        <v>6760</v>
      </c>
      <c r="L377" s="150"/>
      <c r="M377" s="255"/>
      <c r="N377" s="256"/>
      <c r="O377" s="257"/>
      <c r="P377" s="149"/>
      <c r="Q377" s="399"/>
      <c r="R377" s="392"/>
      <c r="S377" s="136"/>
      <c r="T377" s="137"/>
      <c r="U377" s="137"/>
      <c r="V377" s="137"/>
      <c r="W377" s="137"/>
      <c r="X377" s="137"/>
      <c r="Y377" s="218">
        <f t="shared" ref="Y377" si="4250">IF(OR(E375="",J377=""),0,J377&amp;E375)</f>
        <v>0</v>
      </c>
      <c r="Z377" s="218">
        <f>IF(Y377=0,0,COUNTIF($Y$7:Y377,Y377))</f>
        <v>0</v>
      </c>
      <c r="AD377" s="218">
        <f>IFERROR(VLOOKUP(J377,競技会設定!$P$2:$S$22,2,0),0)</f>
        <v>0</v>
      </c>
      <c r="AE377" s="218">
        <f t="shared" ref="AE377" si="4251">IF(E375="",0,IF(AD377=0,0,IF(AD377&lt;3,E375&amp;$AE$6,0)))</f>
        <v>0</v>
      </c>
      <c r="AF377" s="218">
        <f>IF(AE377=0,0,E375&amp;COUNTIF($AE$7:AE377,AE377))</f>
        <v>0</v>
      </c>
      <c r="AG377" s="218">
        <f t="shared" ref="AG377" si="4252">IF(E375="",0,IF(AD377=0,0,IF(AD377&gt;=3,E375&amp;$AG$6,0)))</f>
        <v>0</v>
      </c>
      <c r="AH377" s="218">
        <f>IF(AG377=0,0,E375&amp;COUNTIF($AG$7:AG377,AG377))</f>
        <v>0</v>
      </c>
      <c r="AI377" s="218">
        <f t="shared" si="3702"/>
        <v>0</v>
      </c>
      <c r="AJ377" s="218" t="b">
        <f>IF(AI377=0,FALSE,IF(COUNTIF(AI$7:AI377,AI377)&gt;1,TRUE,FALSE))</f>
        <v>0</v>
      </c>
      <c r="AK377" s="218">
        <f t="shared" ref="AK377" si="4253">IF($AD377=AK$6,$E375,0)</f>
        <v>0</v>
      </c>
      <c r="AL377" s="218" t="b">
        <f>IF(AK377=0,FALSE,IF(COUNTIF(AK$7:AK377,AK377)&gt;1,TRUE,FALSE))</f>
        <v>0</v>
      </c>
      <c r="AM377" s="218">
        <f t="shared" ref="AM377" si="4254">IF($AD377=AM$6,$E375,0)</f>
        <v>0</v>
      </c>
      <c r="AN377" s="218" t="b">
        <f>IF(AM377=0,FALSE,IF(COUNTIF(AM$7:AM377,AM377)&gt;1,TRUE,FALSE))</f>
        <v>0</v>
      </c>
      <c r="AO377" s="218">
        <f t="shared" ref="AO377" si="4255">IF($AD377=AO$6,$E375,0)</f>
        <v>0</v>
      </c>
      <c r="AP377" s="218" t="b">
        <f>IF(AO377=0,FALSE,IF(COUNTIF(AO$7:AO377,AO377)&gt;1,TRUE,FALSE))</f>
        <v>0</v>
      </c>
      <c r="AQ377" s="218">
        <f t="shared" ref="AQ377" si="4256">IF(COUNTIF(Y377,"*十種競技*")&gt;0,E375,0)</f>
        <v>0</v>
      </c>
      <c r="AR377" s="218" t="b">
        <f>IF(AQ377=0,FALSE,IF(OR(COUNTIF($AI$7:$AI$406,AQ377)+COUNTIF($AQ377:$AQ$406,AQ377)&gt;1,COUNTIF($AK$7:$AK$406,AQ377)+COUNTIF($AQ$7:$AQ$406,AQ377)&gt;1),TRUE,FALSE))</f>
        <v>0</v>
      </c>
      <c r="AT377" s="218" t="b">
        <f t="shared" si="3694"/>
        <v>0</v>
      </c>
      <c r="AU377" s="274"/>
      <c r="AX377" s="274"/>
      <c r="BD377" s="218" t="b">
        <f t="shared" si="3681"/>
        <v>0</v>
      </c>
      <c r="BF377" s="231" t="b">
        <f t="shared" ref="BF377" si="4257">IF(J377="",FALSE,IF(OR(AND(AU375,L377=""),AND(AU375,L377="",OR(M377&lt;&gt;"",N377&lt;&gt;"",O377&lt;&gt;"",P377&lt;&gt;""))),TRUE,FALSE))</f>
        <v>0</v>
      </c>
      <c r="BG377" s="218" t="b">
        <f t="shared" si="3683"/>
        <v>0</v>
      </c>
      <c r="BH377" s="218" t="b">
        <f t="shared" si="3696"/>
        <v>0</v>
      </c>
      <c r="BI377" s="231" t="b">
        <f t="shared" ref="BI377" si="4258">IF(J377="",FALSE,IF(L377=0,FALSE,IF(AND(AU375,NOT(BF377),OR(M377="",N377="",O377="")),TRUE,FALSE)))</f>
        <v>0</v>
      </c>
      <c r="BJ377" s="240" t="b">
        <f t="shared" si="3698"/>
        <v>0</v>
      </c>
      <c r="BK377" s="231" t="b">
        <f>IF(NOT(BJ377),FALSE,IF(AND(競技会設定!$C$5&lt;=BJ377,BJ377&lt;=競技会設定!$C$6),FALSE,TRUE))</f>
        <v>0</v>
      </c>
      <c r="BL377" s="218" t="b">
        <f>IF(J377="",FALSE,IF(L377=0,FALSE,IF(AND(AU375,NOT(BF377),NOT(BI377),P377=""),TRUE,FALSE)))</f>
        <v>0</v>
      </c>
      <c r="BO377" s="274"/>
    </row>
    <row r="378" spans="1:67" ht="18" customHeight="1" thickBot="1">
      <c r="A378" s="419"/>
      <c r="B378" s="395" t="s">
        <v>6764</v>
      </c>
      <c r="C378" s="395"/>
      <c r="D378" s="221"/>
      <c r="E378" s="372"/>
      <c r="F378" s="372"/>
      <c r="G378" s="372"/>
      <c r="H378" s="214"/>
      <c r="I378" s="214" t="s">
        <v>6759</v>
      </c>
      <c r="J378" s="219"/>
      <c r="K378" s="214" t="s">
        <v>6761</v>
      </c>
      <c r="L378" s="219"/>
      <c r="M378" s="258"/>
      <c r="N378" s="259"/>
      <c r="O378" s="260"/>
      <c r="P378" s="219"/>
      <c r="Q378" s="400"/>
      <c r="R378" s="393"/>
      <c r="S378" s="136"/>
      <c r="T378" s="137"/>
      <c r="U378" s="137"/>
      <c r="V378" s="137"/>
      <c r="W378" s="137"/>
      <c r="X378" s="137"/>
      <c r="Y378" s="218">
        <f t="shared" ref="Y378" si="4259">IF(OR(E375="",J378=""),0,J378&amp;E375)</f>
        <v>0</v>
      </c>
      <c r="Z378" s="218">
        <f>IF(Y378=0,0,COUNTIF($Y$7:Y378,Y378))</f>
        <v>0</v>
      </c>
      <c r="AD378" s="218">
        <f>IFERROR(VLOOKUP(J378,競技会設定!$P$2:$S$22,2,0),0)</f>
        <v>0</v>
      </c>
      <c r="AE378" s="218">
        <f t="shared" ref="AE378" si="4260">IF(E375="",0,IF(AD378=0,0,IF(AD378&lt;3,E375&amp;$AE$6,0)))</f>
        <v>0</v>
      </c>
      <c r="AF378" s="218">
        <f>IF(AE378=0,0,E375&amp;COUNTIF($AE$7:AE378,AE378))</f>
        <v>0</v>
      </c>
      <c r="AG378" s="218">
        <f t="shared" ref="AG378" si="4261">IF(E375="",0,IF(AD378=0,0,IF(AD378&gt;=3,E375&amp;$AG$6,0)))</f>
        <v>0</v>
      </c>
      <c r="AH378" s="218">
        <f>IF(AG378=0,0,E375&amp;COUNTIF($AG$7:AG378,AG378))</f>
        <v>0</v>
      </c>
      <c r="AI378" s="218">
        <f t="shared" si="3712"/>
        <v>0</v>
      </c>
      <c r="AJ378" s="218" t="b">
        <f>IF(AI378=0,FALSE,IF(COUNTIF(AI$7:AI378,AI378)&gt;1,TRUE,FALSE))</f>
        <v>0</v>
      </c>
      <c r="AK378" s="218">
        <f t="shared" ref="AK378" si="4262">IF($AD378=AK$6,$E375,0)</f>
        <v>0</v>
      </c>
      <c r="AL378" s="218" t="b">
        <f>IF(AK378=0,FALSE,IF(COUNTIF(AK$7:AK378,AK378)&gt;1,TRUE,FALSE))</f>
        <v>0</v>
      </c>
      <c r="AM378" s="218">
        <f t="shared" ref="AM378" si="4263">IF($AD378=AM$6,$E375,0)</f>
        <v>0</v>
      </c>
      <c r="AN378" s="218" t="b">
        <f>IF(AM378=0,FALSE,IF(COUNTIF(AM$7:AM378,AM378)&gt;1,TRUE,FALSE))</f>
        <v>0</v>
      </c>
      <c r="AO378" s="218">
        <f t="shared" ref="AO378" si="4264">IF($AD378=AO$6,$E375,0)</f>
        <v>0</v>
      </c>
      <c r="AP378" s="218" t="b">
        <f>IF(AO378=0,FALSE,IF(COUNTIF(AO$7:AO378,AO378)&gt;1,TRUE,FALSE))</f>
        <v>0</v>
      </c>
      <c r="AQ378" s="218">
        <f t="shared" ref="AQ378" si="4265">IF(COUNTIF(Y378,"*十種競技*")&gt;0,E375,0)</f>
        <v>0</v>
      </c>
      <c r="AR378" s="218" t="b">
        <f>IF(AQ378=0,FALSE,IF(OR(COUNTIF($AI$7:$AI$406,AQ378)+COUNTIF($AQ378:$AQ$406,AQ378)&gt;1,COUNTIF($AK$7:$AK$406,AQ378)+COUNTIF($AQ$7:$AQ$406,AQ378)&gt;1),TRUE,FALSE))</f>
        <v>0</v>
      </c>
      <c r="AT378" s="218" t="b">
        <f t="shared" si="3694"/>
        <v>0</v>
      </c>
      <c r="AU378" s="274"/>
      <c r="AX378" s="274"/>
      <c r="BD378" s="218" t="b">
        <f t="shared" si="3681"/>
        <v>0</v>
      </c>
      <c r="BF378" s="231" t="b">
        <f t="shared" ref="BF378" si="4266">IF(J378="",FALSE,IF(OR(AND(AU375,L378=""),AND(AU375,L378="",OR(M378&lt;&gt;"",N378&lt;&gt;"",O378&lt;&gt;"",P378&lt;&gt;""))),TRUE,FALSE))</f>
        <v>0</v>
      </c>
      <c r="BG378" s="218" t="b">
        <f t="shared" si="3683"/>
        <v>0</v>
      </c>
      <c r="BH378" s="218" t="b">
        <f t="shared" si="3696"/>
        <v>0</v>
      </c>
      <c r="BI378" s="231" t="b">
        <f t="shared" ref="BI378" si="4267">IF(J378="",FALSE,IF(L378=0,FALSE,IF(AND(AU375,NOT(BF378),OR(M378="",N378="",O378="")),TRUE,FALSE)))</f>
        <v>0</v>
      </c>
      <c r="BJ378" s="240" t="b">
        <f t="shared" si="3698"/>
        <v>0</v>
      </c>
      <c r="BK378" s="231" t="b">
        <f>IF(NOT(BJ378),FALSE,IF(AND(競技会設定!$C$5&lt;=BJ378,BJ378&lt;=競技会設定!$C$6),FALSE,TRUE))</f>
        <v>0</v>
      </c>
      <c r="BL378" s="218" t="b">
        <f>IF(J378="",FALSE,IF(L378=0,FALSE,IF(AND(AU375,NOT(BF378),NOT(BI378),P378=""),TRUE,FALSE)))</f>
        <v>0</v>
      </c>
      <c r="BO378" s="274"/>
    </row>
    <row r="379" spans="1:67" ht="18" customHeight="1" thickTop="1">
      <c r="A379" s="420">
        <v>94</v>
      </c>
      <c r="B379" s="373" t="s">
        <v>4018</v>
      </c>
      <c r="C379" s="375"/>
      <c r="D379" s="138" t="str">
        <f t="shared" ref="D379" si="4268">IF(C379="","",501&amp;TEXT(C379,"000000"))</f>
        <v/>
      </c>
      <c r="E379" s="377" t="str">
        <f>IF(D379="","",(VLOOKUP(D379,男子登録!$A$2:$N$2001,3,0)))</f>
        <v/>
      </c>
      <c r="F379" s="377" t="str">
        <f>IF(D379="","",(VLOOKUP(D379,男子登録!$A$2:$N$2001,4,0)))</f>
        <v/>
      </c>
      <c r="G379" s="138" t="str">
        <f>IF(C379="","",(VLOOKUP(D379,男子登録!$A$2:$N$2001,8,0)))</f>
        <v/>
      </c>
      <c r="H379" s="138">
        <f>IFERROR(VLOOKUP(D379,男子登録!$A$2:$N$2001,11,0),基本情報!$E$5)</f>
        <v>0</v>
      </c>
      <c r="I379" s="138" t="s">
        <v>4019</v>
      </c>
      <c r="J379" s="151"/>
      <c r="K379" s="138" t="s">
        <v>4022</v>
      </c>
      <c r="L379" s="151"/>
      <c r="M379" s="261"/>
      <c r="N379" s="262"/>
      <c r="O379" s="263"/>
      <c r="P379" s="151"/>
      <c r="Q379" s="381"/>
      <c r="R379" s="384"/>
      <c r="S379" s="136">
        <f t="shared" ref="S379" si="4269">IF(OR(E379="",Q379=""),0,E379)</f>
        <v>0</v>
      </c>
      <c r="T379" s="137">
        <f>IF(S379=0,0,COUNTIF($S$7:S379,"*"))</f>
        <v>0</v>
      </c>
      <c r="U379" s="137">
        <f>IF(S379=0,0,COUNTIF($S$7:S379,S379))</f>
        <v>0</v>
      </c>
      <c r="V379" s="137">
        <f t="shared" si="3913"/>
        <v>0</v>
      </c>
      <c r="W379" s="137">
        <f>IF(V379=0,0,COUNTIF($V$7:V379,"*"))</f>
        <v>0</v>
      </c>
      <c r="X379" s="137">
        <f>IF(V379=0,0,COUNTIF($V$7:V379,V379))</f>
        <v>0</v>
      </c>
      <c r="Y379" s="218">
        <f t="shared" ref="Y379" si="4270">IF(OR(E379="",J379=""),0,J379&amp;E379)</f>
        <v>0</v>
      </c>
      <c r="Z379" s="218">
        <f>IF(Y379=0,0,COUNTIF($Y$7:Y379,Y379))</f>
        <v>0</v>
      </c>
      <c r="AA379" s="218" t="b">
        <f t="shared" ref="AA379" si="4271">IF(COUNTIF(J379:J382,"十種競技")&gt;0,TRUE,FALSE)</f>
        <v>0</v>
      </c>
      <c r="AB379" s="218">
        <f>IF(E379="",0,IF(AA379,COUNTIF($AA$7:AA379,TRUE),0))</f>
        <v>0</v>
      </c>
      <c r="AC379" s="218">
        <f>IFERROR(VLOOKUP("十種競技",J379:L382,3,0),0)</f>
        <v>0</v>
      </c>
      <c r="AD379" s="218">
        <f>IFERROR(VLOOKUP(J379,競技会設定!$P$2:$S$22,2,0),0)</f>
        <v>0</v>
      </c>
      <c r="AE379" s="218">
        <f t="shared" ref="AE379" si="4272">IF(E379="",0,IF(AD379=0,0,IF(AD379&lt;3,E379&amp;$AE$6,0)))</f>
        <v>0</v>
      </c>
      <c r="AF379" s="218">
        <f>IF(AE379=0,0,E379&amp;COUNTIF($AE$7:AE379,AE379))</f>
        <v>0</v>
      </c>
      <c r="AG379" s="218">
        <f t="shared" ref="AG379" si="4273">IF(E379="",0,IF(AD379=0,0,IF(AD379&gt;=3,E379&amp;$AG$6,0)))</f>
        <v>0</v>
      </c>
      <c r="AH379" s="218">
        <f>IF(AG379=0,0,E379&amp;COUNTIF($AG$7:AG379,AG379))</f>
        <v>0</v>
      </c>
      <c r="AI379" s="218">
        <f t="shared" si="3725"/>
        <v>0</v>
      </c>
      <c r="AJ379" s="218" t="b">
        <f>IF(AI379=0,FALSE,IF(COUNTIF(AI$7:AI379,AI379)&gt;1,TRUE,FALSE))</f>
        <v>0</v>
      </c>
      <c r="AK379" s="218">
        <f t="shared" ref="AK379" si="4274">IF($AD379=AK$6,$E379,0)</f>
        <v>0</v>
      </c>
      <c r="AL379" s="218" t="b">
        <f>IF(AK379=0,FALSE,IF(COUNTIF(AK$7:AK379,AK379)&gt;1,TRUE,FALSE))</f>
        <v>0</v>
      </c>
      <c r="AM379" s="218">
        <f t="shared" ref="AM379" si="4275">IF($AD379=AM$6,$E379,0)</f>
        <v>0</v>
      </c>
      <c r="AN379" s="218" t="b">
        <f>IF(AM379=0,FALSE,IF(COUNTIF(AM$7:AM379,AM379)&gt;1,TRUE,FALSE))</f>
        <v>0</v>
      </c>
      <c r="AO379" s="218">
        <f t="shared" ref="AO379" si="4276">IF($AD379=AO$6,$E379,0)</f>
        <v>0</v>
      </c>
      <c r="AP379" s="218" t="b">
        <f>IF(AO379=0,FALSE,IF(COUNTIF(AO$7:AO379,AO379)&gt;1,TRUE,FALSE))</f>
        <v>0</v>
      </c>
      <c r="AQ379" s="218">
        <f t="shared" ref="AQ379" si="4277">IF(COUNTIF(Y379,"*十種競技*")&gt;0,E379,0)</f>
        <v>0</v>
      </c>
      <c r="AR379" s="218" t="b">
        <f>IF(AQ379=0,FALSE,IF(OR(COUNTIF($AI$7:$AI$406,AQ379)+COUNTIF($AQ379:$AQ$406,AQ379)&gt;1,COUNTIF($AK$7:$AK$406,AQ379)+COUNTIF($AQ$7:$AQ$406,AQ379)&gt;1),TRUE,FALSE))</f>
        <v>0</v>
      </c>
      <c r="AS379" s="218" t="b">
        <f t="shared" ref="AS379" si="4278">IF(AND(C379="",E379&lt;&gt;"",F379&lt;&gt;"",E381&lt;&gt;"",G379&lt;&gt;"",G380&lt;&gt;"",G381&lt;&gt;""),TRUE,FALSE)</f>
        <v>0</v>
      </c>
      <c r="AT379" s="218" t="b">
        <f t="shared" si="3694"/>
        <v>0</v>
      </c>
      <c r="AU379" s="274" t="b">
        <f t="shared" ref="AU379" si="4279">IFERROR(IF(D379&amp;E379&amp;F379&amp;E381&amp;G379&amp;G380&amp;G381&amp;J379&amp;J380&amp;J381&amp;J382&amp;L379&amp;L380&amp;L381&amp;L382&amp;M379&amp;M380&amp;M381&amp;M382&amp;N379&amp;N380&amp;N381&amp;N382&amp;O379&amp;O380&amp;O381&amp;O382&amp;P379&amp;P380&amp;P381&amp;P382&amp;Q379&amp;R379="",FALSE,TRUE),FALSE)</f>
        <v>0</v>
      </c>
      <c r="AV379" s="218" t="b">
        <f t="shared" ref="AV379" si="4280">IF(AS379,FALSE,IF(C379="",AU379,FALSE))</f>
        <v>0</v>
      </c>
      <c r="AW379" s="218" t="b">
        <f>IF(C379="",FALSE,IF(C379&gt;2000,TRUE,FALSE))</f>
        <v>0</v>
      </c>
      <c r="AX379" s="274" t="b">
        <f>IF(H379=0,FALSE,IF(EXACT(基本情報!$E$5,H379)=TRUE,FALSE,TRUE))</f>
        <v>0</v>
      </c>
      <c r="AY379" s="218" t="b">
        <f>IF(C379="",FALSE,IF(ISNA(E379)=TRUE,TRUE,FALSE))</f>
        <v>0</v>
      </c>
      <c r="AZ379" s="274" t="b">
        <f>IFERROR(IF(E379="",FALSE,IF(COUNTIF($E$7:E379,E379)&gt;1,TRUE,FALSE)),FALSE)</f>
        <v>0</v>
      </c>
      <c r="BA379" s="218" t="b">
        <f t="shared" ref="BA379" si="4281">IF(OR(J379&amp;J380&amp;J381&amp;J382&amp;Q379&amp;R379="",AT379,AT380,AT381,AT382),AU379,FALSE)</f>
        <v>0</v>
      </c>
      <c r="BB379" s="218" t="b">
        <f>IF(U379&gt;1,TRUE,FALSE)</f>
        <v>0</v>
      </c>
      <c r="BC379" s="218" t="b">
        <f>IF(X379&gt;1,TRUE,FALSE)</f>
        <v>0</v>
      </c>
      <c r="BD379" s="218" t="b">
        <f t="shared" si="3681"/>
        <v>0</v>
      </c>
      <c r="BF379" s="231" t="b">
        <f t="shared" ref="BF379" si="4282">IF(J379="",FALSE,IF(OR(AND(AU379,L379=""),AND(AU379,L379="",OR(M379&lt;&gt;"",N379&lt;&gt;"",O379&lt;&gt;"",P379&lt;&gt;""))),TRUE,FALSE))</f>
        <v>0</v>
      </c>
      <c r="BG379" s="218" t="b">
        <f t="shared" si="3683"/>
        <v>0</v>
      </c>
      <c r="BH379" s="218" t="b">
        <f t="shared" si="3696"/>
        <v>0</v>
      </c>
      <c r="BI379" s="231" t="b">
        <f t="shared" ref="BI379" si="4283">IF(J379="",FALSE,IF(L379=0,FALSE,IF(AND(AU379,NOT(BF379),OR(M379="",N379="",O379="")),TRUE,FALSE)))</f>
        <v>0</v>
      </c>
      <c r="BJ379" s="240" t="b">
        <f t="shared" si="3698"/>
        <v>0</v>
      </c>
      <c r="BK379" s="231" t="b">
        <f>IF(NOT(BJ379),FALSE,IF(AND(競技会設定!$C$5&lt;=BJ379,BJ379&lt;=競技会設定!$C$6),FALSE,TRUE))</f>
        <v>0</v>
      </c>
      <c r="BL379" s="218" t="b">
        <f>IF(J379="",FALSE,IF(L379=0,FALSE,IF(AND(AU379,NOT(BF379),NOT(BI379),P379=""),TRUE,FALSE)))</f>
        <v>0</v>
      </c>
      <c r="BO379" s="274">
        <f t="shared" ref="BO379" si="4284">IF(AND(AU379,SUM(COUNTIF(AV379:BC379,TRUE),COUNTIF(BF379:BL382,TRUE),COUNTIF(BD379:BD382,TRUE))=0,NOT($BE$7)),1,0)</f>
        <v>0</v>
      </c>
    </row>
    <row r="380" spans="1:67" ht="17.399999999999999" customHeight="1">
      <c r="A380" s="421"/>
      <c r="B380" s="374"/>
      <c r="C380" s="376"/>
      <c r="D380" s="139"/>
      <c r="E380" s="378"/>
      <c r="F380" s="378"/>
      <c r="G380" s="139" t="str">
        <f>IF(C379="","",(VLOOKUP(D379,男子登録!$A$2:$N$2001,13,0)))</f>
        <v/>
      </c>
      <c r="H380" s="139"/>
      <c r="I380" s="139" t="s">
        <v>4020</v>
      </c>
      <c r="J380" s="152"/>
      <c r="K380" s="139" t="s">
        <v>4023</v>
      </c>
      <c r="L380" s="152"/>
      <c r="M380" s="264"/>
      <c r="N380" s="265"/>
      <c r="O380" s="266"/>
      <c r="P380" s="152"/>
      <c r="Q380" s="382"/>
      <c r="R380" s="385"/>
      <c r="S380" s="136"/>
      <c r="T380" s="137"/>
      <c r="U380" s="137"/>
      <c r="V380" s="137"/>
      <c r="W380" s="137"/>
      <c r="X380" s="137"/>
      <c r="Y380" s="218">
        <f t="shared" ref="Y380" si="4285">IF(OR(E379="",J380=""),0,J380&amp;E379)</f>
        <v>0</v>
      </c>
      <c r="Z380" s="218">
        <f>IF(Y380=0,0,COUNTIF($Y$7:Y380,Y380))</f>
        <v>0</v>
      </c>
      <c r="AD380" s="218">
        <f>IFERROR(VLOOKUP(J380,競技会設定!$P$2:$S$22,2,0),0)</f>
        <v>0</v>
      </c>
      <c r="AE380" s="218">
        <f t="shared" ref="AE380" si="4286">IF(E379="",0,IF(AD380=0,0,IF(AD380&lt;3,E379&amp;$AE$6,0)))</f>
        <v>0</v>
      </c>
      <c r="AF380" s="218">
        <f>IF(AE380=0,0,E379&amp;COUNTIF($AE$7:AE380,AE380))</f>
        <v>0</v>
      </c>
      <c r="AG380" s="218">
        <f t="shared" ref="AG380" si="4287">IF(E379="",0,IF(AD380=0,0,IF(AD380&gt;=3,E379&amp;$AG$6,0)))</f>
        <v>0</v>
      </c>
      <c r="AH380" s="218">
        <f>IF(AG380=0,0,E379&amp;COUNTIF($AG$7:AG380,AG380))</f>
        <v>0</v>
      </c>
      <c r="AI380" s="218">
        <f t="shared" si="3740"/>
        <v>0</v>
      </c>
      <c r="AJ380" s="218" t="b">
        <f>IF(AI380=0,FALSE,IF(COUNTIF(AI$7:AI380,AI380)&gt;1,TRUE,FALSE))</f>
        <v>0</v>
      </c>
      <c r="AK380" s="218">
        <f t="shared" ref="AK380" si="4288">IF($AD380=AK$6,$E379,0)</f>
        <v>0</v>
      </c>
      <c r="AL380" s="218" t="b">
        <f>IF(AK380=0,FALSE,IF(COUNTIF(AK$7:AK380,AK380)&gt;1,TRUE,FALSE))</f>
        <v>0</v>
      </c>
      <c r="AM380" s="218">
        <f t="shared" ref="AM380" si="4289">IF($AD380=AM$6,$E379,0)</f>
        <v>0</v>
      </c>
      <c r="AN380" s="218" t="b">
        <f>IF(AM380=0,FALSE,IF(COUNTIF(AM$7:AM380,AM380)&gt;1,TRUE,FALSE))</f>
        <v>0</v>
      </c>
      <c r="AO380" s="218">
        <f t="shared" ref="AO380" si="4290">IF($AD380=AO$6,$E379,0)</f>
        <v>0</v>
      </c>
      <c r="AP380" s="218" t="b">
        <f>IF(AO380=0,FALSE,IF(COUNTIF(AO$7:AO380,AO380)&gt;1,TRUE,FALSE))</f>
        <v>0</v>
      </c>
      <c r="AQ380" s="218">
        <f t="shared" ref="AQ380" si="4291">IF(COUNTIF(Y380,"*十種競技*")&gt;0,E379,0)</f>
        <v>0</v>
      </c>
      <c r="AR380" s="218" t="b">
        <f>IF(AQ380=0,FALSE,IF(OR(COUNTIF($AI$7:$AI$406,AQ380)+COUNTIF($AQ380:$AQ$406,AQ380)&gt;1,COUNTIF($AK$7:$AK$406,AQ380)+COUNTIF($AQ$7:$AQ$406,AQ380)&gt;1),TRUE,FALSE))</f>
        <v>0</v>
      </c>
      <c r="AT380" s="218" t="b">
        <f t="shared" si="3694"/>
        <v>0</v>
      </c>
      <c r="AU380" s="274"/>
      <c r="AX380" s="274"/>
      <c r="BD380" s="218" t="b">
        <f t="shared" si="3681"/>
        <v>0</v>
      </c>
      <c r="BF380" s="231" t="b">
        <f t="shared" ref="BF380" si="4292">IF(J380="",FALSE,IF(OR(AND(AU379,L380=""),AND(AU379,L380="",OR(M380&lt;&gt;"",N380&lt;&gt;"",O380&lt;&gt;"",P380&lt;&gt;""))),TRUE,FALSE))</f>
        <v>0</v>
      </c>
      <c r="BG380" s="218" t="b">
        <f t="shared" si="3683"/>
        <v>0</v>
      </c>
      <c r="BH380" s="218" t="b">
        <f t="shared" si="3696"/>
        <v>0</v>
      </c>
      <c r="BI380" s="231" t="b">
        <f t="shared" ref="BI380" si="4293">IF(J380="",FALSE,IF(L380=0,FALSE,IF(AND(AU379,NOT(BF380),OR(M380="",N380="",O380="")),TRUE,FALSE)))</f>
        <v>0</v>
      </c>
      <c r="BJ380" s="240" t="b">
        <f t="shared" si="3698"/>
        <v>0</v>
      </c>
      <c r="BK380" s="231" t="b">
        <f>IF(NOT(BJ380),FALSE,IF(AND(競技会設定!$C$5&lt;=BJ380,BJ380&lt;=競技会設定!$C$6),FALSE,TRUE))</f>
        <v>0</v>
      </c>
      <c r="BL380" s="218" t="b">
        <f>IF(J380="",FALSE,IF(L380=0,FALSE,IF(AND(AU379,NOT(BF380),NOT(BI380),P380=""),TRUE,FALSE)))</f>
        <v>0</v>
      </c>
      <c r="BO380" s="274"/>
    </row>
    <row r="381" spans="1:67" ht="17.399999999999999" customHeight="1">
      <c r="A381" s="421"/>
      <c r="B381" s="374"/>
      <c r="C381" s="376"/>
      <c r="D381" s="140"/>
      <c r="E381" s="379" t="str">
        <f>IF(C379="","",VLOOKUP(D379,男子登録!$A$2:$O$2001,14,0)&amp;" ("&amp;VLOOKUP(D379,男子登録!$A$2:$O$2001,15,0)&amp;")")</f>
        <v/>
      </c>
      <c r="F381" s="380"/>
      <c r="G381" s="140" t="str">
        <f>IF(C379="","",(VLOOKUP(D379,男子登録!$A$2:$N$2001,9,0)))</f>
        <v/>
      </c>
      <c r="H381" s="140"/>
      <c r="I381" s="140" t="s">
        <v>4021</v>
      </c>
      <c r="J381" s="153"/>
      <c r="K381" s="140" t="s">
        <v>6760</v>
      </c>
      <c r="L381" s="153"/>
      <c r="M381" s="264"/>
      <c r="N381" s="265"/>
      <c r="O381" s="266"/>
      <c r="P381" s="152"/>
      <c r="Q381" s="382"/>
      <c r="R381" s="385"/>
      <c r="S381" s="136"/>
      <c r="T381" s="137"/>
      <c r="U381" s="137"/>
      <c r="V381" s="137"/>
      <c r="W381" s="137"/>
      <c r="X381" s="137"/>
      <c r="Y381" s="218">
        <f t="shared" ref="Y381" si="4294">IF(OR(E379="",J381=""),0,J381&amp;E379)</f>
        <v>0</v>
      </c>
      <c r="Z381" s="218">
        <f>IF(Y381=0,0,COUNTIF($Y$7:Y381,Y381))</f>
        <v>0</v>
      </c>
      <c r="AD381" s="218">
        <f>IFERROR(VLOOKUP(J381,競技会設定!$P$2:$S$22,2,0),0)</f>
        <v>0</v>
      </c>
      <c r="AE381" s="218">
        <f t="shared" ref="AE381" si="4295">IF(E379="",0,IF(AD381=0,0,IF(AD381&lt;3,E379&amp;$AE$6,0)))</f>
        <v>0</v>
      </c>
      <c r="AF381" s="218">
        <f>IF(AE381=0,0,E379&amp;COUNTIF($AE$7:AE381,AE381))</f>
        <v>0</v>
      </c>
      <c r="AG381" s="218">
        <f t="shared" ref="AG381" si="4296">IF(E379="",0,IF(AD381=0,0,IF(AD381&gt;=3,E379&amp;$AG$6,0)))</f>
        <v>0</v>
      </c>
      <c r="AH381" s="218">
        <f>IF(AG381=0,0,E379&amp;COUNTIF($AG$7:AG381,AG381))</f>
        <v>0</v>
      </c>
      <c r="AI381" s="218">
        <f t="shared" si="3750"/>
        <v>0</v>
      </c>
      <c r="AJ381" s="218" t="b">
        <f>IF(AI381=0,FALSE,IF(COUNTIF(AI$7:AI381,AI381)&gt;1,TRUE,FALSE))</f>
        <v>0</v>
      </c>
      <c r="AK381" s="218">
        <f t="shared" ref="AK381" si="4297">IF($AD381=AK$6,$E379,0)</f>
        <v>0</v>
      </c>
      <c r="AL381" s="218" t="b">
        <f>IF(AK381=0,FALSE,IF(COUNTIF(AK$7:AK381,AK381)&gt;1,TRUE,FALSE))</f>
        <v>0</v>
      </c>
      <c r="AM381" s="218">
        <f t="shared" ref="AM381" si="4298">IF($AD381=AM$6,$E379,0)</f>
        <v>0</v>
      </c>
      <c r="AN381" s="218" t="b">
        <f>IF(AM381=0,FALSE,IF(COUNTIF(AM$7:AM381,AM381)&gt;1,TRUE,FALSE))</f>
        <v>0</v>
      </c>
      <c r="AO381" s="218">
        <f t="shared" ref="AO381" si="4299">IF($AD381=AO$6,$E379,0)</f>
        <v>0</v>
      </c>
      <c r="AP381" s="218" t="b">
        <f>IF(AO381=0,FALSE,IF(COUNTIF(AO$7:AO381,AO381)&gt;1,TRUE,FALSE))</f>
        <v>0</v>
      </c>
      <c r="AQ381" s="218">
        <f t="shared" ref="AQ381" si="4300">IF(COUNTIF(Y381,"*十種競技*")&gt;0,E379,0)</f>
        <v>0</v>
      </c>
      <c r="AR381" s="218" t="b">
        <f>IF(AQ381=0,FALSE,IF(OR(COUNTIF($AI$7:$AI$406,AQ381)+COUNTIF($AQ381:$AQ$406,AQ381)&gt;1,COUNTIF($AK$7:$AK$406,AQ381)+COUNTIF($AQ$7:$AQ$406,AQ381)&gt;1),TRUE,FALSE))</f>
        <v>0</v>
      </c>
      <c r="AT381" s="218" t="b">
        <f t="shared" si="3694"/>
        <v>0</v>
      </c>
      <c r="AU381" s="274"/>
      <c r="AX381" s="274"/>
      <c r="BD381" s="218" t="b">
        <f t="shared" si="3681"/>
        <v>0</v>
      </c>
      <c r="BF381" s="231" t="b">
        <f t="shared" ref="BF381" si="4301">IF(J381="",FALSE,IF(OR(AND(AU379,L381=""),AND(AU379,L381="",OR(M381&lt;&gt;"",N381&lt;&gt;"",O381&lt;&gt;"",P381&lt;&gt;""))),TRUE,FALSE))</f>
        <v>0</v>
      </c>
      <c r="BG381" s="218" t="b">
        <f t="shared" si="3683"/>
        <v>0</v>
      </c>
      <c r="BH381" s="218" t="b">
        <f t="shared" si="3696"/>
        <v>0</v>
      </c>
      <c r="BI381" s="231" t="b">
        <f t="shared" ref="BI381" si="4302">IF(J381="",FALSE,IF(L381=0,FALSE,IF(AND(AU379,NOT(BF381),OR(M381="",N381="",O381="")),TRUE,FALSE)))</f>
        <v>0</v>
      </c>
      <c r="BJ381" s="240" t="b">
        <f t="shared" si="3698"/>
        <v>0</v>
      </c>
      <c r="BK381" s="231" t="b">
        <f>IF(NOT(BJ381),FALSE,IF(AND(競技会設定!$C$5&lt;=BJ381,BJ381&lt;=競技会設定!$C$6),FALSE,TRUE))</f>
        <v>0</v>
      </c>
      <c r="BL381" s="218" t="b">
        <f>IF(J381="",FALSE,IF(L381=0,FALSE,IF(AND(AU379,NOT(BF381),NOT(BI381),P381=""),TRUE,FALSE)))</f>
        <v>0</v>
      </c>
      <c r="BO381" s="274"/>
    </row>
    <row r="382" spans="1:67" ht="18" customHeight="1" thickBot="1">
      <c r="A382" s="422"/>
      <c r="B382" s="387" t="s">
        <v>6764</v>
      </c>
      <c r="C382" s="387"/>
      <c r="D382" s="213"/>
      <c r="E382" s="388"/>
      <c r="F382" s="389"/>
      <c r="G382" s="390"/>
      <c r="H382" s="141"/>
      <c r="I382" s="213" t="s">
        <v>6759</v>
      </c>
      <c r="J382" s="154"/>
      <c r="K382" s="213" t="s">
        <v>6761</v>
      </c>
      <c r="L382" s="154"/>
      <c r="M382" s="267"/>
      <c r="N382" s="268"/>
      <c r="O382" s="269"/>
      <c r="P382" s="154"/>
      <c r="Q382" s="383"/>
      <c r="R382" s="386"/>
      <c r="S382" s="136"/>
      <c r="T382" s="137"/>
      <c r="U382" s="137"/>
      <c r="V382" s="137"/>
      <c r="W382" s="137"/>
      <c r="X382" s="137"/>
      <c r="Y382" s="218">
        <f t="shared" ref="Y382" si="4303">IF(OR(E379="",J382=""),0,J382&amp;E379)</f>
        <v>0</v>
      </c>
      <c r="Z382" s="218">
        <f>IF(Y382=0,0,COUNTIF($Y$7:Y382,Y382))</f>
        <v>0</v>
      </c>
      <c r="AD382" s="218">
        <f>IFERROR(VLOOKUP(J382,競技会設定!$P$2:$S$22,2,0),0)</f>
        <v>0</v>
      </c>
      <c r="AE382" s="218">
        <f t="shared" ref="AE382" si="4304">IF(E379="",0,IF(AD382=0,0,IF(AD382&lt;3,E379&amp;$AE$6,0)))</f>
        <v>0</v>
      </c>
      <c r="AF382" s="218">
        <f>IF(AE382=0,0,E379&amp;COUNTIF($AE$7:AE382,AE382))</f>
        <v>0</v>
      </c>
      <c r="AG382" s="218">
        <f t="shared" ref="AG382" si="4305">IF(E379="",0,IF(AD382=0,0,IF(AD382&gt;=3,E379&amp;$AG$6,0)))</f>
        <v>0</v>
      </c>
      <c r="AH382" s="218">
        <f>IF(AG382=0,0,E379&amp;COUNTIF($AG$7:AG382,AG382))</f>
        <v>0</v>
      </c>
      <c r="AI382" s="218">
        <f t="shared" si="3760"/>
        <v>0</v>
      </c>
      <c r="AJ382" s="218" t="b">
        <f>IF(AI382=0,FALSE,IF(COUNTIF(AI$7:AI382,AI382)&gt;1,TRUE,FALSE))</f>
        <v>0</v>
      </c>
      <c r="AK382" s="218">
        <f t="shared" ref="AK382" si="4306">IF($AD382=AK$6,$E379,0)</f>
        <v>0</v>
      </c>
      <c r="AL382" s="218" t="b">
        <f>IF(AK382=0,FALSE,IF(COUNTIF(AK$7:AK382,AK382)&gt;1,TRUE,FALSE))</f>
        <v>0</v>
      </c>
      <c r="AM382" s="218">
        <f t="shared" ref="AM382" si="4307">IF($AD382=AM$6,$E379,0)</f>
        <v>0</v>
      </c>
      <c r="AN382" s="218" t="b">
        <f>IF(AM382=0,FALSE,IF(COUNTIF(AM$7:AM382,AM382)&gt;1,TRUE,FALSE))</f>
        <v>0</v>
      </c>
      <c r="AO382" s="218">
        <f t="shared" ref="AO382" si="4308">IF($AD382=AO$6,$E379,0)</f>
        <v>0</v>
      </c>
      <c r="AP382" s="218" t="b">
        <f>IF(AO382=0,FALSE,IF(COUNTIF(AO$7:AO382,AO382)&gt;1,TRUE,FALSE))</f>
        <v>0</v>
      </c>
      <c r="AQ382" s="218">
        <f t="shared" ref="AQ382" si="4309">IF(COUNTIF(Y382,"*十種競技*")&gt;0,E379,0)</f>
        <v>0</v>
      </c>
      <c r="AR382" s="218" t="b">
        <f>IF(AQ382=0,FALSE,IF(OR(COUNTIF($AI$7:$AI$406,AQ382)+COUNTIF($AQ382:$AQ$406,AQ382)&gt;1,COUNTIF($AK$7:$AK$406,AQ382)+COUNTIF($AQ$7:$AQ$406,AQ382)&gt;1),TRUE,FALSE))</f>
        <v>0</v>
      </c>
      <c r="AT382" s="218" t="b">
        <f t="shared" si="3694"/>
        <v>0</v>
      </c>
      <c r="AU382" s="274"/>
      <c r="AX382" s="274"/>
      <c r="BD382" s="218" t="b">
        <f t="shared" si="3681"/>
        <v>0</v>
      </c>
      <c r="BF382" s="231" t="b">
        <f t="shared" ref="BF382" si="4310">IF(J382="",FALSE,IF(OR(AND(AU379,L382=""),AND(AU379,L382="",OR(M382&lt;&gt;"",N382&lt;&gt;"",O382&lt;&gt;"",P382&lt;&gt;""))),TRUE,FALSE))</f>
        <v>0</v>
      </c>
      <c r="BG382" s="218" t="b">
        <f t="shared" si="3683"/>
        <v>0</v>
      </c>
      <c r="BH382" s="218" t="b">
        <f t="shared" si="3696"/>
        <v>0</v>
      </c>
      <c r="BI382" s="231" t="b">
        <f t="shared" ref="BI382" si="4311">IF(J382="",FALSE,IF(L382=0,FALSE,IF(AND(AU379,NOT(BF382),OR(M382="",N382="",O382="")),TRUE,FALSE)))</f>
        <v>0</v>
      </c>
      <c r="BJ382" s="240" t="b">
        <f t="shared" si="3698"/>
        <v>0</v>
      </c>
      <c r="BK382" s="231" t="b">
        <f>IF(NOT(BJ382),FALSE,IF(AND(競技会設定!$C$5&lt;=BJ382,BJ382&lt;=競技会設定!$C$6),FALSE,TRUE))</f>
        <v>0</v>
      </c>
      <c r="BL382" s="218" t="b">
        <f>IF(J382="",FALSE,IF(L382=0,FALSE,IF(AND(AU379,NOT(BF382),NOT(BI382),P382=""),TRUE,FALSE)))</f>
        <v>0</v>
      </c>
      <c r="BO382" s="274"/>
    </row>
    <row r="383" spans="1:67" ht="18" customHeight="1" thickTop="1">
      <c r="A383" s="417">
        <v>95</v>
      </c>
      <c r="B383" s="401" t="s">
        <v>4018</v>
      </c>
      <c r="C383" s="403"/>
      <c r="D383" s="220" t="str">
        <f t="shared" ref="D383" si="4312">IF(C383="","",501&amp;TEXT(C383,"000000"))</f>
        <v/>
      </c>
      <c r="E383" s="396" t="str">
        <f>IF(D383="","",(VLOOKUP(D383,男子登録!$A$2:$N$2001,3,0)))</f>
        <v/>
      </c>
      <c r="F383" s="396" t="str">
        <f>IF(D383="","",(VLOOKUP(D383,男子登録!$A$2:$N$2001,4,0)))</f>
        <v/>
      </c>
      <c r="G383" s="220" t="str">
        <f>IF(C383="","",(VLOOKUP(D383,男子登録!$A$2:$N$2001,8,0)))</f>
        <v/>
      </c>
      <c r="H383" s="220">
        <f>IFERROR(VLOOKUP(D383,男子登録!$A$2:$N$2001,11,0),基本情報!$E$5)</f>
        <v>0</v>
      </c>
      <c r="I383" s="220" t="s">
        <v>4019</v>
      </c>
      <c r="J383" s="148"/>
      <c r="K383" s="220" t="s">
        <v>4022</v>
      </c>
      <c r="L383" s="148"/>
      <c r="M383" s="252"/>
      <c r="N383" s="253"/>
      <c r="O383" s="254"/>
      <c r="P383" s="148"/>
      <c r="Q383" s="398"/>
      <c r="R383" s="391"/>
      <c r="S383" s="136">
        <f t="shared" ref="S383" si="4313">IF(OR(E383="",Q383=""),0,E383)</f>
        <v>0</v>
      </c>
      <c r="T383" s="137">
        <f>IF(S383=0,0,COUNTIF($S$7:S383,"*"))</f>
        <v>0</v>
      </c>
      <c r="U383" s="137">
        <f>IF(S383=0,0,COUNTIF($S$7:S383,S383))</f>
        <v>0</v>
      </c>
      <c r="V383" s="137">
        <f t="shared" si="3913"/>
        <v>0</v>
      </c>
      <c r="W383" s="137">
        <f>IF(V383=0,0,COUNTIF($V$7:V383,"*"))</f>
        <v>0</v>
      </c>
      <c r="X383" s="137">
        <f>IF(V383=0,0,COUNTIF($V$7:V383,V383))</f>
        <v>0</v>
      </c>
      <c r="Y383" s="218">
        <f t="shared" ref="Y383" si="4314">IF(OR(E383="",J383=""),0,J383&amp;E383)</f>
        <v>0</v>
      </c>
      <c r="Z383" s="218">
        <f>IF(Y383=0,0,COUNTIF($Y$7:Y383,Y383))</f>
        <v>0</v>
      </c>
      <c r="AA383" s="218" t="b">
        <f t="shared" ref="AA383" si="4315">IF(COUNTIF(J383:J386,"十種競技")&gt;0,TRUE,FALSE)</f>
        <v>0</v>
      </c>
      <c r="AB383" s="218">
        <f>IF(E383="",0,IF(AA383,COUNTIF($AA$7:AA383,TRUE),0))</f>
        <v>0</v>
      </c>
      <c r="AC383" s="218">
        <f>IFERROR(VLOOKUP("十種競技",J383:L386,3,0),0)</f>
        <v>0</v>
      </c>
      <c r="AD383" s="218">
        <f>IFERROR(VLOOKUP(J383,競技会設定!$P$2:$S$22,2,0),0)</f>
        <v>0</v>
      </c>
      <c r="AE383" s="218">
        <f t="shared" ref="AE383" si="4316">IF(E383="",0,IF(AD383=0,0,IF(AD383&lt;3,E383&amp;$AE$6,0)))</f>
        <v>0</v>
      </c>
      <c r="AF383" s="218">
        <f>IF(AE383=0,0,E383&amp;COUNTIF($AE$7:AE383,AE383))</f>
        <v>0</v>
      </c>
      <c r="AG383" s="218">
        <f t="shared" ref="AG383" si="4317">IF(E383="",0,IF(AD383=0,0,IF(AD383&gt;=3,E383&amp;$AG$6,0)))</f>
        <v>0</v>
      </c>
      <c r="AH383" s="218">
        <f>IF(AG383=0,0,E383&amp;COUNTIF($AG$7:AG383,AG383))</f>
        <v>0</v>
      </c>
      <c r="AI383" s="218">
        <f t="shared" si="3773"/>
        <v>0</v>
      </c>
      <c r="AJ383" s="218" t="b">
        <f>IF(AI383=0,FALSE,IF(COUNTIF(AI$7:AI383,AI383)&gt;1,TRUE,FALSE))</f>
        <v>0</v>
      </c>
      <c r="AK383" s="218">
        <f t="shared" ref="AK383" si="4318">IF($AD383=AK$6,$E383,0)</f>
        <v>0</v>
      </c>
      <c r="AL383" s="218" t="b">
        <f>IF(AK383=0,FALSE,IF(COUNTIF(AK$7:AK383,AK383)&gt;1,TRUE,FALSE))</f>
        <v>0</v>
      </c>
      <c r="AM383" s="218">
        <f t="shared" ref="AM383" si="4319">IF($AD383=AM$6,$E383,0)</f>
        <v>0</v>
      </c>
      <c r="AN383" s="218" t="b">
        <f>IF(AM383=0,FALSE,IF(COUNTIF(AM$7:AM383,AM383)&gt;1,TRUE,FALSE))</f>
        <v>0</v>
      </c>
      <c r="AO383" s="218">
        <f t="shared" ref="AO383" si="4320">IF($AD383=AO$6,$E383,0)</f>
        <v>0</v>
      </c>
      <c r="AP383" s="218" t="b">
        <f>IF(AO383=0,FALSE,IF(COUNTIF(AO$7:AO383,AO383)&gt;1,TRUE,FALSE))</f>
        <v>0</v>
      </c>
      <c r="AQ383" s="218">
        <f t="shared" ref="AQ383" si="4321">IF(COUNTIF(Y383,"*十種競技*")&gt;0,E383,0)</f>
        <v>0</v>
      </c>
      <c r="AR383" s="218" t="b">
        <f>IF(AQ383=0,FALSE,IF(OR(COUNTIF($AI$7:$AI$406,AQ383)+COUNTIF($AQ383:$AQ$406,AQ383)&gt;1,COUNTIF($AK$7:$AK$406,AQ383)+COUNTIF($AQ$7:$AQ$406,AQ383)&gt;1),TRUE,FALSE))</f>
        <v>0</v>
      </c>
      <c r="AS383" s="218" t="b">
        <f t="shared" ref="AS383" si="4322">IF(AND(C383="",E383&lt;&gt;"",F383&lt;&gt;"",E385&lt;&gt;"",G383&lt;&gt;"",G384&lt;&gt;"",G385&lt;&gt;""),TRUE,FALSE)</f>
        <v>0</v>
      </c>
      <c r="AT383" s="218" t="b">
        <f t="shared" si="3694"/>
        <v>0</v>
      </c>
      <c r="AU383" s="274" t="b">
        <f t="shared" ref="AU383" si="4323">IFERROR(IF(D383&amp;E383&amp;F383&amp;E385&amp;G383&amp;G384&amp;G385&amp;J383&amp;J384&amp;J385&amp;J386&amp;L383&amp;L384&amp;L385&amp;L386&amp;M383&amp;M384&amp;M385&amp;M386&amp;N383&amp;N384&amp;N385&amp;N386&amp;O383&amp;O384&amp;O385&amp;O386&amp;P383&amp;P384&amp;P385&amp;P386&amp;Q383&amp;R383="",FALSE,TRUE),FALSE)</f>
        <v>0</v>
      </c>
      <c r="AV383" s="218" t="b">
        <f t="shared" ref="AV383" si="4324">IF(AS383,FALSE,IF(C383="",AU383,FALSE))</f>
        <v>0</v>
      </c>
      <c r="AW383" s="218" t="b">
        <f>IF(C383="",FALSE,IF(C383&gt;2000,TRUE,FALSE))</f>
        <v>0</v>
      </c>
      <c r="AX383" s="274" t="b">
        <f>IF(H383=0,FALSE,IF(EXACT(基本情報!$E$5,H383)=TRUE,FALSE,TRUE))</f>
        <v>0</v>
      </c>
      <c r="AY383" s="218" t="b">
        <f>IF(C383="",FALSE,IF(ISNA(E383)=TRUE,TRUE,FALSE))</f>
        <v>0</v>
      </c>
      <c r="AZ383" s="274" t="b">
        <f>IFERROR(IF(E383="",FALSE,IF(COUNTIF($E$7:E383,E383)&gt;1,TRUE,FALSE)),FALSE)</f>
        <v>0</v>
      </c>
      <c r="BA383" s="218" t="b">
        <f t="shared" ref="BA383" si="4325">IF(OR(J383&amp;J384&amp;J385&amp;J386&amp;Q383&amp;R383="",AT383,AT384,AT385,AT386),AU383,FALSE)</f>
        <v>0</v>
      </c>
      <c r="BB383" s="218" t="b">
        <f>IF(U383&gt;1,TRUE,FALSE)</f>
        <v>0</v>
      </c>
      <c r="BC383" s="218" t="b">
        <f>IF(X383&gt;1,TRUE,FALSE)</f>
        <v>0</v>
      </c>
      <c r="BD383" s="218" t="b">
        <f t="shared" si="3681"/>
        <v>0</v>
      </c>
      <c r="BF383" s="231" t="b">
        <f t="shared" ref="BF383" si="4326">IF(J383="",FALSE,IF(OR(AND(AU383,L383=""),AND(AU383,L383="",OR(M383&lt;&gt;"",N383&lt;&gt;"",O383&lt;&gt;"",P383&lt;&gt;""))),TRUE,FALSE))</f>
        <v>0</v>
      </c>
      <c r="BG383" s="218" t="b">
        <f t="shared" si="3683"/>
        <v>0</v>
      </c>
      <c r="BH383" s="218" t="b">
        <f t="shared" si="3696"/>
        <v>0</v>
      </c>
      <c r="BI383" s="231" t="b">
        <f t="shared" ref="BI383" si="4327">IF(J383="",FALSE,IF(L383=0,FALSE,IF(AND(AU383,NOT(BF383),OR(M383="",N383="",O383="")),TRUE,FALSE)))</f>
        <v>0</v>
      </c>
      <c r="BJ383" s="240" t="b">
        <f t="shared" si="3698"/>
        <v>0</v>
      </c>
      <c r="BK383" s="231" t="b">
        <f>IF(NOT(BJ383),FALSE,IF(AND(競技会設定!$C$5&lt;=BJ383,BJ383&lt;=競技会設定!$C$6),FALSE,TRUE))</f>
        <v>0</v>
      </c>
      <c r="BL383" s="218" t="b">
        <f>IF(J383="",FALSE,IF(L383=0,FALSE,IF(AND(AU383,NOT(BF383),NOT(BI383),P383=""),TRUE,FALSE)))</f>
        <v>0</v>
      </c>
      <c r="BO383" s="274">
        <f t="shared" ref="BO383" si="4328">IF(AND(AU383,SUM(COUNTIF(AV383:BC383,TRUE),COUNTIF(BF383:BL386,TRUE),COUNTIF(BD383:BD386,TRUE))=0,NOT($BE$7)),1,0)</f>
        <v>0</v>
      </c>
    </row>
    <row r="384" spans="1:67" ht="17.399999999999999" customHeight="1">
      <c r="A384" s="418"/>
      <c r="B384" s="402"/>
      <c r="C384" s="404"/>
      <c r="D384" s="221"/>
      <c r="E384" s="397"/>
      <c r="F384" s="397"/>
      <c r="G384" s="221" t="str">
        <f>IF(C383="","",(VLOOKUP(D383,男子登録!$A$2:$N$2001,13,0)))</f>
        <v/>
      </c>
      <c r="H384" s="221"/>
      <c r="I384" s="221" t="s">
        <v>4020</v>
      </c>
      <c r="J384" s="149"/>
      <c r="K384" s="221" t="s">
        <v>4023</v>
      </c>
      <c r="L384" s="149"/>
      <c r="M384" s="255"/>
      <c r="N384" s="256"/>
      <c r="O384" s="257"/>
      <c r="P384" s="149"/>
      <c r="Q384" s="399"/>
      <c r="R384" s="392"/>
      <c r="S384" s="136"/>
      <c r="T384" s="137"/>
      <c r="U384" s="137"/>
      <c r="V384" s="137"/>
      <c r="W384" s="137"/>
      <c r="X384" s="137"/>
      <c r="Y384" s="218">
        <f t="shared" ref="Y384" si="4329">IF(OR(E383="",J384=""),0,J384&amp;E383)</f>
        <v>0</v>
      </c>
      <c r="Z384" s="218">
        <f>IF(Y384=0,0,COUNTIF($Y$7:Y384,Y384))</f>
        <v>0</v>
      </c>
      <c r="AD384" s="218">
        <f>IFERROR(VLOOKUP(J384,競技会設定!$P$2:$S$22,2,0),0)</f>
        <v>0</v>
      </c>
      <c r="AE384" s="218">
        <f t="shared" ref="AE384" si="4330">IF(E383="",0,IF(AD384=0,0,IF(AD384&lt;3,E383&amp;$AE$6,0)))</f>
        <v>0</v>
      </c>
      <c r="AF384" s="218">
        <f>IF(AE384=0,0,E383&amp;COUNTIF($AE$7:AE384,AE384))</f>
        <v>0</v>
      </c>
      <c r="AG384" s="218">
        <f t="shared" ref="AG384" si="4331">IF(E383="",0,IF(AD384=0,0,IF(AD384&gt;=3,E383&amp;$AG$6,0)))</f>
        <v>0</v>
      </c>
      <c r="AH384" s="218">
        <f>IF(AG384=0,0,E383&amp;COUNTIF($AG$7:AG384,AG384))</f>
        <v>0</v>
      </c>
      <c r="AI384" s="218">
        <f t="shared" si="3788"/>
        <v>0</v>
      </c>
      <c r="AJ384" s="218" t="b">
        <f>IF(AI384=0,FALSE,IF(COUNTIF(AI$7:AI384,AI384)&gt;1,TRUE,FALSE))</f>
        <v>0</v>
      </c>
      <c r="AK384" s="218">
        <f t="shared" ref="AK384" si="4332">IF($AD384=AK$6,$E383,0)</f>
        <v>0</v>
      </c>
      <c r="AL384" s="218" t="b">
        <f>IF(AK384=0,FALSE,IF(COUNTIF(AK$7:AK384,AK384)&gt;1,TRUE,FALSE))</f>
        <v>0</v>
      </c>
      <c r="AM384" s="218">
        <f t="shared" ref="AM384" si="4333">IF($AD384=AM$6,$E383,0)</f>
        <v>0</v>
      </c>
      <c r="AN384" s="218" t="b">
        <f>IF(AM384=0,FALSE,IF(COUNTIF(AM$7:AM384,AM384)&gt;1,TRUE,FALSE))</f>
        <v>0</v>
      </c>
      <c r="AO384" s="218">
        <f t="shared" ref="AO384" si="4334">IF($AD384=AO$6,$E383,0)</f>
        <v>0</v>
      </c>
      <c r="AP384" s="218" t="b">
        <f>IF(AO384=0,FALSE,IF(COUNTIF(AO$7:AO384,AO384)&gt;1,TRUE,FALSE))</f>
        <v>0</v>
      </c>
      <c r="AQ384" s="218">
        <f t="shared" ref="AQ384" si="4335">IF(COUNTIF(Y384,"*十種競技*")&gt;0,E383,0)</f>
        <v>0</v>
      </c>
      <c r="AR384" s="218" t="b">
        <f>IF(AQ384=0,FALSE,IF(OR(COUNTIF($AI$7:$AI$406,AQ384)+COUNTIF($AQ384:$AQ$406,AQ384)&gt;1,COUNTIF($AK$7:$AK$406,AQ384)+COUNTIF($AQ$7:$AQ$406,AQ384)&gt;1),TRUE,FALSE))</f>
        <v>0</v>
      </c>
      <c r="AT384" s="218" t="b">
        <f t="shared" si="3694"/>
        <v>0</v>
      </c>
      <c r="AU384" s="274"/>
      <c r="AX384" s="274"/>
      <c r="BD384" s="218" t="b">
        <f t="shared" si="3681"/>
        <v>0</v>
      </c>
      <c r="BF384" s="231" t="b">
        <f t="shared" ref="BF384" si="4336">IF(J384="",FALSE,IF(OR(AND(AU383,L384=""),AND(AU383,L384="",OR(M384&lt;&gt;"",N384&lt;&gt;"",O384&lt;&gt;"",P384&lt;&gt;""))),TRUE,FALSE))</f>
        <v>0</v>
      </c>
      <c r="BG384" s="218" t="b">
        <f t="shared" si="3683"/>
        <v>0</v>
      </c>
      <c r="BH384" s="218" t="b">
        <f t="shared" si="3696"/>
        <v>0</v>
      </c>
      <c r="BI384" s="231" t="b">
        <f t="shared" ref="BI384" si="4337">IF(J384="",FALSE,IF(L384=0,FALSE,IF(AND(AU383,NOT(BF384),OR(M384="",N384="",O384="")),TRUE,FALSE)))</f>
        <v>0</v>
      </c>
      <c r="BJ384" s="240" t="b">
        <f t="shared" si="3698"/>
        <v>0</v>
      </c>
      <c r="BK384" s="231" t="b">
        <f>IF(NOT(BJ384),FALSE,IF(AND(競技会設定!$C$5&lt;=BJ384,BJ384&lt;=競技会設定!$C$6),FALSE,TRUE))</f>
        <v>0</v>
      </c>
      <c r="BL384" s="218" t="b">
        <f>IF(J384="",FALSE,IF(L384=0,FALSE,IF(AND(AU383,NOT(BF384),NOT(BI384),P384=""),TRUE,FALSE)))</f>
        <v>0</v>
      </c>
      <c r="BO384" s="274"/>
    </row>
    <row r="385" spans="1:67" ht="17.399999999999999" customHeight="1">
      <c r="A385" s="418"/>
      <c r="B385" s="402"/>
      <c r="C385" s="404"/>
      <c r="D385" s="221"/>
      <c r="E385" s="394" t="str">
        <f>IF(C383="","",VLOOKUP(D383,男子登録!$A$2:$O$2001,14,0)&amp;" ("&amp;VLOOKUP(D383,男子登録!$A$2:$O$2001,15,0)&amp;")")</f>
        <v/>
      </c>
      <c r="F385" s="394"/>
      <c r="G385" s="222" t="str">
        <f>IF(C383="","",(VLOOKUP(D383,男子登録!$A$2:$N$2001,9,0)))</f>
        <v/>
      </c>
      <c r="H385" s="222"/>
      <c r="I385" s="222" t="s">
        <v>4021</v>
      </c>
      <c r="J385" s="150"/>
      <c r="K385" s="222" t="s">
        <v>6760</v>
      </c>
      <c r="L385" s="150"/>
      <c r="M385" s="255"/>
      <c r="N385" s="256"/>
      <c r="O385" s="257"/>
      <c r="P385" s="149"/>
      <c r="Q385" s="399"/>
      <c r="R385" s="392"/>
      <c r="S385" s="136"/>
      <c r="T385" s="137"/>
      <c r="U385" s="137"/>
      <c r="V385" s="137"/>
      <c r="W385" s="137"/>
      <c r="X385" s="137"/>
      <c r="Y385" s="218">
        <f t="shared" ref="Y385" si="4338">IF(OR(E383="",J385=""),0,J385&amp;E383)</f>
        <v>0</v>
      </c>
      <c r="Z385" s="218">
        <f>IF(Y385=0,0,COUNTIF($Y$7:Y385,Y385))</f>
        <v>0</v>
      </c>
      <c r="AD385" s="218">
        <f>IFERROR(VLOOKUP(J385,競技会設定!$P$2:$S$22,2,0),0)</f>
        <v>0</v>
      </c>
      <c r="AE385" s="218">
        <f t="shared" ref="AE385" si="4339">IF(E383="",0,IF(AD385=0,0,IF(AD385&lt;3,E383&amp;$AE$6,0)))</f>
        <v>0</v>
      </c>
      <c r="AF385" s="218">
        <f>IF(AE385=0,0,E383&amp;COUNTIF($AE$7:AE385,AE385))</f>
        <v>0</v>
      </c>
      <c r="AG385" s="218">
        <f t="shared" ref="AG385" si="4340">IF(E383="",0,IF(AD385=0,0,IF(AD385&gt;=3,E383&amp;$AG$6,0)))</f>
        <v>0</v>
      </c>
      <c r="AH385" s="218">
        <f>IF(AG385=0,0,E383&amp;COUNTIF($AG$7:AG385,AG385))</f>
        <v>0</v>
      </c>
      <c r="AI385" s="218">
        <f t="shared" si="3798"/>
        <v>0</v>
      </c>
      <c r="AJ385" s="218" t="b">
        <f>IF(AI385=0,FALSE,IF(COUNTIF(AI$7:AI385,AI385)&gt;1,TRUE,FALSE))</f>
        <v>0</v>
      </c>
      <c r="AK385" s="218">
        <f t="shared" ref="AK385" si="4341">IF($AD385=AK$6,$E383,0)</f>
        <v>0</v>
      </c>
      <c r="AL385" s="218" t="b">
        <f>IF(AK385=0,FALSE,IF(COUNTIF(AK$7:AK385,AK385)&gt;1,TRUE,FALSE))</f>
        <v>0</v>
      </c>
      <c r="AM385" s="218">
        <f t="shared" ref="AM385" si="4342">IF($AD385=AM$6,$E383,0)</f>
        <v>0</v>
      </c>
      <c r="AN385" s="218" t="b">
        <f>IF(AM385=0,FALSE,IF(COUNTIF(AM$7:AM385,AM385)&gt;1,TRUE,FALSE))</f>
        <v>0</v>
      </c>
      <c r="AO385" s="218">
        <f t="shared" ref="AO385" si="4343">IF($AD385=AO$6,$E383,0)</f>
        <v>0</v>
      </c>
      <c r="AP385" s="218" t="b">
        <f>IF(AO385=0,FALSE,IF(COUNTIF(AO$7:AO385,AO385)&gt;1,TRUE,FALSE))</f>
        <v>0</v>
      </c>
      <c r="AQ385" s="218">
        <f t="shared" ref="AQ385" si="4344">IF(COUNTIF(Y385,"*十種競技*")&gt;0,E383,0)</f>
        <v>0</v>
      </c>
      <c r="AR385" s="218" t="b">
        <f>IF(AQ385=0,FALSE,IF(OR(COUNTIF($AI$7:$AI$406,AQ385)+COUNTIF($AQ385:$AQ$406,AQ385)&gt;1,COUNTIF($AK$7:$AK$406,AQ385)+COUNTIF($AQ$7:$AQ$406,AQ385)&gt;1),TRUE,FALSE))</f>
        <v>0</v>
      </c>
      <c r="AT385" s="218" t="b">
        <f t="shared" si="3694"/>
        <v>0</v>
      </c>
      <c r="AU385" s="274"/>
      <c r="AX385" s="274"/>
      <c r="BD385" s="218" t="b">
        <f t="shared" si="3681"/>
        <v>0</v>
      </c>
      <c r="BF385" s="231" t="b">
        <f t="shared" ref="BF385" si="4345">IF(J385="",FALSE,IF(OR(AND(AU383,L385=""),AND(AU383,L385="",OR(M385&lt;&gt;"",N385&lt;&gt;"",O385&lt;&gt;"",P385&lt;&gt;""))),TRUE,FALSE))</f>
        <v>0</v>
      </c>
      <c r="BG385" s="218" t="b">
        <f t="shared" si="3683"/>
        <v>0</v>
      </c>
      <c r="BH385" s="218" t="b">
        <f t="shared" si="3696"/>
        <v>0</v>
      </c>
      <c r="BI385" s="231" t="b">
        <f t="shared" ref="BI385" si="4346">IF(J385="",FALSE,IF(L385=0,FALSE,IF(AND(AU383,NOT(BF385),OR(M385="",N385="",O385="")),TRUE,FALSE)))</f>
        <v>0</v>
      </c>
      <c r="BJ385" s="240" t="b">
        <f t="shared" si="3698"/>
        <v>0</v>
      </c>
      <c r="BK385" s="231" t="b">
        <f>IF(NOT(BJ385),FALSE,IF(AND(競技会設定!$C$5&lt;=BJ385,BJ385&lt;=競技会設定!$C$6),FALSE,TRUE))</f>
        <v>0</v>
      </c>
      <c r="BL385" s="218" t="b">
        <f>IF(J385="",FALSE,IF(L385=0,FALSE,IF(AND(AU383,NOT(BF385),NOT(BI385),P385=""),TRUE,FALSE)))</f>
        <v>0</v>
      </c>
      <c r="BO385" s="274"/>
    </row>
    <row r="386" spans="1:67" ht="18" customHeight="1" thickBot="1">
      <c r="A386" s="419"/>
      <c r="B386" s="395" t="s">
        <v>6764</v>
      </c>
      <c r="C386" s="395"/>
      <c r="D386" s="221"/>
      <c r="E386" s="372"/>
      <c r="F386" s="372"/>
      <c r="G386" s="372"/>
      <c r="H386" s="214"/>
      <c r="I386" s="214" t="s">
        <v>6759</v>
      </c>
      <c r="J386" s="219"/>
      <c r="K386" s="214" t="s">
        <v>6761</v>
      </c>
      <c r="L386" s="219"/>
      <c r="M386" s="258"/>
      <c r="N386" s="259"/>
      <c r="O386" s="260"/>
      <c r="P386" s="219"/>
      <c r="Q386" s="400"/>
      <c r="R386" s="393"/>
      <c r="S386" s="136"/>
      <c r="T386" s="137"/>
      <c r="U386" s="137"/>
      <c r="V386" s="137"/>
      <c r="W386" s="137"/>
      <c r="X386" s="137"/>
      <c r="Y386" s="218">
        <f t="shared" ref="Y386" si="4347">IF(OR(E383="",J386=""),0,J386&amp;E383)</f>
        <v>0</v>
      </c>
      <c r="Z386" s="218">
        <f>IF(Y386=0,0,COUNTIF($Y$7:Y386,Y386))</f>
        <v>0</v>
      </c>
      <c r="AD386" s="218">
        <f>IFERROR(VLOOKUP(J386,競技会設定!$P$2:$S$22,2,0),0)</f>
        <v>0</v>
      </c>
      <c r="AE386" s="218">
        <f t="shared" ref="AE386" si="4348">IF(E383="",0,IF(AD386=0,0,IF(AD386&lt;3,E383&amp;$AE$6,0)))</f>
        <v>0</v>
      </c>
      <c r="AF386" s="218">
        <f>IF(AE386=0,0,E383&amp;COUNTIF($AE$7:AE386,AE386))</f>
        <v>0</v>
      </c>
      <c r="AG386" s="218">
        <f t="shared" ref="AG386" si="4349">IF(E383="",0,IF(AD386=0,0,IF(AD386&gt;=3,E383&amp;$AG$6,0)))</f>
        <v>0</v>
      </c>
      <c r="AH386" s="218">
        <f>IF(AG386=0,0,E383&amp;COUNTIF($AG$7:AG386,AG386))</f>
        <v>0</v>
      </c>
      <c r="AI386" s="218">
        <f t="shared" si="3808"/>
        <v>0</v>
      </c>
      <c r="AJ386" s="218" t="b">
        <f>IF(AI386=0,FALSE,IF(COUNTIF(AI$7:AI386,AI386)&gt;1,TRUE,FALSE))</f>
        <v>0</v>
      </c>
      <c r="AK386" s="218">
        <f t="shared" ref="AK386" si="4350">IF($AD386=AK$6,$E383,0)</f>
        <v>0</v>
      </c>
      <c r="AL386" s="218" t="b">
        <f>IF(AK386=0,FALSE,IF(COUNTIF(AK$7:AK386,AK386)&gt;1,TRUE,FALSE))</f>
        <v>0</v>
      </c>
      <c r="AM386" s="218">
        <f t="shared" ref="AM386" si="4351">IF($AD386=AM$6,$E383,0)</f>
        <v>0</v>
      </c>
      <c r="AN386" s="218" t="b">
        <f>IF(AM386=0,FALSE,IF(COUNTIF(AM$7:AM386,AM386)&gt;1,TRUE,FALSE))</f>
        <v>0</v>
      </c>
      <c r="AO386" s="218">
        <f t="shared" ref="AO386" si="4352">IF($AD386=AO$6,$E383,0)</f>
        <v>0</v>
      </c>
      <c r="AP386" s="218" t="b">
        <f>IF(AO386=0,FALSE,IF(COUNTIF(AO$7:AO386,AO386)&gt;1,TRUE,FALSE))</f>
        <v>0</v>
      </c>
      <c r="AQ386" s="218">
        <f t="shared" ref="AQ386" si="4353">IF(COUNTIF(Y386,"*十種競技*")&gt;0,E383,0)</f>
        <v>0</v>
      </c>
      <c r="AR386" s="218" t="b">
        <f>IF(AQ386=0,FALSE,IF(OR(COUNTIF($AI$7:$AI$406,AQ386)+COUNTIF($AQ386:$AQ$406,AQ386)&gt;1,COUNTIF($AK$7:$AK$406,AQ386)+COUNTIF($AQ$7:$AQ$406,AQ386)&gt;1),TRUE,FALSE))</f>
        <v>0</v>
      </c>
      <c r="AT386" s="218" t="b">
        <f t="shared" si="3694"/>
        <v>0</v>
      </c>
      <c r="AU386" s="274"/>
      <c r="AX386" s="274"/>
      <c r="BD386" s="218" t="b">
        <f t="shared" si="3681"/>
        <v>0</v>
      </c>
      <c r="BF386" s="231" t="b">
        <f t="shared" ref="BF386" si="4354">IF(J386="",FALSE,IF(OR(AND(AU383,L386=""),AND(AU383,L386="",OR(M386&lt;&gt;"",N386&lt;&gt;"",O386&lt;&gt;"",P386&lt;&gt;""))),TRUE,FALSE))</f>
        <v>0</v>
      </c>
      <c r="BG386" s="218" t="b">
        <f t="shared" si="3683"/>
        <v>0</v>
      </c>
      <c r="BH386" s="218" t="b">
        <f t="shared" si="3696"/>
        <v>0</v>
      </c>
      <c r="BI386" s="231" t="b">
        <f t="shared" ref="BI386" si="4355">IF(J386="",FALSE,IF(L386=0,FALSE,IF(AND(AU383,NOT(BF386),OR(M386="",N386="",O386="")),TRUE,FALSE)))</f>
        <v>0</v>
      </c>
      <c r="BJ386" s="240" t="b">
        <f t="shared" si="3698"/>
        <v>0</v>
      </c>
      <c r="BK386" s="231" t="b">
        <f>IF(NOT(BJ386),FALSE,IF(AND(競技会設定!$C$5&lt;=BJ386,BJ386&lt;=競技会設定!$C$6),FALSE,TRUE))</f>
        <v>0</v>
      </c>
      <c r="BL386" s="218" t="b">
        <f>IF(J386="",FALSE,IF(L386=0,FALSE,IF(AND(AU383,NOT(BF386),NOT(BI386),P386=""),TRUE,FALSE)))</f>
        <v>0</v>
      </c>
      <c r="BO386" s="274"/>
    </row>
    <row r="387" spans="1:67" ht="18" customHeight="1" thickTop="1">
      <c r="A387" s="420">
        <v>96</v>
      </c>
      <c r="B387" s="373" t="s">
        <v>4018</v>
      </c>
      <c r="C387" s="375"/>
      <c r="D387" s="138" t="str">
        <f t="shared" ref="D387" si="4356">IF(C387="","",501&amp;TEXT(C387,"000000"))</f>
        <v/>
      </c>
      <c r="E387" s="377" t="str">
        <f>IF(D387="","",(VLOOKUP(D387,男子登録!$A$2:$N$2001,3,0)))</f>
        <v/>
      </c>
      <c r="F387" s="377" t="str">
        <f>IF(D387="","",(VLOOKUP(D387,男子登録!$A$2:$N$2001,4,0)))</f>
        <v/>
      </c>
      <c r="G387" s="138" t="str">
        <f>IF(C387="","",(VLOOKUP(D387,男子登録!$A$2:$N$2001,8,0)))</f>
        <v/>
      </c>
      <c r="H387" s="138">
        <f>IFERROR(VLOOKUP(D387,男子登録!$A$2:$N$2001,11,0),基本情報!$E$5)</f>
        <v>0</v>
      </c>
      <c r="I387" s="138" t="s">
        <v>4019</v>
      </c>
      <c r="J387" s="151"/>
      <c r="K387" s="138" t="s">
        <v>4022</v>
      </c>
      <c r="L387" s="151"/>
      <c r="M387" s="261"/>
      <c r="N387" s="262"/>
      <c r="O387" s="263"/>
      <c r="P387" s="151"/>
      <c r="Q387" s="381"/>
      <c r="R387" s="384"/>
      <c r="S387" s="136">
        <f t="shared" ref="S387" si="4357">IF(OR(E387="",Q387=""),0,E387)</f>
        <v>0</v>
      </c>
      <c r="T387" s="137">
        <f>IF(S387=0,0,COUNTIF($S$7:S387,"*"))</f>
        <v>0</v>
      </c>
      <c r="U387" s="137">
        <f>IF(S387=0,0,COUNTIF($S$7:S387,S387))</f>
        <v>0</v>
      </c>
      <c r="V387" s="137">
        <f t="shared" si="3913"/>
        <v>0</v>
      </c>
      <c r="W387" s="137">
        <f>IF(V387=0,0,COUNTIF($V$7:V387,"*"))</f>
        <v>0</v>
      </c>
      <c r="X387" s="137">
        <f>IF(V387=0,0,COUNTIF($V$7:V387,V387))</f>
        <v>0</v>
      </c>
      <c r="Y387" s="218">
        <f t="shared" ref="Y387" si="4358">IF(OR(E387="",J387=""),0,J387&amp;E387)</f>
        <v>0</v>
      </c>
      <c r="Z387" s="218">
        <f>IF(Y387=0,0,COUNTIF($Y$7:Y387,Y387))</f>
        <v>0</v>
      </c>
      <c r="AA387" s="218" t="b">
        <f t="shared" ref="AA387" si="4359">IF(COUNTIF(J387:J390,"十種競技")&gt;0,TRUE,FALSE)</f>
        <v>0</v>
      </c>
      <c r="AB387" s="218">
        <f>IF(E387="",0,IF(AA387,COUNTIF($AA$7:AA387,TRUE),0))</f>
        <v>0</v>
      </c>
      <c r="AC387" s="218">
        <f>IFERROR(VLOOKUP("十種競技",J387:L390,3,0),0)</f>
        <v>0</v>
      </c>
      <c r="AD387" s="218">
        <f>IFERROR(VLOOKUP(J387,競技会設定!$P$2:$S$22,2,0),0)</f>
        <v>0</v>
      </c>
      <c r="AE387" s="218">
        <f t="shared" ref="AE387" si="4360">IF(E387="",0,IF(AD387=0,0,IF(AD387&lt;3,E387&amp;$AE$6,0)))</f>
        <v>0</v>
      </c>
      <c r="AF387" s="218">
        <f>IF(AE387=0,0,E387&amp;COUNTIF($AE$7:AE387,AE387))</f>
        <v>0</v>
      </c>
      <c r="AG387" s="218">
        <f t="shared" ref="AG387" si="4361">IF(E387="",0,IF(AD387=0,0,IF(AD387&gt;=3,E387&amp;$AG$6,0)))</f>
        <v>0</v>
      </c>
      <c r="AH387" s="218">
        <f>IF(AG387=0,0,E387&amp;COUNTIF($AG$7:AG387,AG387))</f>
        <v>0</v>
      </c>
      <c r="AI387" s="218">
        <f t="shared" si="3821"/>
        <v>0</v>
      </c>
      <c r="AJ387" s="218" t="b">
        <f>IF(AI387=0,FALSE,IF(COUNTIF(AI$7:AI387,AI387)&gt;1,TRUE,FALSE))</f>
        <v>0</v>
      </c>
      <c r="AK387" s="218">
        <f t="shared" ref="AK387" si="4362">IF($AD387=AK$6,$E387,0)</f>
        <v>0</v>
      </c>
      <c r="AL387" s="218" t="b">
        <f>IF(AK387=0,FALSE,IF(COUNTIF(AK$7:AK387,AK387)&gt;1,TRUE,FALSE))</f>
        <v>0</v>
      </c>
      <c r="AM387" s="218">
        <f t="shared" ref="AM387" si="4363">IF($AD387=AM$6,$E387,0)</f>
        <v>0</v>
      </c>
      <c r="AN387" s="218" t="b">
        <f>IF(AM387=0,FALSE,IF(COUNTIF(AM$7:AM387,AM387)&gt;1,TRUE,FALSE))</f>
        <v>0</v>
      </c>
      <c r="AO387" s="218">
        <f t="shared" ref="AO387" si="4364">IF($AD387=AO$6,$E387,0)</f>
        <v>0</v>
      </c>
      <c r="AP387" s="218" t="b">
        <f>IF(AO387=0,FALSE,IF(COUNTIF(AO$7:AO387,AO387)&gt;1,TRUE,FALSE))</f>
        <v>0</v>
      </c>
      <c r="AQ387" s="218">
        <f t="shared" ref="AQ387" si="4365">IF(COUNTIF(Y387,"*十種競技*")&gt;0,E387,0)</f>
        <v>0</v>
      </c>
      <c r="AR387" s="218" t="b">
        <f>IF(AQ387=0,FALSE,IF(OR(COUNTIF($AI$7:$AI$406,AQ387)+COUNTIF($AQ387:$AQ$406,AQ387)&gt;1,COUNTIF($AK$7:$AK$406,AQ387)+COUNTIF($AQ$7:$AQ$406,AQ387)&gt;1),TRUE,FALSE))</f>
        <v>0</v>
      </c>
      <c r="AS387" s="218" t="b">
        <f t="shared" ref="AS387" si="4366">IF(AND(C387="",E387&lt;&gt;"",F387&lt;&gt;"",E389&lt;&gt;"",G387&lt;&gt;"",G388&lt;&gt;"",G389&lt;&gt;""),TRUE,FALSE)</f>
        <v>0</v>
      </c>
      <c r="AT387" s="218" t="b">
        <f t="shared" si="3694"/>
        <v>0</v>
      </c>
      <c r="AU387" s="274" t="b">
        <f t="shared" ref="AU387" si="4367">IFERROR(IF(D387&amp;E387&amp;F387&amp;E389&amp;G387&amp;G388&amp;G389&amp;J387&amp;J388&amp;J389&amp;J390&amp;L387&amp;L388&amp;L389&amp;L390&amp;M387&amp;M388&amp;M389&amp;M390&amp;N387&amp;N388&amp;N389&amp;N390&amp;O387&amp;O388&amp;O389&amp;O390&amp;P387&amp;P388&amp;P389&amp;P390&amp;Q387&amp;R387="",FALSE,TRUE),FALSE)</f>
        <v>0</v>
      </c>
      <c r="AV387" s="218" t="b">
        <f t="shared" ref="AV387" si="4368">IF(AS387,FALSE,IF(C387="",AU387,FALSE))</f>
        <v>0</v>
      </c>
      <c r="AW387" s="218" t="b">
        <f>IF(C387="",FALSE,IF(C387&gt;2000,TRUE,FALSE))</f>
        <v>0</v>
      </c>
      <c r="AX387" s="274" t="b">
        <f>IF(H387=0,FALSE,IF(EXACT(基本情報!$E$5,H387)=TRUE,FALSE,TRUE))</f>
        <v>0</v>
      </c>
      <c r="AY387" s="218" t="b">
        <f>IF(C387="",FALSE,IF(ISNA(E387)=TRUE,TRUE,FALSE))</f>
        <v>0</v>
      </c>
      <c r="AZ387" s="274" t="b">
        <f>IFERROR(IF(E387="",FALSE,IF(COUNTIF($E$7:E387,E387)&gt;1,TRUE,FALSE)),FALSE)</f>
        <v>0</v>
      </c>
      <c r="BA387" s="218" t="b">
        <f t="shared" ref="BA387" si="4369">IF(OR(J387&amp;J388&amp;J389&amp;J390&amp;Q387&amp;R387="",AT387,AT388,AT389,AT390),AU387,FALSE)</f>
        <v>0</v>
      </c>
      <c r="BB387" s="218" t="b">
        <f>IF(U387&gt;1,TRUE,FALSE)</f>
        <v>0</v>
      </c>
      <c r="BC387" s="218" t="b">
        <f>IF(X387&gt;1,TRUE,FALSE)</f>
        <v>0</v>
      </c>
      <c r="BD387" s="218" t="b">
        <f t="shared" si="3681"/>
        <v>0</v>
      </c>
      <c r="BF387" s="231" t="b">
        <f t="shared" ref="BF387" si="4370">IF(J387="",FALSE,IF(OR(AND(AU387,L387=""),AND(AU387,L387="",OR(M387&lt;&gt;"",N387&lt;&gt;"",O387&lt;&gt;"",P387&lt;&gt;""))),TRUE,FALSE))</f>
        <v>0</v>
      </c>
      <c r="BG387" s="218" t="b">
        <f t="shared" si="3683"/>
        <v>0</v>
      </c>
      <c r="BH387" s="218" t="b">
        <f t="shared" si="3696"/>
        <v>0</v>
      </c>
      <c r="BI387" s="231" t="b">
        <f t="shared" ref="BI387" si="4371">IF(J387="",FALSE,IF(L387=0,FALSE,IF(AND(AU387,NOT(BF387),OR(M387="",N387="",O387="")),TRUE,FALSE)))</f>
        <v>0</v>
      </c>
      <c r="BJ387" s="240" t="b">
        <f t="shared" si="3698"/>
        <v>0</v>
      </c>
      <c r="BK387" s="231" t="b">
        <f>IF(NOT(BJ387),FALSE,IF(AND(競技会設定!$C$5&lt;=BJ387,BJ387&lt;=競技会設定!$C$6),FALSE,TRUE))</f>
        <v>0</v>
      </c>
      <c r="BL387" s="218" t="b">
        <f>IF(J387="",FALSE,IF(L387=0,FALSE,IF(AND(AU387,NOT(BF387),NOT(BI387),P387=""),TRUE,FALSE)))</f>
        <v>0</v>
      </c>
      <c r="BO387" s="274">
        <f t="shared" ref="BO387" si="4372">IF(AND(AU387,SUM(COUNTIF(AV387:BC387,TRUE),COUNTIF(BF387:BL390,TRUE),COUNTIF(BD387:BD390,TRUE))=0,NOT($BE$7)),1,0)</f>
        <v>0</v>
      </c>
    </row>
    <row r="388" spans="1:67" ht="17.399999999999999" customHeight="1">
      <c r="A388" s="421"/>
      <c r="B388" s="374"/>
      <c r="C388" s="376"/>
      <c r="D388" s="139"/>
      <c r="E388" s="378"/>
      <c r="F388" s="378"/>
      <c r="G388" s="139" t="str">
        <f>IF(C387="","",(VLOOKUP(D387,男子登録!$A$2:$N$2001,13,0)))</f>
        <v/>
      </c>
      <c r="H388" s="139"/>
      <c r="I388" s="139" t="s">
        <v>4020</v>
      </c>
      <c r="J388" s="152"/>
      <c r="K388" s="139" t="s">
        <v>4023</v>
      </c>
      <c r="L388" s="152"/>
      <c r="M388" s="264"/>
      <c r="N388" s="265"/>
      <c r="O388" s="266"/>
      <c r="P388" s="152"/>
      <c r="Q388" s="382"/>
      <c r="R388" s="385"/>
      <c r="S388" s="136"/>
      <c r="T388" s="137"/>
      <c r="U388" s="137"/>
      <c r="V388" s="137"/>
      <c r="W388" s="137"/>
      <c r="X388" s="137"/>
      <c r="Y388" s="218">
        <f t="shared" ref="Y388" si="4373">IF(OR(E387="",J388=""),0,J388&amp;E387)</f>
        <v>0</v>
      </c>
      <c r="Z388" s="218">
        <f>IF(Y388=0,0,COUNTIF($Y$7:Y388,Y388))</f>
        <v>0</v>
      </c>
      <c r="AD388" s="218">
        <f>IFERROR(VLOOKUP(J388,競技会設定!$P$2:$S$22,2,0),0)</f>
        <v>0</v>
      </c>
      <c r="AE388" s="218">
        <f t="shared" ref="AE388" si="4374">IF(E387="",0,IF(AD388=0,0,IF(AD388&lt;3,E387&amp;$AE$6,0)))</f>
        <v>0</v>
      </c>
      <c r="AF388" s="218">
        <f>IF(AE388=0,0,E387&amp;COUNTIF($AE$7:AE388,AE388))</f>
        <v>0</v>
      </c>
      <c r="AG388" s="218">
        <f t="shared" ref="AG388" si="4375">IF(E387="",0,IF(AD388=0,0,IF(AD388&gt;=3,E387&amp;$AG$6,0)))</f>
        <v>0</v>
      </c>
      <c r="AH388" s="218">
        <f>IF(AG388=0,0,E387&amp;COUNTIF($AG$7:AG388,AG388))</f>
        <v>0</v>
      </c>
      <c r="AI388" s="218">
        <f t="shared" si="3836"/>
        <v>0</v>
      </c>
      <c r="AJ388" s="218" t="b">
        <f>IF(AI388=0,FALSE,IF(COUNTIF(AI$7:AI388,AI388)&gt;1,TRUE,FALSE))</f>
        <v>0</v>
      </c>
      <c r="AK388" s="218">
        <f t="shared" ref="AK388" si="4376">IF($AD388=AK$6,$E387,0)</f>
        <v>0</v>
      </c>
      <c r="AL388" s="218" t="b">
        <f>IF(AK388=0,FALSE,IF(COUNTIF(AK$7:AK388,AK388)&gt;1,TRUE,FALSE))</f>
        <v>0</v>
      </c>
      <c r="AM388" s="218">
        <f t="shared" ref="AM388" si="4377">IF($AD388=AM$6,$E387,0)</f>
        <v>0</v>
      </c>
      <c r="AN388" s="218" t="b">
        <f>IF(AM388=0,FALSE,IF(COUNTIF(AM$7:AM388,AM388)&gt;1,TRUE,FALSE))</f>
        <v>0</v>
      </c>
      <c r="AO388" s="218">
        <f t="shared" ref="AO388" si="4378">IF($AD388=AO$6,$E387,0)</f>
        <v>0</v>
      </c>
      <c r="AP388" s="218" t="b">
        <f>IF(AO388=0,FALSE,IF(COUNTIF(AO$7:AO388,AO388)&gt;1,TRUE,FALSE))</f>
        <v>0</v>
      </c>
      <c r="AQ388" s="218">
        <f t="shared" ref="AQ388" si="4379">IF(COUNTIF(Y388,"*十種競技*")&gt;0,E387,0)</f>
        <v>0</v>
      </c>
      <c r="AR388" s="218" t="b">
        <f>IF(AQ388=0,FALSE,IF(OR(COUNTIF($AI$7:$AI$406,AQ388)+COUNTIF($AQ388:$AQ$406,AQ388)&gt;1,COUNTIF($AK$7:$AK$406,AQ388)+COUNTIF($AQ$7:$AQ$406,AQ388)&gt;1),TRUE,FALSE))</f>
        <v>0</v>
      </c>
      <c r="AT388" s="218" t="b">
        <f t="shared" si="3694"/>
        <v>0</v>
      </c>
      <c r="AU388" s="274"/>
      <c r="AX388" s="274"/>
      <c r="BD388" s="218" t="b">
        <f t="shared" si="3681"/>
        <v>0</v>
      </c>
      <c r="BF388" s="231" t="b">
        <f t="shared" ref="BF388" si="4380">IF(J388="",FALSE,IF(OR(AND(AU387,L388=""),AND(AU387,L388="",OR(M388&lt;&gt;"",N388&lt;&gt;"",O388&lt;&gt;"",P388&lt;&gt;""))),TRUE,FALSE))</f>
        <v>0</v>
      </c>
      <c r="BG388" s="218" t="b">
        <f t="shared" si="3683"/>
        <v>0</v>
      </c>
      <c r="BH388" s="218" t="b">
        <f t="shared" si="3696"/>
        <v>0</v>
      </c>
      <c r="BI388" s="231" t="b">
        <f t="shared" ref="BI388" si="4381">IF(J388="",FALSE,IF(L388=0,FALSE,IF(AND(AU387,NOT(BF388),OR(M388="",N388="",O388="")),TRUE,FALSE)))</f>
        <v>0</v>
      </c>
      <c r="BJ388" s="240" t="b">
        <f t="shared" si="3698"/>
        <v>0</v>
      </c>
      <c r="BK388" s="231" t="b">
        <f>IF(NOT(BJ388),FALSE,IF(AND(競技会設定!$C$5&lt;=BJ388,BJ388&lt;=競技会設定!$C$6),FALSE,TRUE))</f>
        <v>0</v>
      </c>
      <c r="BL388" s="218" t="b">
        <f>IF(J388="",FALSE,IF(L388=0,FALSE,IF(AND(AU387,NOT(BF388),NOT(BI388),P388=""),TRUE,FALSE)))</f>
        <v>0</v>
      </c>
      <c r="BO388" s="274"/>
    </row>
    <row r="389" spans="1:67" ht="17.399999999999999" customHeight="1">
      <c r="A389" s="421"/>
      <c r="B389" s="374"/>
      <c r="C389" s="376"/>
      <c r="D389" s="140"/>
      <c r="E389" s="379" t="str">
        <f>IF(C387="","",VLOOKUP(D387,男子登録!$A$2:$O$2001,14,0)&amp;" ("&amp;VLOOKUP(D387,男子登録!$A$2:$O$2001,15,0)&amp;")")</f>
        <v/>
      </c>
      <c r="F389" s="380"/>
      <c r="G389" s="140" t="str">
        <f>IF(C387="","",(VLOOKUP(D387,男子登録!$A$2:$N$2001,9,0)))</f>
        <v/>
      </c>
      <c r="H389" s="140"/>
      <c r="I389" s="140" t="s">
        <v>4021</v>
      </c>
      <c r="J389" s="153"/>
      <c r="K389" s="140" t="s">
        <v>6760</v>
      </c>
      <c r="L389" s="153"/>
      <c r="M389" s="264"/>
      <c r="N389" s="265"/>
      <c r="O389" s="266"/>
      <c r="P389" s="152"/>
      <c r="Q389" s="382"/>
      <c r="R389" s="385"/>
      <c r="S389" s="136"/>
      <c r="T389" s="137"/>
      <c r="U389" s="137"/>
      <c r="V389" s="137"/>
      <c r="W389" s="137"/>
      <c r="X389" s="137"/>
      <c r="Y389" s="218">
        <f t="shared" ref="Y389" si="4382">IF(OR(E387="",J389=""),0,J389&amp;E387)</f>
        <v>0</v>
      </c>
      <c r="Z389" s="218">
        <f>IF(Y389=0,0,COUNTIF($Y$7:Y389,Y389))</f>
        <v>0</v>
      </c>
      <c r="AD389" s="218">
        <f>IFERROR(VLOOKUP(J389,競技会設定!$P$2:$S$22,2,0),0)</f>
        <v>0</v>
      </c>
      <c r="AE389" s="218">
        <f t="shared" ref="AE389" si="4383">IF(E387="",0,IF(AD389=0,0,IF(AD389&lt;3,E387&amp;$AE$6,0)))</f>
        <v>0</v>
      </c>
      <c r="AF389" s="218">
        <f>IF(AE389=0,0,E387&amp;COUNTIF($AE$7:AE389,AE389))</f>
        <v>0</v>
      </c>
      <c r="AG389" s="218">
        <f t="shared" ref="AG389" si="4384">IF(E387="",0,IF(AD389=0,0,IF(AD389&gt;=3,E387&amp;$AG$6,0)))</f>
        <v>0</v>
      </c>
      <c r="AH389" s="218">
        <f>IF(AG389=0,0,E387&amp;COUNTIF($AG$7:AG389,AG389))</f>
        <v>0</v>
      </c>
      <c r="AI389" s="218">
        <f t="shared" si="3846"/>
        <v>0</v>
      </c>
      <c r="AJ389" s="218" t="b">
        <f>IF(AI389=0,FALSE,IF(COUNTIF(AI$7:AI389,AI389)&gt;1,TRUE,FALSE))</f>
        <v>0</v>
      </c>
      <c r="AK389" s="218">
        <f t="shared" ref="AK389" si="4385">IF($AD389=AK$6,$E387,0)</f>
        <v>0</v>
      </c>
      <c r="AL389" s="218" t="b">
        <f>IF(AK389=0,FALSE,IF(COUNTIF(AK$7:AK389,AK389)&gt;1,TRUE,FALSE))</f>
        <v>0</v>
      </c>
      <c r="AM389" s="218">
        <f t="shared" ref="AM389" si="4386">IF($AD389=AM$6,$E387,0)</f>
        <v>0</v>
      </c>
      <c r="AN389" s="218" t="b">
        <f>IF(AM389=0,FALSE,IF(COUNTIF(AM$7:AM389,AM389)&gt;1,TRUE,FALSE))</f>
        <v>0</v>
      </c>
      <c r="AO389" s="218">
        <f t="shared" ref="AO389" si="4387">IF($AD389=AO$6,$E387,0)</f>
        <v>0</v>
      </c>
      <c r="AP389" s="218" t="b">
        <f>IF(AO389=0,FALSE,IF(COUNTIF(AO$7:AO389,AO389)&gt;1,TRUE,FALSE))</f>
        <v>0</v>
      </c>
      <c r="AQ389" s="218">
        <f t="shared" ref="AQ389" si="4388">IF(COUNTIF(Y389,"*十種競技*")&gt;0,E387,0)</f>
        <v>0</v>
      </c>
      <c r="AR389" s="218" t="b">
        <f>IF(AQ389=0,FALSE,IF(OR(COUNTIF($AI$7:$AI$406,AQ389)+COUNTIF($AQ389:$AQ$406,AQ389)&gt;1,COUNTIF($AK$7:$AK$406,AQ389)+COUNTIF($AQ$7:$AQ$406,AQ389)&gt;1),TRUE,FALSE))</f>
        <v>0</v>
      </c>
      <c r="AT389" s="218" t="b">
        <f t="shared" si="3694"/>
        <v>0</v>
      </c>
      <c r="AU389" s="274"/>
      <c r="AX389" s="274"/>
      <c r="BD389" s="218" t="b">
        <f t="shared" si="3681"/>
        <v>0</v>
      </c>
      <c r="BF389" s="231" t="b">
        <f t="shared" ref="BF389" si="4389">IF(J389="",FALSE,IF(OR(AND(AU387,L389=""),AND(AU387,L389="",OR(M389&lt;&gt;"",N389&lt;&gt;"",O389&lt;&gt;"",P389&lt;&gt;""))),TRUE,FALSE))</f>
        <v>0</v>
      </c>
      <c r="BG389" s="218" t="b">
        <f t="shared" si="3683"/>
        <v>0</v>
      </c>
      <c r="BH389" s="218" t="b">
        <f t="shared" si="3696"/>
        <v>0</v>
      </c>
      <c r="BI389" s="231" t="b">
        <f t="shared" ref="BI389" si="4390">IF(J389="",FALSE,IF(L389=0,FALSE,IF(AND(AU387,NOT(BF389),OR(M389="",N389="",O389="")),TRUE,FALSE)))</f>
        <v>0</v>
      </c>
      <c r="BJ389" s="240" t="b">
        <f t="shared" si="3698"/>
        <v>0</v>
      </c>
      <c r="BK389" s="231" t="b">
        <f>IF(NOT(BJ389),FALSE,IF(AND(競技会設定!$C$5&lt;=BJ389,BJ389&lt;=競技会設定!$C$6),FALSE,TRUE))</f>
        <v>0</v>
      </c>
      <c r="BL389" s="218" t="b">
        <f>IF(J389="",FALSE,IF(L389=0,FALSE,IF(AND(AU387,NOT(BF389),NOT(BI389),P389=""),TRUE,FALSE)))</f>
        <v>0</v>
      </c>
      <c r="BO389" s="274"/>
    </row>
    <row r="390" spans="1:67" ht="18" customHeight="1" thickBot="1">
      <c r="A390" s="422"/>
      <c r="B390" s="387" t="s">
        <v>6764</v>
      </c>
      <c r="C390" s="387"/>
      <c r="D390" s="213"/>
      <c r="E390" s="388"/>
      <c r="F390" s="389"/>
      <c r="G390" s="390"/>
      <c r="H390" s="141"/>
      <c r="I390" s="213" t="s">
        <v>6759</v>
      </c>
      <c r="J390" s="154"/>
      <c r="K390" s="213" t="s">
        <v>6761</v>
      </c>
      <c r="L390" s="154"/>
      <c r="M390" s="267"/>
      <c r="N390" s="268"/>
      <c r="O390" s="269"/>
      <c r="P390" s="154"/>
      <c r="Q390" s="383"/>
      <c r="R390" s="386"/>
      <c r="S390" s="136"/>
      <c r="T390" s="137"/>
      <c r="U390" s="137"/>
      <c r="V390" s="137"/>
      <c r="W390" s="137"/>
      <c r="X390" s="137"/>
      <c r="Y390" s="218">
        <f t="shared" ref="Y390" si="4391">IF(OR(E387="",J390=""),0,J390&amp;E387)</f>
        <v>0</v>
      </c>
      <c r="Z390" s="218">
        <f>IF(Y390=0,0,COUNTIF($Y$7:Y390,Y390))</f>
        <v>0</v>
      </c>
      <c r="AD390" s="218">
        <f>IFERROR(VLOOKUP(J390,競技会設定!$P$2:$S$22,2,0),0)</f>
        <v>0</v>
      </c>
      <c r="AE390" s="218">
        <f t="shared" ref="AE390" si="4392">IF(E387="",0,IF(AD390=0,0,IF(AD390&lt;3,E387&amp;$AE$6,0)))</f>
        <v>0</v>
      </c>
      <c r="AF390" s="218">
        <f>IF(AE390=0,0,E387&amp;COUNTIF($AE$7:AE390,AE390))</f>
        <v>0</v>
      </c>
      <c r="AG390" s="218">
        <f t="shared" ref="AG390" si="4393">IF(E387="",0,IF(AD390=0,0,IF(AD390&gt;=3,E387&amp;$AG$6,0)))</f>
        <v>0</v>
      </c>
      <c r="AH390" s="218">
        <f>IF(AG390=0,0,E387&amp;COUNTIF($AG$7:AG390,AG390))</f>
        <v>0</v>
      </c>
      <c r="AI390" s="218">
        <f t="shared" si="3856"/>
        <v>0</v>
      </c>
      <c r="AJ390" s="218" t="b">
        <f>IF(AI390=0,FALSE,IF(COUNTIF(AI$7:AI390,AI390)&gt;1,TRUE,FALSE))</f>
        <v>0</v>
      </c>
      <c r="AK390" s="218">
        <f t="shared" ref="AK390" si="4394">IF($AD390=AK$6,$E387,0)</f>
        <v>0</v>
      </c>
      <c r="AL390" s="218" t="b">
        <f>IF(AK390=0,FALSE,IF(COUNTIF(AK$7:AK390,AK390)&gt;1,TRUE,FALSE))</f>
        <v>0</v>
      </c>
      <c r="AM390" s="218">
        <f t="shared" ref="AM390" si="4395">IF($AD390=AM$6,$E387,0)</f>
        <v>0</v>
      </c>
      <c r="AN390" s="218" t="b">
        <f>IF(AM390=0,FALSE,IF(COUNTIF(AM$7:AM390,AM390)&gt;1,TRUE,FALSE))</f>
        <v>0</v>
      </c>
      <c r="AO390" s="218">
        <f t="shared" ref="AO390" si="4396">IF($AD390=AO$6,$E387,0)</f>
        <v>0</v>
      </c>
      <c r="AP390" s="218" t="b">
        <f>IF(AO390=0,FALSE,IF(COUNTIF(AO$7:AO390,AO390)&gt;1,TRUE,FALSE))</f>
        <v>0</v>
      </c>
      <c r="AQ390" s="218">
        <f t="shared" ref="AQ390" si="4397">IF(COUNTIF(Y390,"*十種競技*")&gt;0,E387,0)</f>
        <v>0</v>
      </c>
      <c r="AR390" s="218" t="b">
        <f>IF(AQ390=0,FALSE,IF(OR(COUNTIF($AI$7:$AI$406,AQ390)+COUNTIF($AQ390:$AQ$406,AQ390)&gt;1,COUNTIF($AK$7:$AK$406,AQ390)+COUNTIF($AQ$7:$AQ$406,AQ390)&gt;1),TRUE,FALSE))</f>
        <v>0</v>
      </c>
      <c r="AT390" s="218" t="b">
        <f t="shared" si="3694"/>
        <v>0</v>
      </c>
      <c r="AU390" s="274"/>
      <c r="AX390" s="274"/>
      <c r="BD390" s="218" t="b">
        <f t="shared" si="3681"/>
        <v>0</v>
      </c>
      <c r="BF390" s="231" t="b">
        <f t="shared" ref="BF390" si="4398">IF(J390="",FALSE,IF(OR(AND(AU387,L390=""),AND(AU387,L390="",OR(M390&lt;&gt;"",N390&lt;&gt;"",O390&lt;&gt;"",P390&lt;&gt;""))),TRUE,FALSE))</f>
        <v>0</v>
      </c>
      <c r="BG390" s="218" t="b">
        <f t="shared" si="3683"/>
        <v>0</v>
      </c>
      <c r="BH390" s="218" t="b">
        <f t="shared" si="3696"/>
        <v>0</v>
      </c>
      <c r="BI390" s="231" t="b">
        <f t="shared" ref="BI390" si="4399">IF(J390="",FALSE,IF(L390=0,FALSE,IF(AND(AU387,NOT(BF390),OR(M390="",N390="",O390="")),TRUE,FALSE)))</f>
        <v>0</v>
      </c>
      <c r="BJ390" s="240" t="b">
        <f t="shared" si="3698"/>
        <v>0</v>
      </c>
      <c r="BK390" s="231" t="b">
        <f>IF(NOT(BJ390),FALSE,IF(AND(競技会設定!$C$5&lt;=BJ390,BJ390&lt;=競技会設定!$C$6),FALSE,TRUE))</f>
        <v>0</v>
      </c>
      <c r="BL390" s="218" t="b">
        <f>IF(J390="",FALSE,IF(L390=0,FALSE,IF(AND(AU387,NOT(BF390),NOT(BI390),P390=""),TRUE,FALSE)))</f>
        <v>0</v>
      </c>
      <c r="BO390" s="274"/>
    </row>
    <row r="391" spans="1:67" ht="18" customHeight="1" thickTop="1">
      <c r="A391" s="417">
        <v>97</v>
      </c>
      <c r="B391" s="401" t="s">
        <v>4018</v>
      </c>
      <c r="C391" s="403"/>
      <c r="D391" s="220" t="str">
        <f t="shared" ref="D391" si="4400">IF(C391="","",501&amp;TEXT(C391,"000000"))</f>
        <v/>
      </c>
      <c r="E391" s="396" t="str">
        <f>IF(D391="","",(VLOOKUP(D391,男子登録!$A$2:$N$2001,3,0)))</f>
        <v/>
      </c>
      <c r="F391" s="396" t="str">
        <f>IF(D391="","",(VLOOKUP(D391,男子登録!$A$2:$N$2001,4,0)))</f>
        <v/>
      </c>
      <c r="G391" s="220" t="str">
        <f>IF(C391="","",(VLOOKUP(D391,男子登録!$A$2:$N$2001,8,0)))</f>
        <v/>
      </c>
      <c r="H391" s="220">
        <f>IFERROR(VLOOKUP(D391,男子登録!$A$2:$N$2001,11,0),基本情報!$E$5)</f>
        <v>0</v>
      </c>
      <c r="I391" s="220" t="s">
        <v>4019</v>
      </c>
      <c r="J391" s="148"/>
      <c r="K391" s="220" t="s">
        <v>4022</v>
      </c>
      <c r="L391" s="148"/>
      <c r="M391" s="252"/>
      <c r="N391" s="253"/>
      <c r="O391" s="254"/>
      <c r="P391" s="148"/>
      <c r="Q391" s="398"/>
      <c r="R391" s="391"/>
      <c r="S391" s="136">
        <f t="shared" ref="S391" si="4401">IF(OR(E391="",Q391=""),0,E391)</f>
        <v>0</v>
      </c>
      <c r="T391" s="137">
        <f>IF(S391=0,0,COUNTIF($S$7:S391,"*"))</f>
        <v>0</v>
      </c>
      <c r="U391" s="137">
        <f>IF(S391=0,0,COUNTIF($S$7:S391,S391))</f>
        <v>0</v>
      </c>
      <c r="V391" s="137">
        <f t="shared" si="3913"/>
        <v>0</v>
      </c>
      <c r="W391" s="137">
        <f>IF(V391=0,0,COUNTIF($V$7:V391,"*"))</f>
        <v>0</v>
      </c>
      <c r="X391" s="137">
        <f>IF(V391=0,0,COUNTIF($V$7:V391,V391))</f>
        <v>0</v>
      </c>
      <c r="Y391" s="218">
        <f t="shared" ref="Y391" si="4402">IF(OR(E391="",J391=""),0,J391&amp;E391)</f>
        <v>0</v>
      </c>
      <c r="Z391" s="218">
        <f>IF(Y391=0,0,COUNTIF($Y$7:Y391,Y391))</f>
        <v>0</v>
      </c>
      <c r="AA391" s="218" t="b">
        <f t="shared" ref="AA391" si="4403">IF(COUNTIF(J391:J394,"十種競技")&gt;0,TRUE,FALSE)</f>
        <v>0</v>
      </c>
      <c r="AB391" s="218">
        <f>IF(E391="",0,IF(AA391,COUNTIF($AA$7:AA391,TRUE),0))</f>
        <v>0</v>
      </c>
      <c r="AC391" s="218">
        <f>IFERROR(VLOOKUP("十種競技",J391:L394,3,0),0)</f>
        <v>0</v>
      </c>
      <c r="AD391" s="218">
        <f>IFERROR(VLOOKUP(J391,競技会設定!$P$2:$S$22,2,0),0)</f>
        <v>0</v>
      </c>
      <c r="AE391" s="218">
        <f t="shared" ref="AE391" si="4404">IF(E391="",0,IF(AD391=0,0,IF(AD391&lt;3,E391&amp;$AE$6,0)))</f>
        <v>0</v>
      </c>
      <c r="AF391" s="218">
        <f>IF(AE391=0,0,E391&amp;COUNTIF($AE$7:AE391,AE391))</f>
        <v>0</v>
      </c>
      <c r="AG391" s="218">
        <f t="shared" ref="AG391" si="4405">IF(E391="",0,IF(AD391=0,0,IF(AD391&gt;=3,E391&amp;$AG$6,0)))</f>
        <v>0</v>
      </c>
      <c r="AH391" s="218">
        <f>IF(AG391=0,0,E391&amp;COUNTIF($AG$7:AG391,AG391))</f>
        <v>0</v>
      </c>
      <c r="AI391" s="218">
        <f t="shared" ref="AI391" si="4406">IF(COUNTIF(Y391,"*十種*")&gt;0,0,IF($AD391=AI$6,$E391,0))</f>
        <v>0</v>
      </c>
      <c r="AJ391" s="218" t="b">
        <f>IF(AI391=0,FALSE,IF(COUNTIF(AI$7:AI391,AI391)&gt;1,TRUE,FALSE))</f>
        <v>0</v>
      </c>
      <c r="AK391" s="218">
        <f t="shared" ref="AK391" si="4407">IF($AD391=AK$6,$E391,0)</f>
        <v>0</v>
      </c>
      <c r="AL391" s="218" t="b">
        <f>IF(AK391=0,FALSE,IF(COUNTIF(AK$7:AK391,AK391)&gt;1,TRUE,FALSE))</f>
        <v>0</v>
      </c>
      <c r="AM391" s="218">
        <f t="shared" ref="AM391" si="4408">IF($AD391=AM$6,$E391,0)</f>
        <v>0</v>
      </c>
      <c r="AN391" s="218" t="b">
        <f>IF(AM391=0,FALSE,IF(COUNTIF(AM$7:AM391,AM391)&gt;1,TRUE,FALSE))</f>
        <v>0</v>
      </c>
      <c r="AO391" s="218">
        <f t="shared" ref="AO391" si="4409">IF($AD391=AO$6,$E391,0)</f>
        <v>0</v>
      </c>
      <c r="AP391" s="218" t="b">
        <f>IF(AO391=0,FALSE,IF(COUNTIF(AO$7:AO391,AO391)&gt;1,TRUE,FALSE))</f>
        <v>0</v>
      </c>
      <c r="AQ391" s="218">
        <f t="shared" ref="AQ391" si="4410">IF(COUNTIF(Y391,"*十種競技*")&gt;0,E391,0)</f>
        <v>0</v>
      </c>
      <c r="AR391" s="218" t="b">
        <f>IF(AQ391=0,FALSE,IF(OR(COUNTIF($AI$7:$AI$406,AQ391)+COUNTIF($AQ391:$AQ$406,AQ391)&gt;1,COUNTIF($AK$7:$AK$406,AQ391)+COUNTIF($AQ$7:$AQ$406,AQ391)&gt;1),TRUE,FALSE))</f>
        <v>0</v>
      </c>
      <c r="AS391" s="218" t="b">
        <f t="shared" ref="AS391" si="4411">IF(AND(C391="",E391&lt;&gt;"",F391&lt;&gt;"",E393&lt;&gt;"",G391&lt;&gt;"",G392&lt;&gt;"",G393&lt;&gt;""),TRUE,FALSE)</f>
        <v>0</v>
      </c>
      <c r="AT391" s="218" t="b">
        <f t="shared" si="3694"/>
        <v>0</v>
      </c>
      <c r="AU391" s="274" t="b">
        <f t="shared" ref="AU391" si="4412">IFERROR(IF(D391&amp;E391&amp;F391&amp;E393&amp;G391&amp;G392&amp;G393&amp;J391&amp;J392&amp;J393&amp;J394&amp;L391&amp;L392&amp;L393&amp;L394&amp;M391&amp;M392&amp;M393&amp;M394&amp;N391&amp;N392&amp;N393&amp;N394&amp;O391&amp;O392&amp;O393&amp;O394&amp;P391&amp;P392&amp;P393&amp;P394&amp;Q391&amp;R391="",FALSE,TRUE),FALSE)</f>
        <v>0</v>
      </c>
      <c r="AV391" s="218" t="b">
        <f t="shared" ref="AV391" si="4413">IF(AS391,FALSE,IF(C391="",AU391,FALSE))</f>
        <v>0</v>
      </c>
      <c r="AW391" s="218" t="b">
        <f>IF(C391="",FALSE,IF(C391&gt;2000,TRUE,FALSE))</f>
        <v>0</v>
      </c>
      <c r="AX391" s="274" t="b">
        <f>IF(H391=0,FALSE,IF(EXACT(基本情報!$E$5,H391)=TRUE,FALSE,TRUE))</f>
        <v>0</v>
      </c>
      <c r="AY391" s="218" t="b">
        <f>IF(C391="",FALSE,IF(ISNA(E391)=TRUE,TRUE,FALSE))</f>
        <v>0</v>
      </c>
      <c r="AZ391" s="274" t="b">
        <f>IFERROR(IF(E391="",FALSE,IF(COUNTIF($E$7:E391,E391)&gt;1,TRUE,FALSE)),FALSE)</f>
        <v>0</v>
      </c>
      <c r="BA391" s="218" t="b">
        <f t="shared" ref="BA391" si="4414">IF(OR(J391&amp;J392&amp;J393&amp;J394&amp;Q391&amp;R391="",AT391,AT392,AT393,AT394),AU391,FALSE)</f>
        <v>0</v>
      </c>
      <c r="BB391" s="218" t="b">
        <f>IF(U391&gt;1,TRUE,FALSE)</f>
        <v>0</v>
      </c>
      <c r="BC391" s="218" t="b">
        <f>IF(X391&gt;1,TRUE,FALSE)</f>
        <v>0</v>
      </c>
      <c r="BD391" s="218" t="b">
        <f t="shared" ref="BD391:BD406" si="4415">IF(Z391&gt;1,TRUE,FALSE)</f>
        <v>0</v>
      </c>
      <c r="BF391" s="231" t="b">
        <f t="shared" ref="BF391" si="4416">IF(J391="",FALSE,IF(OR(AND(AU391,L391=""),AND(AU391,L391="",OR(M391&lt;&gt;"",N391&lt;&gt;"",O391&lt;&gt;"",P391&lt;&gt;""))),TRUE,FALSE))</f>
        <v>0</v>
      </c>
      <c r="BG391" s="218" t="b">
        <f t="shared" ref="BG391:BG406" si="4417">IF(J391="",FALSE,IF(ISNUMBER(L391)&lt;&gt;TRUE,TRUE,IFERROR(IF(MOD(L391,1)=0,FALSE,TRUE),FALSE)))</f>
        <v>0</v>
      </c>
      <c r="BH391" s="218" t="b">
        <f t="shared" si="3696"/>
        <v>0</v>
      </c>
      <c r="BI391" s="231" t="b">
        <f t="shared" ref="BI391" si="4418">IF(J391="",FALSE,IF(L391=0,FALSE,IF(AND(AU391,NOT(BF391),OR(M391="",N391="",O391="")),TRUE,FALSE)))</f>
        <v>0</v>
      </c>
      <c r="BJ391" s="240" t="b">
        <f t="shared" si="3698"/>
        <v>0</v>
      </c>
      <c r="BK391" s="231" t="b">
        <f>IF(NOT(BJ391),FALSE,IF(AND(競技会設定!$C$5&lt;=BJ391,BJ391&lt;=競技会設定!$C$6),FALSE,TRUE))</f>
        <v>0</v>
      </c>
      <c r="BL391" s="218" t="b">
        <f>IF(J391="",FALSE,IF(L391=0,FALSE,IF(AND(AU391,NOT(BF391),NOT(BI391),P391=""),TRUE,FALSE)))</f>
        <v>0</v>
      </c>
      <c r="BO391" s="274">
        <f t="shared" ref="BO391" si="4419">IF(AND(AU391,SUM(COUNTIF(AV391:BC391,TRUE),COUNTIF(BF391:BL394,TRUE),COUNTIF(BD391:BD394,TRUE))=0,NOT($BE$7)),1,0)</f>
        <v>0</v>
      </c>
    </row>
    <row r="392" spans="1:67" ht="17.399999999999999" customHeight="1">
      <c r="A392" s="418"/>
      <c r="B392" s="402"/>
      <c r="C392" s="404"/>
      <c r="D392" s="221"/>
      <c r="E392" s="397"/>
      <c r="F392" s="397"/>
      <c r="G392" s="221" t="str">
        <f>IF(C391="","",(VLOOKUP(D391,男子登録!$A$2:$N$2001,13,0)))</f>
        <v/>
      </c>
      <c r="H392" s="221"/>
      <c r="I392" s="221" t="s">
        <v>4020</v>
      </c>
      <c r="J392" s="149"/>
      <c r="K392" s="221" t="s">
        <v>4023</v>
      </c>
      <c r="L392" s="149"/>
      <c r="M392" s="255"/>
      <c r="N392" s="256"/>
      <c r="O392" s="257"/>
      <c r="P392" s="149"/>
      <c r="Q392" s="399"/>
      <c r="R392" s="392"/>
      <c r="S392" s="136"/>
      <c r="T392" s="137"/>
      <c r="U392" s="137"/>
      <c r="V392" s="137"/>
      <c r="W392" s="137"/>
      <c r="X392" s="137"/>
      <c r="Y392" s="218">
        <f t="shared" ref="Y392" si="4420">IF(OR(E391="",J392=""),0,J392&amp;E391)</f>
        <v>0</v>
      </c>
      <c r="Z392" s="218">
        <f>IF(Y392=0,0,COUNTIF($Y$7:Y392,Y392))</f>
        <v>0</v>
      </c>
      <c r="AD392" s="218">
        <f>IFERROR(VLOOKUP(J392,競技会設定!$P$2:$S$22,2,0),0)</f>
        <v>0</v>
      </c>
      <c r="AE392" s="218">
        <f t="shared" ref="AE392" si="4421">IF(E391="",0,IF(AD392=0,0,IF(AD392&lt;3,E391&amp;$AE$6,0)))</f>
        <v>0</v>
      </c>
      <c r="AF392" s="218">
        <f>IF(AE392=0,0,E391&amp;COUNTIF($AE$7:AE392,AE392))</f>
        <v>0</v>
      </c>
      <c r="AG392" s="218">
        <f t="shared" ref="AG392" si="4422">IF(E391="",0,IF(AD392=0,0,IF(AD392&gt;=3,E391&amp;$AG$6,0)))</f>
        <v>0</v>
      </c>
      <c r="AH392" s="218">
        <f>IF(AG392=0,0,E391&amp;COUNTIF($AG$7:AG392,AG392))</f>
        <v>0</v>
      </c>
      <c r="AI392" s="218">
        <f t="shared" ref="AI392" si="4423">IF(COUNTIF(Y392,"*十種*")&gt;0,0,IF($AD392=AI$6,$E391,0))</f>
        <v>0</v>
      </c>
      <c r="AJ392" s="218" t="b">
        <f>IF(AI392=0,FALSE,IF(COUNTIF(AI$7:AI392,AI392)&gt;1,TRUE,FALSE))</f>
        <v>0</v>
      </c>
      <c r="AK392" s="218">
        <f t="shared" ref="AK392" si="4424">IF($AD392=AK$6,$E391,0)</f>
        <v>0</v>
      </c>
      <c r="AL392" s="218" t="b">
        <f>IF(AK392=0,FALSE,IF(COUNTIF(AK$7:AK392,AK392)&gt;1,TRUE,FALSE))</f>
        <v>0</v>
      </c>
      <c r="AM392" s="218">
        <f t="shared" ref="AM392" si="4425">IF($AD392=AM$6,$E391,0)</f>
        <v>0</v>
      </c>
      <c r="AN392" s="218" t="b">
        <f>IF(AM392=0,FALSE,IF(COUNTIF(AM$7:AM392,AM392)&gt;1,TRUE,FALSE))</f>
        <v>0</v>
      </c>
      <c r="AO392" s="218">
        <f t="shared" ref="AO392" si="4426">IF($AD392=AO$6,$E391,0)</f>
        <v>0</v>
      </c>
      <c r="AP392" s="218" t="b">
        <f>IF(AO392=0,FALSE,IF(COUNTIF(AO$7:AO392,AO392)&gt;1,TRUE,FALSE))</f>
        <v>0</v>
      </c>
      <c r="AQ392" s="218">
        <f t="shared" ref="AQ392" si="4427">IF(COUNTIF(Y392,"*十種競技*")&gt;0,E391,0)</f>
        <v>0</v>
      </c>
      <c r="AR392" s="218" t="b">
        <f>IF(AQ392=0,FALSE,IF(OR(COUNTIF($AI$7:$AI$406,AQ392)+COUNTIF($AQ392:$AQ$406,AQ392)&gt;1,COUNTIF($AK$7:$AK$406,AQ392)+COUNTIF($AQ$7:$AQ$406,AQ392)&gt;1),TRUE,FALSE))</f>
        <v>0</v>
      </c>
      <c r="AT392" s="218" t="b">
        <f t="shared" ref="AT392:AT406" si="4428">IF(AND(J392="",OR(L392&lt;&gt;"",M392&lt;&gt;"",P392&lt;&gt;"")),TRUE,FALSE)</f>
        <v>0</v>
      </c>
      <c r="AU392" s="274"/>
      <c r="AX392" s="274"/>
      <c r="BD392" s="218" t="b">
        <f t="shared" si="4415"/>
        <v>0</v>
      </c>
      <c r="BF392" s="231" t="b">
        <f t="shared" ref="BF392" si="4429">IF(J392="",FALSE,IF(OR(AND(AU391,L392=""),AND(AU391,L392="",OR(M392&lt;&gt;"",N392&lt;&gt;"",O392&lt;&gt;"",P392&lt;&gt;""))),TRUE,FALSE))</f>
        <v>0</v>
      </c>
      <c r="BG392" s="218" t="b">
        <f t="shared" si="4417"/>
        <v>0</v>
      </c>
      <c r="BH392" s="218" t="b">
        <f t="shared" ref="BH392:BH406" si="4430">IF(COUNTIF(J392,"*m*")=0,FALSE,IF(VALUE(RIGHT(INT(L392/100),2))&gt;59,TRUE,IF(VALUE(RIGHT(INT(L392/10000),2))&gt;59,TRUE,FALSE)))</f>
        <v>0</v>
      </c>
      <c r="BI392" s="231" t="b">
        <f t="shared" ref="BI392" si="4431">IF(J392="",FALSE,IF(L392=0,FALSE,IF(AND(AU391,NOT(BF392),OR(M392="",N392="",O392="")),TRUE,FALSE)))</f>
        <v>0</v>
      </c>
      <c r="BJ392" s="240" t="b">
        <f t="shared" ref="BJ392:BJ406" si="4432">IF(OR(M392="",N392="",O392=""),FALSE,DATE(M392,N392,O392))</f>
        <v>0</v>
      </c>
      <c r="BK392" s="231" t="b">
        <f>IF(NOT(BJ392),FALSE,IF(AND(競技会設定!$C$5&lt;=BJ392,BJ392&lt;=競技会設定!$C$6),FALSE,TRUE))</f>
        <v>0</v>
      </c>
      <c r="BL392" s="218" t="b">
        <f>IF(J392="",FALSE,IF(L392=0,FALSE,IF(AND(AU391,NOT(BF392),NOT(BI392),P392=""),TRUE,FALSE)))</f>
        <v>0</v>
      </c>
      <c r="BO392" s="274"/>
    </row>
    <row r="393" spans="1:67" ht="17.399999999999999" customHeight="1">
      <c r="A393" s="418"/>
      <c r="B393" s="402"/>
      <c r="C393" s="404"/>
      <c r="D393" s="221"/>
      <c r="E393" s="394" t="str">
        <f>IF(C391="","",VLOOKUP(D391,男子登録!$A$2:$O$2001,14,0)&amp;" ("&amp;VLOOKUP(D391,男子登録!$A$2:$O$2001,15,0)&amp;")")</f>
        <v/>
      </c>
      <c r="F393" s="394"/>
      <c r="G393" s="222" t="str">
        <f>IF(C391="","",(VLOOKUP(D391,男子登録!$A$2:$N$2001,9,0)))</f>
        <v/>
      </c>
      <c r="H393" s="222"/>
      <c r="I393" s="222" t="s">
        <v>4021</v>
      </c>
      <c r="J393" s="150"/>
      <c r="K393" s="222" t="s">
        <v>6760</v>
      </c>
      <c r="L393" s="150"/>
      <c r="M393" s="255"/>
      <c r="N393" s="256"/>
      <c r="O393" s="257"/>
      <c r="P393" s="149"/>
      <c r="Q393" s="399"/>
      <c r="R393" s="392"/>
      <c r="S393" s="136"/>
      <c r="T393" s="137"/>
      <c r="U393" s="137"/>
      <c r="V393" s="137"/>
      <c r="W393" s="137"/>
      <c r="X393" s="137"/>
      <c r="Y393" s="218">
        <f t="shared" ref="Y393" si="4433">IF(OR(E391="",J393=""),0,J393&amp;E391)</f>
        <v>0</v>
      </c>
      <c r="Z393" s="218">
        <f>IF(Y393=0,0,COUNTIF($Y$7:Y393,Y393))</f>
        <v>0</v>
      </c>
      <c r="AD393" s="218">
        <f>IFERROR(VLOOKUP(J393,競技会設定!$P$2:$S$22,2,0),0)</f>
        <v>0</v>
      </c>
      <c r="AE393" s="218">
        <f t="shared" ref="AE393" si="4434">IF(E391="",0,IF(AD393=0,0,IF(AD393&lt;3,E391&amp;$AE$6,0)))</f>
        <v>0</v>
      </c>
      <c r="AF393" s="218">
        <f>IF(AE393=0,0,E391&amp;COUNTIF($AE$7:AE393,AE393))</f>
        <v>0</v>
      </c>
      <c r="AG393" s="218">
        <f t="shared" ref="AG393" si="4435">IF(E391="",0,IF(AD393=0,0,IF(AD393&gt;=3,E391&amp;$AG$6,0)))</f>
        <v>0</v>
      </c>
      <c r="AH393" s="218">
        <f>IF(AG393=0,0,E391&amp;COUNTIF($AG$7:AG393,AG393))</f>
        <v>0</v>
      </c>
      <c r="AI393" s="218">
        <f t="shared" ref="AI393" si="4436">IF(COUNTIF(Y393,"*十種*")&gt;0,0,IF($AD393=AI$6,$E391,0))</f>
        <v>0</v>
      </c>
      <c r="AJ393" s="218" t="b">
        <f>IF(AI393=0,FALSE,IF(COUNTIF(AI$7:AI393,AI393)&gt;1,TRUE,FALSE))</f>
        <v>0</v>
      </c>
      <c r="AK393" s="218">
        <f t="shared" ref="AK393" si="4437">IF($AD393=AK$6,$E391,0)</f>
        <v>0</v>
      </c>
      <c r="AL393" s="218" t="b">
        <f>IF(AK393=0,FALSE,IF(COUNTIF(AK$7:AK393,AK393)&gt;1,TRUE,FALSE))</f>
        <v>0</v>
      </c>
      <c r="AM393" s="218">
        <f t="shared" ref="AM393" si="4438">IF($AD393=AM$6,$E391,0)</f>
        <v>0</v>
      </c>
      <c r="AN393" s="218" t="b">
        <f>IF(AM393=0,FALSE,IF(COUNTIF(AM$7:AM393,AM393)&gt;1,TRUE,FALSE))</f>
        <v>0</v>
      </c>
      <c r="AO393" s="218">
        <f t="shared" ref="AO393" si="4439">IF($AD393=AO$6,$E391,0)</f>
        <v>0</v>
      </c>
      <c r="AP393" s="218" t="b">
        <f>IF(AO393=0,FALSE,IF(COUNTIF(AO$7:AO393,AO393)&gt;1,TRUE,FALSE))</f>
        <v>0</v>
      </c>
      <c r="AQ393" s="218">
        <f t="shared" ref="AQ393" si="4440">IF(COUNTIF(Y393,"*十種競技*")&gt;0,E391,0)</f>
        <v>0</v>
      </c>
      <c r="AR393" s="218" t="b">
        <f>IF(AQ393=0,FALSE,IF(OR(COUNTIF($AI$7:$AI$406,AQ393)+COUNTIF($AQ393:$AQ$406,AQ393)&gt;1,COUNTIF($AK$7:$AK$406,AQ393)+COUNTIF($AQ$7:$AQ$406,AQ393)&gt;1),TRUE,FALSE))</f>
        <v>0</v>
      </c>
      <c r="AT393" s="218" t="b">
        <f t="shared" si="4428"/>
        <v>0</v>
      </c>
      <c r="AU393" s="274"/>
      <c r="AX393" s="274"/>
      <c r="BD393" s="218" t="b">
        <f t="shared" si="4415"/>
        <v>0</v>
      </c>
      <c r="BF393" s="231" t="b">
        <f t="shared" ref="BF393" si="4441">IF(J393="",FALSE,IF(OR(AND(AU391,L393=""),AND(AU391,L393="",OR(M393&lt;&gt;"",N393&lt;&gt;"",O393&lt;&gt;"",P393&lt;&gt;""))),TRUE,FALSE))</f>
        <v>0</v>
      </c>
      <c r="BG393" s="218" t="b">
        <f t="shared" si="4417"/>
        <v>0</v>
      </c>
      <c r="BH393" s="218" t="b">
        <f t="shared" si="4430"/>
        <v>0</v>
      </c>
      <c r="BI393" s="231" t="b">
        <f t="shared" ref="BI393" si="4442">IF(J393="",FALSE,IF(L393=0,FALSE,IF(AND(AU391,NOT(BF393),OR(M393="",N393="",O393="")),TRUE,FALSE)))</f>
        <v>0</v>
      </c>
      <c r="BJ393" s="240" t="b">
        <f t="shared" si="4432"/>
        <v>0</v>
      </c>
      <c r="BK393" s="231" t="b">
        <f>IF(NOT(BJ393),FALSE,IF(AND(競技会設定!$C$5&lt;=BJ393,BJ393&lt;=競技会設定!$C$6),FALSE,TRUE))</f>
        <v>0</v>
      </c>
      <c r="BL393" s="218" t="b">
        <f>IF(J393="",FALSE,IF(L393=0,FALSE,IF(AND(AU391,NOT(BF393),NOT(BI393),P393=""),TRUE,FALSE)))</f>
        <v>0</v>
      </c>
      <c r="BO393" s="274"/>
    </row>
    <row r="394" spans="1:67" ht="18" customHeight="1" thickBot="1">
      <c r="A394" s="419"/>
      <c r="B394" s="395" t="s">
        <v>6764</v>
      </c>
      <c r="C394" s="395"/>
      <c r="D394" s="221"/>
      <c r="E394" s="372"/>
      <c r="F394" s="372"/>
      <c r="G394" s="372"/>
      <c r="H394" s="214"/>
      <c r="I394" s="214" t="s">
        <v>6759</v>
      </c>
      <c r="J394" s="219"/>
      <c r="K394" s="214" t="s">
        <v>6761</v>
      </c>
      <c r="L394" s="219"/>
      <c r="M394" s="258"/>
      <c r="N394" s="259"/>
      <c r="O394" s="260"/>
      <c r="P394" s="219"/>
      <c r="Q394" s="400"/>
      <c r="R394" s="393"/>
      <c r="S394" s="136"/>
      <c r="T394" s="137"/>
      <c r="U394" s="137"/>
      <c r="V394" s="137"/>
      <c r="W394" s="137"/>
      <c r="X394" s="137"/>
      <c r="Y394" s="218">
        <f t="shared" ref="Y394" si="4443">IF(OR(E391="",J394=""),0,J394&amp;E391)</f>
        <v>0</v>
      </c>
      <c r="Z394" s="218">
        <f>IF(Y394=0,0,COUNTIF($Y$7:Y394,Y394))</f>
        <v>0</v>
      </c>
      <c r="AD394" s="218">
        <f>IFERROR(VLOOKUP(J394,競技会設定!$P$2:$S$22,2,0),0)</f>
        <v>0</v>
      </c>
      <c r="AE394" s="218">
        <f t="shared" ref="AE394" si="4444">IF(E391="",0,IF(AD394=0,0,IF(AD394&lt;3,E391&amp;$AE$6,0)))</f>
        <v>0</v>
      </c>
      <c r="AF394" s="218">
        <f>IF(AE394=0,0,E391&amp;COUNTIF($AE$7:AE394,AE394))</f>
        <v>0</v>
      </c>
      <c r="AG394" s="218">
        <f t="shared" ref="AG394" si="4445">IF(E391="",0,IF(AD394=0,0,IF(AD394&gt;=3,E391&amp;$AG$6,0)))</f>
        <v>0</v>
      </c>
      <c r="AH394" s="218">
        <f>IF(AG394=0,0,E391&amp;COUNTIF($AG$7:AG394,AG394))</f>
        <v>0</v>
      </c>
      <c r="AI394" s="218">
        <f t="shared" ref="AI394" si="4446">IF(COUNTIF(Y394,"*十種*")&gt;0,0,IF($AD394=AI$6,$E391,0))</f>
        <v>0</v>
      </c>
      <c r="AJ394" s="218" t="b">
        <f>IF(AI394=0,FALSE,IF(COUNTIF(AI$7:AI394,AI394)&gt;1,TRUE,FALSE))</f>
        <v>0</v>
      </c>
      <c r="AK394" s="218">
        <f t="shared" ref="AK394" si="4447">IF($AD394=AK$6,$E391,0)</f>
        <v>0</v>
      </c>
      <c r="AL394" s="218" t="b">
        <f>IF(AK394=0,FALSE,IF(COUNTIF(AK$7:AK394,AK394)&gt;1,TRUE,FALSE))</f>
        <v>0</v>
      </c>
      <c r="AM394" s="218">
        <f t="shared" ref="AM394" si="4448">IF($AD394=AM$6,$E391,0)</f>
        <v>0</v>
      </c>
      <c r="AN394" s="218" t="b">
        <f>IF(AM394=0,FALSE,IF(COUNTIF(AM$7:AM394,AM394)&gt;1,TRUE,FALSE))</f>
        <v>0</v>
      </c>
      <c r="AO394" s="218">
        <f t="shared" ref="AO394" si="4449">IF($AD394=AO$6,$E391,0)</f>
        <v>0</v>
      </c>
      <c r="AP394" s="218" t="b">
        <f>IF(AO394=0,FALSE,IF(COUNTIF(AO$7:AO394,AO394)&gt;1,TRUE,FALSE))</f>
        <v>0</v>
      </c>
      <c r="AQ394" s="218">
        <f t="shared" ref="AQ394" si="4450">IF(COUNTIF(Y394,"*十種競技*")&gt;0,E391,0)</f>
        <v>0</v>
      </c>
      <c r="AR394" s="218" t="b">
        <f>IF(AQ394=0,FALSE,IF(OR(COUNTIF($AI$7:$AI$406,AQ394)+COUNTIF($AQ394:$AQ$406,AQ394)&gt;1,COUNTIF($AK$7:$AK$406,AQ394)+COUNTIF($AQ$7:$AQ$406,AQ394)&gt;1),TRUE,FALSE))</f>
        <v>0</v>
      </c>
      <c r="AT394" s="218" t="b">
        <f t="shared" si="4428"/>
        <v>0</v>
      </c>
      <c r="AU394" s="274"/>
      <c r="AX394" s="274"/>
      <c r="BD394" s="218" t="b">
        <f t="shared" si="4415"/>
        <v>0</v>
      </c>
      <c r="BF394" s="231" t="b">
        <f t="shared" ref="BF394" si="4451">IF(J394="",FALSE,IF(OR(AND(AU391,L394=""),AND(AU391,L394="",OR(M394&lt;&gt;"",N394&lt;&gt;"",O394&lt;&gt;"",P394&lt;&gt;""))),TRUE,FALSE))</f>
        <v>0</v>
      </c>
      <c r="BG394" s="218" t="b">
        <f t="shared" si="4417"/>
        <v>0</v>
      </c>
      <c r="BH394" s="218" t="b">
        <f t="shared" si="4430"/>
        <v>0</v>
      </c>
      <c r="BI394" s="231" t="b">
        <f t="shared" ref="BI394" si="4452">IF(J394="",FALSE,IF(L394=0,FALSE,IF(AND(AU391,NOT(BF394),OR(M394="",N394="",O394="")),TRUE,FALSE)))</f>
        <v>0</v>
      </c>
      <c r="BJ394" s="240" t="b">
        <f t="shared" si="4432"/>
        <v>0</v>
      </c>
      <c r="BK394" s="231" t="b">
        <f>IF(NOT(BJ394),FALSE,IF(AND(競技会設定!$C$5&lt;=BJ394,BJ394&lt;=競技会設定!$C$6),FALSE,TRUE))</f>
        <v>0</v>
      </c>
      <c r="BL394" s="218" t="b">
        <f>IF(J394="",FALSE,IF(L394=0,FALSE,IF(AND(AU391,NOT(BF394),NOT(BI394),P394=""),TRUE,FALSE)))</f>
        <v>0</v>
      </c>
      <c r="BO394" s="274"/>
    </row>
    <row r="395" spans="1:67" ht="18" customHeight="1" thickTop="1">
      <c r="A395" s="420">
        <v>98</v>
      </c>
      <c r="B395" s="373" t="s">
        <v>4018</v>
      </c>
      <c r="C395" s="375"/>
      <c r="D395" s="138" t="str">
        <f t="shared" ref="D395" si="4453">IF(C395="","",501&amp;TEXT(C395,"000000"))</f>
        <v/>
      </c>
      <c r="E395" s="377" t="str">
        <f>IF(D395="","",(VLOOKUP(D395,男子登録!$A$2:$N$2001,3,0)))</f>
        <v/>
      </c>
      <c r="F395" s="377" t="str">
        <f>IF(D395="","",(VLOOKUP(D395,男子登録!$A$2:$N$2001,4,0)))</f>
        <v/>
      </c>
      <c r="G395" s="138" t="str">
        <f>IF(C395="","",(VLOOKUP(D395,男子登録!$A$2:$N$2001,8,0)))</f>
        <v/>
      </c>
      <c r="H395" s="138">
        <f>IFERROR(VLOOKUP(D395,男子登録!$A$2:$N$2001,11,0),基本情報!$E$5)</f>
        <v>0</v>
      </c>
      <c r="I395" s="138" t="s">
        <v>4019</v>
      </c>
      <c r="J395" s="151"/>
      <c r="K395" s="138" t="s">
        <v>4022</v>
      </c>
      <c r="L395" s="151"/>
      <c r="M395" s="261"/>
      <c r="N395" s="262"/>
      <c r="O395" s="263"/>
      <c r="P395" s="151"/>
      <c r="Q395" s="381"/>
      <c r="R395" s="384"/>
      <c r="S395" s="136">
        <f t="shared" ref="S395" si="4454">IF(OR(E395="",Q395=""),0,E395)</f>
        <v>0</v>
      </c>
      <c r="T395" s="137">
        <f>IF(S395=0,0,COUNTIF($S$7:S395,"*"))</f>
        <v>0</v>
      </c>
      <c r="U395" s="137">
        <f>IF(S395=0,0,COUNTIF($S$7:S395,S395))</f>
        <v>0</v>
      </c>
      <c r="V395" s="137">
        <f t="shared" si="3913"/>
        <v>0</v>
      </c>
      <c r="W395" s="137">
        <f>IF(V395=0,0,COUNTIF($V$7:V395,"*"))</f>
        <v>0</v>
      </c>
      <c r="X395" s="137">
        <f>IF(V395=0,0,COUNTIF($V$7:V395,V395))</f>
        <v>0</v>
      </c>
      <c r="Y395" s="218">
        <f t="shared" ref="Y395" si="4455">IF(OR(E395="",J395=""),0,J395&amp;E395)</f>
        <v>0</v>
      </c>
      <c r="Z395" s="218">
        <f>IF(Y395=0,0,COUNTIF($Y$7:Y395,Y395))</f>
        <v>0</v>
      </c>
      <c r="AA395" s="218" t="b">
        <f t="shared" ref="AA395" si="4456">IF(COUNTIF(J395:J398,"十種競技")&gt;0,TRUE,FALSE)</f>
        <v>0</v>
      </c>
      <c r="AB395" s="218">
        <f>IF(E395="",0,IF(AA395,COUNTIF($AA$7:AA395,TRUE),0))</f>
        <v>0</v>
      </c>
      <c r="AC395" s="218">
        <f>IFERROR(VLOOKUP("十種競技",J395:L398,3,0),0)</f>
        <v>0</v>
      </c>
      <c r="AD395" s="218">
        <f>IFERROR(VLOOKUP(J395,競技会設定!$P$2:$S$22,2,0),0)</f>
        <v>0</v>
      </c>
      <c r="AE395" s="218">
        <f t="shared" ref="AE395" si="4457">IF(E395="",0,IF(AD395=0,0,IF(AD395&lt;3,E395&amp;$AE$6,0)))</f>
        <v>0</v>
      </c>
      <c r="AF395" s="218">
        <f>IF(AE395=0,0,E395&amp;COUNTIF($AE$7:AE395,AE395))</f>
        <v>0</v>
      </c>
      <c r="AG395" s="218">
        <f t="shared" ref="AG395" si="4458">IF(E395="",0,IF(AD395=0,0,IF(AD395&gt;=3,E395&amp;$AG$6,0)))</f>
        <v>0</v>
      </c>
      <c r="AH395" s="218">
        <f>IF(AG395=0,0,E395&amp;COUNTIF($AG$7:AG395,AG395))</f>
        <v>0</v>
      </c>
      <c r="AI395" s="218">
        <f t="shared" ref="AI395" si="4459">IF(COUNTIF(Y395,"*十種*")&gt;0,0,IF($AD395=AI$6,$E395,0))</f>
        <v>0</v>
      </c>
      <c r="AJ395" s="218" t="b">
        <f>IF(AI395=0,FALSE,IF(COUNTIF(AI$7:AI395,AI395)&gt;1,TRUE,FALSE))</f>
        <v>0</v>
      </c>
      <c r="AK395" s="218">
        <f t="shared" ref="AK395" si="4460">IF($AD395=AK$6,$E395,0)</f>
        <v>0</v>
      </c>
      <c r="AL395" s="218" t="b">
        <f>IF(AK395=0,FALSE,IF(COUNTIF(AK$7:AK395,AK395)&gt;1,TRUE,FALSE))</f>
        <v>0</v>
      </c>
      <c r="AM395" s="218">
        <f t="shared" ref="AM395" si="4461">IF($AD395=AM$6,$E395,0)</f>
        <v>0</v>
      </c>
      <c r="AN395" s="218" t="b">
        <f>IF(AM395=0,FALSE,IF(COUNTIF(AM$7:AM395,AM395)&gt;1,TRUE,FALSE))</f>
        <v>0</v>
      </c>
      <c r="AO395" s="218">
        <f t="shared" ref="AO395" si="4462">IF($AD395=AO$6,$E395,0)</f>
        <v>0</v>
      </c>
      <c r="AP395" s="218" t="b">
        <f>IF(AO395=0,FALSE,IF(COUNTIF(AO$7:AO395,AO395)&gt;1,TRUE,FALSE))</f>
        <v>0</v>
      </c>
      <c r="AQ395" s="218">
        <f t="shared" ref="AQ395" si="4463">IF(COUNTIF(Y395,"*十種競技*")&gt;0,E395,0)</f>
        <v>0</v>
      </c>
      <c r="AR395" s="218" t="b">
        <f>IF(AQ395=0,FALSE,IF(OR(COUNTIF($AI$7:$AI$406,AQ395)+COUNTIF($AQ395:$AQ$406,AQ395)&gt;1,COUNTIF($AK$7:$AK$406,AQ395)+COUNTIF($AQ$7:$AQ$406,AQ395)&gt;1),TRUE,FALSE))</f>
        <v>0</v>
      </c>
      <c r="AS395" s="218" t="b">
        <f t="shared" ref="AS395" si="4464">IF(AND(C395="",E395&lt;&gt;"",F395&lt;&gt;"",E397&lt;&gt;"",G395&lt;&gt;"",G396&lt;&gt;"",G397&lt;&gt;""),TRUE,FALSE)</f>
        <v>0</v>
      </c>
      <c r="AT395" s="218" t="b">
        <f t="shared" si="4428"/>
        <v>0</v>
      </c>
      <c r="AU395" s="274" t="b">
        <f t="shared" ref="AU395" si="4465">IFERROR(IF(D395&amp;E395&amp;F395&amp;E397&amp;G395&amp;G396&amp;G397&amp;J395&amp;J396&amp;J397&amp;J398&amp;L395&amp;L396&amp;L397&amp;L398&amp;M395&amp;M396&amp;M397&amp;M398&amp;N395&amp;N396&amp;N397&amp;N398&amp;O395&amp;O396&amp;O397&amp;O398&amp;P395&amp;P396&amp;P397&amp;P398&amp;Q395&amp;R395="",FALSE,TRUE),FALSE)</f>
        <v>0</v>
      </c>
      <c r="AV395" s="218" t="b">
        <f t="shared" ref="AV395" si="4466">IF(AS395,FALSE,IF(C395="",AU395,FALSE))</f>
        <v>0</v>
      </c>
      <c r="AW395" s="218" t="b">
        <f>IF(C395="",FALSE,IF(C395&gt;2000,TRUE,FALSE))</f>
        <v>0</v>
      </c>
      <c r="AX395" s="274" t="b">
        <f>IF(H395=0,FALSE,IF(EXACT(基本情報!$E$5,H395)=TRUE,FALSE,TRUE))</f>
        <v>0</v>
      </c>
      <c r="AY395" s="218" t="b">
        <f>IF(C395="",FALSE,IF(ISNA(E395)=TRUE,TRUE,FALSE))</f>
        <v>0</v>
      </c>
      <c r="AZ395" s="274" t="b">
        <f>IFERROR(IF(E395="",FALSE,IF(COUNTIF($E$7:E395,E395)&gt;1,TRUE,FALSE)),FALSE)</f>
        <v>0</v>
      </c>
      <c r="BA395" s="218" t="b">
        <f t="shared" ref="BA395" si="4467">IF(OR(J395&amp;J396&amp;J397&amp;J398&amp;Q395&amp;R395="",AT395,AT396,AT397,AT398),AU395,FALSE)</f>
        <v>0</v>
      </c>
      <c r="BB395" s="218" t="b">
        <f>IF(U395&gt;1,TRUE,FALSE)</f>
        <v>0</v>
      </c>
      <c r="BC395" s="218" t="b">
        <f>IF(X395&gt;1,TRUE,FALSE)</f>
        <v>0</v>
      </c>
      <c r="BD395" s="218" t="b">
        <f t="shared" si="4415"/>
        <v>0</v>
      </c>
      <c r="BF395" s="231" t="b">
        <f t="shared" ref="BF395" si="4468">IF(J395="",FALSE,IF(OR(AND(AU395,L395=""),AND(AU395,L395="",OR(M395&lt;&gt;"",N395&lt;&gt;"",O395&lt;&gt;"",P395&lt;&gt;""))),TRUE,FALSE))</f>
        <v>0</v>
      </c>
      <c r="BG395" s="218" t="b">
        <f t="shared" si="4417"/>
        <v>0</v>
      </c>
      <c r="BH395" s="218" t="b">
        <f t="shared" si="4430"/>
        <v>0</v>
      </c>
      <c r="BI395" s="231" t="b">
        <f t="shared" ref="BI395" si="4469">IF(J395="",FALSE,IF(L395=0,FALSE,IF(AND(AU395,NOT(BF395),OR(M395="",N395="",O395="")),TRUE,FALSE)))</f>
        <v>0</v>
      </c>
      <c r="BJ395" s="240" t="b">
        <f t="shared" si="4432"/>
        <v>0</v>
      </c>
      <c r="BK395" s="231" t="b">
        <f>IF(NOT(BJ395),FALSE,IF(AND(競技会設定!$C$5&lt;=BJ395,BJ395&lt;=競技会設定!$C$6),FALSE,TRUE))</f>
        <v>0</v>
      </c>
      <c r="BL395" s="218" t="b">
        <f>IF(J395="",FALSE,IF(L395=0,FALSE,IF(AND(AU395,NOT(BF395),NOT(BI395),P395=""),TRUE,FALSE)))</f>
        <v>0</v>
      </c>
      <c r="BO395" s="274">
        <f t="shared" ref="BO395" si="4470">IF(AND(AU395,SUM(COUNTIF(AV395:BC395,TRUE),COUNTIF(BF395:BL398,TRUE),COUNTIF(BD395:BD398,TRUE))=0,NOT($BE$7)),1,0)</f>
        <v>0</v>
      </c>
    </row>
    <row r="396" spans="1:67" ht="17.399999999999999" customHeight="1">
      <c r="A396" s="421"/>
      <c r="B396" s="374"/>
      <c r="C396" s="376"/>
      <c r="D396" s="139"/>
      <c r="E396" s="378"/>
      <c r="F396" s="378"/>
      <c r="G396" s="139" t="str">
        <f>IF(C395="","",(VLOOKUP(D395,男子登録!$A$2:$N$2001,13,0)))</f>
        <v/>
      </c>
      <c r="H396" s="139"/>
      <c r="I396" s="139" t="s">
        <v>4020</v>
      </c>
      <c r="J396" s="152"/>
      <c r="K396" s="139" t="s">
        <v>4023</v>
      </c>
      <c r="L396" s="152"/>
      <c r="M396" s="264"/>
      <c r="N396" s="265"/>
      <c r="O396" s="266"/>
      <c r="P396" s="152"/>
      <c r="Q396" s="382"/>
      <c r="R396" s="385"/>
      <c r="S396" s="136"/>
      <c r="T396" s="137"/>
      <c r="U396" s="137"/>
      <c r="V396" s="137"/>
      <c r="W396" s="137"/>
      <c r="X396" s="137"/>
      <c r="Y396" s="218">
        <f t="shared" ref="Y396" si="4471">IF(OR(E395="",J396=""),0,J396&amp;E395)</f>
        <v>0</v>
      </c>
      <c r="Z396" s="218">
        <f>IF(Y396=0,0,COUNTIF($Y$7:Y396,Y396))</f>
        <v>0</v>
      </c>
      <c r="AD396" s="218">
        <f>IFERROR(VLOOKUP(J396,競技会設定!$P$2:$S$22,2,0),0)</f>
        <v>0</v>
      </c>
      <c r="AE396" s="218">
        <f t="shared" ref="AE396" si="4472">IF(E395="",0,IF(AD396=0,0,IF(AD396&lt;3,E395&amp;$AE$6,0)))</f>
        <v>0</v>
      </c>
      <c r="AF396" s="218">
        <f>IF(AE396=0,0,E395&amp;COUNTIF($AE$7:AE396,AE396))</f>
        <v>0</v>
      </c>
      <c r="AG396" s="218">
        <f t="shared" ref="AG396" si="4473">IF(E395="",0,IF(AD396=0,0,IF(AD396&gt;=3,E395&amp;$AG$6,0)))</f>
        <v>0</v>
      </c>
      <c r="AH396" s="218">
        <f>IF(AG396=0,0,E395&amp;COUNTIF($AG$7:AG396,AG396))</f>
        <v>0</v>
      </c>
      <c r="AI396" s="218">
        <f t="shared" ref="AI396" si="4474">IF(COUNTIF(Y396,"*十種*")&gt;0,0,IF($AD396=AI$6,$E395,0))</f>
        <v>0</v>
      </c>
      <c r="AJ396" s="218" t="b">
        <f>IF(AI396=0,FALSE,IF(COUNTIF(AI$7:AI396,AI396)&gt;1,TRUE,FALSE))</f>
        <v>0</v>
      </c>
      <c r="AK396" s="218">
        <f t="shared" ref="AK396" si="4475">IF($AD396=AK$6,$E395,0)</f>
        <v>0</v>
      </c>
      <c r="AL396" s="218" t="b">
        <f>IF(AK396=0,FALSE,IF(COUNTIF(AK$7:AK396,AK396)&gt;1,TRUE,FALSE))</f>
        <v>0</v>
      </c>
      <c r="AM396" s="218">
        <f t="shared" ref="AM396" si="4476">IF($AD396=AM$6,$E395,0)</f>
        <v>0</v>
      </c>
      <c r="AN396" s="218" t="b">
        <f>IF(AM396=0,FALSE,IF(COUNTIF(AM$7:AM396,AM396)&gt;1,TRUE,FALSE))</f>
        <v>0</v>
      </c>
      <c r="AO396" s="218">
        <f t="shared" ref="AO396" si="4477">IF($AD396=AO$6,$E395,0)</f>
        <v>0</v>
      </c>
      <c r="AP396" s="218" t="b">
        <f>IF(AO396=0,FALSE,IF(COUNTIF(AO$7:AO396,AO396)&gt;1,TRUE,FALSE))</f>
        <v>0</v>
      </c>
      <c r="AQ396" s="218">
        <f t="shared" ref="AQ396" si="4478">IF(COUNTIF(Y396,"*十種競技*")&gt;0,E395,0)</f>
        <v>0</v>
      </c>
      <c r="AR396" s="218" t="b">
        <f>IF(AQ396=0,FALSE,IF(OR(COUNTIF($AI$7:$AI$406,AQ396)+COUNTIF($AQ396:$AQ$406,AQ396)&gt;1,COUNTIF($AK$7:$AK$406,AQ396)+COUNTIF($AQ$7:$AQ$406,AQ396)&gt;1),TRUE,FALSE))</f>
        <v>0</v>
      </c>
      <c r="AT396" s="218" t="b">
        <f t="shared" si="4428"/>
        <v>0</v>
      </c>
      <c r="AU396" s="274"/>
      <c r="AX396" s="274"/>
      <c r="BD396" s="218" t="b">
        <f t="shared" si="4415"/>
        <v>0</v>
      </c>
      <c r="BF396" s="231" t="b">
        <f t="shared" ref="BF396" si="4479">IF(J396="",FALSE,IF(OR(AND(AU395,L396=""),AND(AU395,L396="",OR(M396&lt;&gt;"",N396&lt;&gt;"",O396&lt;&gt;"",P396&lt;&gt;""))),TRUE,FALSE))</f>
        <v>0</v>
      </c>
      <c r="BG396" s="218" t="b">
        <f t="shared" si="4417"/>
        <v>0</v>
      </c>
      <c r="BH396" s="218" t="b">
        <f t="shared" si="4430"/>
        <v>0</v>
      </c>
      <c r="BI396" s="231" t="b">
        <f t="shared" ref="BI396" si="4480">IF(J396="",FALSE,IF(L396=0,FALSE,IF(AND(AU395,NOT(BF396),OR(M396="",N396="",O396="")),TRUE,FALSE)))</f>
        <v>0</v>
      </c>
      <c r="BJ396" s="240" t="b">
        <f t="shared" si="4432"/>
        <v>0</v>
      </c>
      <c r="BK396" s="231" t="b">
        <f>IF(NOT(BJ396),FALSE,IF(AND(競技会設定!$C$5&lt;=BJ396,BJ396&lt;=競技会設定!$C$6),FALSE,TRUE))</f>
        <v>0</v>
      </c>
      <c r="BL396" s="218" t="b">
        <f>IF(J396="",FALSE,IF(L396=0,FALSE,IF(AND(AU395,NOT(BF396),NOT(BI396),P396=""),TRUE,FALSE)))</f>
        <v>0</v>
      </c>
      <c r="BO396" s="274"/>
    </row>
    <row r="397" spans="1:67" ht="17.399999999999999" customHeight="1">
      <c r="A397" s="421"/>
      <c r="B397" s="374"/>
      <c r="C397" s="376"/>
      <c r="D397" s="140"/>
      <c r="E397" s="379" t="str">
        <f>IF(C395="","",VLOOKUP(D395,男子登録!$A$2:$O$2001,14,0)&amp;" ("&amp;VLOOKUP(D395,男子登録!$A$2:$O$2001,15,0)&amp;")")</f>
        <v/>
      </c>
      <c r="F397" s="380"/>
      <c r="G397" s="140" t="str">
        <f>IF(C395="","",(VLOOKUP(D395,男子登録!$A$2:$N$2001,9,0)))</f>
        <v/>
      </c>
      <c r="H397" s="140"/>
      <c r="I397" s="140" t="s">
        <v>4021</v>
      </c>
      <c r="J397" s="153"/>
      <c r="K397" s="140" t="s">
        <v>6760</v>
      </c>
      <c r="L397" s="153"/>
      <c r="M397" s="264"/>
      <c r="N397" s="265"/>
      <c r="O397" s="266"/>
      <c r="P397" s="152"/>
      <c r="Q397" s="382"/>
      <c r="R397" s="385"/>
      <c r="S397" s="136"/>
      <c r="T397" s="137"/>
      <c r="U397" s="137"/>
      <c r="V397" s="137"/>
      <c r="W397" s="137"/>
      <c r="X397" s="137"/>
      <c r="Y397" s="218">
        <f t="shared" ref="Y397" si="4481">IF(OR(E395="",J397=""),0,J397&amp;E395)</f>
        <v>0</v>
      </c>
      <c r="Z397" s="218">
        <f>IF(Y397=0,0,COUNTIF($Y$7:Y397,Y397))</f>
        <v>0</v>
      </c>
      <c r="AD397" s="218">
        <f>IFERROR(VLOOKUP(J397,競技会設定!$P$2:$S$22,2,0),0)</f>
        <v>0</v>
      </c>
      <c r="AE397" s="218">
        <f t="shared" ref="AE397" si="4482">IF(E395="",0,IF(AD397=0,0,IF(AD397&lt;3,E395&amp;$AE$6,0)))</f>
        <v>0</v>
      </c>
      <c r="AF397" s="218">
        <f>IF(AE397=0,0,E395&amp;COUNTIF($AE$7:AE397,AE397))</f>
        <v>0</v>
      </c>
      <c r="AG397" s="218">
        <f t="shared" ref="AG397" si="4483">IF(E395="",0,IF(AD397=0,0,IF(AD397&gt;=3,E395&amp;$AG$6,0)))</f>
        <v>0</v>
      </c>
      <c r="AH397" s="218">
        <f>IF(AG397=0,0,E395&amp;COUNTIF($AG$7:AG397,AG397))</f>
        <v>0</v>
      </c>
      <c r="AI397" s="218">
        <f t="shared" ref="AI397" si="4484">IF(COUNTIF(Y397,"*十種*")&gt;0,0,IF($AD397=AI$6,$E395,0))</f>
        <v>0</v>
      </c>
      <c r="AJ397" s="218" t="b">
        <f>IF(AI397=0,FALSE,IF(COUNTIF(AI$7:AI397,AI397)&gt;1,TRUE,FALSE))</f>
        <v>0</v>
      </c>
      <c r="AK397" s="218">
        <f t="shared" ref="AK397" si="4485">IF($AD397=AK$6,$E395,0)</f>
        <v>0</v>
      </c>
      <c r="AL397" s="218" t="b">
        <f>IF(AK397=0,FALSE,IF(COUNTIF(AK$7:AK397,AK397)&gt;1,TRUE,FALSE))</f>
        <v>0</v>
      </c>
      <c r="AM397" s="218">
        <f t="shared" ref="AM397" si="4486">IF($AD397=AM$6,$E395,0)</f>
        <v>0</v>
      </c>
      <c r="AN397" s="218" t="b">
        <f>IF(AM397=0,FALSE,IF(COUNTIF(AM$7:AM397,AM397)&gt;1,TRUE,FALSE))</f>
        <v>0</v>
      </c>
      <c r="AO397" s="218">
        <f t="shared" ref="AO397" si="4487">IF($AD397=AO$6,$E395,0)</f>
        <v>0</v>
      </c>
      <c r="AP397" s="218" t="b">
        <f>IF(AO397=0,FALSE,IF(COUNTIF(AO$7:AO397,AO397)&gt;1,TRUE,FALSE))</f>
        <v>0</v>
      </c>
      <c r="AQ397" s="218">
        <f t="shared" ref="AQ397" si="4488">IF(COUNTIF(Y397,"*十種競技*")&gt;0,E395,0)</f>
        <v>0</v>
      </c>
      <c r="AR397" s="218" t="b">
        <f>IF(AQ397=0,FALSE,IF(OR(COUNTIF($AI$7:$AI$406,AQ397)+COUNTIF($AQ397:$AQ$406,AQ397)&gt;1,COUNTIF($AK$7:$AK$406,AQ397)+COUNTIF($AQ$7:$AQ$406,AQ397)&gt;1),TRUE,FALSE))</f>
        <v>0</v>
      </c>
      <c r="AT397" s="218" t="b">
        <f t="shared" si="4428"/>
        <v>0</v>
      </c>
      <c r="AU397" s="274"/>
      <c r="AX397" s="274"/>
      <c r="BD397" s="218" t="b">
        <f t="shared" si="4415"/>
        <v>0</v>
      </c>
      <c r="BF397" s="231" t="b">
        <f t="shared" ref="BF397" si="4489">IF(J397="",FALSE,IF(OR(AND(AU395,L397=""),AND(AU395,L397="",OR(M397&lt;&gt;"",N397&lt;&gt;"",O397&lt;&gt;"",P397&lt;&gt;""))),TRUE,FALSE))</f>
        <v>0</v>
      </c>
      <c r="BG397" s="218" t="b">
        <f t="shared" si="4417"/>
        <v>0</v>
      </c>
      <c r="BH397" s="218" t="b">
        <f t="shared" si="4430"/>
        <v>0</v>
      </c>
      <c r="BI397" s="231" t="b">
        <f t="shared" ref="BI397" si="4490">IF(J397="",FALSE,IF(L397=0,FALSE,IF(AND(AU395,NOT(BF397),OR(M397="",N397="",O397="")),TRUE,FALSE)))</f>
        <v>0</v>
      </c>
      <c r="BJ397" s="240" t="b">
        <f t="shared" si="4432"/>
        <v>0</v>
      </c>
      <c r="BK397" s="231" t="b">
        <f>IF(NOT(BJ397),FALSE,IF(AND(競技会設定!$C$5&lt;=BJ397,BJ397&lt;=競技会設定!$C$6),FALSE,TRUE))</f>
        <v>0</v>
      </c>
      <c r="BL397" s="218" t="b">
        <f>IF(J397="",FALSE,IF(L397=0,FALSE,IF(AND(AU395,NOT(BF397),NOT(BI397),P397=""),TRUE,FALSE)))</f>
        <v>0</v>
      </c>
      <c r="BO397" s="274"/>
    </row>
    <row r="398" spans="1:67" ht="18" customHeight="1" thickBot="1">
      <c r="A398" s="422"/>
      <c r="B398" s="387" t="s">
        <v>6764</v>
      </c>
      <c r="C398" s="387"/>
      <c r="D398" s="213"/>
      <c r="E398" s="388"/>
      <c r="F398" s="389"/>
      <c r="G398" s="390"/>
      <c r="H398" s="141"/>
      <c r="I398" s="213" t="s">
        <v>6759</v>
      </c>
      <c r="J398" s="154"/>
      <c r="K398" s="213" t="s">
        <v>6761</v>
      </c>
      <c r="L398" s="154"/>
      <c r="M398" s="267"/>
      <c r="N398" s="268"/>
      <c r="O398" s="269"/>
      <c r="P398" s="154"/>
      <c r="Q398" s="383"/>
      <c r="R398" s="386"/>
      <c r="S398" s="136"/>
      <c r="T398" s="137"/>
      <c r="U398" s="137"/>
      <c r="V398" s="137"/>
      <c r="W398" s="137"/>
      <c r="X398" s="137"/>
      <c r="Y398" s="218">
        <f t="shared" ref="Y398" si="4491">IF(OR(E395="",J398=""),0,J398&amp;E395)</f>
        <v>0</v>
      </c>
      <c r="Z398" s="218">
        <f>IF(Y398=0,0,COUNTIF($Y$7:Y398,Y398))</f>
        <v>0</v>
      </c>
      <c r="AD398" s="218">
        <f>IFERROR(VLOOKUP(J398,競技会設定!$P$2:$S$22,2,0),0)</f>
        <v>0</v>
      </c>
      <c r="AE398" s="218">
        <f t="shared" ref="AE398" si="4492">IF(E395="",0,IF(AD398=0,0,IF(AD398&lt;3,E395&amp;$AE$6,0)))</f>
        <v>0</v>
      </c>
      <c r="AF398" s="218">
        <f>IF(AE398=0,0,E395&amp;COUNTIF($AE$7:AE398,AE398))</f>
        <v>0</v>
      </c>
      <c r="AG398" s="218">
        <f t="shared" ref="AG398" si="4493">IF(E395="",0,IF(AD398=0,0,IF(AD398&gt;=3,E395&amp;$AG$6,0)))</f>
        <v>0</v>
      </c>
      <c r="AH398" s="218">
        <f>IF(AG398=0,0,E395&amp;COUNTIF($AG$7:AG398,AG398))</f>
        <v>0</v>
      </c>
      <c r="AI398" s="218">
        <f t="shared" ref="AI398" si="4494">IF(COUNTIF(Y398,"*十種*")&gt;0,0,IF($AD398=AI$6,$E395,0))</f>
        <v>0</v>
      </c>
      <c r="AJ398" s="218" t="b">
        <f>IF(AI398=0,FALSE,IF(COUNTIF(AI$7:AI398,AI398)&gt;1,TRUE,FALSE))</f>
        <v>0</v>
      </c>
      <c r="AK398" s="218">
        <f t="shared" ref="AK398" si="4495">IF($AD398=AK$6,$E395,0)</f>
        <v>0</v>
      </c>
      <c r="AL398" s="218" t="b">
        <f>IF(AK398=0,FALSE,IF(COUNTIF(AK$7:AK398,AK398)&gt;1,TRUE,FALSE))</f>
        <v>0</v>
      </c>
      <c r="AM398" s="218">
        <f t="shared" ref="AM398" si="4496">IF($AD398=AM$6,$E395,0)</f>
        <v>0</v>
      </c>
      <c r="AN398" s="218" t="b">
        <f>IF(AM398=0,FALSE,IF(COUNTIF(AM$7:AM398,AM398)&gt;1,TRUE,FALSE))</f>
        <v>0</v>
      </c>
      <c r="AO398" s="218">
        <f t="shared" ref="AO398" si="4497">IF($AD398=AO$6,$E395,0)</f>
        <v>0</v>
      </c>
      <c r="AP398" s="218" t="b">
        <f>IF(AO398=0,FALSE,IF(COUNTIF(AO$7:AO398,AO398)&gt;1,TRUE,FALSE))</f>
        <v>0</v>
      </c>
      <c r="AQ398" s="218">
        <f t="shared" ref="AQ398" si="4498">IF(COUNTIF(Y398,"*十種競技*")&gt;0,E395,0)</f>
        <v>0</v>
      </c>
      <c r="AR398" s="218" t="b">
        <f>IF(AQ398=0,FALSE,IF(OR(COUNTIF($AI$7:$AI$406,AQ398)+COUNTIF($AQ398:$AQ$406,AQ398)&gt;1,COUNTIF($AK$7:$AK$406,AQ398)+COUNTIF($AQ$7:$AQ$406,AQ398)&gt;1),TRUE,FALSE))</f>
        <v>0</v>
      </c>
      <c r="AT398" s="218" t="b">
        <f t="shared" si="4428"/>
        <v>0</v>
      </c>
      <c r="AU398" s="274"/>
      <c r="AX398" s="274"/>
      <c r="BD398" s="218" t="b">
        <f t="shared" si="4415"/>
        <v>0</v>
      </c>
      <c r="BF398" s="231" t="b">
        <f t="shared" ref="BF398" si="4499">IF(J398="",FALSE,IF(OR(AND(AU395,L398=""),AND(AU395,L398="",OR(M398&lt;&gt;"",N398&lt;&gt;"",O398&lt;&gt;"",P398&lt;&gt;""))),TRUE,FALSE))</f>
        <v>0</v>
      </c>
      <c r="BG398" s="218" t="b">
        <f t="shared" si="4417"/>
        <v>0</v>
      </c>
      <c r="BH398" s="218" t="b">
        <f t="shared" si="4430"/>
        <v>0</v>
      </c>
      <c r="BI398" s="231" t="b">
        <f t="shared" ref="BI398" si="4500">IF(J398="",FALSE,IF(L398=0,FALSE,IF(AND(AU395,NOT(BF398),OR(M398="",N398="",O398="")),TRUE,FALSE)))</f>
        <v>0</v>
      </c>
      <c r="BJ398" s="240" t="b">
        <f t="shared" si="4432"/>
        <v>0</v>
      </c>
      <c r="BK398" s="231" t="b">
        <f>IF(NOT(BJ398),FALSE,IF(AND(競技会設定!$C$5&lt;=BJ398,BJ398&lt;=競技会設定!$C$6),FALSE,TRUE))</f>
        <v>0</v>
      </c>
      <c r="BL398" s="218" t="b">
        <f>IF(J398="",FALSE,IF(L398=0,FALSE,IF(AND(AU395,NOT(BF398),NOT(BI398),P398=""),TRUE,FALSE)))</f>
        <v>0</v>
      </c>
      <c r="BO398" s="274"/>
    </row>
    <row r="399" spans="1:67" ht="18" customHeight="1" thickTop="1">
      <c r="A399" s="417">
        <v>99</v>
      </c>
      <c r="B399" s="401" t="s">
        <v>4018</v>
      </c>
      <c r="C399" s="403"/>
      <c r="D399" s="220" t="str">
        <f t="shared" ref="D399" si="4501">IF(C399="","",501&amp;TEXT(C399,"000000"))</f>
        <v/>
      </c>
      <c r="E399" s="396" t="str">
        <f>IF(D399="","",(VLOOKUP(D399,男子登録!$A$2:$N$2001,3,0)))</f>
        <v/>
      </c>
      <c r="F399" s="396" t="str">
        <f>IF(D399="","",(VLOOKUP(D399,男子登録!$A$2:$N$2001,4,0)))</f>
        <v/>
      </c>
      <c r="G399" s="220" t="str">
        <f>IF(C399="","",(VLOOKUP(D399,男子登録!$A$2:$N$2001,8,0)))</f>
        <v/>
      </c>
      <c r="H399" s="220">
        <f>IFERROR(VLOOKUP(D399,男子登録!$A$2:$N$2001,11,0),基本情報!$E$5)</f>
        <v>0</v>
      </c>
      <c r="I399" s="220" t="s">
        <v>4019</v>
      </c>
      <c r="J399" s="148"/>
      <c r="K399" s="220" t="s">
        <v>4022</v>
      </c>
      <c r="L399" s="148"/>
      <c r="M399" s="252"/>
      <c r="N399" s="253"/>
      <c r="O399" s="254"/>
      <c r="P399" s="148"/>
      <c r="Q399" s="398"/>
      <c r="R399" s="391"/>
      <c r="S399" s="136">
        <f t="shared" ref="S399" si="4502">IF(OR(E399="",Q399=""),0,E399)</f>
        <v>0</v>
      </c>
      <c r="T399" s="137">
        <f>IF(S399=0,0,COUNTIF($S$7:S399,"*"))</f>
        <v>0</v>
      </c>
      <c r="U399" s="137">
        <f>IF(S399=0,0,COUNTIF($S$7:S399,S399))</f>
        <v>0</v>
      </c>
      <c r="V399" s="137">
        <f t="shared" si="3913"/>
        <v>0</v>
      </c>
      <c r="W399" s="137">
        <f>IF(V399=0,0,COUNTIF($V$7:V399,"*"))</f>
        <v>0</v>
      </c>
      <c r="X399" s="137">
        <f>IF(V399=0,0,COUNTIF($V$7:V399,V399))</f>
        <v>0</v>
      </c>
      <c r="Y399" s="218">
        <f t="shared" ref="Y399" si="4503">IF(OR(E399="",J399=""),0,J399&amp;E399)</f>
        <v>0</v>
      </c>
      <c r="Z399" s="218">
        <f>IF(Y399=0,0,COUNTIF($Y$7:Y399,Y399))</f>
        <v>0</v>
      </c>
      <c r="AA399" s="218" t="b">
        <f t="shared" ref="AA399" si="4504">IF(COUNTIF(J399:J402,"十種競技")&gt;0,TRUE,FALSE)</f>
        <v>0</v>
      </c>
      <c r="AB399" s="218">
        <f>IF(E399="",0,IF(AA399,COUNTIF($AA$7:AA399,TRUE),0))</f>
        <v>0</v>
      </c>
      <c r="AC399" s="218">
        <f>IFERROR(VLOOKUP("十種競技",J399:L402,3,0),0)</f>
        <v>0</v>
      </c>
      <c r="AD399" s="218">
        <f>IFERROR(VLOOKUP(J399,競技会設定!$P$2:$S$22,2,0),0)</f>
        <v>0</v>
      </c>
      <c r="AE399" s="218">
        <f t="shared" ref="AE399" si="4505">IF(E399="",0,IF(AD399=0,0,IF(AD399&lt;3,E399&amp;$AE$6,0)))</f>
        <v>0</v>
      </c>
      <c r="AF399" s="218">
        <f>IF(AE399=0,0,E399&amp;COUNTIF($AE$7:AE399,AE399))</f>
        <v>0</v>
      </c>
      <c r="AG399" s="218">
        <f t="shared" ref="AG399" si="4506">IF(E399="",0,IF(AD399=0,0,IF(AD399&gt;=3,E399&amp;$AG$6,0)))</f>
        <v>0</v>
      </c>
      <c r="AH399" s="218">
        <f>IF(AG399=0,0,E399&amp;COUNTIF($AG$7:AG399,AG399))</f>
        <v>0</v>
      </c>
      <c r="AI399" s="218">
        <f t="shared" ref="AI399" si="4507">IF(COUNTIF(Y399,"*十種*")&gt;0,0,IF($AD399=AI$6,$E399,0))</f>
        <v>0</v>
      </c>
      <c r="AJ399" s="218" t="b">
        <f>IF(AI399=0,FALSE,IF(COUNTIF(AI$7:AI399,AI399)&gt;1,TRUE,FALSE))</f>
        <v>0</v>
      </c>
      <c r="AK399" s="218">
        <f t="shared" ref="AK399" si="4508">IF($AD399=AK$6,$E399,0)</f>
        <v>0</v>
      </c>
      <c r="AL399" s="218" t="b">
        <f>IF(AK399=0,FALSE,IF(COUNTIF(AK$7:AK399,AK399)&gt;1,TRUE,FALSE))</f>
        <v>0</v>
      </c>
      <c r="AM399" s="218">
        <f t="shared" ref="AM399" si="4509">IF($AD399=AM$6,$E399,0)</f>
        <v>0</v>
      </c>
      <c r="AN399" s="218" t="b">
        <f>IF(AM399=0,FALSE,IF(COUNTIF(AM$7:AM399,AM399)&gt;1,TRUE,FALSE))</f>
        <v>0</v>
      </c>
      <c r="AO399" s="218">
        <f t="shared" ref="AO399" si="4510">IF($AD399=AO$6,$E399,0)</f>
        <v>0</v>
      </c>
      <c r="AP399" s="218" t="b">
        <f>IF(AO399=0,FALSE,IF(COUNTIF(AO$7:AO399,AO399)&gt;1,TRUE,FALSE))</f>
        <v>0</v>
      </c>
      <c r="AQ399" s="218">
        <f t="shared" ref="AQ399" si="4511">IF(COUNTIF(Y399,"*十種競技*")&gt;0,E399,0)</f>
        <v>0</v>
      </c>
      <c r="AR399" s="218" t="b">
        <f>IF(AQ399=0,FALSE,IF(OR(COUNTIF($AI$7:$AI$406,AQ399)+COUNTIF($AQ399:$AQ$406,AQ399)&gt;1,COUNTIF($AK$7:$AK$406,AQ399)+COUNTIF($AQ$7:$AQ$406,AQ399)&gt;1),TRUE,FALSE))</f>
        <v>0</v>
      </c>
      <c r="AS399" s="218" t="b">
        <f t="shared" ref="AS399" si="4512">IF(AND(C399="",E399&lt;&gt;"",F399&lt;&gt;"",E401&lt;&gt;"",G399&lt;&gt;"",G400&lt;&gt;"",G401&lt;&gt;""),TRUE,FALSE)</f>
        <v>0</v>
      </c>
      <c r="AT399" s="218" t="b">
        <f t="shared" si="4428"/>
        <v>0</v>
      </c>
      <c r="AU399" s="274" t="b">
        <f t="shared" ref="AU399" si="4513">IFERROR(IF(D399&amp;E399&amp;F399&amp;E401&amp;G399&amp;G400&amp;G401&amp;J399&amp;J400&amp;J401&amp;J402&amp;L399&amp;L400&amp;L401&amp;L402&amp;M399&amp;M400&amp;M401&amp;M402&amp;N399&amp;N400&amp;N401&amp;N402&amp;O399&amp;O400&amp;O401&amp;O402&amp;P399&amp;P400&amp;P401&amp;P402&amp;Q399&amp;R399="",FALSE,TRUE),FALSE)</f>
        <v>0</v>
      </c>
      <c r="AV399" s="218" t="b">
        <f t="shared" ref="AV399" si="4514">IF(AS399,FALSE,IF(C399="",AU399,FALSE))</f>
        <v>0</v>
      </c>
      <c r="AW399" s="218" t="b">
        <f>IF(C399="",FALSE,IF(C399&gt;2000,TRUE,FALSE))</f>
        <v>0</v>
      </c>
      <c r="AX399" s="274" t="b">
        <f>IF(H399=0,FALSE,IF(EXACT(基本情報!$E$5,H399)=TRUE,FALSE,TRUE))</f>
        <v>0</v>
      </c>
      <c r="AY399" s="218" t="b">
        <f>IF(C399="",FALSE,IF(ISNA(E399)=TRUE,TRUE,FALSE))</f>
        <v>0</v>
      </c>
      <c r="AZ399" s="274" t="b">
        <f>IFERROR(IF(E399="",FALSE,IF(COUNTIF($E$7:E399,E399)&gt;1,TRUE,FALSE)),FALSE)</f>
        <v>0</v>
      </c>
      <c r="BA399" s="218" t="b">
        <f t="shared" ref="BA399" si="4515">IF(OR(J399&amp;J400&amp;J401&amp;J402&amp;Q399&amp;R399="",AT399,AT400,AT401,AT402),AU399,FALSE)</f>
        <v>0</v>
      </c>
      <c r="BB399" s="218" t="b">
        <f>IF(U399&gt;1,TRUE,FALSE)</f>
        <v>0</v>
      </c>
      <c r="BC399" s="218" t="b">
        <f>IF(X399&gt;1,TRUE,FALSE)</f>
        <v>0</v>
      </c>
      <c r="BD399" s="218" t="b">
        <f t="shared" si="4415"/>
        <v>0</v>
      </c>
      <c r="BF399" s="231" t="b">
        <f t="shared" ref="BF399" si="4516">IF(J399="",FALSE,IF(OR(AND(AU399,L399=""),AND(AU399,L399="",OR(M399&lt;&gt;"",N399&lt;&gt;"",O399&lt;&gt;"",P399&lt;&gt;""))),TRUE,FALSE))</f>
        <v>0</v>
      </c>
      <c r="BG399" s="218" t="b">
        <f t="shared" si="4417"/>
        <v>0</v>
      </c>
      <c r="BH399" s="218" t="b">
        <f t="shared" si="4430"/>
        <v>0</v>
      </c>
      <c r="BI399" s="231" t="b">
        <f t="shared" ref="BI399" si="4517">IF(J399="",FALSE,IF(L399=0,FALSE,IF(AND(AU399,NOT(BF399),OR(M399="",N399="",O399="")),TRUE,FALSE)))</f>
        <v>0</v>
      </c>
      <c r="BJ399" s="240" t="b">
        <f t="shared" si="4432"/>
        <v>0</v>
      </c>
      <c r="BK399" s="231" t="b">
        <f>IF(NOT(BJ399),FALSE,IF(AND(競技会設定!$C$5&lt;=BJ399,BJ399&lt;=競技会設定!$C$6),FALSE,TRUE))</f>
        <v>0</v>
      </c>
      <c r="BL399" s="218" t="b">
        <f>IF(J399="",FALSE,IF(L399=0,FALSE,IF(AND(AU399,NOT(BF399),NOT(BI399),P399=""),TRUE,FALSE)))</f>
        <v>0</v>
      </c>
      <c r="BO399" s="274">
        <f t="shared" ref="BO399" si="4518">IF(AND(AU399,SUM(COUNTIF(AV399:BC399,TRUE),COUNTIF(BF399:BL402,TRUE),COUNTIF(BD399:BD402,TRUE))=0,NOT($BE$7)),1,0)</f>
        <v>0</v>
      </c>
    </row>
    <row r="400" spans="1:67" ht="17.399999999999999" customHeight="1">
      <c r="A400" s="418"/>
      <c r="B400" s="402"/>
      <c r="C400" s="404"/>
      <c r="D400" s="221"/>
      <c r="E400" s="397"/>
      <c r="F400" s="397"/>
      <c r="G400" s="221" t="str">
        <f>IF(C399="","",(VLOOKUP(D399,男子登録!$A$2:$N$2001,13,0)))</f>
        <v/>
      </c>
      <c r="H400" s="221"/>
      <c r="I400" s="221" t="s">
        <v>4020</v>
      </c>
      <c r="J400" s="149"/>
      <c r="K400" s="221" t="s">
        <v>4023</v>
      </c>
      <c r="L400" s="149"/>
      <c r="M400" s="255"/>
      <c r="N400" s="256"/>
      <c r="O400" s="257"/>
      <c r="P400" s="149"/>
      <c r="Q400" s="399"/>
      <c r="R400" s="392"/>
      <c r="S400" s="136"/>
      <c r="T400" s="137"/>
      <c r="U400" s="137"/>
      <c r="V400" s="137"/>
      <c r="W400" s="137"/>
      <c r="X400" s="137"/>
      <c r="Y400" s="218">
        <f t="shared" ref="Y400" si="4519">IF(OR(E399="",J400=""),0,J400&amp;E399)</f>
        <v>0</v>
      </c>
      <c r="Z400" s="218">
        <f>IF(Y400=0,0,COUNTIF($Y$7:Y400,Y400))</f>
        <v>0</v>
      </c>
      <c r="AD400" s="218">
        <f>IFERROR(VLOOKUP(J400,競技会設定!$P$2:$S$22,2,0),0)</f>
        <v>0</v>
      </c>
      <c r="AE400" s="218">
        <f t="shared" ref="AE400" si="4520">IF(E399="",0,IF(AD400=0,0,IF(AD400&lt;3,E399&amp;$AE$6,0)))</f>
        <v>0</v>
      </c>
      <c r="AF400" s="218">
        <f>IF(AE400=0,0,E399&amp;COUNTIF($AE$7:AE400,AE400))</f>
        <v>0</v>
      </c>
      <c r="AG400" s="218">
        <f t="shared" ref="AG400" si="4521">IF(E399="",0,IF(AD400=0,0,IF(AD400&gt;=3,E399&amp;$AG$6,0)))</f>
        <v>0</v>
      </c>
      <c r="AH400" s="218">
        <f>IF(AG400=0,0,E399&amp;COUNTIF($AG$7:AG400,AG400))</f>
        <v>0</v>
      </c>
      <c r="AI400" s="218">
        <f t="shared" ref="AI400" si="4522">IF(COUNTIF(Y400,"*十種*")&gt;0,0,IF($AD400=AI$6,$E399,0))</f>
        <v>0</v>
      </c>
      <c r="AJ400" s="218" t="b">
        <f>IF(AI400=0,FALSE,IF(COUNTIF(AI$7:AI400,AI400)&gt;1,TRUE,FALSE))</f>
        <v>0</v>
      </c>
      <c r="AK400" s="218">
        <f t="shared" ref="AK400" si="4523">IF($AD400=AK$6,$E399,0)</f>
        <v>0</v>
      </c>
      <c r="AL400" s="218" t="b">
        <f>IF(AK400=0,FALSE,IF(COUNTIF(AK$7:AK400,AK400)&gt;1,TRUE,FALSE))</f>
        <v>0</v>
      </c>
      <c r="AM400" s="218">
        <f t="shared" ref="AM400" si="4524">IF($AD400=AM$6,$E399,0)</f>
        <v>0</v>
      </c>
      <c r="AN400" s="218" t="b">
        <f>IF(AM400=0,FALSE,IF(COUNTIF(AM$7:AM400,AM400)&gt;1,TRUE,FALSE))</f>
        <v>0</v>
      </c>
      <c r="AO400" s="218">
        <f t="shared" ref="AO400" si="4525">IF($AD400=AO$6,$E399,0)</f>
        <v>0</v>
      </c>
      <c r="AP400" s="218" t="b">
        <f>IF(AO400=0,FALSE,IF(COUNTIF(AO$7:AO400,AO400)&gt;1,TRUE,FALSE))</f>
        <v>0</v>
      </c>
      <c r="AQ400" s="218">
        <f t="shared" ref="AQ400" si="4526">IF(COUNTIF(Y400,"*十種競技*")&gt;0,E399,0)</f>
        <v>0</v>
      </c>
      <c r="AR400" s="218" t="b">
        <f>IF(AQ400=0,FALSE,IF(OR(COUNTIF($AI$7:$AI$406,AQ400)+COUNTIF($AQ400:$AQ$406,AQ400)&gt;1,COUNTIF($AK$7:$AK$406,AQ400)+COUNTIF($AQ$7:$AQ$406,AQ400)&gt;1),TRUE,FALSE))</f>
        <v>0</v>
      </c>
      <c r="AT400" s="218" t="b">
        <f t="shared" si="4428"/>
        <v>0</v>
      </c>
      <c r="AU400" s="274"/>
      <c r="AX400" s="274"/>
      <c r="BD400" s="218" t="b">
        <f t="shared" si="4415"/>
        <v>0</v>
      </c>
      <c r="BF400" s="231" t="b">
        <f t="shared" ref="BF400" si="4527">IF(J400="",FALSE,IF(OR(AND(AU399,L400=""),AND(AU399,L400="",OR(M400&lt;&gt;"",N400&lt;&gt;"",O400&lt;&gt;"",P400&lt;&gt;""))),TRUE,FALSE))</f>
        <v>0</v>
      </c>
      <c r="BG400" s="218" t="b">
        <f t="shared" si="4417"/>
        <v>0</v>
      </c>
      <c r="BH400" s="218" t="b">
        <f t="shared" si="4430"/>
        <v>0</v>
      </c>
      <c r="BI400" s="231" t="b">
        <f t="shared" ref="BI400" si="4528">IF(J400="",FALSE,IF(L400=0,FALSE,IF(AND(AU399,NOT(BF400),OR(M400="",N400="",O400="")),TRUE,FALSE)))</f>
        <v>0</v>
      </c>
      <c r="BJ400" s="240" t="b">
        <f t="shared" si="4432"/>
        <v>0</v>
      </c>
      <c r="BK400" s="231" t="b">
        <f>IF(NOT(BJ400),FALSE,IF(AND(競技会設定!$C$5&lt;=BJ400,BJ400&lt;=競技会設定!$C$6),FALSE,TRUE))</f>
        <v>0</v>
      </c>
      <c r="BL400" s="218" t="b">
        <f>IF(J400="",FALSE,IF(L400=0,FALSE,IF(AND(AU399,NOT(BF400),NOT(BI400),P400=""),TRUE,FALSE)))</f>
        <v>0</v>
      </c>
      <c r="BO400" s="274"/>
    </row>
    <row r="401" spans="1:67" ht="17.399999999999999" customHeight="1">
      <c r="A401" s="418"/>
      <c r="B401" s="402"/>
      <c r="C401" s="404"/>
      <c r="D401" s="221"/>
      <c r="E401" s="394" t="str">
        <f>IF(C399="","",VLOOKUP(D399,男子登録!$A$2:$O$2001,14,0)&amp;" ("&amp;VLOOKUP(D399,男子登録!$A$2:$O$2001,15,0)&amp;")")</f>
        <v/>
      </c>
      <c r="F401" s="394"/>
      <c r="G401" s="222" t="str">
        <f>IF(C399="","",(VLOOKUP(D399,男子登録!$A$2:$N$2001,9,0)))</f>
        <v/>
      </c>
      <c r="H401" s="222"/>
      <c r="I401" s="222" t="s">
        <v>4021</v>
      </c>
      <c r="J401" s="150"/>
      <c r="K401" s="222" t="s">
        <v>6760</v>
      </c>
      <c r="L401" s="150"/>
      <c r="M401" s="255"/>
      <c r="N401" s="256"/>
      <c r="O401" s="257"/>
      <c r="P401" s="149"/>
      <c r="Q401" s="399"/>
      <c r="R401" s="392"/>
      <c r="S401" s="136"/>
      <c r="T401" s="137"/>
      <c r="U401" s="137"/>
      <c r="V401" s="137"/>
      <c r="W401" s="137"/>
      <c r="X401" s="137"/>
      <c r="Y401" s="218">
        <f t="shared" ref="Y401" si="4529">IF(OR(E399="",J401=""),0,J401&amp;E399)</f>
        <v>0</v>
      </c>
      <c r="Z401" s="218">
        <f>IF(Y401=0,0,COUNTIF($Y$7:Y401,Y401))</f>
        <v>0</v>
      </c>
      <c r="AD401" s="218">
        <f>IFERROR(VLOOKUP(J401,競技会設定!$P$2:$S$22,2,0),0)</f>
        <v>0</v>
      </c>
      <c r="AE401" s="218">
        <f t="shared" ref="AE401" si="4530">IF(E399="",0,IF(AD401=0,0,IF(AD401&lt;3,E399&amp;$AE$6,0)))</f>
        <v>0</v>
      </c>
      <c r="AF401" s="218">
        <f>IF(AE401=0,0,E399&amp;COUNTIF($AE$7:AE401,AE401))</f>
        <v>0</v>
      </c>
      <c r="AG401" s="218">
        <f t="shared" ref="AG401" si="4531">IF(E399="",0,IF(AD401=0,0,IF(AD401&gt;=3,E399&amp;$AG$6,0)))</f>
        <v>0</v>
      </c>
      <c r="AH401" s="218">
        <f>IF(AG401=0,0,E399&amp;COUNTIF($AG$7:AG401,AG401))</f>
        <v>0</v>
      </c>
      <c r="AI401" s="218">
        <f t="shared" ref="AI401" si="4532">IF(COUNTIF(Y401,"*十種*")&gt;0,0,IF($AD401=AI$6,$E399,0))</f>
        <v>0</v>
      </c>
      <c r="AJ401" s="218" t="b">
        <f>IF(AI401=0,FALSE,IF(COUNTIF(AI$7:AI401,AI401)&gt;1,TRUE,FALSE))</f>
        <v>0</v>
      </c>
      <c r="AK401" s="218">
        <f t="shared" ref="AK401" si="4533">IF($AD401=AK$6,$E399,0)</f>
        <v>0</v>
      </c>
      <c r="AL401" s="218" t="b">
        <f>IF(AK401=0,FALSE,IF(COUNTIF(AK$7:AK401,AK401)&gt;1,TRUE,FALSE))</f>
        <v>0</v>
      </c>
      <c r="AM401" s="218">
        <f t="shared" ref="AM401" si="4534">IF($AD401=AM$6,$E399,0)</f>
        <v>0</v>
      </c>
      <c r="AN401" s="218" t="b">
        <f>IF(AM401=0,FALSE,IF(COUNTIF(AM$7:AM401,AM401)&gt;1,TRUE,FALSE))</f>
        <v>0</v>
      </c>
      <c r="AO401" s="218">
        <f t="shared" ref="AO401" si="4535">IF($AD401=AO$6,$E399,0)</f>
        <v>0</v>
      </c>
      <c r="AP401" s="218" t="b">
        <f>IF(AO401=0,FALSE,IF(COUNTIF(AO$7:AO401,AO401)&gt;1,TRUE,FALSE))</f>
        <v>0</v>
      </c>
      <c r="AQ401" s="218">
        <f t="shared" ref="AQ401" si="4536">IF(COUNTIF(Y401,"*十種競技*")&gt;0,E399,0)</f>
        <v>0</v>
      </c>
      <c r="AR401" s="218" t="b">
        <f>IF(AQ401=0,FALSE,IF(OR(COUNTIF($AI$7:$AI$406,AQ401)+COUNTIF($AQ401:$AQ$406,AQ401)&gt;1,COUNTIF($AK$7:$AK$406,AQ401)+COUNTIF($AQ$7:$AQ$406,AQ401)&gt;1),TRUE,FALSE))</f>
        <v>0</v>
      </c>
      <c r="AT401" s="218" t="b">
        <f t="shared" si="4428"/>
        <v>0</v>
      </c>
      <c r="AU401" s="274"/>
      <c r="AX401" s="274"/>
      <c r="BD401" s="218" t="b">
        <f t="shared" si="4415"/>
        <v>0</v>
      </c>
      <c r="BF401" s="231" t="b">
        <f t="shared" ref="BF401" si="4537">IF(J401="",FALSE,IF(OR(AND(AU399,L401=""),AND(AU399,L401="",OR(M401&lt;&gt;"",N401&lt;&gt;"",O401&lt;&gt;"",P401&lt;&gt;""))),TRUE,FALSE))</f>
        <v>0</v>
      </c>
      <c r="BG401" s="218" t="b">
        <f t="shared" si="4417"/>
        <v>0</v>
      </c>
      <c r="BH401" s="218" t="b">
        <f t="shared" si="4430"/>
        <v>0</v>
      </c>
      <c r="BI401" s="231" t="b">
        <f t="shared" ref="BI401" si="4538">IF(J401="",FALSE,IF(L401=0,FALSE,IF(AND(AU399,NOT(BF401),OR(M401="",N401="",O401="")),TRUE,FALSE)))</f>
        <v>0</v>
      </c>
      <c r="BJ401" s="240" t="b">
        <f t="shared" si="4432"/>
        <v>0</v>
      </c>
      <c r="BK401" s="231" t="b">
        <f>IF(NOT(BJ401),FALSE,IF(AND(競技会設定!$C$5&lt;=BJ401,BJ401&lt;=競技会設定!$C$6),FALSE,TRUE))</f>
        <v>0</v>
      </c>
      <c r="BL401" s="218" t="b">
        <f>IF(J401="",FALSE,IF(L401=0,FALSE,IF(AND(AU399,NOT(BF401),NOT(BI401),P401=""),TRUE,FALSE)))</f>
        <v>0</v>
      </c>
      <c r="BO401" s="274"/>
    </row>
    <row r="402" spans="1:67" ht="18" customHeight="1" thickBot="1">
      <c r="A402" s="419"/>
      <c r="B402" s="395" t="s">
        <v>6764</v>
      </c>
      <c r="C402" s="395"/>
      <c r="D402" s="221"/>
      <c r="E402" s="372"/>
      <c r="F402" s="372"/>
      <c r="G402" s="372"/>
      <c r="H402" s="214"/>
      <c r="I402" s="214" t="s">
        <v>6759</v>
      </c>
      <c r="J402" s="219"/>
      <c r="K402" s="214" t="s">
        <v>6761</v>
      </c>
      <c r="L402" s="219"/>
      <c r="M402" s="258"/>
      <c r="N402" s="259"/>
      <c r="O402" s="260"/>
      <c r="P402" s="219"/>
      <c r="Q402" s="400"/>
      <c r="R402" s="393"/>
      <c r="S402" s="136"/>
      <c r="T402" s="137"/>
      <c r="U402" s="137"/>
      <c r="V402" s="137"/>
      <c r="W402" s="137"/>
      <c r="X402" s="137"/>
      <c r="Y402" s="218">
        <f t="shared" ref="Y402" si="4539">IF(OR(E399="",J402=""),0,J402&amp;E399)</f>
        <v>0</v>
      </c>
      <c r="Z402" s="218">
        <f>IF(Y402=0,0,COUNTIF($Y$7:Y402,Y402))</f>
        <v>0</v>
      </c>
      <c r="AD402" s="218">
        <f>IFERROR(VLOOKUP(J402,競技会設定!$P$2:$S$22,2,0),0)</f>
        <v>0</v>
      </c>
      <c r="AE402" s="218">
        <f t="shared" ref="AE402" si="4540">IF(E399="",0,IF(AD402=0,0,IF(AD402&lt;3,E399&amp;$AE$6,0)))</f>
        <v>0</v>
      </c>
      <c r="AF402" s="218">
        <f>IF(AE402=0,0,E399&amp;COUNTIF($AE$7:AE402,AE402))</f>
        <v>0</v>
      </c>
      <c r="AG402" s="218">
        <f t="shared" ref="AG402" si="4541">IF(E399="",0,IF(AD402=0,0,IF(AD402&gt;=3,E399&amp;$AG$6,0)))</f>
        <v>0</v>
      </c>
      <c r="AH402" s="218">
        <f>IF(AG402=0,0,E399&amp;COUNTIF($AG$7:AG402,AG402))</f>
        <v>0</v>
      </c>
      <c r="AI402" s="218">
        <f t="shared" ref="AI402" si="4542">IF(COUNTIF(Y402,"*十種*")&gt;0,0,IF($AD402=AI$6,$E399,0))</f>
        <v>0</v>
      </c>
      <c r="AJ402" s="218" t="b">
        <f>IF(AI402=0,FALSE,IF(COUNTIF(AI$7:AI402,AI402)&gt;1,TRUE,FALSE))</f>
        <v>0</v>
      </c>
      <c r="AK402" s="218">
        <f t="shared" ref="AK402" si="4543">IF($AD402=AK$6,$E399,0)</f>
        <v>0</v>
      </c>
      <c r="AL402" s="218" t="b">
        <f>IF(AK402=0,FALSE,IF(COUNTIF(AK$7:AK402,AK402)&gt;1,TRUE,FALSE))</f>
        <v>0</v>
      </c>
      <c r="AM402" s="218">
        <f t="shared" ref="AM402" si="4544">IF($AD402=AM$6,$E399,0)</f>
        <v>0</v>
      </c>
      <c r="AN402" s="218" t="b">
        <f>IF(AM402=0,FALSE,IF(COUNTIF(AM$7:AM402,AM402)&gt;1,TRUE,FALSE))</f>
        <v>0</v>
      </c>
      <c r="AO402" s="218">
        <f t="shared" ref="AO402" si="4545">IF($AD402=AO$6,$E399,0)</f>
        <v>0</v>
      </c>
      <c r="AP402" s="218" t="b">
        <f>IF(AO402=0,FALSE,IF(COUNTIF(AO$7:AO402,AO402)&gt;1,TRUE,FALSE))</f>
        <v>0</v>
      </c>
      <c r="AQ402" s="218">
        <f t="shared" ref="AQ402" si="4546">IF(COUNTIF(Y402,"*十種競技*")&gt;0,E399,0)</f>
        <v>0</v>
      </c>
      <c r="AR402" s="218" t="b">
        <f>IF(AQ402=0,FALSE,IF(OR(COUNTIF($AI$7:$AI$406,AQ402)+COUNTIF($AQ402:$AQ$406,AQ402)&gt;1,COUNTIF($AK$7:$AK$406,AQ402)+COUNTIF($AQ$7:$AQ$406,AQ402)&gt;1),TRUE,FALSE))</f>
        <v>0</v>
      </c>
      <c r="AT402" s="218" t="b">
        <f t="shared" si="4428"/>
        <v>0</v>
      </c>
      <c r="AU402" s="274"/>
      <c r="AX402" s="274"/>
      <c r="BD402" s="218" t="b">
        <f t="shared" si="4415"/>
        <v>0</v>
      </c>
      <c r="BF402" s="231" t="b">
        <f t="shared" ref="BF402" si="4547">IF(J402="",FALSE,IF(OR(AND(AU399,L402=""),AND(AU399,L402="",OR(M402&lt;&gt;"",N402&lt;&gt;"",O402&lt;&gt;"",P402&lt;&gt;""))),TRUE,FALSE))</f>
        <v>0</v>
      </c>
      <c r="BG402" s="218" t="b">
        <f t="shared" si="4417"/>
        <v>0</v>
      </c>
      <c r="BH402" s="218" t="b">
        <f t="shared" si="4430"/>
        <v>0</v>
      </c>
      <c r="BI402" s="231" t="b">
        <f t="shared" ref="BI402" si="4548">IF(J402="",FALSE,IF(L402=0,FALSE,IF(AND(AU399,NOT(BF402),OR(M402="",N402="",O402="")),TRUE,FALSE)))</f>
        <v>0</v>
      </c>
      <c r="BJ402" s="240" t="b">
        <f t="shared" si="4432"/>
        <v>0</v>
      </c>
      <c r="BK402" s="231" t="b">
        <f>IF(NOT(BJ402),FALSE,IF(AND(競技会設定!$C$5&lt;=BJ402,BJ402&lt;=競技会設定!$C$6),FALSE,TRUE))</f>
        <v>0</v>
      </c>
      <c r="BL402" s="218" t="b">
        <f>IF(J402="",FALSE,IF(L402=0,FALSE,IF(AND(AU399,NOT(BF402),NOT(BI402),P402=""),TRUE,FALSE)))</f>
        <v>0</v>
      </c>
      <c r="BO402" s="274"/>
    </row>
    <row r="403" spans="1:67" ht="18" customHeight="1" thickTop="1">
      <c r="A403" s="420">
        <v>100</v>
      </c>
      <c r="B403" s="373" t="s">
        <v>4018</v>
      </c>
      <c r="C403" s="375"/>
      <c r="D403" s="138" t="str">
        <f>IF(C403="","",501&amp;TEXT(C403,"000000"))</f>
        <v/>
      </c>
      <c r="E403" s="377" t="str">
        <f>IF(D403="","",(VLOOKUP(D403,男子登録!$A$2:$N$2001,3,0)))</f>
        <v/>
      </c>
      <c r="F403" s="377" t="str">
        <f>IF(D403="","",(VLOOKUP(D403,男子登録!$A$2:$N$2001,4,0)))</f>
        <v/>
      </c>
      <c r="G403" s="138" t="str">
        <f>IF(C403="","",(VLOOKUP(D403,男子登録!$A$2:$N$2001,8,0)))</f>
        <v/>
      </c>
      <c r="H403" s="138">
        <f>IFERROR(VLOOKUP(D403,男子登録!$A$2:$N$2001,11,0),基本情報!$E$5)</f>
        <v>0</v>
      </c>
      <c r="I403" s="138" t="s">
        <v>4019</v>
      </c>
      <c r="J403" s="151"/>
      <c r="K403" s="138" t="s">
        <v>4022</v>
      </c>
      <c r="L403" s="151"/>
      <c r="M403" s="261"/>
      <c r="N403" s="262"/>
      <c r="O403" s="263"/>
      <c r="P403" s="151"/>
      <c r="Q403" s="381"/>
      <c r="R403" s="384"/>
      <c r="S403" s="136">
        <f t="shared" ref="S403" si="4549">IF(OR(E403="",Q403=""),0,E403)</f>
        <v>0</v>
      </c>
      <c r="T403" s="137">
        <f>IF(S403=0,0,COUNTIF($S$7:S403,"*"))</f>
        <v>0</v>
      </c>
      <c r="U403" s="137">
        <f>IF(S403=0,0,COUNTIF($S$7:S403,S403))</f>
        <v>0</v>
      </c>
      <c r="V403" s="137">
        <f t="shared" si="3913"/>
        <v>0</v>
      </c>
      <c r="W403" s="137">
        <f>IF(V403=0,0,COUNTIF($V$7:V403,"*"))</f>
        <v>0</v>
      </c>
      <c r="X403" s="137">
        <f>IF(V403=0,0,COUNTIF($V$7:V403,V403))</f>
        <v>0</v>
      </c>
      <c r="Y403" s="218">
        <f t="shared" ref="Y403" si="4550">IF(OR(E403="",J403=""),0,J403&amp;E403)</f>
        <v>0</v>
      </c>
      <c r="Z403" s="218">
        <f>IF(Y403=0,0,COUNTIF($Y$7:Y403,Y403))</f>
        <v>0</v>
      </c>
      <c r="AA403" s="218" t="b">
        <f t="shared" ref="AA403" si="4551">IF(COUNTIF(J403:J406,"十種競技")&gt;0,TRUE,FALSE)</f>
        <v>0</v>
      </c>
      <c r="AB403" s="218">
        <f>IF(E403="",0,IF(AA403,COUNTIF($AA$7:AA403,TRUE),0))</f>
        <v>0</v>
      </c>
      <c r="AC403" s="218">
        <f>IFERROR(VLOOKUP("十種競技",J403:L406,3,0),0)</f>
        <v>0</v>
      </c>
      <c r="AD403" s="218">
        <f>IFERROR(VLOOKUP(J403,競技会設定!$P$2:$S$22,2,0),0)</f>
        <v>0</v>
      </c>
      <c r="AE403" s="218">
        <f t="shared" ref="AE403" si="4552">IF(E403="",0,IF(AD403=0,0,IF(AD403&lt;3,E403&amp;$AE$6,0)))</f>
        <v>0</v>
      </c>
      <c r="AF403" s="218">
        <f>IF(AE403=0,0,E403&amp;COUNTIF($AE$7:AE403,AE403))</f>
        <v>0</v>
      </c>
      <c r="AG403" s="218">
        <f t="shared" ref="AG403" si="4553">IF(E403="",0,IF(AD403=0,0,IF(AD403&gt;=3,E403&amp;$AG$6,0)))</f>
        <v>0</v>
      </c>
      <c r="AH403" s="218">
        <f>IF(AG403=0,0,E403&amp;COUNTIF($AG$7:AG403,AG403))</f>
        <v>0</v>
      </c>
      <c r="AI403" s="218">
        <f t="shared" ref="AI403" si="4554">IF(COUNTIF(Y403,"*十種*")&gt;0,0,IF($AD403=AI$6,$E403,0))</f>
        <v>0</v>
      </c>
      <c r="AJ403" s="218" t="b">
        <f>IF(AI403=0,FALSE,IF(COUNTIF(AI$7:AI403,AI403)&gt;1,TRUE,FALSE))</f>
        <v>0</v>
      </c>
      <c r="AK403" s="218">
        <f t="shared" ref="AK403" si="4555">IF($AD403=AK$6,$E403,0)</f>
        <v>0</v>
      </c>
      <c r="AL403" s="218" t="b">
        <f>IF(AK403=0,FALSE,IF(COUNTIF(AK$7:AK403,AK403)&gt;1,TRUE,FALSE))</f>
        <v>0</v>
      </c>
      <c r="AM403" s="218">
        <f t="shared" ref="AM403" si="4556">IF($AD403=AM$6,$E403,0)</f>
        <v>0</v>
      </c>
      <c r="AN403" s="218" t="b">
        <f>IF(AM403=0,FALSE,IF(COUNTIF(AM$7:AM403,AM403)&gt;1,TRUE,FALSE))</f>
        <v>0</v>
      </c>
      <c r="AO403" s="218">
        <f t="shared" ref="AO403" si="4557">IF($AD403=AO$6,$E403,0)</f>
        <v>0</v>
      </c>
      <c r="AP403" s="218" t="b">
        <f>IF(AO403=0,FALSE,IF(COUNTIF(AO$7:AO403,AO403)&gt;1,TRUE,FALSE))</f>
        <v>0</v>
      </c>
      <c r="AQ403" s="218">
        <f t="shared" ref="AQ403" si="4558">IF(COUNTIF(Y403,"*十種競技*")&gt;0,E403,0)</f>
        <v>0</v>
      </c>
      <c r="AR403" s="218" t="b">
        <f>IF(AQ403=0,FALSE,IF(OR(COUNTIF($AI$7:$AI$406,AQ403)+COUNTIF($AQ403:$AQ$406,AQ403)&gt;1,COUNTIF($AK$7:$AK$406,AQ403)+COUNTIF($AQ$7:$AQ$406,AQ403)&gt;1),TRUE,FALSE))</f>
        <v>0</v>
      </c>
      <c r="AS403" s="218" t="b">
        <f t="shared" ref="AS403" si="4559">IF(AND(C403="",E403&lt;&gt;"",F403&lt;&gt;"",E405&lt;&gt;"",G403&lt;&gt;"",G404&lt;&gt;"",G405&lt;&gt;""),TRUE,FALSE)</f>
        <v>0</v>
      </c>
      <c r="AT403" s="218" t="b">
        <f t="shared" si="4428"/>
        <v>0</v>
      </c>
      <c r="AU403" s="274" t="b">
        <f t="shared" ref="AU403" si="4560">IFERROR(IF(D403&amp;E403&amp;F403&amp;E405&amp;G403&amp;G404&amp;G405&amp;J403&amp;J404&amp;J405&amp;J406&amp;L403&amp;L404&amp;L405&amp;L406&amp;M403&amp;M404&amp;M405&amp;M406&amp;N403&amp;N404&amp;N405&amp;N406&amp;O403&amp;O404&amp;O405&amp;O406&amp;P403&amp;P404&amp;P405&amp;P406&amp;Q403&amp;R403="",FALSE,TRUE),FALSE)</f>
        <v>0</v>
      </c>
      <c r="AV403" s="218" t="b">
        <f t="shared" ref="AV403" si="4561">IF(AS403,FALSE,IF(C403="",AU403,FALSE))</f>
        <v>0</v>
      </c>
      <c r="AW403" s="218" t="b">
        <f>IF(C403="",FALSE,IF(C403&gt;2000,TRUE,FALSE))</f>
        <v>0</v>
      </c>
      <c r="AX403" s="274" t="b">
        <f>IF(H403=0,FALSE,IF(EXACT(基本情報!$E$5,H403)=TRUE,FALSE,TRUE))</f>
        <v>0</v>
      </c>
      <c r="AY403" s="218" t="b">
        <f>IF(C403="",FALSE,IF(ISNA(E403)=TRUE,TRUE,FALSE))</f>
        <v>0</v>
      </c>
      <c r="AZ403" s="274" t="b">
        <f>IFERROR(IF(E403="",FALSE,IF(COUNTIF($E$7:E403,E403)&gt;1,TRUE,FALSE)),FALSE)</f>
        <v>0</v>
      </c>
      <c r="BA403" s="218" t="b">
        <f t="shared" ref="BA403" si="4562">IF(OR(J403&amp;J404&amp;J405&amp;J406&amp;Q403&amp;R403="",AT403,AT404,AT405,AT406),AU403,FALSE)</f>
        <v>0</v>
      </c>
      <c r="BB403" s="218" t="b">
        <f>IF(U403&gt;1,TRUE,FALSE)</f>
        <v>0</v>
      </c>
      <c r="BC403" s="218" t="b">
        <f>IF(X403&gt;1,TRUE,FALSE)</f>
        <v>0</v>
      </c>
      <c r="BD403" s="218" t="b">
        <f t="shared" si="4415"/>
        <v>0</v>
      </c>
      <c r="BF403" s="231" t="b">
        <f t="shared" ref="BF403" si="4563">IF(J403="",FALSE,IF(OR(AND(AU403,L403=""),AND(AU403,L403="",OR(M403&lt;&gt;"",N403&lt;&gt;"",O403&lt;&gt;"",P403&lt;&gt;""))),TRUE,FALSE))</f>
        <v>0</v>
      </c>
      <c r="BG403" s="218" t="b">
        <f t="shared" si="4417"/>
        <v>0</v>
      </c>
      <c r="BH403" s="218" t="b">
        <f t="shared" si="4430"/>
        <v>0</v>
      </c>
      <c r="BI403" s="231" t="b">
        <f t="shared" ref="BI403" si="4564">IF(J403="",FALSE,IF(L403=0,FALSE,IF(AND(AU403,NOT(BF403),OR(M403="",N403="",O403="")),TRUE,FALSE)))</f>
        <v>0</v>
      </c>
      <c r="BJ403" s="240" t="b">
        <f t="shared" si="4432"/>
        <v>0</v>
      </c>
      <c r="BK403" s="231" t="b">
        <f>IF(NOT(BJ403),FALSE,IF(AND(競技会設定!$C$5&lt;=BJ403,BJ403&lt;=競技会設定!$C$6),FALSE,TRUE))</f>
        <v>0</v>
      </c>
      <c r="BL403" s="218" t="b">
        <f>IF(J403="",FALSE,IF(L403=0,FALSE,IF(AND(AU403,NOT(BF403),NOT(BI403),P403=""),TRUE,FALSE)))</f>
        <v>0</v>
      </c>
      <c r="BO403" s="274">
        <f t="shared" ref="BO403" si="4565">IF(AND(AU403,SUM(COUNTIF(AV403:BC403,TRUE),COUNTIF(BF403:BL406,TRUE),COUNTIF(BD403:BD406,TRUE))=0,NOT($BE$7)),1,0)</f>
        <v>0</v>
      </c>
    </row>
    <row r="404" spans="1:67" ht="17.399999999999999" customHeight="1">
      <c r="A404" s="421"/>
      <c r="B404" s="374"/>
      <c r="C404" s="376"/>
      <c r="D404" s="139"/>
      <c r="E404" s="378"/>
      <c r="F404" s="378"/>
      <c r="G404" s="139" t="str">
        <f>IF(C403="","",(VLOOKUP(D403,男子登録!$A$2:$N$2001,13,0)))</f>
        <v/>
      </c>
      <c r="H404" s="139"/>
      <c r="I404" s="139" t="s">
        <v>4020</v>
      </c>
      <c r="J404" s="152"/>
      <c r="K404" s="139" t="s">
        <v>4023</v>
      </c>
      <c r="L404" s="152"/>
      <c r="M404" s="264"/>
      <c r="N404" s="265"/>
      <c r="O404" s="266"/>
      <c r="P404" s="152"/>
      <c r="Q404" s="382"/>
      <c r="R404" s="385"/>
      <c r="S404" s="136"/>
      <c r="T404" s="137"/>
      <c r="U404" s="137"/>
      <c r="V404" s="137"/>
      <c r="W404" s="137"/>
      <c r="X404" s="137"/>
      <c r="Y404" s="218">
        <f t="shared" ref="Y404" si="4566">IF(OR(E403="",J404=""),0,J404&amp;E403)</f>
        <v>0</v>
      </c>
      <c r="Z404" s="218">
        <f>IF(Y404=0,0,COUNTIF($Y$7:Y404,Y404))</f>
        <v>0</v>
      </c>
      <c r="AD404" s="218">
        <f>IFERROR(VLOOKUP(J404,競技会設定!$P$2:$S$22,2,0),0)</f>
        <v>0</v>
      </c>
      <c r="AE404" s="218">
        <f t="shared" ref="AE404" si="4567">IF(E403="",0,IF(AD404=0,0,IF(AD404&lt;3,E403&amp;$AE$6,0)))</f>
        <v>0</v>
      </c>
      <c r="AF404" s="218">
        <f>IF(AE404=0,0,E403&amp;COUNTIF($AE$7:AE404,AE404))</f>
        <v>0</v>
      </c>
      <c r="AG404" s="218">
        <f t="shared" ref="AG404" si="4568">IF(E403="",0,IF(AD404=0,0,IF(AD404&gt;=3,E403&amp;$AG$6,0)))</f>
        <v>0</v>
      </c>
      <c r="AH404" s="218">
        <f>IF(AG404=0,0,E403&amp;COUNTIF($AG$7:AG404,AG404))</f>
        <v>0</v>
      </c>
      <c r="AI404" s="218">
        <f t="shared" ref="AI404" si="4569">IF(COUNTIF(Y404,"*十種*")&gt;0,0,IF($AD404=AI$6,$E403,0))</f>
        <v>0</v>
      </c>
      <c r="AJ404" s="218" t="b">
        <f>IF(AI404=0,FALSE,IF(COUNTIF(AI$7:AI404,AI404)&gt;1,TRUE,FALSE))</f>
        <v>0</v>
      </c>
      <c r="AK404" s="218">
        <f t="shared" ref="AK404" si="4570">IF($AD404=AK$6,$E403,0)</f>
        <v>0</v>
      </c>
      <c r="AL404" s="218" t="b">
        <f>IF(AK404=0,FALSE,IF(COUNTIF(AK$7:AK404,AK404)&gt;1,TRUE,FALSE))</f>
        <v>0</v>
      </c>
      <c r="AM404" s="218">
        <f t="shared" ref="AM404" si="4571">IF($AD404=AM$6,$E403,0)</f>
        <v>0</v>
      </c>
      <c r="AN404" s="218" t="b">
        <f>IF(AM404=0,FALSE,IF(COUNTIF(AM$7:AM404,AM404)&gt;1,TRUE,FALSE))</f>
        <v>0</v>
      </c>
      <c r="AO404" s="218">
        <f t="shared" ref="AO404" si="4572">IF($AD404=AO$6,$E403,0)</f>
        <v>0</v>
      </c>
      <c r="AP404" s="218" t="b">
        <f>IF(AO404=0,FALSE,IF(COUNTIF(AO$7:AO404,AO404)&gt;1,TRUE,FALSE))</f>
        <v>0</v>
      </c>
      <c r="AQ404" s="218">
        <f t="shared" ref="AQ404" si="4573">IF(COUNTIF(Y404,"*十種競技*")&gt;0,E403,0)</f>
        <v>0</v>
      </c>
      <c r="AR404" s="218" t="b">
        <f>IF(AQ404=0,FALSE,IF(OR(COUNTIF($AI$7:$AI$406,AQ404)+COUNTIF($AQ404:$AQ$406,AQ404)&gt;1,COUNTIF($AK$7:$AK$406,AQ404)+COUNTIF($AQ$7:$AQ$406,AQ404)&gt;1),TRUE,FALSE))</f>
        <v>0</v>
      </c>
      <c r="AT404" s="218" t="b">
        <f t="shared" si="4428"/>
        <v>0</v>
      </c>
      <c r="AU404" s="274"/>
      <c r="AX404" s="274"/>
      <c r="BD404" s="218" t="b">
        <f t="shared" si="4415"/>
        <v>0</v>
      </c>
      <c r="BF404" s="231" t="b">
        <f t="shared" ref="BF404" si="4574">IF(J404="",FALSE,IF(OR(AND(AU403,L404=""),AND(AU403,L404="",OR(M404&lt;&gt;"",N404&lt;&gt;"",O404&lt;&gt;"",P404&lt;&gt;""))),TRUE,FALSE))</f>
        <v>0</v>
      </c>
      <c r="BG404" s="218" t="b">
        <f t="shared" si="4417"/>
        <v>0</v>
      </c>
      <c r="BH404" s="218" t="b">
        <f t="shared" si="4430"/>
        <v>0</v>
      </c>
      <c r="BI404" s="231" t="b">
        <f t="shared" ref="BI404" si="4575">IF(J404="",FALSE,IF(L404=0,FALSE,IF(AND(AU403,NOT(BF404),OR(M404="",N404="",O404="")),TRUE,FALSE)))</f>
        <v>0</v>
      </c>
      <c r="BJ404" s="240" t="b">
        <f t="shared" si="4432"/>
        <v>0</v>
      </c>
      <c r="BK404" s="231" t="b">
        <f>IF(NOT(BJ404),FALSE,IF(AND(競技会設定!$C$5&lt;=BJ404,BJ404&lt;=競技会設定!$C$6),FALSE,TRUE))</f>
        <v>0</v>
      </c>
      <c r="BL404" s="218" t="b">
        <f>IF(J404="",FALSE,IF(L404=0,FALSE,IF(AND(AU403,NOT(BF404),NOT(BI404),P404=""),TRUE,FALSE)))</f>
        <v>0</v>
      </c>
      <c r="BO404" s="274"/>
    </row>
    <row r="405" spans="1:67" ht="17.399999999999999" customHeight="1">
      <c r="A405" s="421"/>
      <c r="B405" s="374"/>
      <c r="C405" s="376"/>
      <c r="D405" s="140"/>
      <c r="E405" s="379" t="str">
        <f>IF(C403="","",VLOOKUP(D403,男子登録!$A$2:$O$2001,14,0)&amp;" ("&amp;VLOOKUP(D403,男子登録!$A$2:$O$2001,15,0)&amp;")")</f>
        <v/>
      </c>
      <c r="F405" s="380"/>
      <c r="G405" s="140" t="str">
        <f>IF(C403="","",(VLOOKUP(D403,男子登録!$A$2:$N$2001,9,0)))</f>
        <v/>
      </c>
      <c r="H405" s="140"/>
      <c r="I405" s="140" t="s">
        <v>4021</v>
      </c>
      <c r="J405" s="153"/>
      <c r="K405" s="140" t="s">
        <v>6760</v>
      </c>
      <c r="L405" s="153"/>
      <c r="M405" s="264"/>
      <c r="N405" s="265"/>
      <c r="O405" s="266"/>
      <c r="P405" s="152"/>
      <c r="Q405" s="382"/>
      <c r="R405" s="385"/>
      <c r="S405" s="136"/>
      <c r="T405" s="137"/>
      <c r="U405" s="137"/>
      <c r="V405" s="137"/>
      <c r="W405" s="137"/>
      <c r="X405" s="137"/>
      <c r="Y405" s="218">
        <f t="shared" ref="Y405" si="4576">IF(OR(E403="",J405=""),0,J405&amp;E403)</f>
        <v>0</v>
      </c>
      <c r="Z405" s="218">
        <f>IF(Y405=0,0,COUNTIF($Y$7:Y405,Y405))</f>
        <v>0</v>
      </c>
      <c r="AD405" s="218">
        <f>IFERROR(VLOOKUP(J405,競技会設定!$P$2:$S$22,2,0),0)</f>
        <v>0</v>
      </c>
      <c r="AE405" s="218">
        <f t="shared" ref="AE405" si="4577">IF(E403="",0,IF(AD405=0,0,IF(AD405&lt;3,E403&amp;$AE$6,0)))</f>
        <v>0</v>
      </c>
      <c r="AF405" s="218">
        <f>IF(AE405=0,0,E403&amp;COUNTIF($AE$7:AE405,AE405))</f>
        <v>0</v>
      </c>
      <c r="AG405" s="218">
        <f t="shared" ref="AG405" si="4578">IF(E403="",0,IF(AD405=0,0,IF(AD405&gt;=3,E403&amp;$AG$6,0)))</f>
        <v>0</v>
      </c>
      <c r="AH405" s="218">
        <f>IF(AG405=0,0,E403&amp;COUNTIF($AG$7:AG405,AG405))</f>
        <v>0</v>
      </c>
      <c r="AI405" s="218">
        <f t="shared" ref="AI405" si="4579">IF(COUNTIF(Y405,"*十種*")&gt;0,0,IF($AD405=AI$6,$E403,0))</f>
        <v>0</v>
      </c>
      <c r="AJ405" s="218" t="b">
        <f>IF(AI405=0,FALSE,IF(COUNTIF(AI$7:AI405,AI405)&gt;1,TRUE,FALSE))</f>
        <v>0</v>
      </c>
      <c r="AK405" s="218">
        <f t="shared" ref="AK405" si="4580">IF($AD405=AK$6,$E403,0)</f>
        <v>0</v>
      </c>
      <c r="AL405" s="218" t="b">
        <f>IF(AK405=0,FALSE,IF(COUNTIF(AK$7:AK405,AK405)&gt;1,TRUE,FALSE))</f>
        <v>0</v>
      </c>
      <c r="AM405" s="218">
        <f t="shared" ref="AM405" si="4581">IF($AD405=AM$6,$E403,0)</f>
        <v>0</v>
      </c>
      <c r="AN405" s="218" t="b">
        <f>IF(AM405=0,FALSE,IF(COUNTIF(AM$7:AM405,AM405)&gt;1,TRUE,FALSE))</f>
        <v>0</v>
      </c>
      <c r="AO405" s="218">
        <f t="shared" ref="AO405" si="4582">IF($AD405=AO$6,$E403,0)</f>
        <v>0</v>
      </c>
      <c r="AP405" s="218" t="b">
        <f>IF(AO405=0,FALSE,IF(COUNTIF(AO$7:AO405,AO405)&gt;1,TRUE,FALSE))</f>
        <v>0</v>
      </c>
      <c r="AQ405" s="218">
        <f t="shared" ref="AQ405" si="4583">IF(COUNTIF(Y405,"*十種競技*")&gt;0,E403,0)</f>
        <v>0</v>
      </c>
      <c r="AR405" s="218" t="b">
        <f>IF(AQ405=0,FALSE,IF(OR(COUNTIF($AI$7:$AI$406,AQ405)+COUNTIF($AQ405:$AQ$406,AQ405)&gt;1,COUNTIF($AK$7:$AK$406,AQ405)+COUNTIF($AQ$7:$AQ$406,AQ405)&gt;1),TRUE,FALSE))</f>
        <v>0</v>
      </c>
      <c r="AT405" s="218" t="b">
        <f t="shared" si="4428"/>
        <v>0</v>
      </c>
      <c r="AU405" s="274"/>
      <c r="AX405" s="274"/>
      <c r="BD405" s="218" t="b">
        <f t="shared" si="4415"/>
        <v>0</v>
      </c>
      <c r="BF405" s="231" t="b">
        <f t="shared" ref="BF405" si="4584">IF(J405="",FALSE,IF(OR(AND(AU403,L405=""),AND(AU403,L405="",OR(M405&lt;&gt;"",N405&lt;&gt;"",O405&lt;&gt;"",P405&lt;&gt;""))),TRUE,FALSE))</f>
        <v>0</v>
      </c>
      <c r="BG405" s="218" t="b">
        <f t="shared" si="4417"/>
        <v>0</v>
      </c>
      <c r="BH405" s="218" t="b">
        <f t="shared" si="4430"/>
        <v>0</v>
      </c>
      <c r="BI405" s="231" t="b">
        <f t="shared" ref="BI405" si="4585">IF(J405="",FALSE,IF(L405=0,FALSE,IF(AND(AU403,NOT(BF405),OR(M405="",N405="",O405="")),TRUE,FALSE)))</f>
        <v>0</v>
      </c>
      <c r="BJ405" s="240" t="b">
        <f t="shared" si="4432"/>
        <v>0</v>
      </c>
      <c r="BK405" s="231" t="b">
        <f>IF(NOT(BJ405),FALSE,IF(AND(競技会設定!$C$5&lt;=BJ405,BJ405&lt;=競技会設定!$C$6),FALSE,TRUE))</f>
        <v>0</v>
      </c>
      <c r="BL405" s="218" t="b">
        <f>IF(J405="",FALSE,IF(L405=0,FALSE,IF(AND(AU403,NOT(BF405),NOT(BI405),P405=""),TRUE,FALSE)))</f>
        <v>0</v>
      </c>
      <c r="BO405" s="274"/>
    </row>
    <row r="406" spans="1:67" ht="18" customHeight="1" thickBot="1">
      <c r="A406" s="438"/>
      <c r="B406" s="439" t="s">
        <v>6764</v>
      </c>
      <c r="C406" s="439"/>
      <c r="D406" s="215"/>
      <c r="E406" s="440"/>
      <c r="F406" s="441"/>
      <c r="G406" s="442"/>
      <c r="H406" s="142"/>
      <c r="I406" s="215" t="s">
        <v>6759</v>
      </c>
      <c r="J406" s="155"/>
      <c r="K406" s="215" t="s">
        <v>6761</v>
      </c>
      <c r="L406" s="155"/>
      <c r="M406" s="270"/>
      <c r="N406" s="271"/>
      <c r="O406" s="272"/>
      <c r="P406" s="155"/>
      <c r="Q406" s="436"/>
      <c r="R406" s="437"/>
      <c r="S406" s="136"/>
      <c r="T406" s="137"/>
      <c r="U406" s="137"/>
      <c r="V406" s="137"/>
      <c r="W406" s="137"/>
      <c r="X406" s="137"/>
      <c r="Y406" s="218">
        <f t="shared" ref="Y406" si="4586">IF(OR(E403="",J406=""),0,J406&amp;E403)</f>
        <v>0</v>
      </c>
      <c r="Z406" s="218">
        <f>IF(Y406=0,0,COUNTIF($Y$7:Y406,Y406))</f>
        <v>0</v>
      </c>
      <c r="AD406" s="218">
        <f>IFERROR(VLOOKUP(J406,競技会設定!$P$2:$S$22,2,0),0)</f>
        <v>0</v>
      </c>
      <c r="AE406" s="218">
        <f t="shared" ref="AE406" si="4587">IF(E403="",0,IF(AD406=0,0,IF(AD406&lt;3,E403&amp;$AE$6,0)))</f>
        <v>0</v>
      </c>
      <c r="AF406" s="218">
        <f>IF(AE406=0,0,E403&amp;COUNTIF($AE$7:AE406,AE406))</f>
        <v>0</v>
      </c>
      <c r="AG406" s="218">
        <f t="shared" ref="AG406" si="4588">IF(E403="",0,IF(AD406=0,0,IF(AD406&gt;=3,E403&amp;$AG$6,0)))</f>
        <v>0</v>
      </c>
      <c r="AH406" s="218">
        <f>IF(AG406=0,0,E403&amp;COUNTIF($AG$7:AG406,AG406))</f>
        <v>0</v>
      </c>
      <c r="AI406" s="218">
        <f t="shared" ref="AI406" si="4589">IF(COUNTIF(Y406,"*十種*")&gt;0,0,IF($AD406=AI$6,$E403,0))</f>
        <v>0</v>
      </c>
      <c r="AJ406" s="218" t="b">
        <f>IF(AI406=0,FALSE,IF(COUNTIF(AI$7:AI406,AI406)&gt;1,TRUE,FALSE))</f>
        <v>0</v>
      </c>
      <c r="AK406" s="218">
        <f t="shared" ref="AK406" si="4590">IF($AD406=AK$6,$E403,0)</f>
        <v>0</v>
      </c>
      <c r="AL406" s="218" t="b">
        <f>IF(AK406=0,FALSE,IF(COUNTIF(AK$7:AK406,AK406)&gt;1,TRUE,FALSE))</f>
        <v>0</v>
      </c>
      <c r="AM406" s="218">
        <f t="shared" ref="AM406" si="4591">IF($AD406=AM$6,$E403,0)</f>
        <v>0</v>
      </c>
      <c r="AN406" s="218" t="b">
        <f>IF(AM406=0,FALSE,IF(COUNTIF(AM$7:AM406,AM406)&gt;1,TRUE,FALSE))</f>
        <v>0</v>
      </c>
      <c r="AO406" s="218">
        <f t="shared" ref="AO406" si="4592">IF($AD406=AO$6,$E403,0)</f>
        <v>0</v>
      </c>
      <c r="AP406" s="218" t="b">
        <f>IF(AO406=0,FALSE,IF(COUNTIF(AO$7:AO406,AO406)&gt;1,TRUE,FALSE))</f>
        <v>0</v>
      </c>
      <c r="AQ406" s="218">
        <f t="shared" ref="AQ406" si="4593">IF(COUNTIF(Y406,"*十種競技*")&gt;0,E403,0)</f>
        <v>0</v>
      </c>
      <c r="AR406" s="218" t="b">
        <f>IF(AQ406=0,FALSE,IF(OR(COUNTIF($AI$7:$AI$406,AQ406)+COUNTIF($AQ406:$AQ$406,AQ406)&gt;1,COUNTIF($AK$7:$AK$406,AQ406)+COUNTIF($AQ$7:$AQ$406,AQ406)&gt;1),TRUE,FALSE))</f>
        <v>0</v>
      </c>
      <c r="AT406" s="218" t="b">
        <f t="shared" si="4428"/>
        <v>0</v>
      </c>
      <c r="AU406" s="274"/>
      <c r="AX406" s="274"/>
      <c r="BD406" s="218" t="b">
        <f t="shared" si="4415"/>
        <v>0</v>
      </c>
      <c r="BF406" s="231" t="b">
        <f t="shared" ref="BF406" si="4594">IF(J406="",FALSE,IF(OR(AND(AU403,L406=""),AND(AU403,L406="",OR(M406&lt;&gt;"",N406&lt;&gt;"",O406&lt;&gt;"",P406&lt;&gt;""))),TRUE,FALSE))</f>
        <v>0</v>
      </c>
      <c r="BG406" s="218" t="b">
        <f t="shared" si="4417"/>
        <v>0</v>
      </c>
      <c r="BH406" s="218" t="b">
        <f t="shared" si="4430"/>
        <v>0</v>
      </c>
      <c r="BI406" s="231" t="b">
        <f t="shared" ref="BI406" si="4595">IF(J406="",FALSE,IF(L406=0,FALSE,IF(AND(AU403,NOT(BF406),OR(M406="",N406="",O406="")),TRUE,FALSE)))</f>
        <v>0</v>
      </c>
      <c r="BJ406" s="240" t="b">
        <f t="shared" si="4432"/>
        <v>0</v>
      </c>
      <c r="BK406" s="231" t="b">
        <f>IF(NOT(BJ406),FALSE,IF(AND(競技会設定!$C$5&lt;=BJ406,BJ406&lt;=競技会設定!$C$6),FALSE,TRUE))</f>
        <v>0</v>
      </c>
      <c r="BL406" s="218" t="b">
        <f>IF(J406="",FALSE,IF(L406=0,FALSE,IF(AND(AU403,NOT(BF406),NOT(BI406),P406=""),TRUE,FALSE)))</f>
        <v>0</v>
      </c>
      <c r="BO406" s="274"/>
    </row>
    <row r="407" spans="1:67" ht="18" customHeight="1" thickTop="1">
      <c r="A407" s="143"/>
      <c r="B407" s="144"/>
      <c r="C407" s="144"/>
      <c r="D407" s="145"/>
      <c r="E407" s="145"/>
      <c r="F407" s="145"/>
      <c r="G407" s="146"/>
      <c r="H407" s="146"/>
      <c r="I407" s="146"/>
      <c r="J407" s="146"/>
      <c r="K407" s="146"/>
      <c r="L407" s="146"/>
      <c r="M407" s="145"/>
      <c r="N407" s="145"/>
      <c r="O407" s="145"/>
      <c r="P407" s="145"/>
      <c r="Q407" s="147"/>
      <c r="R407" s="147"/>
    </row>
    <row r="408" spans="1:67" ht="17.399999999999999" customHeight="1">
      <c r="A408" s="143"/>
      <c r="B408" s="144"/>
      <c r="C408" s="144"/>
      <c r="D408" s="145"/>
      <c r="E408" s="145"/>
      <c r="F408" s="145"/>
      <c r="G408" s="145"/>
      <c r="H408" s="145"/>
      <c r="I408" s="146"/>
      <c r="J408" s="146"/>
      <c r="K408" s="146"/>
      <c r="L408" s="146"/>
      <c r="M408" s="145"/>
      <c r="N408" s="145"/>
      <c r="O408" s="145"/>
      <c r="P408" s="145"/>
      <c r="Q408" s="147"/>
      <c r="R408" s="147"/>
    </row>
    <row r="409" spans="1:67" ht="17.399999999999999" customHeight="1">
      <c r="A409" s="143"/>
      <c r="B409" s="144"/>
      <c r="C409" s="144"/>
      <c r="D409" s="145"/>
      <c r="E409" s="145"/>
      <c r="F409" s="145"/>
      <c r="G409" s="145"/>
      <c r="H409" s="145"/>
      <c r="I409" s="146"/>
      <c r="J409" s="146"/>
      <c r="K409" s="146"/>
      <c r="L409" s="146"/>
      <c r="M409" s="145"/>
      <c r="N409" s="145"/>
      <c r="O409" s="145"/>
      <c r="P409" s="145"/>
      <c r="Q409" s="147"/>
      <c r="R409" s="147"/>
    </row>
    <row r="410" spans="1:67" ht="18" customHeight="1">
      <c r="A410" s="144"/>
      <c r="B410" s="145"/>
      <c r="C410" s="145"/>
      <c r="D410" s="145"/>
      <c r="E410" s="145"/>
      <c r="F410" s="145"/>
      <c r="G410" s="145"/>
      <c r="H410" s="145"/>
      <c r="I410" s="146"/>
      <c r="J410" s="146"/>
      <c r="K410" s="146"/>
      <c r="L410" s="146"/>
      <c r="M410" s="145"/>
      <c r="N410" s="145"/>
      <c r="O410" s="145"/>
      <c r="P410" s="145"/>
      <c r="Q410" s="147"/>
      <c r="R410" s="147"/>
    </row>
    <row r="411" spans="1:67" ht="18" customHeight="1">
      <c r="A411" s="144"/>
      <c r="B411" s="144"/>
      <c r="C411" s="144"/>
      <c r="D411" s="145"/>
      <c r="E411" s="145"/>
      <c r="F411" s="145"/>
      <c r="G411" s="145"/>
      <c r="H411" s="145"/>
      <c r="I411" s="146"/>
      <c r="J411" s="146"/>
      <c r="K411" s="146"/>
      <c r="L411" s="146"/>
      <c r="M411" s="145"/>
      <c r="N411" s="145"/>
      <c r="O411" s="145"/>
      <c r="P411" s="145"/>
      <c r="Q411" s="147"/>
      <c r="R411" s="147"/>
    </row>
    <row r="412" spans="1:67" ht="17.399999999999999" customHeight="1">
      <c r="A412" s="144"/>
      <c r="B412" s="144"/>
      <c r="C412" s="144"/>
      <c r="D412" s="145"/>
      <c r="E412" s="145"/>
      <c r="F412" s="145"/>
      <c r="G412" s="145"/>
      <c r="H412" s="145"/>
      <c r="I412" s="146"/>
      <c r="J412" s="146"/>
      <c r="K412" s="146"/>
      <c r="L412" s="146"/>
      <c r="M412" s="145"/>
      <c r="N412" s="145"/>
      <c r="O412" s="145"/>
      <c r="P412" s="145"/>
      <c r="Q412" s="147"/>
      <c r="R412" s="147"/>
    </row>
    <row r="413" spans="1:67" ht="17.399999999999999" customHeight="1">
      <c r="A413" s="144"/>
      <c r="B413" s="144"/>
      <c r="C413" s="144"/>
      <c r="D413" s="145"/>
      <c r="E413" s="145"/>
      <c r="F413" s="145"/>
      <c r="G413" s="145"/>
      <c r="H413" s="145"/>
      <c r="I413" s="146"/>
      <c r="J413" s="146"/>
      <c r="K413" s="146"/>
      <c r="L413" s="146"/>
      <c r="M413" s="145"/>
      <c r="N413" s="145"/>
      <c r="O413" s="145"/>
      <c r="P413" s="145"/>
      <c r="Q413" s="147"/>
      <c r="R413" s="147"/>
    </row>
    <row r="414" spans="1:67" ht="18" customHeight="1">
      <c r="A414" s="144"/>
      <c r="B414" s="145"/>
      <c r="C414" s="145"/>
      <c r="D414" s="145"/>
      <c r="E414" s="145"/>
      <c r="F414" s="145"/>
      <c r="G414" s="145"/>
      <c r="H414" s="145"/>
      <c r="I414" s="146"/>
      <c r="J414" s="146"/>
      <c r="K414" s="146"/>
      <c r="L414" s="146"/>
      <c r="M414" s="145"/>
      <c r="N414" s="145"/>
      <c r="O414" s="145"/>
      <c r="P414" s="145"/>
      <c r="Q414" s="147"/>
      <c r="R414" s="147"/>
    </row>
    <row r="415" spans="1:67" ht="18" customHeight="1">
      <c r="A415" s="144"/>
      <c r="B415" s="144"/>
      <c r="C415" s="144"/>
      <c r="D415" s="145"/>
      <c r="E415" s="145"/>
      <c r="F415" s="145"/>
      <c r="G415" s="145"/>
      <c r="H415" s="145"/>
      <c r="I415" s="146"/>
      <c r="J415" s="146"/>
      <c r="K415" s="146"/>
      <c r="L415" s="146"/>
      <c r="M415" s="145"/>
      <c r="N415" s="145"/>
      <c r="O415" s="145"/>
      <c r="P415" s="145"/>
      <c r="Q415" s="147"/>
      <c r="R415" s="147"/>
    </row>
    <row r="416" spans="1:67" ht="17.399999999999999" customHeight="1">
      <c r="A416" s="144"/>
      <c r="B416" s="144"/>
      <c r="C416" s="144"/>
      <c r="D416" s="145"/>
      <c r="E416" s="145"/>
      <c r="F416" s="145"/>
      <c r="G416" s="145"/>
      <c r="H416" s="145"/>
      <c r="I416" s="146"/>
      <c r="J416" s="146"/>
      <c r="K416" s="146"/>
      <c r="L416" s="146"/>
      <c r="M416" s="145"/>
      <c r="N416" s="145"/>
      <c r="O416" s="145"/>
      <c r="P416" s="145"/>
      <c r="Q416" s="147"/>
      <c r="R416" s="147"/>
    </row>
    <row r="417" spans="1:18" ht="17.399999999999999" customHeight="1">
      <c r="A417" s="143"/>
      <c r="B417" s="144"/>
      <c r="C417" s="144"/>
      <c r="D417" s="145"/>
      <c r="E417" s="145"/>
      <c r="F417" s="145"/>
      <c r="G417" s="145"/>
      <c r="H417" s="145"/>
      <c r="I417" s="146"/>
      <c r="J417" s="146"/>
      <c r="K417" s="146"/>
      <c r="L417" s="146"/>
      <c r="M417" s="145"/>
      <c r="N417" s="145"/>
      <c r="O417" s="145"/>
      <c r="P417" s="145"/>
      <c r="Q417" s="147"/>
      <c r="R417" s="147"/>
    </row>
    <row r="418" spans="1:18" ht="18" customHeight="1">
      <c r="A418" s="143"/>
      <c r="B418" s="145"/>
      <c r="C418" s="145"/>
      <c r="D418" s="145"/>
      <c r="E418" s="145"/>
      <c r="F418" s="145"/>
      <c r="G418" s="145"/>
      <c r="H418" s="145"/>
      <c r="I418" s="146"/>
      <c r="J418" s="146"/>
      <c r="K418" s="146"/>
      <c r="L418" s="146"/>
      <c r="M418" s="145"/>
      <c r="N418" s="145"/>
      <c r="O418" s="145"/>
      <c r="P418" s="145"/>
      <c r="Q418" s="147"/>
      <c r="R418" s="147"/>
    </row>
    <row r="419" spans="1:18" ht="18" customHeight="1">
      <c r="B419" s="144"/>
      <c r="C419" s="144"/>
      <c r="D419" s="145"/>
      <c r="E419" s="145"/>
      <c r="F419" s="145"/>
      <c r="G419" s="145"/>
      <c r="H419" s="145"/>
      <c r="I419" s="146"/>
      <c r="J419" s="146"/>
      <c r="K419" s="146"/>
      <c r="L419" s="146"/>
      <c r="M419" s="145"/>
      <c r="N419" s="145"/>
      <c r="O419" s="145"/>
      <c r="P419" s="145"/>
      <c r="Q419" s="147"/>
      <c r="R419" s="147"/>
    </row>
    <row r="420" spans="1:18" ht="17.399999999999999" customHeight="1">
      <c r="B420" s="144"/>
      <c r="C420" s="144"/>
      <c r="D420" s="145"/>
      <c r="E420" s="145"/>
      <c r="F420" s="145"/>
      <c r="G420" s="145"/>
      <c r="H420" s="145"/>
      <c r="I420" s="146"/>
      <c r="J420" s="146"/>
      <c r="K420" s="146"/>
      <c r="L420" s="146"/>
      <c r="M420" s="145"/>
      <c r="N420" s="145"/>
      <c r="O420" s="145"/>
      <c r="P420" s="145"/>
      <c r="Q420" s="147"/>
      <c r="R420" s="147"/>
    </row>
    <row r="421" spans="1:18" ht="17.399999999999999" customHeight="1">
      <c r="B421" s="144"/>
      <c r="C421" s="144"/>
      <c r="D421" s="145"/>
      <c r="E421" s="145"/>
      <c r="F421" s="145"/>
      <c r="G421" s="145"/>
      <c r="H421" s="145"/>
      <c r="I421" s="146"/>
      <c r="J421" s="146"/>
      <c r="K421" s="146"/>
      <c r="L421" s="146"/>
      <c r="M421" s="145"/>
      <c r="N421" s="145"/>
      <c r="O421" s="145"/>
      <c r="P421" s="145"/>
      <c r="Q421" s="147"/>
      <c r="R421" s="147"/>
    </row>
    <row r="422" spans="1:18" ht="18" customHeight="1">
      <c r="B422" s="145"/>
      <c r="C422" s="145"/>
      <c r="D422" s="145"/>
      <c r="E422" s="145"/>
      <c r="F422" s="145"/>
      <c r="G422" s="145"/>
      <c r="H422" s="145"/>
      <c r="I422" s="146"/>
      <c r="J422" s="146"/>
      <c r="K422" s="146"/>
      <c r="L422" s="146"/>
      <c r="M422" s="145"/>
      <c r="N422" s="145"/>
      <c r="O422" s="145"/>
      <c r="P422" s="145"/>
      <c r="Q422" s="147"/>
      <c r="R422" s="147"/>
    </row>
    <row r="423" spans="1:18">
      <c r="B423" s="146"/>
      <c r="C423" s="146"/>
      <c r="D423" s="146"/>
      <c r="E423" s="146"/>
      <c r="F423" s="146"/>
      <c r="G423" s="146"/>
      <c r="H423" s="146"/>
      <c r="I423" s="146"/>
      <c r="J423" s="146"/>
      <c r="K423" s="146"/>
      <c r="L423" s="146"/>
      <c r="M423" s="146"/>
      <c r="N423" s="146"/>
      <c r="O423" s="146"/>
      <c r="P423" s="146"/>
      <c r="Q423" s="146"/>
      <c r="R423" s="146"/>
    </row>
  </sheetData>
  <sheetProtection algorithmName="SHA-512" hashValue="Lyov77DmO645wlTokou2DTULS7v/vln6eSqlUD7XaodgBDs3v38QlouWiT05bzO18Wp2G45RhdZ5+51u2pHL1w==" saltValue="HvluzSi3vYpa4z9JuZGgjw==" spinCount="100000" sheet="1" objects="1" scenarios="1"/>
  <protectedRanges>
    <protectedRange algorithmName="SHA-512" hashValue="yHg9xIUhy0nLOFAqlolFdqQ8CK2U2DTemT/0Ckx8ejTUdiBmiBZ1jcby64zbyCK6vjk9wbhpRZWlJRbth9DqAA==" saltValue="x24GUKkpgftwa+HtNhlD7w==" spinCount="100000" sqref="E7:G406" name="手入力"/>
  </protectedRanges>
  <mergeCells count="1025">
    <mergeCell ref="AQ6:AR6"/>
    <mergeCell ref="AO6:AP6"/>
    <mergeCell ref="AM6:AN6"/>
    <mergeCell ref="AK6:AL6"/>
    <mergeCell ref="AI6:AJ6"/>
    <mergeCell ref="V5:X5"/>
    <mergeCell ref="S5:U5"/>
    <mergeCell ref="Y5:Z5"/>
    <mergeCell ref="A3:C3"/>
    <mergeCell ref="A4:C4"/>
    <mergeCell ref="R19:R22"/>
    <mergeCell ref="Q15:Q18"/>
    <mergeCell ref="R15:R18"/>
    <mergeCell ref="E14:G14"/>
    <mergeCell ref="E15:E16"/>
    <mergeCell ref="F15:F16"/>
    <mergeCell ref="Q11:Q14"/>
    <mergeCell ref="R11:R14"/>
    <mergeCell ref="A11:A14"/>
    <mergeCell ref="B11:B13"/>
    <mergeCell ref="C11:C13"/>
    <mergeCell ref="E11:E12"/>
    <mergeCell ref="Q7:Q10"/>
    <mergeCell ref="R7:R10"/>
    <mergeCell ref="F11:F12"/>
    <mergeCell ref="E9:F9"/>
    <mergeCell ref="G5:G6"/>
    <mergeCell ref="I5:J6"/>
    <mergeCell ref="E18:G18"/>
    <mergeCell ref="B19:B21"/>
    <mergeCell ref="C19:C21"/>
    <mergeCell ref="E19:E20"/>
    <mergeCell ref="F19:F20"/>
    <mergeCell ref="Q19:Q22"/>
    <mergeCell ref="E21:F21"/>
    <mergeCell ref="B22:C22"/>
    <mergeCell ref="E22:G22"/>
    <mergeCell ref="A63:A66"/>
    <mergeCell ref="B63:B65"/>
    <mergeCell ref="C63:C65"/>
    <mergeCell ref="E65:F65"/>
    <mergeCell ref="A55:A58"/>
    <mergeCell ref="A59:A62"/>
    <mergeCell ref="B55:B57"/>
    <mergeCell ref="C55:C57"/>
    <mergeCell ref="E51:E52"/>
    <mergeCell ref="F51:F52"/>
    <mergeCell ref="Q43:Q46"/>
    <mergeCell ref="R43:R46"/>
    <mergeCell ref="Q47:Q50"/>
    <mergeCell ref="R47:R50"/>
    <mergeCell ref="B43:B45"/>
    <mergeCell ref="C43:C45"/>
    <mergeCell ref="E43:E44"/>
    <mergeCell ref="F43:F44"/>
    <mergeCell ref="F47:F48"/>
    <mergeCell ref="E49:F49"/>
    <mergeCell ref="E50:G50"/>
    <mergeCell ref="B51:B53"/>
    <mergeCell ref="C51:C53"/>
    <mergeCell ref="Q51:Q54"/>
    <mergeCell ref="R51:R54"/>
    <mergeCell ref="E53:F53"/>
    <mergeCell ref="B54:C54"/>
    <mergeCell ref="E54:G54"/>
    <mergeCell ref="A79:A82"/>
    <mergeCell ref="A83:A86"/>
    <mergeCell ref="B82:C82"/>
    <mergeCell ref="E82:G82"/>
    <mergeCell ref="Q75:Q78"/>
    <mergeCell ref="R75:R78"/>
    <mergeCell ref="E75:E76"/>
    <mergeCell ref="F75:F76"/>
    <mergeCell ref="A75:A78"/>
    <mergeCell ref="B75:B77"/>
    <mergeCell ref="C75:C77"/>
    <mergeCell ref="E77:F77"/>
    <mergeCell ref="Q67:Q70"/>
    <mergeCell ref="R67:R70"/>
    <mergeCell ref="A67:A70"/>
    <mergeCell ref="A71:A74"/>
    <mergeCell ref="B70:C70"/>
    <mergeCell ref="E70:G70"/>
    <mergeCell ref="B78:C78"/>
    <mergeCell ref="E78:G78"/>
    <mergeCell ref="B79:B81"/>
    <mergeCell ref="C79:C81"/>
    <mergeCell ref="E79:E80"/>
    <mergeCell ref="F79:F80"/>
    <mergeCell ref="E81:F81"/>
    <mergeCell ref="B71:B73"/>
    <mergeCell ref="C71:C73"/>
    <mergeCell ref="E71:E72"/>
    <mergeCell ref="F71:F72"/>
    <mergeCell ref="Q71:Q74"/>
    <mergeCell ref="R71:R74"/>
    <mergeCell ref="E73:F73"/>
    <mergeCell ref="A99:A102"/>
    <mergeCell ref="B99:B101"/>
    <mergeCell ref="C99:C101"/>
    <mergeCell ref="E101:F101"/>
    <mergeCell ref="Q91:Q94"/>
    <mergeCell ref="R91:R94"/>
    <mergeCell ref="A91:A94"/>
    <mergeCell ref="A95:A98"/>
    <mergeCell ref="B94:C94"/>
    <mergeCell ref="E94:G94"/>
    <mergeCell ref="Q87:Q90"/>
    <mergeCell ref="R87:R90"/>
    <mergeCell ref="E87:E88"/>
    <mergeCell ref="F87:F88"/>
    <mergeCell ref="A87:A90"/>
    <mergeCell ref="B87:B89"/>
    <mergeCell ref="C87:C89"/>
    <mergeCell ref="E89:F89"/>
    <mergeCell ref="Q99:Q102"/>
    <mergeCell ref="R99:R102"/>
    <mergeCell ref="E99:E100"/>
    <mergeCell ref="F99:F100"/>
    <mergeCell ref="B74:C74"/>
    <mergeCell ref="E74:G74"/>
    <mergeCell ref="F83:F84"/>
    <mergeCell ref="Q83:Q86"/>
    <mergeCell ref="R83:R86"/>
    <mergeCell ref="E85:F85"/>
    <mergeCell ref="B86:C86"/>
    <mergeCell ref="E86:G86"/>
    <mergeCell ref="A115:A118"/>
    <mergeCell ref="A119:A122"/>
    <mergeCell ref="B118:C118"/>
    <mergeCell ref="E118:G118"/>
    <mergeCell ref="Q111:Q114"/>
    <mergeCell ref="R111:R114"/>
    <mergeCell ref="E111:E112"/>
    <mergeCell ref="F111:F112"/>
    <mergeCell ref="A111:A114"/>
    <mergeCell ref="B111:B113"/>
    <mergeCell ref="C111:C113"/>
    <mergeCell ref="E113:F113"/>
    <mergeCell ref="Q103:Q106"/>
    <mergeCell ref="R103:R106"/>
    <mergeCell ref="A103:A106"/>
    <mergeCell ref="A107:A110"/>
    <mergeCell ref="B106:C106"/>
    <mergeCell ref="E106:G106"/>
    <mergeCell ref="R115:R118"/>
    <mergeCell ref="B114:C114"/>
    <mergeCell ref="E114:G114"/>
    <mergeCell ref="B115:B117"/>
    <mergeCell ref="C115:C117"/>
    <mergeCell ref="E115:E116"/>
    <mergeCell ref="F115:F116"/>
    <mergeCell ref="E117:F117"/>
    <mergeCell ref="B107:B109"/>
    <mergeCell ref="C107:C109"/>
    <mergeCell ref="E107:E108"/>
    <mergeCell ref="F107:F108"/>
    <mergeCell ref="Q107:Q110"/>
    <mergeCell ref="R107:R110"/>
    <mergeCell ref="A135:A138"/>
    <mergeCell ref="B135:B137"/>
    <mergeCell ref="C135:C137"/>
    <mergeCell ref="E137:F137"/>
    <mergeCell ref="Q127:Q130"/>
    <mergeCell ref="R127:R130"/>
    <mergeCell ref="A127:A130"/>
    <mergeCell ref="A131:A134"/>
    <mergeCell ref="B130:C130"/>
    <mergeCell ref="E130:G130"/>
    <mergeCell ref="Q123:Q126"/>
    <mergeCell ref="R123:R126"/>
    <mergeCell ref="E123:E124"/>
    <mergeCell ref="F123:F124"/>
    <mergeCell ref="A123:A126"/>
    <mergeCell ref="B123:B125"/>
    <mergeCell ref="C123:C125"/>
    <mergeCell ref="E125:F125"/>
    <mergeCell ref="B131:B133"/>
    <mergeCell ref="C131:C133"/>
    <mergeCell ref="E131:E132"/>
    <mergeCell ref="F131:F132"/>
    <mergeCell ref="Q131:Q134"/>
    <mergeCell ref="R131:R134"/>
    <mergeCell ref="E133:F133"/>
    <mergeCell ref="B134:C134"/>
    <mergeCell ref="E134:G134"/>
    <mergeCell ref="B126:C126"/>
    <mergeCell ref="E126:G126"/>
    <mergeCell ref="B127:B129"/>
    <mergeCell ref="C127:C129"/>
    <mergeCell ref="E127:E128"/>
    <mergeCell ref="A151:A154"/>
    <mergeCell ref="A155:A158"/>
    <mergeCell ref="B154:C154"/>
    <mergeCell ref="E154:G154"/>
    <mergeCell ref="Q147:Q150"/>
    <mergeCell ref="R147:R150"/>
    <mergeCell ref="E147:E148"/>
    <mergeCell ref="F147:F148"/>
    <mergeCell ref="A147:A150"/>
    <mergeCell ref="B147:B149"/>
    <mergeCell ref="C147:C149"/>
    <mergeCell ref="E149:F149"/>
    <mergeCell ref="Q139:Q142"/>
    <mergeCell ref="R139:R142"/>
    <mergeCell ref="A139:A142"/>
    <mergeCell ref="A143:A146"/>
    <mergeCell ref="B142:C142"/>
    <mergeCell ref="E142:G142"/>
    <mergeCell ref="F139:F140"/>
    <mergeCell ref="E141:F141"/>
    <mergeCell ref="Q151:Q154"/>
    <mergeCell ref="R151:R154"/>
    <mergeCell ref="A171:A174"/>
    <mergeCell ref="B171:B173"/>
    <mergeCell ref="C171:C173"/>
    <mergeCell ref="E173:F173"/>
    <mergeCell ref="Q163:Q166"/>
    <mergeCell ref="R163:R166"/>
    <mergeCell ref="A163:A166"/>
    <mergeCell ref="A167:A170"/>
    <mergeCell ref="B166:C166"/>
    <mergeCell ref="E166:G166"/>
    <mergeCell ref="Q159:Q162"/>
    <mergeCell ref="R159:R162"/>
    <mergeCell ref="E159:E160"/>
    <mergeCell ref="F159:F160"/>
    <mergeCell ref="A159:A162"/>
    <mergeCell ref="B159:B161"/>
    <mergeCell ref="C159:C161"/>
    <mergeCell ref="E161:F161"/>
    <mergeCell ref="B167:B169"/>
    <mergeCell ref="C167:C169"/>
    <mergeCell ref="E167:E168"/>
    <mergeCell ref="F167:F168"/>
    <mergeCell ref="Q167:Q170"/>
    <mergeCell ref="R167:R170"/>
    <mergeCell ref="E169:F169"/>
    <mergeCell ref="B170:C170"/>
    <mergeCell ref="E170:G170"/>
    <mergeCell ref="B162:C162"/>
    <mergeCell ref="E162:G162"/>
    <mergeCell ref="B163:B165"/>
    <mergeCell ref="C163:C165"/>
    <mergeCell ref="E163:E164"/>
    <mergeCell ref="A187:A190"/>
    <mergeCell ref="A191:A194"/>
    <mergeCell ref="B190:C190"/>
    <mergeCell ref="E190:G190"/>
    <mergeCell ref="Q183:Q186"/>
    <mergeCell ref="R183:R186"/>
    <mergeCell ref="E183:E184"/>
    <mergeCell ref="F183:F184"/>
    <mergeCell ref="A183:A186"/>
    <mergeCell ref="B183:B185"/>
    <mergeCell ref="C183:C185"/>
    <mergeCell ref="E185:F185"/>
    <mergeCell ref="Q175:Q178"/>
    <mergeCell ref="R175:R178"/>
    <mergeCell ref="A175:A178"/>
    <mergeCell ref="A179:A182"/>
    <mergeCell ref="B178:C178"/>
    <mergeCell ref="E178:G178"/>
    <mergeCell ref="B186:C186"/>
    <mergeCell ref="E186:G186"/>
    <mergeCell ref="B187:B189"/>
    <mergeCell ref="C187:C189"/>
    <mergeCell ref="E187:E188"/>
    <mergeCell ref="F187:F188"/>
    <mergeCell ref="E189:F189"/>
    <mergeCell ref="B179:B181"/>
    <mergeCell ref="C179:C181"/>
    <mergeCell ref="E179:E180"/>
    <mergeCell ref="F179:F180"/>
    <mergeCell ref="Q179:Q182"/>
    <mergeCell ref="R179:R182"/>
    <mergeCell ref="E181:F181"/>
    <mergeCell ref="A207:A210"/>
    <mergeCell ref="B207:B209"/>
    <mergeCell ref="C207:C209"/>
    <mergeCell ref="E209:F209"/>
    <mergeCell ref="Q199:Q202"/>
    <mergeCell ref="R199:R202"/>
    <mergeCell ref="A199:A202"/>
    <mergeCell ref="A203:A206"/>
    <mergeCell ref="B202:C202"/>
    <mergeCell ref="E202:G202"/>
    <mergeCell ref="Q195:Q198"/>
    <mergeCell ref="R195:R198"/>
    <mergeCell ref="E195:E196"/>
    <mergeCell ref="F195:F196"/>
    <mergeCell ref="A195:A198"/>
    <mergeCell ref="B195:B197"/>
    <mergeCell ref="C195:C197"/>
    <mergeCell ref="E197:F197"/>
    <mergeCell ref="Q207:Q210"/>
    <mergeCell ref="R207:R210"/>
    <mergeCell ref="E207:E208"/>
    <mergeCell ref="F207:F208"/>
    <mergeCell ref="A223:A226"/>
    <mergeCell ref="A227:A230"/>
    <mergeCell ref="B226:C226"/>
    <mergeCell ref="E226:G226"/>
    <mergeCell ref="Q219:Q222"/>
    <mergeCell ref="R219:R222"/>
    <mergeCell ref="E219:E220"/>
    <mergeCell ref="F219:F220"/>
    <mergeCell ref="A219:A222"/>
    <mergeCell ref="B219:B221"/>
    <mergeCell ref="C219:C221"/>
    <mergeCell ref="E221:F221"/>
    <mergeCell ref="Q211:Q214"/>
    <mergeCell ref="R211:R214"/>
    <mergeCell ref="A211:A214"/>
    <mergeCell ref="A215:A218"/>
    <mergeCell ref="B214:C214"/>
    <mergeCell ref="E214:G214"/>
    <mergeCell ref="R223:R226"/>
    <mergeCell ref="B222:C222"/>
    <mergeCell ref="E222:G222"/>
    <mergeCell ref="B223:B225"/>
    <mergeCell ref="C223:C225"/>
    <mergeCell ref="E223:E224"/>
    <mergeCell ref="F223:F224"/>
    <mergeCell ref="E225:F225"/>
    <mergeCell ref="B215:B217"/>
    <mergeCell ref="C215:C217"/>
    <mergeCell ref="E215:E216"/>
    <mergeCell ref="F215:F216"/>
    <mergeCell ref="Q215:Q218"/>
    <mergeCell ref="R215:R218"/>
    <mergeCell ref="A243:A246"/>
    <mergeCell ref="B243:B245"/>
    <mergeCell ref="C243:C245"/>
    <mergeCell ref="E245:F245"/>
    <mergeCell ref="Q235:Q238"/>
    <mergeCell ref="R235:R238"/>
    <mergeCell ref="A235:A238"/>
    <mergeCell ref="A239:A242"/>
    <mergeCell ref="B238:C238"/>
    <mergeCell ref="E238:G238"/>
    <mergeCell ref="Q231:Q234"/>
    <mergeCell ref="R231:R234"/>
    <mergeCell ref="E231:E232"/>
    <mergeCell ref="F231:F232"/>
    <mergeCell ref="A231:A234"/>
    <mergeCell ref="B231:B233"/>
    <mergeCell ref="C231:C233"/>
    <mergeCell ref="E233:F233"/>
    <mergeCell ref="B239:B241"/>
    <mergeCell ref="C239:C241"/>
    <mergeCell ref="E239:E240"/>
    <mergeCell ref="F239:F240"/>
    <mergeCell ref="Q239:Q242"/>
    <mergeCell ref="R239:R242"/>
    <mergeCell ref="E241:F241"/>
    <mergeCell ref="B242:C242"/>
    <mergeCell ref="E242:G242"/>
    <mergeCell ref="B234:C234"/>
    <mergeCell ref="E234:G234"/>
    <mergeCell ref="B235:B237"/>
    <mergeCell ref="C235:C237"/>
    <mergeCell ref="E235:E236"/>
    <mergeCell ref="A259:A262"/>
    <mergeCell ref="A263:A266"/>
    <mergeCell ref="B262:C262"/>
    <mergeCell ref="E262:G262"/>
    <mergeCell ref="Q255:Q258"/>
    <mergeCell ref="R255:R258"/>
    <mergeCell ref="E255:E256"/>
    <mergeCell ref="F255:F256"/>
    <mergeCell ref="A255:A258"/>
    <mergeCell ref="B255:B257"/>
    <mergeCell ref="C255:C257"/>
    <mergeCell ref="E257:F257"/>
    <mergeCell ref="Q247:Q250"/>
    <mergeCell ref="R247:R250"/>
    <mergeCell ref="A247:A250"/>
    <mergeCell ref="A251:A254"/>
    <mergeCell ref="B250:C250"/>
    <mergeCell ref="E250:G250"/>
    <mergeCell ref="F247:F248"/>
    <mergeCell ref="E249:F249"/>
    <mergeCell ref="Q259:Q262"/>
    <mergeCell ref="R259:R262"/>
    <mergeCell ref="A279:A282"/>
    <mergeCell ref="B279:B281"/>
    <mergeCell ref="C279:C281"/>
    <mergeCell ref="E281:F281"/>
    <mergeCell ref="Q271:Q274"/>
    <mergeCell ref="R271:R274"/>
    <mergeCell ref="A271:A274"/>
    <mergeCell ref="A275:A278"/>
    <mergeCell ref="B274:C274"/>
    <mergeCell ref="E274:G274"/>
    <mergeCell ref="Q267:Q270"/>
    <mergeCell ref="R267:R270"/>
    <mergeCell ref="E267:E268"/>
    <mergeCell ref="F267:F268"/>
    <mergeCell ref="A267:A270"/>
    <mergeCell ref="B267:B269"/>
    <mergeCell ref="C267:C269"/>
    <mergeCell ref="E269:F269"/>
    <mergeCell ref="B275:B277"/>
    <mergeCell ref="C275:C277"/>
    <mergeCell ref="E275:E276"/>
    <mergeCell ref="F275:F276"/>
    <mergeCell ref="Q275:Q278"/>
    <mergeCell ref="R275:R278"/>
    <mergeCell ref="E277:F277"/>
    <mergeCell ref="B278:C278"/>
    <mergeCell ref="E278:G278"/>
    <mergeCell ref="B270:C270"/>
    <mergeCell ref="E270:G270"/>
    <mergeCell ref="B271:B273"/>
    <mergeCell ref="C271:C273"/>
    <mergeCell ref="E271:E272"/>
    <mergeCell ref="A295:A298"/>
    <mergeCell ref="A299:A302"/>
    <mergeCell ref="B298:C298"/>
    <mergeCell ref="E298:G298"/>
    <mergeCell ref="Q291:Q294"/>
    <mergeCell ref="R291:R294"/>
    <mergeCell ref="E291:E292"/>
    <mergeCell ref="F291:F292"/>
    <mergeCell ref="A291:A294"/>
    <mergeCell ref="B291:B293"/>
    <mergeCell ref="C291:C293"/>
    <mergeCell ref="E293:F293"/>
    <mergeCell ref="Q283:Q286"/>
    <mergeCell ref="R283:R286"/>
    <mergeCell ref="A283:A286"/>
    <mergeCell ref="A287:A290"/>
    <mergeCell ref="B286:C286"/>
    <mergeCell ref="E286:G286"/>
    <mergeCell ref="B294:C294"/>
    <mergeCell ref="E294:G294"/>
    <mergeCell ref="B295:B297"/>
    <mergeCell ref="C295:C297"/>
    <mergeCell ref="E295:E296"/>
    <mergeCell ref="F295:F296"/>
    <mergeCell ref="E297:F297"/>
    <mergeCell ref="B287:B289"/>
    <mergeCell ref="C287:C289"/>
    <mergeCell ref="E287:E288"/>
    <mergeCell ref="F287:F288"/>
    <mergeCell ref="Q287:Q290"/>
    <mergeCell ref="R287:R290"/>
    <mergeCell ref="E289:F289"/>
    <mergeCell ref="A315:A318"/>
    <mergeCell ref="B315:B317"/>
    <mergeCell ref="C315:C317"/>
    <mergeCell ref="E317:F317"/>
    <mergeCell ref="Q307:Q310"/>
    <mergeCell ref="R307:R310"/>
    <mergeCell ref="A307:A310"/>
    <mergeCell ref="A311:A314"/>
    <mergeCell ref="B310:C310"/>
    <mergeCell ref="E310:G310"/>
    <mergeCell ref="Q303:Q306"/>
    <mergeCell ref="R303:R306"/>
    <mergeCell ref="E303:E304"/>
    <mergeCell ref="F303:F304"/>
    <mergeCell ref="A303:A306"/>
    <mergeCell ref="B303:B305"/>
    <mergeCell ref="C303:C305"/>
    <mergeCell ref="E305:F305"/>
    <mergeCell ref="Q315:Q318"/>
    <mergeCell ref="R315:R318"/>
    <mergeCell ref="E315:E316"/>
    <mergeCell ref="F315:F316"/>
    <mergeCell ref="B311:B313"/>
    <mergeCell ref="C311:C313"/>
    <mergeCell ref="E311:E312"/>
    <mergeCell ref="F311:F312"/>
    <mergeCell ref="Q311:Q314"/>
    <mergeCell ref="R311:R314"/>
    <mergeCell ref="E313:F313"/>
    <mergeCell ref="B314:C314"/>
    <mergeCell ref="E314:G314"/>
    <mergeCell ref="B306:C306"/>
    <mergeCell ref="A331:A334"/>
    <mergeCell ref="A335:A338"/>
    <mergeCell ref="B334:C334"/>
    <mergeCell ref="E334:G334"/>
    <mergeCell ref="Q327:Q330"/>
    <mergeCell ref="R327:R330"/>
    <mergeCell ref="E327:E328"/>
    <mergeCell ref="F327:F328"/>
    <mergeCell ref="A327:A330"/>
    <mergeCell ref="B327:B329"/>
    <mergeCell ref="C327:C329"/>
    <mergeCell ref="E329:F329"/>
    <mergeCell ref="Q319:Q322"/>
    <mergeCell ref="R319:R322"/>
    <mergeCell ref="A319:A322"/>
    <mergeCell ref="A323:A326"/>
    <mergeCell ref="B322:C322"/>
    <mergeCell ref="E322:G322"/>
    <mergeCell ref="R331:R334"/>
    <mergeCell ref="B330:C330"/>
    <mergeCell ref="E330:G330"/>
    <mergeCell ref="B331:B333"/>
    <mergeCell ref="C331:C333"/>
    <mergeCell ref="E331:E332"/>
    <mergeCell ref="F331:F332"/>
    <mergeCell ref="E333:F333"/>
    <mergeCell ref="B323:B325"/>
    <mergeCell ref="C323:C325"/>
    <mergeCell ref="E323:E324"/>
    <mergeCell ref="F323:F324"/>
    <mergeCell ref="Q323:Q326"/>
    <mergeCell ref="R323:R326"/>
    <mergeCell ref="A351:A354"/>
    <mergeCell ref="B351:B353"/>
    <mergeCell ref="C351:C353"/>
    <mergeCell ref="E353:F353"/>
    <mergeCell ref="Q343:Q346"/>
    <mergeCell ref="R343:R346"/>
    <mergeCell ref="A343:A346"/>
    <mergeCell ref="A347:A350"/>
    <mergeCell ref="B346:C346"/>
    <mergeCell ref="E346:G346"/>
    <mergeCell ref="Q339:Q342"/>
    <mergeCell ref="R339:R342"/>
    <mergeCell ref="E339:E340"/>
    <mergeCell ref="F339:F340"/>
    <mergeCell ref="A339:A342"/>
    <mergeCell ref="B339:B341"/>
    <mergeCell ref="C339:C341"/>
    <mergeCell ref="E341:F341"/>
    <mergeCell ref="B347:B349"/>
    <mergeCell ref="C347:C349"/>
    <mergeCell ref="E347:E348"/>
    <mergeCell ref="F347:F348"/>
    <mergeCell ref="Q347:Q350"/>
    <mergeCell ref="R347:R350"/>
    <mergeCell ref="E349:F349"/>
    <mergeCell ref="B350:C350"/>
    <mergeCell ref="E350:G350"/>
    <mergeCell ref="B342:C342"/>
    <mergeCell ref="E342:G342"/>
    <mergeCell ref="B343:B345"/>
    <mergeCell ref="C343:C345"/>
    <mergeCell ref="E343:E344"/>
    <mergeCell ref="A367:A370"/>
    <mergeCell ref="A371:A374"/>
    <mergeCell ref="B370:C370"/>
    <mergeCell ref="E370:G370"/>
    <mergeCell ref="Q363:Q366"/>
    <mergeCell ref="R363:R366"/>
    <mergeCell ref="E363:E364"/>
    <mergeCell ref="F363:F364"/>
    <mergeCell ref="A363:A366"/>
    <mergeCell ref="B363:B365"/>
    <mergeCell ref="C363:C365"/>
    <mergeCell ref="E365:F365"/>
    <mergeCell ref="Q355:Q358"/>
    <mergeCell ref="R355:R358"/>
    <mergeCell ref="A355:A358"/>
    <mergeCell ref="A359:A362"/>
    <mergeCell ref="B358:C358"/>
    <mergeCell ref="E358:G358"/>
    <mergeCell ref="F355:F356"/>
    <mergeCell ref="E357:F357"/>
    <mergeCell ref="Q367:Q370"/>
    <mergeCell ref="R367:R370"/>
    <mergeCell ref="B366:C366"/>
    <mergeCell ref="E366:G366"/>
    <mergeCell ref="B367:B369"/>
    <mergeCell ref="C367:C369"/>
    <mergeCell ref="E367:E368"/>
    <mergeCell ref="F367:F368"/>
    <mergeCell ref="E369:F369"/>
    <mergeCell ref="B359:B361"/>
    <mergeCell ref="C359:C361"/>
    <mergeCell ref="E359:E360"/>
    <mergeCell ref="A387:A390"/>
    <mergeCell ref="B387:B389"/>
    <mergeCell ref="C387:C389"/>
    <mergeCell ref="E389:F389"/>
    <mergeCell ref="Q379:Q382"/>
    <mergeCell ref="R379:R382"/>
    <mergeCell ref="A379:A382"/>
    <mergeCell ref="A383:A386"/>
    <mergeCell ref="B382:C382"/>
    <mergeCell ref="E382:G382"/>
    <mergeCell ref="Q375:Q378"/>
    <mergeCell ref="R375:R378"/>
    <mergeCell ref="E375:E376"/>
    <mergeCell ref="F375:F376"/>
    <mergeCell ref="A375:A378"/>
    <mergeCell ref="B375:B377"/>
    <mergeCell ref="C375:C377"/>
    <mergeCell ref="E377:F377"/>
    <mergeCell ref="B383:B385"/>
    <mergeCell ref="C383:C385"/>
    <mergeCell ref="E383:E384"/>
    <mergeCell ref="F383:F384"/>
    <mergeCell ref="Q383:Q386"/>
    <mergeCell ref="R383:R386"/>
    <mergeCell ref="E385:F385"/>
    <mergeCell ref="B386:C386"/>
    <mergeCell ref="E386:G386"/>
    <mergeCell ref="B378:C378"/>
    <mergeCell ref="Q403:Q406"/>
    <mergeCell ref="R403:R406"/>
    <mergeCell ref="A403:A406"/>
    <mergeCell ref="B406:C406"/>
    <mergeCell ref="E406:G406"/>
    <mergeCell ref="Q399:Q402"/>
    <mergeCell ref="R399:R402"/>
    <mergeCell ref="E399:E400"/>
    <mergeCell ref="F399:F400"/>
    <mergeCell ref="A399:A402"/>
    <mergeCell ref="B399:B401"/>
    <mergeCell ref="C399:C401"/>
    <mergeCell ref="E401:F401"/>
    <mergeCell ref="Q391:Q394"/>
    <mergeCell ref="R391:R394"/>
    <mergeCell ref="A391:A394"/>
    <mergeCell ref="A395:A398"/>
    <mergeCell ref="B394:C394"/>
    <mergeCell ref="E394:G394"/>
    <mergeCell ref="B402:C402"/>
    <mergeCell ref="E402:G402"/>
    <mergeCell ref="B403:B405"/>
    <mergeCell ref="C403:C405"/>
    <mergeCell ref="E403:E404"/>
    <mergeCell ref="F403:F404"/>
    <mergeCell ref="E405:F405"/>
    <mergeCell ref="B395:B397"/>
    <mergeCell ref="C395:C397"/>
    <mergeCell ref="E395:E396"/>
    <mergeCell ref="F395:F396"/>
    <mergeCell ref="Q395:Q398"/>
    <mergeCell ref="R395:R398"/>
    <mergeCell ref="Q5:R5"/>
    <mergeCell ref="B10:C10"/>
    <mergeCell ref="E10:G10"/>
    <mergeCell ref="K5:P5"/>
    <mergeCell ref="K6:L6"/>
    <mergeCell ref="A7:A10"/>
    <mergeCell ref="B7:B9"/>
    <mergeCell ref="C7:C9"/>
    <mergeCell ref="E6:F6"/>
    <mergeCell ref="E7:E8"/>
    <mergeCell ref="F7:F8"/>
    <mergeCell ref="A2:R2"/>
    <mergeCell ref="A1:R1"/>
    <mergeCell ref="A5:A6"/>
    <mergeCell ref="B5:C6"/>
    <mergeCell ref="E4:P4"/>
    <mergeCell ref="E3:P3"/>
    <mergeCell ref="A31:A34"/>
    <mergeCell ref="A35:A38"/>
    <mergeCell ref="A39:A42"/>
    <mergeCell ref="A43:A46"/>
    <mergeCell ref="A47:A50"/>
    <mergeCell ref="A51:A54"/>
    <mergeCell ref="E13:F13"/>
    <mergeCell ref="B14:C14"/>
    <mergeCell ref="A15:A18"/>
    <mergeCell ref="A19:A22"/>
    <mergeCell ref="A23:A26"/>
    <mergeCell ref="A27:A30"/>
    <mergeCell ref="B15:B17"/>
    <mergeCell ref="C15:C17"/>
    <mergeCell ref="E17:F17"/>
    <mergeCell ref="B18:C18"/>
    <mergeCell ref="E38:G38"/>
    <mergeCell ref="E39:E40"/>
    <mergeCell ref="F39:F40"/>
    <mergeCell ref="E26:G26"/>
    <mergeCell ref="E27:E28"/>
    <mergeCell ref="F27:F28"/>
    <mergeCell ref="B31:B33"/>
    <mergeCell ref="C31:C33"/>
    <mergeCell ref="E31:E32"/>
    <mergeCell ref="F31:F32"/>
    <mergeCell ref="E45:F45"/>
    <mergeCell ref="B46:C46"/>
    <mergeCell ref="E46:G46"/>
    <mergeCell ref="B47:B49"/>
    <mergeCell ref="C47:C49"/>
    <mergeCell ref="E47:E48"/>
    <mergeCell ref="Q31:Q34"/>
    <mergeCell ref="R31:R34"/>
    <mergeCell ref="E33:F33"/>
    <mergeCell ref="B34:C34"/>
    <mergeCell ref="E34:G34"/>
    <mergeCell ref="B27:B29"/>
    <mergeCell ref="C27:C29"/>
    <mergeCell ref="Q27:Q30"/>
    <mergeCell ref="R27:R30"/>
    <mergeCell ref="E29:F29"/>
    <mergeCell ref="B30:C30"/>
    <mergeCell ref="E30:G30"/>
    <mergeCell ref="B23:B25"/>
    <mergeCell ref="C23:C25"/>
    <mergeCell ref="E23:E24"/>
    <mergeCell ref="F23:F24"/>
    <mergeCell ref="Q23:Q26"/>
    <mergeCell ref="R23:R26"/>
    <mergeCell ref="E25:F25"/>
    <mergeCell ref="B26:C26"/>
    <mergeCell ref="B39:B41"/>
    <mergeCell ref="C39:C41"/>
    <mergeCell ref="Q39:Q42"/>
    <mergeCell ref="R39:R42"/>
    <mergeCell ref="E41:F41"/>
    <mergeCell ref="B42:C42"/>
    <mergeCell ref="E42:G42"/>
    <mergeCell ref="B35:B37"/>
    <mergeCell ref="C35:C37"/>
    <mergeCell ref="E35:E36"/>
    <mergeCell ref="F35:F36"/>
    <mergeCell ref="Q35:Q38"/>
    <mergeCell ref="R35:R38"/>
    <mergeCell ref="E37:F37"/>
    <mergeCell ref="B38:C38"/>
    <mergeCell ref="B59:B61"/>
    <mergeCell ref="C59:C61"/>
    <mergeCell ref="E59:E60"/>
    <mergeCell ref="F59:F60"/>
    <mergeCell ref="Q59:Q62"/>
    <mergeCell ref="R59:R62"/>
    <mergeCell ref="E61:F61"/>
    <mergeCell ref="B62:C62"/>
    <mergeCell ref="E62:G62"/>
    <mergeCell ref="E55:E56"/>
    <mergeCell ref="F55:F56"/>
    <mergeCell ref="Q55:Q58"/>
    <mergeCell ref="R55:R58"/>
    <mergeCell ref="E57:F57"/>
    <mergeCell ref="B58:C58"/>
    <mergeCell ref="E58:G58"/>
    <mergeCell ref="B50:C50"/>
    <mergeCell ref="B66:C66"/>
    <mergeCell ref="E66:G66"/>
    <mergeCell ref="B67:B69"/>
    <mergeCell ref="C67:C69"/>
    <mergeCell ref="E67:E68"/>
    <mergeCell ref="F67:F68"/>
    <mergeCell ref="E69:F69"/>
    <mergeCell ref="Q79:Q82"/>
    <mergeCell ref="R79:R82"/>
    <mergeCell ref="Q63:Q66"/>
    <mergeCell ref="R63:R66"/>
    <mergeCell ref="E63:E64"/>
    <mergeCell ref="F63:F64"/>
    <mergeCell ref="B95:B97"/>
    <mergeCell ref="C95:C97"/>
    <mergeCell ref="E95:E96"/>
    <mergeCell ref="F95:F96"/>
    <mergeCell ref="Q95:Q98"/>
    <mergeCell ref="R95:R98"/>
    <mergeCell ref="E97:F97"/>
    <mergeCell ref="B98:C98"/>
    <mergeCell ref="E98:G98"/>
    <mergeCell ref="B90:C90"/>
    <mergeCell ref="E90:G90"/>
    <mergeCell ref="B91:B93"/>
    <mergeCell ref="C91:C93"/>
    <mergeCell ref="E91:E92"/>
    <mergeCell ref="F91:F92"/>
    <mergeCell ref="E93:F93"/>
    <mergeCell ref="B83:B85"/>
    <mergeCell ref="C83:C85"/>
    <mergeCell ref="E83:E84"/>
    <mergeCell ref="E109:F109"/>
    <mergeCell ref="B110:C110"/>
    <mergeCell ref="E110:G110"/>
    <mergeCell ref="B102:C102"/>
    <mergeCell ref="E102:G102"/>
    <mergeCell ref="B103:B105"/>
    <mergeCell ref="C103:C105"/>
    <mergeCell ref="E103:E104"/>
    <mergeCell ref="F103:F104"/>
    <mergeCell ref="E105:F105"/>
    <mergeCell ref="Q115:Q118"/>
    <mergeCell ref="F127:F128"/>
    <mergeCell ref="E129:F129"/>
    <mergeCell ref="B119:B121"/>
    <mergeCell ref="C119:C121"/>
    <mergeCell ref="E119:E120"/>
    <mergeCell ref="F119:F120"/>
    <mergeCell ref="Q119:Q122"/>
    <mergeCell ref="R119:R122"/>
    <mergeCell ref="E121:F121"/>
    <mergeCell ref="B122:C122"/>
    <mergeCell ref="E122:G122"/>
    <mergeCell ref="B150:C150"/>
    <mergeCell ref="E150:G150"/>
    <mergeCell ref="B151:B153"/>
    <mergeCell ref="C151:C153"/>
    <mergeCell ref="E151:E152"/>
    <mergeCell ref="F151:F152"/>
    <mergeCell ref="E153:F153"/>
    <mergeCell ref="B143:B145"/>
    <mergeCell ref="C143:C145"/>
    <mergeCell ref="E143:E144"/>
    <mergeCell ref="F143:F144"/>
    <mergeCell ref="Q143:Q146"/>
    <mergeCell ref="R143:R146"/>
    <mergeCell ref="E145:F145"/>
    <mergeCell ref="B146:C146"/>
    <mergeCell ref="E146:G146"/>
    <mergeCell ref="B138:C138"/>
    <mergeCell ref="E138:G138"/>
    <mergeCell ref="B139:B141"/>
    <mergeCell ref="C139:C141"/>
    <mergeCell ref="E139:E140"/>
    <mergeCell ref="Q135:Q138"/>
    <mergeCell ref="R135:R138"/>
    <mergeCell ref="E135:E136"/>
    <mergeCell ref="F135:F136"/>
    <mergeCell ref="F163:F164"/>
    <mergeCell ref="E165:F165"/>
    <mergeCell ref="B155:B157"/>
    <mergeCell ref="C155:C157"/>
    <mergeCell ref="E155:E156"/>
    <mergeCell ref="F155:F156"/>
    <mergeCell ref="Q155:Q158"/>
    <mergeCell ref="R155:R158"/>
    <mergeCell ref="E157:F157"/>
    <mergeCell ref="B158:C158"/>
    <mergeCell ref="E158:G158"/>
    <mergeCell ref="B182:C182"/>
    <mergeCell ref="E182:G182"/>
    <mergeCell ref="B174:C174"/>
    <mergeCell ref="E174:G174"/>
    <mergeCell ref="B175:B177"/>
    <mergeCell ref="C175:C177"/>
    <mergeCell ref="E175:E176"/>
    <mergeCell ref="F175:F176"/>
    <mergeCell ref="E177:F177"/>
    <mergeCell ref="Q187:Q190"/>
    <mergeCell ref="R187:R190"/>
    <mergeCell ref="Q171:Q174"/>
    <mergeCell ref="R171:R174"/>
    <mergeCell ref="E171:E172"/>
    <mergeCell ref="F171:F172"/>
    <mergeCell ref="B203:B205"/>
    <mergeCell ref="C203:C205"/>
    <mergeCell ref="E203:E204"/>
    <mergeCell ref="F203:F204"/>
    <mergeCell ref="Q203:Q206"/>
    <mergeCell ref="R203:R206"/>
    <mergeCell ref="E205:F205"/>
    <mergeCell ref="B206:C206"/>
    <mergeCell ref="E206:G206"/>
    <mergeCell ref="B198:C198"/>
    <mergeCell ref="E198:G198"/>
    <mergeCell ref="B199:B201"/>
    <mergeCell ref="C199:C201"/>
    <mergeCell ref="E199:E200"/>
    <mergeCell ref="F199:F200"/>
    <mergeCell ref="E201:F201"/>
    <mergeCell ref="B191:B193"/>
    <mergeCell ref="C191:C193"/>
    <mergeCell ref="E191:E192"/>
    <mergeCell ref="F191:F192"/>
    <mergeCell ref="Q191:Q194"/>
    <mergeCell ref="R191:R194"/>
    <mergeCell ref="E193:F193"/>
    <mergeCell ref="B194:C194"/>
    <mergeCell ref="E194:G194"/>
    <mergeCell ref="E217:F217"/>
    <mergeCell ref="B218:C218"/>
    <mergeCell ref="E218:G218"/>
    <mergeCell ref="B210:C210"/>
    <mergeCell ref="E210:G210"/>
    <mergeCell ref="B211:B213"/>
    <mergeCell ref="C211:C213"/>
    <mergeCell ref="E211:E212"/>
    <mergeCell ref="F211:F212"/>
    <mergeCell ref="E213:F213"/>
    <mergeCell ref="Q223:Q226"/>
    <mergeCell ref="F235:F236"/>
    <mergeCell ref="E237:F237"/>
    <mergeCell ref="B227:B229"/>
    <mergeCell ref="C227:C229"/>
    <mergeCell ref="E227:E228"/>
    <mergeCell ref="F227:F228"/>
    <mergeCell ref="Q227:Q230"/>
    <mergeCell ref="R227:R230"/>
    <mergeCell ref="E229:F229"/>
    <mergeCell ref="B230:C230"/>
    <mergeCell ref="E230:G230"/>
    <mergeCell ref="B258:C258"/>
    <mergeCell ref="E258:G258"/>
    <mergeCell ref="B259:B261"/>
    <mergeCell ref="C259:C261"/>
    <mergeCell ref="E259:E260"/>
    <mergeCell ref="F259:F260"/>
    <mergeCell ref="E261:F261"/>
    <mergeCell ref="B251:B253"/>
    <mergeCell ref="C251:C253"/>
    <mergeCell ref="E251:E252"/>
    <mergeCell ref="F251:F252"/>
    <mergeCell ref="Q251:Q254"/>
    <mergeCell ref="R251:R254"/>
    <mergeCell ref="E253:F253"/>
    <mergeCell ref="B254:C254"/>
    <mergeCell ref="E254:G254"/>
    <mergeCell ref="B246:C246"/>
    <mergeCell ref="E246:G246"/>
    <mergeCell ref="B247:B249"/>
    <mergeCell ref="C247:C249"/>
    <mergeCell ref="E247:E248"/>
    <mergeCell ref="Q243:Q246"/>
    <mergeCell ref="R243:R246"/>
    <mergeCell ref="E243:E244"/>
    <mergeCell ref="F243:F244"/>
    <mergeCell ref="E301:F301"/>
    <mergeCell ref="B302:C302"/>
    <mergeCell ref="E302:G302"/>
    <mergeCell ref="B318:C318"/>
    <mergeCell ref="E318:G318"/>
    <mergeCell ref="F271:F272"/>
    <mergeCell ref="E273:F273"/>
    <mergeCell ref="B263:B265"/>
    <mergeCell ref="C263:C265"/>
    <mergeCell ref="E263:E264"/>
    <mergeCell ref="F263:F264"/>
    <mergeCell ref="Q263:Q266"/>
    <mergeCell ref="R263:R266"/>
    <mergeCell ref="E265:F265"/>
    <mergeCell ref="B266:C266"/>
    <mergeCell ref="E266:G266"/>
    <mergeCell ref="B290:C290"/>
    <mergeCell ref="E290:G290"/>
    <mergeCell ref="B282:C282"/>
    <mergeCell ref="E282:G282"/>
    <mergeCell ref="B283:B285"/>
    <mergeCell ref="C283:C285"/>
    <mergeCell ref="E283:E284"/>
    <mergeCell ref="F283:F284"/>
    <mergeCell ref="E285:F285"/>
    <mergeCell ref="Q279:Q282"/>
    <mergeCell ref="R279:R282"/>
    <mergeCell ref="E279:E280"/>
    <mergeCell ref="F279:F280"/>
    <mergeCell ref="B319:B321"/>
    <mergeCell ref="C319:C321"/>
    <mergeCell ref="E319:E320"/>
    <mergeCell ref="F319:F320"/>
    <mergeCell ref="E321:F321"/>
    <mergeCell ref="Q331:Q334"/>
    <mergeCell ref="F343:F344"/>
    <mergeCell ref="E345:F345"/>
    <mergeCell ref="B335:B337"/>
    <mergeCell ref="C335:C337"/>
    <mergeCell ref="E335:E336"/>
    <mergeCell ref="F335:F336"/>
    <mergeCell ref="Q335:Q338"/>
    <mergeCell ref="Q295:Q298"/>
    <mergeCell ref="R295:R298"/>
    <mergeCell ref="E355:E356"/>
    <mergeCell ref="Q351:Q354"/>
    <mergeCell ref="R351:R354"/>
    <mergeCell ref="E351:E352"/>
    <mergeCell ref="F351:F352"/>
    <mergeCell ref="E306:G306"/>
    <mergeCell ref="B307:B309"/>
    <mergeCell ref="C307:C309"/>
    <mergeCell ref="E307:E308"/>
    <mergeCell ref="F307:F308"/>
    <mergeCell ref="E309:F309"/>
    <mergeCell ref="B299:B301"/>
    <mergeCell ref="C299:C301"/>
    <mergeCell ref="E299:E300"/>
    <mergeCell ref="F299:F300"/>
    <mergeCell ref="Q299:Q302"/>
    <mergeCell ref="R299:R302"/>
    <mergeCell ref="E397:F397"/>
    <mergeCell ref="B398:C398"/>
    <mergeCell ref="E398:G398"/>
    <mergeCell ref="B390:C390"/>
    <mergeCell ref="E390:G390"/>
    <mergeCell ref="B391:B393"/>
    <mergeCell ref="C391:C393"/>
    <mergeCell ref="E391:E392"/>
    <mergeCell ref="F391:F392"/>
    <mergeCell ref="E393:F393"/>
    <mergeCell ref="E325:F325"/>
    <mergeCell ref="B326:C326"/>
    <mergeCell ref="E326:G326"/>
    <mergeCell ref="Q387:Q390"/>
    <mergeCell ref="R387:R390"/>
    <mergeCell ref="E387:E388"/>
    <mergeCell ref="F387:F388"/>
    <mergeCell ref="AI5:AR5"/>
    <mergeCell ref="E378:G378"/>
    <mergeCell ref="B379:B381"/>
    <mergeCell ref="C379:C381"/>
    <mergeCell ref="E379:E380"/>
    <mergeCell ref="F379:F380"/>
    <mergeCell ref="E381:F381"/>
    <mergeCell ref="B371:B373"/>
    <mergeCell ref="C371:C373"/>
    <mergeCell ref="E371:E372"/>
    <mergeCell ref="F371:F372"/>
    <mergeCell ref="Q371:Q374"/>
    <mergeCell ref="R371:R374"/>
    <mergeCell ref="E373:F373"/>
    <mergeCell ref="B374:C374"/>
    <mergeCell ref="E374:G374"/>
    <mergeCell ref="AA5:AC5"/>
    <mergeCell ref="AD5:AH5"/>
    <mergeCell ref="R335:R338"/>
    <mergeCell ref="E337:F337"/>
    <mergeCell ref="B338:C338"/>
    <mergeCell ref="E338:G338"/>
    <mergeCell ref="F359:F360"/>
    <mergeCell ref="Q359:Q362"/>
    <mergeCell ref="R359:R362"/>
    <mergeCell ref="E361:F361"/>
    <mergeCell ref="B362:C362"/>
    <mergeCell ref="E362:G362"/>
    <mergeCell ref="B354:C354"/>
    <mergeCell ref="E354:G354"/>
    <mergeCell ref="B355:B357"/>
    <mergeCell ref="C355:C357"/>
  </mergeCells>
  <phoneticPr fontId="3"/>
  <conditionalFormatting sqref="E4:P4">
    <cfRule type="expression" dxfId="3" priority="3">
      <formula>SUM($AN$3:$BQ$3)&gt;0</formula>
    </cfRule>
  </conditionalFormatting>
  <pageMargins left="0.70866141732283472" right="0.70866141732283472" top="0.74803149606299213" bottom="0.74803149606299213" header="0.31496062992125984" footer="0.31496062992125984"/>
  <pageSetup paperSize="9" scale="4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7277A393-82C1-4326-A8BA-7AEA2DFA2563}">
          <x14:formula1>
            <xm:f>競技会設定!$AD$2:$AD$3</xm:f>
          </x14:formula1>
          <xm:sqref>Q7:R406</xm:sqref>
        </x14:dataValidation>
        <x14:dataValidation type="list" allowBlank="1" showInputMessage="1" showErrorMessage="1" xr:uid="{8C8BCF23-6002-40B0-9034-5D4E4EE7FBD2}">
          <x14:formula1>
            <xm:f>競技会設定!$AE$2:$AE$4</xm:f>
          </x14:formula1>
          <xm:sqref>M7:M406</xm:sqref>
        </x14:dataValidation>
        <x14:dataValidation type="list" allowBlank="1" showInputMessage="1" showErrorMessage="1" xr:uid="{C5243A4B-F2AE-4694-A00B-8E7CA2875E68}">
          <x14:formula1>
            <xm:f>競技会設定!$AF$2:$AF$14</xm:f>
          </x14:formula1>
          <xm:sqref>N7:N406</xm:sqref>
        </x14:dataValidation>
        <x14:dataValidation type="list" allowBlank="1" showInputMessage="1" showErrorMessage="1" xr:uid="{2F681554-04D5-4D0E-BC52-0A1DBBE5EB09}">
          <x14:formula1>
            <xm:f>競技会設定!$AH$2:$AH$33</xm:f>
          </x14:formula1>
          <xm:sqref>O7:O406</xm:sqref>
        </x14:dataValidation>
        <x14:dataValidation type="list" allowBlank="1" showInputMessage="1" showErrorMessage="1" xr:uid="{2539B7E0-DB17-48CB-9D05-7350B6DFCB85}">
          <x14:formula1>
            <xm:f>競技会設定!$P$2:$P$22</xm:f>
          </x14:formula1>
          <xm:sqref>J7:J406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8CE13-821B-4F0B-B245-79E825A245AA}">
  <sheetPr codeName="Sheet3">
    <tabColor rgb="FFFF66FF"/>
  </sheetPr>
  <dimension ref="A1:BR422"/>
  <sheetViews>
    <sheetView zoomScale="80" zoomScaleNormal="80" zoomScaleSheetLayoutView="80" workbookViewId="0">
      <pane ySplit="6" topLeftCell="A7" activePane="bottomLeft" state="frozen"/>
      <selection pane="bottomLeft" sqref="A1:R1"/>
    </sheetView>
  </sheetViews>
  <sheetFormatPr defaultRowHeight="17.399999999999999"/>
  <cols>
    <col min="1" max="1" width="8.59765625" style="12" customWidth="1"/>
    <col min="2" max="2" width="4.19921875" style="12" customWidth="1"/>
    <col min="3" max="3" width="8.796875" style="12" customWidth="1"/>
    <col min="4" max="4" width="12.796875" style="12" hidden="1" customWidth="1"/>
    <col min="5" max="6" width="18.5" style="12" customWidth="1"/>
    <col min="7" max="7" width="19.796875" style="12" bestFit="1" customWidth="1"/>
    <col min="8" max="8" width="11.09765625" style="12" hidden="1" customWidth="1"/>
    <col min="9" max="9" width="6.796875" style="12" bestFit="1" customWidth="1"/>
    <col min="10" max="10" width="13.19921875" style="12" customWidth="1"/>
    <col min="11" max="11" width="3.3984375" style="12" bestFit="1" customWidth="1"/>
    <col min="12" max="12" width="8.796875" style="12"/>
    <col min="13" max="13" width="6.19921875" style="210" bestFit="1" customWidth="1"/>
    <col min="14" max="15" width="4" style="231" bestFit="1" customWidth="1"/>
    <col min="16" max="16" width="31.796875" style="12" bestFit="1" customWidth="1"/>
    <col min="17" max="17" width="15.19921875" style="169" customWidth="1"/>
    <col min="18" max="18" width="15.19921875" style="12" customWidth="1"/>
    <col min="19" max="51" width="8.69921875" style="212" hidden="1" customWidth="1"/>
    <col min="52" max="52" width="10" style="274" hidden="1" customWidth="1"/>
    <col min="53" max="61" width="8.69921875" style="212" hidden="1" customWidth="1"/>
    <col min="62" max="63" width="8.69921875" style="231" hidden="1" customWidth="1"/>
    <col min="64" max="66" width="8.69921875" style="212" hidden="1" customWidth="1"/>
    <col min="67" max="67" width="8.796875" style="274" hidden="1" customWidth="1"/>
    <col min="68" max="69" width="8.69921875" style="212" hidden="1" customWidth="1"/>
    <col min="70" max="16384" width="8.796875" style="12"/>
  </cols>
  <sheetData>
    <row r="1" spans="1:70" s="37" customFormat="1" ht="30" customHeight="1">
      <c r="A1" s="476" t="str">
        <f>競技会設定!$C$1&amp;"　女子エントリー"</f>
        <v>第47回東海学生陸上競技秋季選手権大会　女子エントリー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</row>
    <row r="2" spans="1:70" s="311" customFormat="1" ht="211.8" customHeight="1" thickBot="1">
      <c r="A2" s="426" t="s">
        <v>7789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126"/>
      <c r="T2" s="126"/>
      <c r="U2" s="126"/>
      <c r="V2" s="126"/>
      <c r="W2" s="126"/>
      <c r="AI2" s="311">
        <f>COUNTIF(AI7:AI406,"*")</f>
        <v>0</v>
      </c>
      <c r="AK2" s="311">
        <f>COUNTIF(AK7:AK406,"*")</f>
        <v>0</v>
      </c>
      <c r="AM2" s="311">
        <f>COUNTIF(AM7:AM406,"*")</f>
        <v>0</v>
      </c>
      <c r="AO2" s="311">
        <f>COUNTIF(AO7:AO406,"*")</f>
        <v>0</v>
      </c>
    </row>
    <row r="3" spans="1:70" ht="30" customHeight="1" thickTop="1" thickBot="1">
      <c r="A3" s="445" t="s">
        <v>4010</v>
      </c>
      <c r="B3" s="446"/>
      <c r="C3" s="446"/>
      <c r="D3" s="127"/>
      <c r="E3" s="433" t="s">
        <v>6763</v>
      </c>
      <c r="F3" s="433"/>
      <c r="G3" s="433"/>
      <c r="H3" s="433"/>
      <c r="I3" s="433"/>
      <c r="J3" s="433"/>
      <c r="K3" s="433"/>
      <c r="L3" s="433"/>
      <c r="M3" s="433"/>
      <c r="N3" s="434"/>
      <c r="O3" s="434"/>
      <c r="P3" s="435"/>
      <c r="Q3" s="128" t="s">
        <v>6788</v>
      </c>
      <c r="R3" s="129" t="s">
        <v>6789</v>
      </c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1"/>
      <c r="AO3" s="131"/>
      <c r="AP3" s="131"/>
      <c r="AQ3" s="131"/>
      <c r="AR3" s="131"/>
      <c r="AS3" s="131"/>
      <c r="AT3" s="131"/>
      <c r="AU3" s="131"/>
      <c r="AV3" s="212">
        <f>IF(COUNTIF(AV7:AV406,TRUE)&gt;0,1,0)</f>
        <v>0</v>
      </c>
      <c r="AW3" s="212">
        <f>IF(COUNTIF(AW7:AW406,TRUE)&gt;0,1,0)</f>
        <v>0</v>
      </c>
      <c r="AX3" s="212">
        <f>IF(COUNTIF(AX7:AX406,TRUE)&gt;0,1,0)</f>
        <v>0</v>
      </c>
      <c r="AY3" s="212">
        <f>IF(COUNTIF(AY7:AY406,TRUE)&gt;0,1,0)</f>
        <v>0</v>
      </c>
      <c r="AZ3" s="274">
        <f t="shared" ref="AZ3" si="0">IF(COUNTIF(AZ7:AZ406,TRUE)&gt;0,1,0)</f>
        <v>0</v>
      </c>
      <c r="BA3" s="212">
        <f t="shared" ref="BA3:BI3" si="1">IF(COUNTIF(BA7:BA406,TRUE)&gt;0,1,0)</f>
        <v>0</v>
      </c>
      <c r="BB3" s="212">
        <f t="shared" si="1"/>
        <v>0</v>
      </c>
      <c r="BC3" s="212">
        <f t="shared" si="1"/>
        <v>0</v>
      </c>
      <c r="BD3" s="212">
        <f t="shared" si="1"/>
        <v>0</v>
      </c>
      <c r="BE3" s="12">
        <f t="shared" si="1"/>
        <v>0</v>
      </c>
      <c r="BF3" s="12">
        <f t="shared" si="1"/>
        <v>0</v>
      </c>
      <c r="BG3" s="12">
        <f t="shared" si="1"/>
        <v>0</v>
      </c>
      <c r="BH3" s="12">
        <f t="shared" si="1"/>
        <v>0</v>
      </c>
      <c r="BI3" s="12">
        <f t="shared" si="1"/>
        <v>0</v>
      </c>
      <c r="BJ3" s="182"/>
      <c r="BK3" s="12">
        <f>IF(COUNTIF(BK7:BK406,TRUE)&gt;0,1,0)</f>
        <v>0</v>
      </c>
      <c r="BL3" s="12">
        <f>IF(COUNTIF(BL7:BL406,TRUE)&gt;0,1,0)</f>
        <v>0</v>
      </c>
      <c r="BM3" s="12">
        <f>IF(BM7,1,0)</f>
        <v>0</v>
      </c>
      <c r="BN3" s="12">
        <f>IF(BN7,1,0)</f>
        <v>0</v>
      </c>
      <c r="BO3" s="12"/>
      <c r="BP3" s="212">
        <f>IF(COUNTIF(リレーエントリー!Q21:Y32,TRUE)&gt;0,1,0)</f>
        <v>0</v>
      </c>
      <c r="BQ3" s="12">
        <f>IF(COUNTIF(混成競技エントリー!AI22:AL27,TRUE)&gt;0,1,0)</f>
        <v>0</v>
      </c>
    </row>
    <row r="4" spans="1:70" ht="30" customHeight="1" thickTop="1" thickBot="1">
      <c r="A4" s="445" t="s">
        <v>4011</v>
      </c>
      <c r="B4" s="446"/>
      <c r="C4" s="446"/>
      <c r="D4" s="127"/>
      <c r="E4" s="430" t="str">
        <f>IFERROR(HLOOKUP(1,AN3:$BQ$4,2,0),"エラーはありません。")</f>
        <v>エラーはありません。</v>
      </c>
      <c r="F4" s="430"/>
      <c r="G4" s="430"/>
      <c r="H4" s="430"/>
      <c r="I4" s="430"/>
      <c r="J4" s="430"/>
      <c r="K4" s="430"/>
      <c r="L4" s="430"/>
      <c r="M4" s="430"/>
      <c r="N4" s="431"/>
      <c r="O4" s="431"/>
      <c r="P4" s="432"/>
      <c r="Q4" s="132">
        <f>IFERROR(SUM(BO7:BO406),"エラーあり")</f>
        <v>0</v>
      </c>
      <c r="R4" s="133">
        <f>SUM(AI2,AK2,AM2,AO2,リレーエントリー!Z21,リレーエントリー!Z27,混成競技エントリー!AM22:AM27)</f>
        <v>0</v>
      </c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4" t="s">
        <v>7073</v>
      </c>
      <c r="AW4" s="134" t="s">
        <v>7053</v>
      </c>
      <c r="AX4" s="134" t="s">
        <v>7017</v>
      </c>
      <c r="AY4" s="134" t="s">
        <v>7071</v>
      </c>
      <c r="AZ4" s="134" t="s">
        <v>7596</v>
      </c>
      <c r="BA4" s="134" t="s">
        <v>7018</v>
      </c>
      <c r="BB4" s="134" t="s">
        <v>7075</v>
      </c>
      <c r="BC4" s="134" t="s">
        <v>7076</v>
      </c>
      <c r="BD4" s="212" t="s">
        <v>7069</v>
      </c>
      <c r="BE4" s="12" t="s">
        <v>7019</v>
      </c>
      <c r="BF4" s="12" t="s">
        <v>7092</v>
      </c>
      <c r="BG4" s="12" t="s">
        <v>6807</v>
      </c>
      <c r="BH4" s="12" t="s">
        <v>7020</v>
      </c>
      <c r="BI4" s="12" t="s">
        <v>7094</v>
      </c>
      <c r="BJ4" s="182"/>
      <c r="BK4" s="12" t="s">
        <v>7097</v>
      </c>
      <c r="BL4" s="12" t="s">
        <v>7096</v>
      </c>
      <c r="BM4" s="12" t="s">
        <v>7077</v>
      </c>
      <c r="BN4" s="12" t="s">
        <v>7078</v>
      </c>
      <c r="BO4" s="12"/>
      <c r="BP4" s="12" t="s">
        <v>7079</v>
      </c>
      <c r="BQ4" s="12" t="s">
        <v>7080</v>
      </c>
      <c r="BR4" s="65" t="s">
        <v>7111</v>
      </c>
    </row>
    <row r="5" spans="1:70" ht="18" thickTop="1">
      <c r="A5" s="428" t="s">
        <v>6753</v>
      </c>
      <c r="B5" s="423" t="s">
        <v>4012</v>
      </c>
      <c r="C5" s="423"/>
      <c r="D5" s="304" t="s">
        <v>0</v>
      </c>
      <c r="E5" s="304" t="s">
        <v>209</v>
      </c>
      <c r="F5" s="304" t="s">
        <v>4017</v>
      </c>
      <c r="G5" s="447" t="s">
        <v>6758</v>
      </c>
      <c r="H5" s="302" t="s">
        <v>6768</v>
      </c>
      <c r="I5" s="423" t="s">
        <v>4013</v>
      </c>
      <c r="J5" s="423"/>
      <c r="K5" s="423" t="s">
        <v>4014</v>
      </c>
      <c r="L5" s="423"/>
      <c r="M5" s="423"/>
      <c r="N5" s="423"/>
      <c r="O5" s="423"/>
      <c r="P5" s="423"/>
      <c r="Q5" s="423" t="s">
        <v>6757</v>
      </c>
      <c r="R5" s="424"/>
      <c r="S5" s="443" t="s">
        <v>7021</v>
      </c>
      <c r="T5" s="444"/>
      <c r="U5" s="371"/>
      <c r="V5" s="371" t="s">
        <v>3788</v>
      </c>
      <c r="W5" s="371"/>
      <c r="X5" s="371"/>
      <c r="Y5" s="371" t="s">
        <v>7022</v>
      </c>
      <c r="Z5" s="371"/>
      <c r="AA5" s="371" t="s">
        <v>7052</v>
      </c>
      <c r="AB5" s="371"/>
      <c r="AC5" s="371"/>
      <c r="AD5" s="371" t="s">
        <v>7024</v>
      </c>
      <c r="AE5" s="371"/>
      <c r="AF5" s="371"/>
      <c r="AG5" s="371"/>
      <c r="AH5" s="371"/>
      <c r="AI5" s="371" t="s">
        <v>7025</v>
      </c>
      <c r="AJ5" s="371"/>
      <c r="AK5" s="371"/>
      <c r="AL5" s="371"/>
      <c r="BR5" s="290" t="s">
        <v>7109</v>
      </c>
    </row>
    <row r="6" spans="1:70" ht="18" customHeight="1" thickBot="1">
      <c r="A6" s="429"/>
      <c r="B6" s="425"/>
      <c r="C6" s="425"/>
      <c r="D6" s="303"/>
      <c r="E6" s="425" t="s">
        <v>6762</v>
      </c>
      <c r="F6" s="425"/>
      <c r="G6" s="425"/>
      <c r="H6" s="303"/>
      <c r="I6" s="425"/>
      <c r="J6" s="425"/>
      <c r="K6" s="425" t="s">
        <v>4016</v>
      </c>
      <c r="L6" s="425"/>
      <c r="M6" s="249" t="s">
        <v>7083</v>
      </c>
      <c r="N6" s="250" t="s">
        <v>7084</v>
      </c>
      <c r="O6" s="251" t="s">
        <v>7085</v>
      </c>
      <c r="P6" s="303" t="s">
        <v>182</v>
      </c>
      <c r="Q6" s="303" t="s">
        <v>6990</v>
      </c>
      <c r="R6" s="135" t="s">
        <v>6989</v>
      </c>
      <c r="S6" s="212" t="s">
        <v>6790</v>
      </c>
      <c r="T6" s="212" t="s">
        <v>7026</v>
      </c>
      <c r="U6" s="212" t="s">
        <v>6791</v>
      </c>
      <c r="V6" s="212" t="s">
        <v>6790</v>
      </c>
      <c r="W6" s="212" t="s">
        <v>7026</v>
      </c>
      <c r="X6" s="212" t="s">
        <v>6791</v>
      </c>
      <c r="Y6" s="212" t="s">
        <v>6790</v>
      </c>
      <c r="Z6" s="212" t="s">
        <v>6791</v>
      </c>
      <c r="AB6" s="212" t="s">
        <v>6791</v>
      </c>
      <c r="AC6" s="212" t="s">
        <v>7027</v>
      </c>
      <c r="AD6" s="212" t="s">
        <v>7028</v>
      </c>
      <c r="AE6" s="212" t="s">
        <v>6797</v>
      </c>
      <c r="AF6" s="212" t="s">
        <v>6791</v>
      </c>
      <c r="AG6" s="212" t="s">
        <v>6799</v>
      </c>
      <c r="AH6" s="212" t="s">
        <v>6791</v>
      </c>
      <c r="AI6" s="371">
        <v>1</v>
      </c>
      <c r="AJ6" s="371"/>
      <c r="AK6" s="371">
        <v>2</v>
      </c>
      <c r="AL6" s="371"/>
      <c r="AM6" s="371">
        <v>3</v>
      </c>
      <c r="AN6" s="371"/>
      <c r="AO6" s="371">
        <v>4</v>
      </c>
      <c r="AP6" s="371"/>
      <c r="AQ6" s="371" t="s">
        <v>7029</v>
      </c>
      <c r="AR6" s="371"/>
      <c r="AS6" s="212" t="s">
        <v>7030</v>
      </c>
      <c r="AT6" s="212" t="s">
        <v>7031</v>
      </c>
      <c r="AU6" s="212" t="s">
        <v>7032</v>
      </c>
      <c r="AV6" s="212" t="s">
        <v>7033</v>
      </c>
      <c r="AW6" s="212" t="s">
        <v>7054</v>
      </c>
      <c r="AX6" s="212" t="s">
        <v>7035</v>
      </c>
      <c r="AY6" s="212" t="s">
        <v>7036</v>
      </c>
      <c r="AZ6" s="274" t="s">
        <v>7595</v>
      </c>
      <c r="BA6" s="212" t="s">
        <v>7037</v>
      </c>
      <c r="BB6" s="212" t="s">
        <v>7038</v>
      </c>
      <c r="BC6" s="212" t="s">
        <v>7039</v>
      </c>
      <c r="BD6" s="212" t="s">
        <v>7040</v>
      </c>
      <c r="BE6" s="212" t="s">
        <v>7041</v>
      </c>
      <c r="BF6" s="212" t="s">
        <v>7042</v>
      </c>
      <c r="BG6" s="212" t="s">
        <v>6794</v>
      </c>
      <c r="BH6" s="212" t="s">
        <v>7043</v>
      </c>
      <c r="BI6" s="212" t="s">
        <v>7004</v>
      </c>
      <c r="BJ6" s="231" t="s">
        <v>7088</v>
      </c>
      <c r="BK6" s="231" t="s">
        <v>7090</v>
      </c>
      <c r="BL6" s="212" t="s">
        <v>7005</v>
      </c>
      <c r="BM6" s="212" t="s">
        <v>7044</v>
      </c>
      <c r="BN6" s="212" t="s">
        <v>7045</v>
      </c>
      <c r="BR6" s="290" t="s">
        <v>7110</v>
      </c>
    </row>
    <row r="7" spans="1:70" ht="18" customHeight="1" thickTop="1">
      <c r="A7" s="470">
        <v>1</v>
      </c>
      <c r="B7" s="401" t="s">
        <v>7050</v>
      </c>
      <c r="C7" s="403"/>
      <c r="D7" s="156" t="str">
        <f t="shared" ref="D7" si="2">IF(C7="","",502&amp;TEXT(C7,"000000"))</f>
        <v/>
      </c>
      <c r="E7" s="479" t="str">
        <f>IF(D7="","",(VLOOKUP(D7,女子登録!$A$2:$N$2001,3,0)))</f>
        <v/>
      </c>
      <c r="F7" s="479" t="str">
        <f>IF(D7="","",(VLOOKUP(D7,女子登録!$A$2:$N$2001,4,0)))</f>
        <v/>
      </c>
      <c r="G7" s="216" t="str">
        <f>IF(C7="","",(VLOOKUP(D7,女子登録!$A$2:$N$2001,8,0)))</f>
        <v/>
      </c>
      <c r="H7" s="156">
        <f>IFERROR(VLOOKUP(D7,女子登録!$A$2:$N$2001,11,0),基本情報!$E$5)</f>
        <v>0</v>
      </c>
      <c r="I7" s="156" t="s">
        <v>7059</v>
      </c>
      <c r="J7" s="170"/>
      <c r="K7" s="156" t="s">
        <v>7060</v>
      </c>
      <c r="L7" s="170"/>
      <c r="M7" s="252"/>
      <c r="N7" s="253"/>
      <c r="O7" s="254"/>
      <c r="P7" s="170"/>
      <c r="Q7" s="457"/>
      <c r="R7" s="414"/>
      <c r="S7" s="136">
        <f>IF(OR(E7="",Q7=""),0,E7)</f>
        <v>0</v>
      </c>
      <c r="T7" s="137">
        <f>IF(S7=0,0,COUNTIF($S$7:S7,"*"))</f>
        <v>0</v>
      </c>
      <c r="U7" s="137">
        <f>IF(S7=0,0,COUNTIF($S$7:S7,S7))</f>
        <v>0</v>
      </c>
      <c r="V7" s="137">
        <f t="shared" ref="V7:V23" si="3">IF(OR(E7="",R7=""),0,E7&amp;MAX(COUNTIF($AG$7:$AG$406,E7&amp;"nans21v"))+1)</f>
        <v>0</v>
      </c>
      <c r="W7" s="137">
        <f>IF(V7=0,0,COUNTIF($V$7:V7,"*"))</f>
        <v>0</v>
      </c>
      <c r="X7" s="137">
        <f>IF(V7=0,0,COUNTIF($V$7:V7,V7))</f>
        <v>0</v>
      </c>
      <c r="Y7" s="212">
        <f>IF(OR(E7="",J7=""),0,J7&amp;E7)</f>
        <v>0</v>
      </c>
      <c r="Z7" s="212">
        <f>IF(Y7=0,0,COUNTIF($Y$7:Y7,Y7))</f>
        <v>0</v>
      </c>
      <c r="AA7" s="212" t="b">
        <f>IF(COUNTIF(J7:J10,"七種競技")&gt;0,TRUE,FALSE)</f>
        <v>0</v>
      </c>
      <c r="AB7" s="212">
        <f>IF(E7="",0,IF(AA7,COUNTIF($AA$7:AA7,TRUE),0))</f>
        <v>0</v>
      </c>
      <c r="AC7" s="212">
        <f>IFERROR(VLOOKUP("七種競技",J7:L10,3,0),0)</f>
        <v>0</v>
      </c>
      <c r="AD7" s="212">
        <f>IFERROR(VLOOKUP(J7,競技会設定!$T$2:$W$22,2,0),0)</f>
        <v>0</v>
      </c>
      <c r="AE7" s="212">
        <f>IF(E7="",0,IF(AD7=0,0,IF(AD7&lt;3,E7&amp;$AE$6,0)))</f>
        <v>0</v>
      </c>
      <c r="AF7" s="212">
        <f>IF(AE7=0,0,E7&amp;COUNTIF($AE$7:AE7,AE7))</f>
        <v>0</v>
      </c>
      <c r="AG7" s="212">
        <f>IF(E7="",0,IF(AD7=0,0,IF(AD7&gt;=3,E7&amp;$AG$6,0)))</f>
        <v>0</v>
      </c>
      <c r="AH7" s="212">
        <f>IF(AG7=0,0,E7&amp;COUNTIF($AG$7:AG7,AG7))</f>
        <v>0</v>
      </c>
      <c r="AI7" s="212">
        <f>IF($AD7=AI$6,$E7,0)</f>
        <v>0</v>
      </c>
      <c r="AJ7" s="212" t="b">
        <f>IF(AI7=0,FALSE,IF(COUNTIF(AI$7:AI7,AI7)&gt;1,TRUE,FALSE))</f>
        <v>0</v>
      </c>
      <c r="AK7" s="212">
        <f>IF($AD7=AK$6,$E7,0)</f>
        <v>0</v>
      </c>
      <c r="AL7" s="212" t="b">
        <f>IF(AK7=0,FALSE,IF(COUNTIF(AK$7:AK7,AK7)&gt;1,TRUE,FALSE))</f>
        <v>0</v>
      </c>
      <c r="AM7" s="212">
        <f>IF(COUNTIF(Y7,"*七種*")&gt;0,0,IF($AD7=AM$6,$E7,0))</f>
        <v>0</v>
      </c>
      <c r="AN7" s="212" t="b">
        <f>IF(AM7=0,FALSE,IF(COUNTIF(AM$7:AM7,AM7)&gt;1,TRUE,FALSE))</f>
        <v>0</v>
      </c>
      <c r="AO7" s="212">
        <f>IF($AD7=AO$6,$E7,0)</f>
        <v>0</v>
      </c>
      <c r="AP7" s="212" t="b">
        <f>IF(AO7=0,FALSE,IF(COUNTIF(AO$7:AO7,AO7)&gt;1,TRUE,FALSE))</f>
        <v>0</v>
      </c>
      <c r="AQ7" s="212">
        <f>IF(COUNTIF(Y7,"*七種競技*")&gt;0,E7,0)</f>
        <v>0</v>
      </c>
      <c r="AR7" s="212" t="b">
        <f>IF(AQ7=0,FALSE,IF(OR(COUNTIF($AM$7:$AM$406,AQ7)+COUNTIF($AQ$7:$AQ$406,AQ7)&gt;1,COUNTIF($AO$7:$AO$406,AQ7)+COUNTIF($AQ$7:$AQ$406,AQ7)&gt;1),TRUE,FALSE))</f>
        <v>0</v>
      </c>
      <c r="AS7" s="212" t="b">
        <f>IF(AND(C7="",E7&lt;&gt;"",F7&lt;&gt;"",E9&lt;&gt;"",G7&lt;&gt;"",G8&lt;&gt;"",G9&lt;&gt;""),TRUE,FALSE)</f>
        <v>0</v>
      </c>
      <c r="AT7" s="212" t="b">
        <f>IF(AND(J7="",OR(L7&lt;&gt;"",M7&lt;&gt;"",P7&lt;&gt;"")),TRUE,FALSE)</f>
        <v>0</v>
      </c>
      <c r="AU7" s="212" t="b">
        <f>IFERROR(IF(D7&amp;E7&amp;F7&amp;E9&amp;G7&amp;G8&amp;G9&amp;J7&amp;J8&amp;J9&amp;J10&amp;L7&amp;L8&amp;L9&amp;L10&amp;M7&amp;M8&amp;M9&amp;M10&amp;P7&amp;P8&amp;P9&amp;P10&amp;Q7&amp;R7="",FALSE,TRUE),FALSE)</f>
        <v>0</v>
      </c>
      <c r="AV7" s="212" t="b">
        <f>IF(AS7,FALSE,IF(C7="",AU7,FALSE))</f>
        <v>0</v>
      </c>
      <c r="AW7" s="212" t="b">
        <f>IF(C7="",FALSE,IF(C7&lt;=2000,TRUE,FALSE))</f>
        <v>0</v>
      </c>
      <c r="AX7" s="212" t="b">
        <f>IF(H7=0,FALSE,IF(EXACT(基本情報!$E$5,H7)=TRUE,FALSE,TRUE))</f>
        <v>0</v>
      </c>
      <c r="AY7" s="212" t="b">
        <f>IF(C7="",FALSE,IF(ISNA(E7)=TRUE,TRUE,FALSE))</f>
        <v>0</v>
      </c>
      <c r="AZ7" s="274" t="b">
        <f>IFERROR(IF(E7="",FALSE,IF(COUNTIF($E$7:E7,E7)&gt;1,TRUE,FALSE)),FALSE)</f>
        <v>0</v>
      </c>
      <c r="BA7" s="212" t="b">
        <f>IF(OR(J7&amp;J8&amp;J9&amp;J10&amp;Q7&amp;R7="",AT7,AT8,AT9,AT10),AU7,FALSE)</f>
        <v>0</v>
      </c>
      <c r="BB7" s="212" t="b">
        <f>IF(U7&gt;1,TRUE,FALSE)</f>
        <v>0</v>
      </c>
      <c r="BC7" s="212" t="b">
        <f>IF(X7&gt;1,TRUE,FALSE)</f>
        <v>0</v>
      </c>
      <c r="BD7" s="212" t="b">
        <f t="shared" ref="BD7:BD70" si="4">IF(Z7&gt;1,TRUE,FALSE)</f>
        <v>0</v>
      </c>
      <c r="BE7" s="212" t="b">
        <f>IF(COUNTIF(AJ7:AJ406,TRUE)+COUNTIF(AL7:AL406,TRUE)+COUNTIF(AN7:AN406,TRUE)+COUNTIF(AP7:AP406,TRUE)+COUNTIF(AR7:AR406,TRUE)&gt;0,TRUE,FALSE)</f>
        <v>0</v>
      </c>
      <c r="BF7" s="212" t="b">
        <f>IF(J7="",FALSE,IF(OR(AND(AU7,L7=""),AND(AU7,L7="",OR(M7&lt;&gt;"",N7&lt;&gt;"",O7&lt;&gt;"",P7&lt;&gt;""))),TRUE,FALSE))</f>
        <v>0</v>
      </c>
      <c r="BG7" s="212" t="b">
        <f t="shared" ref="BG7:BG70" si="5">IF(J7="",FALSE,IF(ISNUMBER(L7)&lt;&gt;TRUE,TRUE,IFERROR(IF(MOD(L7,1)=0,FALSE,TRUE),FALSE)))</f>
        <v>0</v>
      </c>
      <c r="BH7" s="212" t="b">
        <f>IF(COUNTIF(J7,"*m*")=0,FALSE,IF(VALUE(RIGHT(INT(L7/100),2))&gt;59,TRUE,IF(VALUE(RIGHT(INT(L7/10000),2))&gt;59,TRUE,FALSE)))</f>
        <v>0</v>
      </c>
      <c r="BI7" s="212" t="b">
        <f>IF(J7="",FALSE,IF(L7=0,FALSE,IF(AND(AU7,NOT(BF7),OR(M7="",N7="",O7="")),TRUE,FALSE)))</f>
        <v>0</v>
      </c>
      <c r="BJ7" s="231" t="b">
        <f>IF(OR(M7="",N7="",O7=""),FALSE,DATE(M7,N7,O7))</f>
        <v>0</v>
      </c>
      <c r="BK7" s="231" t="b">
        <f>IF(NOT(BJ7),FALSE,IF(AND(競技会設定!$C$5&lt;=BJ7,BJ7&lt;=競技会設定!$C$6),FALSE,TRUE))</f>
        <v>0</v>
      </c>
      <c r="BL7" s="212" t="b">
        <f>IF(J7="",FALSE,IF(L7=0,FALSE,IF(AND(AU7,NOT(BF7),NOT(BI7),P7=""),TRUE,FALSE)))</f>
        <v>0</v>
      </c>
      <c r="BM7" s="212" t="b">
        <f>IFERROR(IF(MAX($T$7:$T$406)=0,FALSE,IF((OR(MAX($T$7:$T$406)&gt;6,4&gt;MAX($T$7:$T$406))),TRUE,FALSE)),FALSE)</f>
        <v>0</v>
      </c>
      <c r="BN7" s="212" t="b">
        <f>IFERROR(IF(MAX($W$7:$W$406)=0,FALSE,IF((OR(MAX($W$7:$W$406)&gt;6,4&gt;MAX($W$7:$W$406))),TRUE,FALSE)),FALSE)</f>
        <v>0</v>
      </c>
      <c r="BO7" s="274">
        <f>IF(AND(AU7,SUM(COUNTIF(AV7:BC7,TRUE),COUNTIF(BF7:BL10,TRUE),COUNTIF(BD7:BD10,TRUE))=0,NOT($BE$7)),1,0)</f>
        <v>0</v>
      </c>
    </row>
    <row r="8" spans="1:70" ht="18" customHeight="1">
      <c r="A8" s="471"/>
      <c r="B8" s="402"/>
      <c r="C8" s="404"/>
      <c r="D8" s="11"/>
      <c r="E8" s="480"/>
      <c r="F8" s="480"/>
      <c r="G8" s="217" t="str">
        <f>IF(C7="","",(VLOOKUP(D7,女子登録!$A$2:$N$2001,13,0)))</f>
        <v/>
      </c>
      <c r="H8" s="11"/>
      <c r="I8" s="11" t="s">
        <v>7061</v>
      </c>
      <c r="J8" s="171"/>
      <c r="K8" s="11" t="s">
        <v>7062</v>
      </c>
      <c r="L8" s="171"/>
      <c r="M8" s="255"/>
      <c r="N8" s="256"/>
      <c r="O8" s="257"/>
      <c r="P8" s="171"/>
      <c r="Q8" s="458"/>
      <c r="R8" s="415"/>
      <c r="S8" s="136"/>
      <c r="T8" s="137"/>
      <c r="U8" s="137"/>
      <c r="V8" s="137"/>
      <c r="W8" s="137"/>
      <c r="X8" s="137"/>
      <c r="Y8" s="212">
        <f>IF(OR(E7="",J8=""),0,J8&amp;E7)</f>
        <v>0</v>
      </c>
      <c r="Z8" s="212">
        <f>IF(Y8=0,0,COUNTIF($Y$7:Y8,Y8))</f>
        <v>0</v>
      </c>
      <c r="AD8" s="212">
        <f>IFERROR(VLOOKUP(J8,競技会設定!$T$2:$W$22,2,0),0)</f>
        <v>0</v>
      </c>
      <c r="AE8" s="212">
        <f>IF(E7="",0,IF(AD8=0,0,IF(AD8&lt;3,E7&amp;$AE$6,0)))</f>
        <v>0</v>
      </c>
      <c r="AF8" s="212">
        <f>IF(AE8=0,0,E7&amp;COUNTIF($AE$7:AE8,AE8))</f>
        <v>0</v>
      </c>
      <c r="AG8" s="212">
        <f>IF(E7="",0,IF(AD8=0,0,IF(AD8&gt;=3,E7&amp;$AG$6,0)))</f>
        <v>0</v>
      </c>
      <c r="AH8" s="212">
        <f>IF(AG8=0,0,E7&amp;COUNTIF($AG$7:AG8,AG8))</f>
        <v>0</v>
      </c>
      <c r="AI8" s="212">
        <f>IF($AD8=AI$6,$E7,0)</f>
        <v>0</v>
      </c>
      <c r="AJ8" s="212" t="b">
        <f>IF(AI8=0,FALSE,IF(COUNTIF(AI$7:AI8,AI8)&gt;1,TRUE,FALSE))</f>
        <v>0</v>
      </c>
      <c r="AK8" s="212">
        <f>IF($AD8=AK$6,$E7,0)</f>
        <v>0</v>
      </c>
      <c r="AL8" s="212" t="b">
        <f>IF(AK8=0,FALSE,IF(COUNTIF(AK$7:AK8,AK8)&gt;1,TRUE,FALSE))</f>
        <v>0</v>
      </c>
      <c r="AM8" s="212">
        <f>IF(COUNTIF(Y8,"*七種*")&gt;0,0,IF($AD8=AM$6,$E7,0))</f>
        <v>0</v>
      </c>
      <c r="AN8" s="212" t="b">
        <f>IF(AM8=0,FALSE,IF(COUNTIF(AM$7:AM8,AM8)&gt;1,TRUE,FALSE))</f>
        <v>0</v>
      </c>
      <c r="AO8" s="212">
        <f>IF($AD8=AO$6,$E7,0)</f>
        <v>0</v>
      </c>
      <c r="AP8" s="212" t="b">
        <f>IF(AO8=0,FALSE,IF(COUNTIF(AO$7:AO8,AO8)&gt;1,TRUE,FALSE))</f>
        <v>0</v>
      </c>
      <c r="AQ8" s="212">
        <f>IF(COUNTIF(Y8,"*七種競技*")&gt;0,E7,0)</f>
        <v>0</v>
      </c>
      <c r="AR8" s="212" t="b">
        <f t="shared" ref="AR8:AR71" si="6">IF(AQ8=0,FALSE,IF(OR(COUNTIF($AM$7:$AM$406,AQ8)+COUNTIF($AQ$7:$AQ$406,AQ8)&gt;1,COUNTIF($AO$7:$AO$406,AQ8)+COUNTIF($AQ$7:$AQ$406,AQ8)&gt;1),TRUE,FALSE))</f>
        <v>0</v>
      </c>
      <c r="AT8" s="212" t="b">
        <f>IF(AND(J8="",OR(L8&lt;&gt;"",M8&lt;&gt;"",P8&lt;&gt;"")),TRUE,FALSE)</f>
        <v>0</v>
      </c>
      <c r="BD8" s="212" t="b">
        <f t="shared" si="4"/>
        <v>0</v>
      </c>
      <c r="BF8" s="212" t="b">
        <f>IF(J8="",FALSE,IF(OR(AND(AU7,L8=""),AND(AU7,L8="",OR(M8&lt;&gt;"",N8&lt;&gt;"",O8&lt;&gt;"",P8&lt;&gt;""))),TRUE,FALSE))</f>
        <v>0</v>
      </c>
      <c r="BG8" s="212" t="b">
        <f t="shared" si="5"/>
        <v>0</v>
      </c>
      <c r="BH8" s="212" t="b">
        <f t="shared" ref="BH8:BH71" si="7">IF(COUNTIF(J8,"*m*")=0,FALSE,IF(VALUE(RIGHT(INT(L8/100),2))&gt;59,TRUE,IF(VALUE(RIGHT(INT(L8/10000),2))&gt;59,TRUE,FALSE)))</f>
        <v>0</v>
      </c>
      <c r="BI8" s="212" t="b">
        <f>IF(J8="",FALSE,IF(L8=0,FALSE,IF(AND(AU7,NOT(BF8),OR(M8="",N8="",O8="")),TRUE,FALSE)))</f>
        <v>0</v>
      </c>
      <c r="BJ8" s="231" t="b">
        <f t="shared" ref="BJ8:BJ71" si="8">IF(OR(M8="",N8="",O8=""),FALSE,DATE(M8,N8,O8))</f>
        <v>0</v>
      </c>
      <c r="BK8" s="231" t="b">
        <f>IF(NOT(BJ8),FALSE,IF(AND(競技会設定!$C$5&lt;=BJ8,BJ8&lt;=競技会設定!$C$6),FALSE,TRUE))</f>
        <v>0</v>
      </c>
      <c r="BL8" s="212" t="b">
        <f>IF(J8="",FALSE,IF(L8=0,FALSE,IF(AND(AU7,NOT(BF8),NOT(BI8),P8=""),TRUE,FALSE)))</f>
        <v>0</v>
      </c>
    </row>
    <row r="9" spans="1:70" ht="18" customHeight="1">
      <c r="A9" s="471"/>
      <c r="B9" s="402"/>
      <c r="C9" s="404"/>
      <c r="D9" s="11"/>
      <c r="E9" s="477" t="str">
        <f>IF(C7="","",VLOOKUP(D7,女子登録!$A$2:$O$2001,14,0)&amp;" ("&amp;VLOOKUP(D7,女子登録!$A$2:$O$2001,15,0)&amp;")")</f>
        <v/>
      </c>
      <c r="F9" s="478"/>
      <c r="G9" s="211" t="str">
        <f>IF(C7="","",(VLOOKUP(D7,女子登録!$A$2:$N$2001,9,0)))</f>
        <v/>
      </c>
      <c r="H9" s="13"/>
      <c r="I9" s="13" t="s">
        <v>7063</v>
      </c>
      <c r="J9" s="172"/>
      <c r="K9" s="13" t="s">
        <v>7064</v>
      </c>
      <c r="L9" s="172"/>
      <c r="M9" s="255"/>
      <c r="N9" s="256"/>
      <c r="O9" s="257"/>
      <c r="P9" s="171"/>
      <c r="Q9" s="458"/>
      <c r="R9" s="415"/>
      <c r="S9" s="136"/>
      <c r="T9" s="137"/>
      <c r="U9" s="137"/>
      <c r="V9" s="137"/>
      <c r="W9" s="137"/>
      <c r="X9" s="137"/>
      <c r="Y9" s="212">
        <f>IF(OR(E7="",J9=""),0,J9&amp;E7)</f>
        <v>0</v>
      </c>
      <c r="Z9" s="212">
        <f>IF(Y9=0,0,COUNTIF($Y$7:Y9,Y9))</f>
        <v>0</v>
      </c>
      <c r="AD9" s="212">
        <f>IFERROR(VLOOKUP(J9,競技会設定!$T$2:$W$22,2,0),0)</f>
        <v>0</v>
      </c>
      <c r="AE9" s="212">
        <f>IF(E7="",0,IF(AD9=0,0,IF(AD9&lt;3,E7&amp;$AE$6,0)))</f>
        <v>0</v>
      </c>
      <c r="AF9" s="212">
        <f>IF(AE9=0,0,E7&amp;COUNTIF($AE$7:AE9,AE9))</f>
        <v>0</v>
      </c>
      <c r="AG9" s="212">
        <f>IF(E7="",0,IF(AD9=0,0,IF(AD9&gt;=3,E7&amp;$AG$6,0)))</f>
        <v>0</v>
      </c>
      <c r="AH9" s="212">
        <f>IF(AG9=0,0,E7&amp;COUNTIF($AG$7:AG9,AG9))</f>
        <v>0</v>
      </c>
      <c r="AI9" s="212">
        <f>IF($AD9=AI$6,$E7,0)</f>
        <v>0</v>
      </c>
      <c r="AJ9" s="212" t="b">
        <f>IF(AI9=0,FALSE,IF(COUNTIF(AI$7:AI9,AI9)&gt;1,TRUE,FALSE))</f>
        <v>0</v>
      </c>
      <c r="AK9" s="212">
        <f>IF($AD9=AK$6,$E7,0)</f>
        <v>0</v>
      </c>
      <c r="AL9" s="212" t="b">
        <f>IF(AK9=0,FALSE,IF(COUNTIF(AK$7:AK9,AK9)&gt;1,TRUE,FALSE))</f>
        <v>0</v>
      </c>
      <c r="AM9" s="212">
        <f>IF(COUNTIF(Y9,"*七種*")&gt;0,0,IF($AD9=AM$6,$E7,0))</f>
        <v>0</v>
      </c>
      <c r="AN9" s="212" t="b">
        <f>IF(AM9=0,FALSE,IF(COUNTIF(AM$7:AM9,AM9)&gt;1,TRUE,FALSE))</f>
        <v>0</v>
      </c>
      <c r="AO9" s="212">
        <f>IF($AD9=AO$6,$E7,0)</f>
        <v>0</v>
      </c>
      <c r="AP9" s="212" t="b">
        <f>IF(AO9=0,FALSE,IF(COUNTIF(AO$7:AO9,AO9)&gt;1,TRUE,FALSE))</f>
        <v>0</v>
      </c>
      <c r="AQ9" s="212">
        <f>IF(COUNTIF(Y9,"*七種競技*")&gt;0,E7,0)</f>
        <v>0</v>
      </c>
      <c r="AR9" s="212" t="b">
        <f t="shared" si="6"/>
        <v>0</v>
      </c>
      <c r="AT9" s="212" t="b">
        <f t="shared" ref="AT9:AT72" si="9">IF(AND(J9="",OR(L9&lt;&gt;"",M9&lt;&gt;"",P9&lt;&gt;"")),TRUE,FALSE)</f>
        <v>0</v>
      </c>
      <c r="BD9" s="212" t="b">
        <f t="shared" si="4"/>
        <v>0</v>
      </c>
      <c r="BF9" s="212" t="b">
        <f>IF(J9="",FALSE,IF(OR(AND(AU7,L9=""),AND(AU7,L9="",OR(M9&lt;&gt;"",N9&lt;&gt;"",O9&lt;&gt;"",P9&lt;&gt;""))),TRUE,FALSE))</f>
        <v>0</v>
      </c>
      <c r="BG9" s="212" t="b">
        <f t="shared" si="5"/>
        <v>0</v>
      </c>
      <c r="BH9" s="212" t="b">
        <f t="shared" si="7"/>
        <v>0</v>
      </c>
      <c r="BI9" s="212" t="b">
        <f>IF(J9="",FALSE,IF(L9=0,FALSE,IF(AND(AU7,NOT(BF9),OR(M9="",N9="",O9="")),TRUE,FALSE)))</f>
        <v>0</v>
      </c>
      <c r="BJ9" s="231" t="b">
        <f t="shared" si="8"/>
        <v>0</v>
      </c>
      <c r="BK9" s="231" t="b">
        <f>IF(NOT(BJ9),FALSE,IF(AND(競技会設定!$C$5&lt;=BJ9,BJ9&lt;=競技会設定!$C$6),FALSE,TRUE))</f>
        <v>0</v>
      </c>
      <c r="BL9" s="212" t="b">
        <f>IF(J9="",FALSE,IF(L9=0,FALSE,IF(AND(AU7,NOT(BF9),NOT(BI9),P9=""),TRUE,FALSE)))</f>
        <v>0</v>
      </c>
    </row>
    <row r="10" spans="1:70" ht="18" customHeight="1" thickBot="1">
      <c r="A10" s="472"/>
      <c r="B10" s="395" t="s">
        <v>7051</v>
      </c>
      <c r="C10" s="395"/>
      <c r="D10" s="11"/>
      <c r="E10" s="460"/>
      <c r="F10" s="460"/>
      <c r="G10" s="460"/>
      <c r="H10" s="157"/>
      <c r="I10" s="157" t="s">
        <v>7065</v>
      </c>
      <c r="J10" s="307"/>
      <c r="K10" s="157" t="s">
        <v>7066</v>
      </c>
      <c r="L10" s="307"/>
      <c r="M10" s="258"/>
      <c r="N10" s="259"/>
      <c r="O10" s="260"/>
      <c r="P10" s="307"/>
      <c r="Q10" s="459"/>
      <c r="R10" s="416"/>
      <c r="S10" s="136"/>
      <c r="T10" s="137"/>
      <c r="U10" s="137"/>
      <c r="V10" s="137"/>
      <c r="W10" s="137"/>
      <c r="X10" s="137"/>
      <c r="Y10" s="212">
        <f>IF(OR(E7="",J10=""),0,J10&amp;E7)</f>
        <v>0</v>
      </c>
      <c r="Z10" s="212">
        <f>IF(Y10=0,0,COUNTIF($Y$7:Y10,Y10))</f>
        <v>0</v>
      </c>
      <c r="AD10" s="212">
        <f>IFERROR(VLOOKUP(J10,競技会設定!$T$2:$W$22,2,0),0)</f>
        <v>0</v>
      </c>
      <c r="AE10" s="212">
        <f>IF(E7="",0,IF(AD10=0,0,IF(AD10&lt;3,E7&amp;$AE$6,0)))</f>
        <v>0</v>
      </c>
      <c r="AF10" s="212">
        <f>IF(AE10=0,0,E7&amp;COUNTIF($AE$7:AE10,AE10))</f>
        <v>0</v>
      </c>
      <c r="AG10" s="212">
        <f>IF(E7="",0,IF(AD10=0,0,IF(AD10&gt;=3,E7&amp;$AG$6,0)))</f>
        <v>0</v>
      </c>
      <c r="AH10" s="212">
        <f>IF(AG10=0,0,E7&amp;COUNTIF($AG$7:AG10,AG10))</f>
        <v>0</v>
      </c>
      <c r="AI10" s="212">
        <f>IF($AD10=AI$6,$E7,0)</f>
        <v>0</v>
      </c>
      <c r="AJ10" s="212" t="b">
        <f>IF(AI10=0,FALSE,IF(COUNTIF(AI$7:AI10,AI10)&gt;1,TRUE,FALSE))</f>
        <v>0</v>
      </c>
      <c r="AK10" s="212">
        <f>IF($AD10=AK$6,$E7,0)</f>
        <v>0</v>
      </c>
      <c r="AL10" s="212" t="b">
        <f>IF(AK10=0,FALSE,IF(COUNTIF(AK$7:AK10,AK10)&gt;1,TRUE,FALSE))</f>
        <v>0</v>
      </c>
      <c r="AM10" s="212">
        <f>IF(COUNTIF(Y10,"*七種*")&gt;0,0,IF($AD10=AM$6,$E7,0))</f>
        <v>0</v>
      </c>
      <c r="AN10" s="212" t="b">
        <f>IF(AM10=0,FALSE,IF(COUNTIF(AM$7:AM10,AM10)&gt;1,TRUE,FALSE))</f>
        <v>0</v>
      </c>
      <c r="AO10" s="212">
        <f>IF($AD10=AO$6,$E7,0)</f>
        <v>0</v>
      </c>
      <c r="AP10" s="212" t="b">
        <f>IF(AO10=0,FALSE,IF(COUNTIF(AO$7:AO10,AO10)&gt;1,TRUE,FALSE))</f>
        <v>0</v>
      </c>
      <c r="AQ10" s="212">
        <f>IF(COUNTIF(Y10,"*七種競技*")&gt;0,E7,0)</f>
        <v>0</v>
      </c>
      <c r="AR10" s="212" t="b">
        <f>IF(AQ10=0,FALSE,IF(OR(COUNTIF($AM$7:$AM$406,AQ10)+COUNTIF($AQ$7:$AQ$406,AQ10)&gt;1,COUNTIF($AO$7:$AO$406,AQ10)+COUNTIF($AQ$7:$AQ$406,AQ10)&gt;1),TRUE,FALSE))</f>
        <v>0</v>
      </c>
      <c r="AT10" s="212" t="b">
        <f t="shared" si="9"/>
        <v>0</v>
      </c>
      <c r="BD10" s="212" t="b">
        <f t="shared" si="4"/>
        <v>0</v>
      </c>
      <c r="BF10" s="212" t="b">
        <f>IF(J10="",FALSE,IF(OR(AND(AU7,L10=""),AND(AU7,L10="",OR(M10&lt;&gt;"",N10&lt;&gt;"",O10&lt;&gt;"",P10&lt;&gt;""))),TRUE,FALSE))</f>
        <v>0</v>
      </c>
      <c r="BG10" s="212" t="b">
        <f t="shared" si="5"/>
        <v>0</v>
      </c>
      <c r="BH10" s="212" t="b">
        <f t="shared" si="7"/>
        <v>0</v>
      </c>
      <c r="BI10" s="212" t="b">
        <f>IF(J10="",FALSE,IF(L10=0,FALSE,IF(AND(AU7,NOT(BF10),OR(M10="",N10="",O10="")),TRUE,FALSE)))</f>
        <v>0</v>
      </c>
      <c r="BJ10" s="231" t="b">
        <f t="shared" si="8"/>
        <v>0</v>
      </c>
      <c r="BK10" s="231" t="b">
        <f>IF(NOT(BJ10),FALSE,IF(AND(競技会設定!$C$5&lt;=BJ10,BJ10&lt;=競技会設定!$C$6),FALSE,TRUE))</f>
        <v>0</v>
      </c>
      <c r="BL10" s="212" t="b">
        <f>IF(J10="",FALSE,IF(L10=0,FALSE,IF(AND(AU7,NOT(BF10),NOT(BI10),P10=""),TRUE,FALSE)))</f>
        <v>0</v>
      </c>
    </row>
    <row r="11" spans="1:70" ht="18" customHeight="1" thickTop="1">
      <c r="A11" s="461">
        <v>2</v>
      </c>
      <c r="B11" s="373" t="s">
        <v>7050</v>
      </c>
      <c r="C11" s="375"/>
      <c r="D11" s="158" t="str">
        <f t="shared" ref="D11" si="10">IF(C11="","",502&amp;TEXT(C11,"000000"))</f>
        <v/>
      </c>
      <c r="E11" s="464" t="str">
        <f>IF(D11="","",(VLOOKUP(D11,女子登録!$A$2:$N$2001,3,0)))</f>
        <v/>
      </c>
      <c r="F11" s="464" t="str">
        <f>IF(D11="","",(VLOOKUP(D11,女子登録!$A$2:$N$2001,4,0)))</f>
        <v/>
      </c>
      <c r="G11" s="158" t="str">
        <f>IF(C11="","",(VLOOKUP(D11,女子登録!$A$2:$N$2001,8,0)))</f>
        <v/>
      </c>
      <c r="H11" s="158">
        <f>IFERROR(VLOOKUP(D11,女子登録!$A$2:$N$2001,11,0),基本情報!$E$5)</f>
        <v>0</v>
      </c>
      <c r="I11" s="158" t="s">
        <v>7059</v>
      </c>
      <c r="J11" s="174"/>
      <c r="K11" s="158" t="s">
        <v>7060</v>
      </c>
      <c r="L11" s="174"/>
      <c r="M11" s="261"/>
      <c r="N11" s="262"/>
      <c r="O11" s="263"/>
      <c r="P11" s="174"/>
      <c r="Q11" s="448"/>
      <c r="R11" s="408"/>
      <c r="S11" s="136">
        <f t="shared" ref="S11" si="11">IF(OR(E11="",Q11=""),0,E11)</f>
        <v>0</v>
      </c>
      <c r="T11" s="137">
        <f>IF(S11=0,0,COUNTIF($S$7:S11,"*"))</f>
        <v>0</v>
      </c>
      <c r="U11" s="137">
        <f>IF(S11=0,0,COUNTIF($S$7:S11,S11))</f>
        <v>0</v>
      </c>
      <c r="V11" s="137">
        <f t="shared" si="3"/>
        <v>0</v>
      </c>
      <c r="W11" s="137">
        <f>IF(V11=0,0,COUNTIF($V$7:V11,"*"))</f>
        <v>0</v>
      </c>
      <c r="X11" s="137">
        <f>IF(V11=0,0,COUNTIF($V$7:V11,V11))</f>
        <v>0</v>
      </c>
      <c r="Y11" s="212">
        <f t="shared" ref="Y11" si="12">IF(OR(E11="",J11=""),0,J11&amp;E11)</f>
        <v>0</v>
      </c>
      <c r="Z11" s="212">
        <f>IF(Y11=0,0,COUNTIF($Y$7:Y11,Y11))</f>
        <v>0</v>
      </c>
      <c r="AA11" s="212" t="b">
        <f>IF(COUNTIF(J11:J14,"七種競技")&gt;0,TRUE,FALSE)</f>
        <v>0</v>
      </c>
      <c r="AB11" s="212">
        <f>IF(E11="",0,IF(AA11,COUNTIF($AA$7:AA11,TRUE),0))</f>
        <v>0</v>
      </c>
      <c r="AC11" s="212">
        <f>IFERROR(VLOOKUP("七種競技",J11:L14,3,0),0)</f>
        <v>0</v>
      </c>
      <c r="AD11" s="212">
        <f>IFERROR(VLOOKUP(J11,競技会設定!$T$2:$W$22,2,0),0)</f>
        <v>0</v>
      </c>
      <c r="AE11" s="212">
        <f t="shared" ref="AE11" si="13">IF(E11="",0,IF(AD11=0,0,IF(AD11&lt;3,E11&amp;$AE$6,0)))</f>
        <v>0</v>
      </c>
      <c r="AF11" s="212">
        <f>IF(AE11=0,0,E11&amp;COUNTIF($AE$7:AE11,AE11))</f>
        <v>0</v>
      </c>
      <c r="AG11" s="212">
        <f t="shared" ref="AG11" si="14">IF(E11="",0,IF(AD11=0,0,IF(AD11&gt;=3,E11&amp;$AG$6,0)))</f>
        <v>0</v>
      </c>
      <c r="AH11" s="212">
        <f>IF(AG11=0,0,E11&amp;COUNTIF($AG$7:AG11,AG11))</f>
        <v>0</v>
      </c>
      <c r="AI11" s="212">
        <f t="shared" ref="AI11" si="15">IF($AD11=AI$6,$E11,0)</f>
        <v>0</v>
      </c>
      <c r="AJ11" s="212" t="b">
        <f>IF(AI11=0,FALSE,IF(COUNTIF(AI$7:AI11,AI11)&gt;1,TRUE,FALSE))</f>
        <v>0</v>
      </c>
      <c r="AK11" s="212">
        <f t="shared" ref="AK11" si="16">IF($AD11=AK$6,$E11,0)</f>
        <v>0</v>
      </c>
      <c r="AL11" s="212" t="b">
        <f>IF(AK11=0,FALSE,IF(COUNTIF(AK$7:AK11,AK11)&gt;1,TRUE,FALSE))</f>
        <v>0</v>
      </c>
      <c r="AM11" s="212">
        <f t="shared" ref="AM11" si="17">IF(COUNTIF(Y11,"*七種*")&gt;0,0,IF($AD11=AM$6,$E11,0))</f>
        <v>0</v>
      </c>
      <c r="AN11" s="212" t="b">
        <f>IF(AM11=0,FALSE,IF(COUNTIF(AM$7:AM11,AM11)&gt;1,TRUE,FALSE))</f>
        <v>0</v>
      </c>
      <c r="AO11" s="212">
        <f t="shared" ref="AO11" si="18">IF($AD11=AO$6,$E11,0)</f>
        <v>0</v>
      </c>
      <c r="AP11" s="212" t="b">
        <f>IF(AO11=0,FALSE,IF(COUNTIF(AO$7:AO11,AO11)&gt;1,TRUE,FALSE))</f>
        <v>0</v>
      </c>
      <c r="AQ11" s="212">
        <f t="shared" ref="AQ11" si="19">IF(COUNTIF(Y11,"*七種競技*")&gt;0,E11,0)</f>
        <v>0</v>
      </c>
      <c r="AR11" s="212" t="b">
        <f t="shared" ref="AR11" si="20">IF(AQ11=0,FALSE,IF(OR(COUNTIF($AM$7:$AM$406,AQ11)+COUNTIF($AQ$7:$AQ$406,AQ11)&gt;1,COUNTIF($AO$7:$AO$406,AQ11)+COUNTIF($AQ$7:$AQ$406,AQ11)&gt;1),TRUE,FALSE))</f>
        <v>0</v>
      </c>
      <c r="AS11" s="212" t="b">
        <f t="shared" ref="AS11" si="21">IF(AND(C11="",E11&lt;&gt;"",F11&lt;&gt;"",E13&lt;&gt;"",G11&lt;&gt;"",G12&lt;&gt;"",G13&lt;&gt;""),TRUE,FALSE)</f>
        <v>0</v>
      </c>
      <c r="AT11" s="212" t="b">
        <f t="shared" si="9"/>
        <v>0</v>
      </c>
      <c r="AU11" s="212" t="b">
        <f>IFERROR(IF(E11&amp;F11&amp;E13&amp;G11&amp;G12&amp;G13&amp;J11&amp;J12&amp;J13&amp;J14&amp;L11&amp;L12&amp;L13&amp;L14&amp;M11&amp;M12&amp;M13&amp;M14&amp;P11&amp;P12&amp;P13&amp;P14&amp;Q11&amp;R11="",FALSE,TRUE),FALSE)</f>
        <v>0</v>
      </c>
      <c r="AV11" s="212" t="b">
        <f t="shared" ref="AV11" si="22">IF(AS11,FALSE,IF(C11="",AU11,FALSE))</f>
        <v>0</v>
      </c>
      <c r="AW11" s="212" t="b">
        <f t="shared" ref="AW11" si="23">IF(C11="",FALSE,IF(C11&lt;=2000,TRUE,FALSE))</f>
        <v>0</v>
      </c>
      <c r="AX11" s="274" t="b">
        <f>IF(H11=0,FALSE,IF(EXACT(基本情報!$E$5,H11)=TRUE,FALSE,TRUE))</f>
        <v>0</v>
      </c>
      <c r="AY11" s="212" t="b">
        <f>IF(C11="",FALSE,IF(ISNA(E11)=TRUE,TRUE,FALSE))</f>
        <v>0</v>
      </c>
      <c r="AZ11" s="274" t="b">
        <f>IFERROR(IF(E11="",FALSE,IF(COUNTIF($E$7:E11,E11)&gt;1,TRUE,FALSE)),FALSE)</f>
        <v>0</v>
      </c>
      <c r="BA11" s="212" t="b">
        <f t="shared" ref="BA11" si="24">IF(OR(J11&amp;J12&amp;J13&amp;J14&amp;Q11&amp;R11="",AT11,AT12,AT13,AT14),AU11,FALSE)</f>
        <v>0</v>
      </c>
      <c r="BB11" s="212" t="b">
        <f>IF(U11&gt;1,TRUE,FALSE)</f>
        <v>0</v>
      </c>
      <c r="BC11" s="212" t="b">
        <f>IF(X11&gt;1,TRUE,FALSE)</f>
        <v>0</v>
      </c>
      <c r="BD11" s="212" t="b">
        <f t="shared" si="4"/>
        <v>0</v>
      </c>
      <c r="BF11" s="212" t="b">
        <f t="shared" ref="BF11" si="25">IF(J11="",FALSE,IF(OR(AND(AU11,L11=""),AND(AU11,L11="",OR(M11&lt;&gt;"",N11&lt;&gt;"",O11&lt;&gt;"",P11&lt;&gt;""))),TRUE,FALSE))</f>
        <v>0</v>
      </c>
      <c r="BG11" s="212" t="b">
        <f t="shared" si="5"/>
        <v>0</v>
      </c>
      <c r="BH11" s="212" t="b">
        <f t="shared" si="7"/>
        <v>0</v>
      </c>
      <c r="BI11" s="212" t="b">
        <f t="shared" ref="BI11" si="26">IF(J11="",FALSE,IF(L11=0,FALSE,IF(AND(AU11,NOT(BF11),OR(M11="",N11="",O11="")),TRUE,FALSE)))</f>
        <v>0</v>
      </c>
      <c r="BJ11" s="231" t="b">
        <f t="shared" si="8"/>
        <v>0</v>
      </c>
      <c r="BK11" s="231" t="b">
        <f>IF(NOT(BJ11),FALSE,IF(AND(競技会設定!$C$5&lt;=BJ11,BJ11&lt;=競技会設定!$C$6),FALSE,TRUE))</f>
        <v>0</v>
      </c>
      <c r="BL11" s="212" t="b">
        <f>IF(J11="",FALSE,IF(L11=0,FALSE,IF(AND(AU11,NOT(BF11),NOT(BI11),P11=""),TRUE,FALSE)))</f>
        <v>0</v>
      </c>
      <c r="BO11" s="274">
        <f t="shared" ref="BO11" si="27">IF(AND(AU11,SUM(COUNTIF(AV11:BC11,TRUE),COUNTIF(BF11:BL14,TRUE),COUNTIF(BD11:BD14,TRUE))=0,NOT($BE$7)),1,0)</f>
        <v>0</v>
      </c>
    </row>
    <row r="12" spans="1:70" ht="17.399999999999999" customHeight="1">
      <c r="A12" s="462"/>
      <c r="B12" s="374"/>
      <c r="C12" s="376"/>
      <c r="D12" s="159"/>
      <c r="E12" s="465"/>
      <c r="F12" s="465"/>
      <c r="G12" s="159" t="str">
        <f>IF(C11="","",(VLOOKUP(D11,女子登録!$A$2:$N$2001,13,0)))</f>
        <v/>
      </c>
      <c r="H12" s="159"/>
      <c r="I12" s="159" t="s">
        <v>7061</v>
      </c>
      <c r="J12" s="175"/>
      <c r="K12" s="159" t="s">
        <v>7062</v>
      </c>
      <c r="L12" s="175"/>
      <c r="M12" s="264"/>
      <c r="N12" s="265"/>
      <c r="O12" s="266"/>
      <c r="P12" s="175"/>
      <c r="Q12" s="449"/>
      <c r="R12" s="409"/>
      <c r="S12" s="136"/>
      <c r="T12" s="137"/>
      <c r="U12" s="137"/>
      <c r="V12" s="137"/>
      <c r="W12" s="137"/>
      <c r="X12" s="137"/>
      <c r="Y12" s="212">
        <f t="shared" ref="Y12" si="28">IF(OR(E11="",J12=""),0,J12&amp;E11)</f>
        <v>0</v>
      </c>
      <c r="Z12" s="212">
        <f>IF(Y12=0,0,COUNTIF($Y$7:Y12,Y12))</f>
        <v>0</v>
      </c>
      <c r="AD12" s="212">
        <f>IFERROR(VLOOKUP(J12,競技会設定!$T$2:$W$22,2,0),0)</f>
        <v>0</v>
      </c>
      <c r="AE12" s="212">
        <f t="shared" ref="AE12" si="29">IF(E11="",0,IF(AD12=0,0,IF(AD12&lt;3,E11&amp;$AE$6,0)))</f>
        <v>0</v>
      </c>
      <c r="AF12" s="212">
        <f>IF(AE12=0,0,E11&amp;COUNTIF($AE$7:AE12,AE12))</f>
        <v>0</v>
      </c>
      <c r="AG12" s="212">
        <f t="shared" ref="AG12" si="30">IF(E11="",0,IF(AD12=0,0,IF(AD12&gt;=3,E11&amp;$AG$6,0)))</f>
        <v>0</v>
      </c>
      <c r="AH12" s="212">
        <f>IF(AG12=0,0,E11&amp;COUNTIF($AG$7:AG12,AG12))</f>
        <v>0</v>
      </c>
      <c r="AI12" s="212">
        <f t="shared" ref="AI12" si="31">IF($AD12=AI$6,$E11,0)</f>
        <v>0</v>
      </c>
      <c r="AJ12" s="212" t="b">
        <f>IF(AI12=0,FALSE,IF(COUNTIF(AI$7:AI12,AI12)&gt;1,TRUE,FALSE))</f>
        <v>0</v>
      </c>
      <c r="AK12" s="212">
        <f t="shared" ref="AK12" si="32">IF($AD12=AK$6,$E11,0)</f>
        <v>0</v>
      </c>
      <c r="AL12" s="212" t="b">
        <f>IF(AK12=0,FALSE,IF(COUNTIF(AK$7:AK12,AK12)&gt;1,TRUE,FALSE))</f>
        <v>0</v>
      </c>
      <c r="AM12" s="212">
        <f t="shared" ref="AM12" si="33">IF(COUNTIF(Y12,"*七種*")&gt;0,0,IF($AD12=AM$6,$E11,0))</f>
        <v>0</v>
      </c>
      <c r="AN12" s="212" t="b">
        <f>IF(AM12=0,FALSE,IF(COUNTIF(AM$7:AM12,AM12)&gt;1,TRUE,FALSE))</f>
        <v>0</v>
      </c>
      <c r="AO12" s="212">
        <f t="shared" ref="AO12" si="34">IF($AD12=AO$6,$E11,0)</f>
        <v>0</v>
      </c>
      <c r="AP12" s="212" t="b">
        <f>IF(AO12=0,FALSE,IF(COUNTIF(AO$7:AO12,AO12)&gt;1,TRUE,FALSE))</f>
        <v>0</v>
      </c>
      <c r="AQ12" s="212">
        <f t="shared" ref="AQ12" si="35">IF(COUNTIF(Y12,"*七種競技*")&gt;0,E11,0)</f>
        <v>0</v>
      </c>
      <c r="AR12" s="212" t="b">
        <f t="shared" si="6"/>
        <v>0</v>
      </c>
      <c r="AT12" s="212" t="b">
        <f t="shared" si="9"/>
        <v>0</v>
      </c>
      <c r="AX12" s="274"/>
      <c r="BD12" s="212" t="b">
        <f t="shared" si="4"/>
        <v>0</v>
      </c>
      <c r="BF12" s="212" t="b">
        <f t="shared" ref="BF12" si="36">IF(J12="",FALSE,IF(OR(AND(AU11,L12=""),AND(AU11,L12="",OR(M12&lt;&gt;"",N12&lt;&gt;"",O12&lt;&gt;"",P12&lt;&gt;""))),TRUE,FALSE))</f>
        <v>0</v>
      </c>
      <c r="BG12" s="212" t="b">
        <f t="shared" si="5"/>
        <v>0</v>
      </c>
      <c r="BH12" s="212" t="b">
        <f t="shared" si="7"/>
        <v>0</v>
      </c>
      <c r="BI12" s="212" t="b">
        <f t="shared" ref="BI12" si="37">IF(J12="",FALSE,IF(L12=0,FALSE,IF(AND(AU11,NOT(BF12),OR(M12="",N12="",O12="")),TRUE,FALSE)))</f>
        <v>0</v>
      </c>
      <c r="BJ12" s="231" t="b">
        <f t="shared" si="8"/>
        <v>0</v>
      </c>
      <c r="BK12" s="231" t="b">
        <f>IF(NOT(BJ12),FALSE,IF(AND(競技会設定!$C$5&lt;=BJ12,BJ12&lt;=競技会設定!$C$6),FALSE,TRUE))</f>
        <v>0</v>
      </c>
      <c r="BL12" s="212" t="b">
        <f>IF(J12="",FALSE,IF(L12=0,FALSE,IF(AND(AU11,NOT(BF12),NOT(BI12),P12=""),TRUE,FALSE)))</f>
        <v>0</v>
      </c>
    </row>
    <row r="13" spans="1:70" ht="17.399999999999999" customHeight="1">
      <c r="A13" s="462"/>
      <c r="B13" s="374"/>
      <c r="C13" s="376"/>
      <c r="D13" s="160"/>
      <c r="E13" s="452" t="str">
        <f>IF(C11="","",VLOOKUP(D11,女子登録!$A$2:$O$2001,14,0)&amp;" ("&amp;VLOOKUP(D11,女子登録!$A$2:$O$2001,15,0)&amp;")")</f>
        <v/>
      </c>
      <c r="F13" s="453"/>
      <c r="G13" s="160" t="str">
        <f>IF(C11="","",(VLOOKUP(D11,女子登録!$A$2:$N$2001,9,0)))</f>
        <v/>
      </c>
      <c r="H13" s="160"/>
      <c r="I13" s="160" t="s">
        <v>7063</v>
      </c>
      <c r="J13" s="176"/>
      <c r="K13" s="160" t="s">
        <v>7064</v>
      </c>
      <c r="L13" s="176"/>
      <c r="M13" s="264"/>
      <c r="N13" s="265"/>
      <c r="O13" s="266"/>
      <c r="P13" s="175"/>
      <c r="Q13" s="449"/>
      <c r="R13" s="409"/>
      <c r="S13" s="136"/>
      <c r="T13" s="137"/>
      <c r="U13" s="137"/>
      <c r="V13" s="137"/>
      <c r="W13" s="137"/>
      <c r="X13" s="137"/>
      <c r="Y13" s="212">
        <f t="shared" ref="Y13" si="38">IF(OR(E11="",J13=""),0,J13&amp;E11)</f>
        <v>0</v>
      </c>
      <c r="Z13" s="212">
        <f>IF(Y13=0,0,COUNTIF($Y$7:Y13,Y13))</f>
        <v>0</v>
      </c>
      <c r="AD13" s="212">
        <f>IFERROR(VLOOKUP(J13,競技会設定!$T$2:$W$22,2,0),0)</f>
        <v>0</v>
      </c>
      <c r="AE13" s="212">
        <f t="shared" ref="AE13" si="39">IF(E11="",0,IF(AD13=0,0,IF(AD13&lt;3,E11&amp;$AE$6,0)))</f>
        <v>0</v>
      </c>
      <c r="AF13" s="212">
        <f>IF(AE13=0,0,E11&amp;COUNTIF($AE$7:AE13,AE13))</f>
        <v>0</v>
      </c>
      <c r="AG13" s="212">
        <f t="shared" ref="AG13" si="40">IF(E11="",0,IF(AD13=0,0,IF(AD13&gt;=3,E11&amp;$AG$6,0)))</f>
        <v>0</v>
      </c>
      <c r="AH13" s="212">
        <f>IF(AG13=0,0,E11&amp;COUNTIF($AG$7:AG13,AG13))</f>
        <v>0</v>
      </c>
      <c r="AI13" s="212">
        <f t="shared" ref="AI13" si="41">IF($AD13=AI$6,$E11,0)</f>
        <v>0</v>
      </c>
      <c r="AJ13" s="212" t="b">
        <f>IF(AI13=0,FALSE,IF(COUNTIF(AI$7:AI13,AI13)&gt;1,TRUE,FALSE))</f>
        <v>0</v>
      </c>
      <c r="AK13" s="212">
        <f t="shared" ref="AK13" si="42">IF($AD13=AK$6,$E11,0)</f>
        <v>0</v>
      </c>
      <c r="AL13" s="212" t="b">
        <f>IF(AK13=0,FALSE,IF(COUNTIF(AK$7:AK13,AK13)&gt;1,TRUE,FALSE))</f>
        <v>0</v>
      </c>
      <c r="AM13" s="212">
        <f t="shared" ref="AM13" si="43">IF(COUNTIF(Y13,"*七種*")&gt;0,0,IF($AD13=AM$6,$E11,0))</f>
        <v>0</v>
      </c>
      <c r="AN13" s="212" t="b">
        <f>IF(AM13=0,FALSE,IF(COUNTIF(AM$7:AM13,AM13)&gt;1,TRUE,FALSE))</f>
        <v>0</v>
      </c>
      <c r="AO13" s="212">
        <f t="shared" ref="AO13" si="44">IF($AD13=AO$6,$E11,0)</f>
        <v>0</v>
      </c>
      <c r="AP13" s="212" t="b">
        <f>IF(AO13=0,FALSE,IF(COUNTIF(AO$7:AO13,AO13)&gt;1,TRUE,FALSE))</f>
        <v>0</v>
      </c>
      <c r="AQ13" s="212">
        <f t="shared" ref="AQ13" si="45">IF(COUNTIF(Y13,"*七種競技*")&gt;0,E11,0)</f>
        <v>0</v>
      </c>
      <c r="AR13" s="212" t="b">
        <f t="shared" si="6"/>
        <v>0</v>
      </c>
      <c r="AT13" s="212" t="b">
        <f t="shared" si="9"/>
        <v>0</v>
      </c>
      <c r="AX13" s="274"/>
      <c r="BD13" s="212" t="b">
        <f t="shared" si="4"/>
        <v>0</v>
      </c>
      <c r="BF13" s="212" t="b">
        <f t="shared" ref="BF13" si="46">IF(J13="",FALSE,IF(OR(AND(AU11,L13=""),AND(AU11,L13="",OR(M13&lt;&gt;"",N13&lt;&gt;"",O13&lt;&gt;"",P13&lt;&gt;""))),TRUE,FALSE))</f>
        <v>0</v>
      </c>
      <c r="BG13" s="212" t="b">
        <f t="shared" si="5"/>
        <v>0</v>
      </c>
      <c r="BH13" s="212" t="b">
        <f t="shared" si="7"/>
        <v>0</v>
      </c>
      <c r="BI13" s="212" t="b">
        <f t="shared" ref="BI13" si="47">IF(J13="",FALSE,IF(L13=0,FALSE,IF(AND(AU11,NOT(BF13),OR(M13="",N13="",O13="")),TRUE,FALSE)))</f>
        <v>0</v>
      </c>
      <c r="BJ13" s="231" t="b">
        <f t="shared" si="8"/>
        <v>0</v>
      </c>
      <c r="BK13" s="231" t="b">
        <f>IF(NOT(BJ13),FALSE,IF(AND(競技会設定!$C$5&lt;=BJ13,BJ13&lt;=競技会設定!$C$6),FALSE,TRUE))</f>
        <v>0</v>
      </c>
      <c r="BL13" s="212" t="b">
        <f>IF(J13="",FALSE,IF(L13=0,FALSE,IF(AND(AU11,NOT(BF13),NOT(BI13),P13=""),TRUE,FALSE)))</f>
        <v>0</v>
      </c>
    </row>
    <row r="14" spans="1:70" ht="18" customHeight="1" thickBot="1">
      <c r="A14" s="475"/>
      <c r="B14" s="387" t="s">
        <v>7051</v>
      </c>
      <c r="C14" s="387"/>
      <c r="D14" s="161"/>
      <c r="E14" s="467"/>
      <c r="F14" s="468"/>
      <c r="G14" s="469"/>
      <c r="H14" s="162"/>
      <c r="I14" s="161" t="s">
        <v>7065</v>
      </c>
      <c r="J14" s="177"/>
      <c r="K14" s="161" t="s">
        <v>7066</v>
      </c>
      <c r="L14" s="177"/>
      <c r="M14" s="267"/>
      <c r="N14" s="268"/>
      <c r="O14" s="269"/>
      <c r="P14" s="177"/>
      <c r="Q14" s="466"/>
      <c r="R14" s="410"/>
      <c r="S14" s="136"/>
      <c r="T14" s="137"/>
      <c r="U14" s="137"/>
      <c r="V14" s="137"/>
      <c r="W14" s="137"/>
      <c r="X14" s="137"/>
      <c r="Y14" s="212">
        <f t="shared" ref="Y14" si="48">IF(OR(E11="",J14=""),0,J14&amp;E11)</f>
        <v>0</v>
      </c>
      <c r="Z14" s="212">
        <f>IF(Y14=0,0,COUNTIF($Y$7:Y14,Y14))</f>
        <v>0</v>
      </c>
      <c r="AD14" s="212">
        <f>IFERROR(VLOOKUP(J14,競技会設定!$T$2:$W$22,2,0),0)</f>
        <v>0</v>
      </c>
      <c r="AE14" s="212">
        <f t="shared" ref="AE14" si="49">IF(E11="",0,IF(AD14=0,0,IF(AD14&lt;3,E11&amp;$AE$6,0)))</f>
        <v>0</v>
      </c>
      <c r="AF14" s="212">
        <f>IF(AE14=0,0,E11&amp;COUNTIF($AE$7:AE14,AE14))</f>
        <v>0</v>
      </c>
      <c r="AG14" s="212">
        <f t="shared" ref="AG14" si="50">IF(E11="",0,IF(AD14=0,0,IF(AD14&gt;=3,E11&amp;$AG$6,0)))</f>
        <v>0</v>
      </c>
      <c r="AH14" s="212">
        <f>IF(AG14=0,0,E11&amp;COUNTIF($AG$7:AG14,AG14))</f>
        <v>0</v>
      </c>
      <c r="AI14" s="212">
        <f t="shared" ref="AI14" si="51">IF($AD14=AI$6,$E11,0)</f>
        <v>0</v>
      </c>
      <c r="AJ14" s="212" t="b">
        <f>IF(AI14=0,FALSE,IF(COUNTIF(AI$7:AI14,AI14)&gt;1,TRUE,FALSE))</f>
        <v>0</v>
      </c>
      <c r="AK14" s="212">
        <f t="shared" ref="AK14" si="52">IF($AD14=AK$6,$E11,0)</f>
        <v>0</v>
      </c>
      <c r="AL14" s="212" t="b">
        <f>IF(AK14=0,FALSE,IF(COUNTIF(AK$7:AK14,AK14)&gt;1,TRUE,FALSE))</f>
        <v>0</v>
      </c>
      <c r="AM14" s="212">
        <f t="shared" ref="AM14" si="53">IF(COUNTIF(Y14,"*七種*")&gt;0,0,IF($AD14=AM$6,$E11,0))</f>
        <v>0</v>
      </c>
      <c r="AN14" s="212" t="b">
        <f>IF(AM14=0,FALSE,IF(COUNTIF(AM$7:AM14,AM14)&gt;1,TRUE,FALSE))</f>
        <v>0</v>
      </c>
      <c r="AO14" s="212">
        <f t="shared" ref="AO14" si="54">IF($AD14=AO$6,$E11,0)</f>
        <v>0</v>
      </c>
      <c r="AP14" s="212" t="b">
        <f>IF(AO14=0,FALSE,IF(COUNTIF(AO$7:AO14,AO14)&gt;1,TRUE,FALSE))</f>
        <v>0</v>
      </c>
      <c r="AQ14" s="212">
        <f t="shared" ref="AQ14" si="55">IF(COUNTIF(Y14,"*七種競技*")&gt;0,E11,0)</f>
        <v>0</v>
      </c>
      <c r="AR14" s="212" t="b">
        <f t="shared" si="6"/>
        <v>0</v>
      </c>
      <c r="AT14" s="212" t="b">
        <f t="shared" si="9"/>
        <v>0</v>
      </c>
      <c r="AX14" s="274"/>
      <c r="BD14" s="212" t="b">
        <f t="shared" si="4"/>
        <v>0</v>
      </c>
      <c r="BF14" s="212" t="b">
        <f t="shared" ref="BF14" si="56">IF(J14="",FALSE,IF(OR(AND(AU11,L14=""),AND(AU11,L14="",OR(M14&lt;&gt;"",N14&lt;&gt;"",O14&lt;&gt;"",P14&lt;&gt;""))),TRUE,FALSE))</f>
        <v>0</v>
      </c>
      <c r="BG14" s="212" t="b">
        <f t="shared" si="5"/>
        <v>0</v>
      </c>
      <c r="BH14" s="212" t="b">
        <f t="shared" si="7"/>
        <v>0</v>
      </c>
      <c r="BI14" s="212" t="b">
        <f t="shared" ref="BI14" si="57">IF(J14="",FALSE,IF(L14=0,FALSE,IF(AND(AU11,NOT(BF14),OR(M14="",N14="",O14="")),TRUE,FALSE)))</f>
        <v>0</v>
      </c>
      <c r="BJ14" s="231" t="b">
        <f t="shared" si="8"/>
        <v>0</v>
      </c>
      <c r="BK14" s="231" t="b">
        <f>IF(NOT(BJ14),FALSE,IF(AND(競技会設定!$C$5&lt;=BJ14,BJ14&lt;=競技会設定!$C$6),FALSE,TRUE))</f>
        <v>0</v>
      </c>
      <c r="BL14" s="212" t="b">
        <f>IF(J14="",FALSE,IF(L14=0,FALSE,IF(AND(AU11,NOT(BF14),NOT(BI14),P14=""),TRUE,FALSE)))</f>
        <v>0</v>
      </c>
    </row>
    <row r="15" spans="1:70" ht="18" customHeight="1" thickTop="1">
      <c r="A15" s="470">
        <v>3</v>
      </c>
      <c r="B15" s="401" t="s">
        <v>7050</v>
      </c>
      <c r="C15" s="403"/>
      <c r="D15" s="156" t="str">
        <f t="shared" ref="D15" si="58">IF(C15="","",502&amp;TEXT(C15,"000000"))</f>
        <v/>
      </c>
      <c r="E15" s="473" t="str">
        <f>IF(D15="","",(VLOOKUP(D15,女子登録!$A$2:$N$2001,3,0)))</f>
        <v/>
      </c>
      <c r="F15" s="473" t="str">
        <f>IF(D15="","",(VLOOKUP(D15,女子登録!$A$2:$N$2001,4,0)))</f>
        <v/>
      </c>
      <c r="G15" s="156" t="str">
        <f>IF(C15="","",(VLOOKUP(D15,女子登録!$A$2:$N$2001,8,0)))</f>
        <v/>
      </c>
      <c r="H15" s="156">
        <f>IFERROR(VLOOKUP(D15,女子登録!$A$2:$N$2001,11,0),基本情報!$E$5)</f>
        <v>0</v>
      </c>
      <c r="I15" s="156" t="s">
        <v>7059</v>
      </c>
      <c r="J15" s="170"/>
      <c r="K15" s="156" t="s">
        <v>7060</v>
      </c>
      <c r="L15" s="170"/>
      <c r="M15" s="252"/>
      <c r="N15" s="253"/>
      <c r="O15" s="254"/>
      <c r="P15" s="170"/>
      <c r="Q15" s="457"/>
      <c r="R15" s="414"/>
      <c r="S15" s="136">
        <f t="shared" ref="S15" si="59">IF(OR(E15="",Q15=""),0,E15)</f>
        <v>0</v>
      </c>
      <c r="T15" s="137">
        <f>IF(S15=0,0,COUNTIF($S$7:S15,"*"))</f>
        <v>0</v>
      </c>
      <c r="U15" s="137">
        <f>IF(S15=0,0,COUNTIF($S$7:S15,S15))</f>
        <v>0</v>
      </c>
      <c r="V15" s="137">
        <f t="shared" si="3"/>
        <v>0</v>
      </c>
      <c r="W15" s="137">
        <f>IF(V15=0,0,COUNTIF($V$7:V15,"*"))</f>
        <v>0</v>
      </c>
      <c r="X15" s="137">
        <f>IF(V15=0,0,COUNTIF($V$7:V15,V15))</f>
        <v>0</v>
      </c>
      <c r="Y15" s="212">
        <f t="shared" ref="Y15" si="60">IF(OR(E15="",J15=""),0,J15&amp;E15)</f>
        <v>0</v>
      </c>
      <c r="Z15" s="212">
        <f>IF(Y15=0,0,COUNTIF($Y$7:Y15,Y15))</f>
        <v>0</v>
      </c>
      <c r="AA15" s="212" t="b">
        <f>IF(COUNTIF(J15:J18,"七種競技")&gt;0,TRUE,FALSE)</f>
        <v>0</v>
      </c>
      <c r="AB15" s="212">
        <f>IF(E15="",0,IF(AA15,COUNTIF($AA$7:AA15,TRUE),0))</f>
        <v>0</v>
      </c>
      <c r="AC15" s="212">
        <f>IFERROR(VLOOKUP("七種競技",J15:L18,3,0),0)</f>
        <v>0</v>
      </c>
      <c r="AD15" s="212">
        <f>IFERROR(VLOOKUP(J15,競技会設定!$T$2:$W$22,2,0),0)</f>
        <v>0</v>
      </c>
      <c r="AE15" s="212">
        <f t="shared" ref="AE15" si="61">IF(E15="",0,IF(AD15=0,0,IF(AD15&lt;3,E15&amp;$AE$6,0)))</f>
        <v>0</v>
      </c>
      <c r="AF15" s="212">
        <f>IF(AE15=0,0,E15&amp;COUNTIF($AE$7:AE15,AE15))</f>
        <v>0</v>
      </c>
      <c r="AG15" s="212">
        <f t="shared" ref="AG15" si="62">IF(E15="",0,IF(AD15=0,0,IF(AD15&gt;=3,E15&amp;$AG$6,0)))</f>
        <v>0</v>
      </c>
      <c r="AH15" s="212">
        <f>IF(AG15=0,0,E15&amp;COUNTIF($AG$7:AG15,AG15))</f>
        <v>0</v>
      </c>
      <c r="AI15" s="212">
        <f t="shared" ref="AI15" si="63">IF($AD15=AI$6,$E15,0)</f>
        <v>0</v>
      </c>
      <c r="AJ15" s="212" t="b">
        <f>IF(AI15=0,FALSE,IF(COUNTIF(AI$7:AI15,AI15)&gt;1,TRUE,FALSE))</f>
        <v>0</v>
      </c>
      <c r="AK15" s="212">
        <f t="shared" ref="AK15" si="64">IF($AD15=AK$6,$E15,0)</f>
        <v>0</v>
      </c>
      <c r="AL15" s="212" t="b">
        <f>IF(AK15=0,FALSE,IF(COUNTIF(AK$7:AK15,AK15)&gt;1,TRUE,FALSE))</f>
        <v>0</v>
      </c>
      <c r="AM15" s="212">
        <f t="shared" ref="AM15" si="65">IF(COUNTIF(Y15,"*七種*")&gt;0,0,IF($AD15=AM$6,$E15,0))</f>
        <v>0</v>
      </c>
      <c r="AN15" s="212" t="b">
        <f>IF(AM15=0,FALSE,IF(COUNTIF(AM$7:AM15,AM15)&gt;1,TRUE,FALSE))</f>
        <v>0</v>
      </c>
      <c r="AO15" s="212">
        <f t="shared" ref="AO15" si="66">IF($AD15=AO$6,$E15,0)</f>
        <v>0</v>
      </c>
      <c r="AP15" s="212" t="b">
        <f>IF(AO15=0,FALSE,IF(COUNTIF(AO$7:AO15,AO15)&gt;1,TRUE,FALSE))</f>
        <v>0</v>
      </c>
      <c r="AQ15" s="212">
        <f t="shared" ref="AQ15" si="67">IF(COUNTIF(Y15,"*七種競技*")&gt;0,E15,0)</f>
        <v>0</v>
      </c>
      <c r="AR15" s="212" t="b">
        <f t="shared" si="6"/>
        <v>0</v>
      </c>
      <c r="AS15" s="212" t="b">
        <f t="shared" ref="AS15" si="68">IF(AND(C15="",E15&lt;&gt;"",F15&lt;&gt;"",E17&lt;&gt;"",G15&lt;&gt;"",G16&lt;&gt;"",G17&lt;&gt;""),TRUE,FALSE)</f>
        <v>0</v>
      </c>
      <c r="AT15" s="212" t="b">
        <f t="shared" si="9"/>
        <v>0</v>
      </c>
      <c r="AU15" s="212" t="b">
        <f>IFERROR(IF(E15&amp;F15&amp;E17&amp;G15&amp;G16&amp;G17&amp;J15&amp;J16&amp;J17&amp;J18&amp;L15&amp;L16&amp;L17&amp;L18&amp;M15&amp;M16&amp;M17&amp;M18&amp;P15&amp;P16&amp;P17&amp;P18&amp;Q15&amp;R15="",FALSE,TRUE),FALSE)</f>
        <v>0</v>
      </c>
      <c r="AV15" s="212" t="b">
        <f t="shared" ref="AV15" si="69">IF(AS15,FALSE,IF(C15="",AU15,FALSE))</f>
        <v>0</v>
      </c>
      <c r="AW15" s="212" t="b">
        <f t="shared" ref="AW15" si="70">IF(C15="",FALSE,IF(C15&lt;=2000,TRUE,FALSE))</f>
        <v>0</v>
      </c>
      <c r="AX15" s="274" t="b">
        <f>IF(H15=0,FALSE,IF(EXACT(基本情報!$E$5,H15)=TRUE,FALSE,TRUE))</f>
        <v>0</v>
      </c>
      <c r="AY15" s="212" t="b">
        <f>IF(C15="",FALSE,IF(ISNA(E15)=TRUE,TRUE,FALSE))</f>
        <v>0</v>
      </c>
      <c r="AZ15" s="274" t="b">
        <f>IFERROR(IF(E15="",FALSE,IF(COUNTIF($E$7:E15,E15)&gt;1,TRUE,FALSE)),FALSE)</f>
        <v>0</v>
      </c>
      <c r="BA15" s="212" t="b">
        <f t="shared" ref="BA15" si="71">IF(OR(J15&amp;J16&amp;J17&amp;J18&amp;Q15&amp;R15="",AT15,AT16,AT17,AT18),AU15,FALSE)</f>
        <v>0</v>
      </c>
      <c r="BB15" s="212" t="b">
        <f>IF(U15&gt;1,TRUE,FALSE)</f>
        <v>0</v>
      </c>
      <c r="BC15" s="212" t="b">
        <f>IF(X15&gt;1,TRUE,FALSE)</f>
        <v>0</v>
      </c>
      <c r="BD15" s="212" t="b">
        <f t="shared" si="4"/>
        <v>0</v>
      </c>
      <c r="BF15" s="212" t="b">
        <f t="shared" ref="BF15" si="72">IF(J15="",FALSE,IF(OR(AND(AU15,L15=""),AND(AU15,L15="",OR(M15&lt;&gt;"",N15&lt;&gt;"",O15&lt;&gt;"",P15&lt;&gt;""))),TRUE,FALSE))</f>
        <v>0</v>
      </c>
      <c r="BG15" s="212" t="b">
        <f t="shared" si="5"/>
        <v>0</v>
      </c>
      <c r="BH15" s="212" t="b">
        <f t="shared" si="7"/>
        <v>0</v>
      </c>
      <c r="BI15" s="212" t="b">
        <f t="shared" ref="BI15" si="73">IF(J15="",FALSE,IF(L15=0,FALSE,IF(AND(AU15,NOT(BF15),OR(M15="",N15="",O15="")),TRUE,FALSE)))</f>
        <v>0</v>
      </c>
      <c r="BJ15" s="231" t="b">
        <f t="shared" si="8"/>
        <v>0</v>
      </c>
      <c r="BK15" s="231" t="b">
        <f>IF(NOT(BJ15),FALSE,IF(AND(競技会設定!$C$5&lt;=BJ15,BJ15&lt;=競技会設定!$C$6),FALSE,TRUE))</f>
        <v>0</v>
      </c>
      <c r="BL15" s="212" t="b">
        <f>IF(J15="",FALSE,IF(L15=0,FALSE,IF(AND(AU15,NOT(BF15),NOT(BI15),P15=""),TRUE,FALSE)))</f>
        <v>0</v>
      </c>
      <c r="BO15" s="274">
        <f t="shared" ref="BO15" si="74">IF(AND(AU15,SUM(COUNTIF(AV15:BC15,TRUE),COUNTIF(BF15:BL18,TRUE),COUNTIF(BD15:BD18,TRUE))=0,NOT($BE$7)),1,0)</f>
        <v>0</v>
      </c>
    </row>
    <row r="16" spans="1:70" ht="17.399999999999999" customHeight="1">
      <c r="A16" s="471"/>
      <c r="B16" s="402"/>
      <c r="C16" s="404"/>
      <c r="D16" s="11"/>
      <c r="E16" s="474"/>
      <c r="F16" s="474"/>
      <c r="G16" s="11" t="str">
        <f>IF(C15="","",(VLOOKUP(D15,女子登録!$A$2:$N$2001,13,0)))</f>
        <v/>
      </c>
      <c r="H16" s="11"/>
      <c r="I16" s="11" t="s">
        <v>7061</v>
      </c>
      <c r="J16" s="171"/>
      <c r="K16" s="11" t="s">
        <v>7062</v>
      </c>
      <c r="L16" s="171"/>
      <c r="M16" s="255"/>
      <c r="N16" s="256"/>
      <c r="O16" s="257"/>
      <c r="P16" s="171"/>
      <c r="Q16" s="458"/>
      <c r="R16" s="415"/>
      <c r="S16" s="136"/>
      <c r="T16" s="137"/>
      <c r="U16" s="137"/>
      <c r="V16" s="137"/>
      <c r="W16" s="137"/>
      <c r="X16" s="137"/>
      <c r="Y16" s="212">
        <f t="shared" ref="Y16" si="75">IF(OR(E15="",J16=""),0,J16&amp;E15)</f>
        <v>0</v>
      </c>
      <c r="Z16" s="212">
        <f>IF(Y16=0,0,COUNTIF($Y$7:Y16,Y16))</f>
        <v>0</v>
      </c>
      <c r="AD16" s="212">
        <f>IFERROR(VLOOKUP(J16,競技会設定!$T$2:$W$22,2,0),0)</f>
        <v>0</v>
      </c>
      <c r="AE16" s="212">
        <f t="shared" ref="AE16" si="76">IF(E15="",0,IF(AD16=0,0,IF(AD16&lt;3,E15&amp;$AE$6,0)))</f>
        <v>0</v>
      </c>
      <c r="AF16" s="212">
        <f>IF(AE16=0,0,E15&amp;COUNTIF($AE$7:AE16,AE16))</f>
        <v>0</v>
      </c>
      <c r="AG16" s="212">
        <f t="shared" ref="AG16" si="77">IF(E15="",0,IF(AD16=0,0,IF(AD16&gt;=3,E15&amp;$AG$6,0)))</f>
        <v>0</v>
      </c>
      <c r="AH16" s="212">
        <f>IF(AG16=0,0,E15&amp;COUNTIF($AG$7:AG16,AG16))</f>
        <v>0</v>
      </c>
      <c r="AI16" s="212">
        <f t="shared" ref="AI16" si="78">IF($AD16=AI$6,$E15,0)</f>
        <v>0</v>
      </c>
      <c r="AJ16" s="212" t="b">
        <f>IF(AI16=0,FALSE,IF(COUNTIF(AI$7:AI16,AI16)&gt;1,TRUE,FALSE))</f>
        <v>0</v>
      </c>
      <c r="AK16" s="212">
        <f t="shared" ref="AK16" si="79">IF($AD16=AK$6,$E15,0)</f>
        <v>0</v>
      </c>
      <c r="AL16" s="212" t="b">
        <f>IF(AK16=0,FALSE,IF(COUNTIF(AK$7:AK16,AK16)&gt;1,TRUE,FALSE))</f>
        <v>0</v>
      </c>
      <c r="AM16" s="212">
        <f t="shared" ref="AM16" si="80">IF(COUNTIF(Y16,"*七種*")&gt;0,0,IF($AD16=AM$6,$E15,0))</f>
        <v>0</v>
      </c>
      <c r="AN16" s="212" t="b">
        <f>IF(AM16=0,FALSE,IF(COUNTIF(AM$7:AM16,AM16)&gt;1,TRUE,FALSE))</f>
        <v>0</v>
      </c>
      <c r="AO16" s="212">
        <f t="shared" ref="AO16" si="81">IF($AD16=AO$6,$E15,0)</f>
        <v>0</v>
      </c>
      <c r="AP16" s="212" t="b">
        <f>IF(AO16=0,FALSE,IF(COUNTIF(AO$7:AO16,AO16)&gt;1,TRUE,FALSE))</f>
        <v>0</v>
      </c>
      <c r="AQ16" s="212">
        <f t="shared" ref="AQ16" si="82">IF(COUNTIF(Y16,"*七種競技*")&gt;0,E15,0)</f>
        <v>0</v>
      </c>
      <c r="AR16" s="212" t="b">
        <f t="shared" si="6"/>
        <v>0</v>
      </c>
      <c r="AT16" s="212" t="b">
        <f t="shared" si="9"/>
        <v>0</v>
      </c>
      <c r="AX16" s="274"/>
      <c r="BD16" s="212" t="b">
        <f t="shared" si="4"/>
        <v>0</v>
      </c>
      <c r="BF16" s="212" t="b">
        <f t="shared" ref="BF16" si="83">IF(J16="",FALSE,IF(OR(AND(AU15,L16=""),AND(AU15,L16="",OR(M16&lt;&gt;"",N16&lt;&gt;"",O16&lt;&gt;"",P16&lt;&gt;""))),TRUE,FALSE))</f>
        <v>0</v>
      </c>
      <c r="BG16" s="212" t="b">
        <f t="shared" si="5"/>
        <v>0</v>
      </c>
      <c r="BH16" s="212" t="b">
        <f t="shared" si="7"/>
        <v>0</v>
      </c>
      <c r="BI16" s="212" t="b">
        <f t="shared" ref="BI16" si="84">IF(J16="",FALSE,IF(L16=0,FALSE,IF(AND(AU15,NOT(BF16),OR(M16="",N16="",O16="")),TRUE,FALSE)))</f>
        <v>0</v>
      </c>
      <c r="BJ16" s="231" t="b">
        <f t="shared" si="8"/>
        <v>0</v>
      </c>
      <c r="BK16" s="231" t="b">
        <f>IF(NOT(BJ16),FALSE,IF(AND(競技会設定!$C$5&lt;=BJ16,BJ16&lt;=競技会設定!$C$6),FALSE,TRUE))</f>
        <v>0</v>
      </c>
      <c r="BL16" s="212" t="b">
        <f>IF(J16="",FALSE,IF(L16=0,FALSE,IF(AND(AU15,NOT(BF16),NOT(BI16),P16=""),TRUE,FALSE)))</f>
        <v>0</v>
      </c>
    </row>
    <row r="17" spans="1:67" ht="17.399999999999999" customHeight="1">
      <c r="A17" s="471"/>
      <c r="B17" s="402"/>
      <c r="C17" s="404"/>
      <c r="D17" s="11"/>
      <c r="E17" s="348" t="str">
        <f>IF(C15="","",VLOOKUP(D15,女子登録!$A$2:$O$2001,14,0)&amp;" ("&amp;VLOOKUP(D15,女子登録!$A$2:$O$2001,15,0)&amp;")")</f>
        <v/>
      </c>
      <c r="F17" s="348"/>
      <c r="G17" s="13" t="str">
        <f>IF(C15="","",(VLOOKUP(D15,女子登録!$A$2:$N$2001,9,0)))</f>
        <v/>
      </c>
      <c r="H17" s="13"/>
      <c r="I17" s="13" t="s">
        <v>7063</v>
      </c>
      <c r="J17" s="172"/>
      <c r="K17" s="13" t="s">
        <v>7064</v>
      </c>
      <c r="L17" s="172"/>
      <c r="M17" s="255"/>
      <c r="N17" s="256"/>
      <c r="O17" s="257"/>
      <c r="P17" s="171"/>
      <c r="Q17" s="458"/>
      <c r="R17" s="415"/>
      <c r="S17" s="136"/>
      <c r="T17" s="137"/>
      <c r="U17" s="137"/>
      <c r="V17" s="137"/>
      <c r="W17" s="137"/>
      <c r="X17" s="137"/>
      <c r="Y17" s="212">
        <f t="shared" ref="Y17" si="85">IF(OR(E15="",J17=""),0,J17&amp;E15)</f>
        <v>0</v>
      </c>
      <c r="Z17" s="212">
        <f>IF(Y17=0,0,COUNTIF($Y$7:Y17,Y17))</f>
        <v>0</v>
      </c>
      <c r="AD17" s="212">
        <f>IFERROR(VLOOKUP(J17,競技会設定!$T$2:$W$22,2,0),0)</f>
        <v>0</v>
      </c>
      <c r="AE17" s="212">
        <f t="shared" ref="AE17" si="86">IF(E15="",0,IF(AD17=0,0,IF(AD17&lt;3,E15&amp;$AE$6,0)))</f>
        <v>0</v>
      </c>
      <c r="AF17" s="212">
        <f>IF(AE17=0,0,E15&amp;COUNTIF($AE$7:AE17,AE17))</f>
        <v>0</v>
      </c>
      <c r="AG17" s="212">
        <f t="shared" ref="AG17" si="87">IF(E15="",0,IF(AD17=0,0,IF(AD17&gt;=3,E15&amp;$AG$6,0)))</f>
        <v>0</v>
      </c>
      <c r="AH17" s="212">
        <f>IF(AG17=0,0,E15&amp;COUNTIF($AG$7:AG17,AG17))</f>
        <v>0</v>
      </c>
      <c r="AI17" s="212">
        <f t="shared" ref="AI17" si="88">IF($AD17=AI$6,$E15,0)</f>
        <v>0</v>
      </c>
      <c r="AJ17" s="212" t="b">
        <f>IF(AI17=0,FALSE,IF(COUNTIF(AI$7:AI17,AI17)&gt;1,TRUE,FALSE))</f>
        <v>0</v>
      </c>
      <c r="AK17" s="212">
        <f t="shared" ref="AK17" si="89">IF($AD17=AK$6,$E15,0)</f>
        <v>0</v>
      </c>
      <c r="AL17" s="212" t="b">
        <f>IF(AK17=0,FALSE,IF(COUNTIF(AK$7:AK17,AK17)&gt;1,TRUE,FALSE))</f>
        <v>0</v>
      </c>
      <c r="AM17" s="212">
        <f t="shared" ref="AM17" si="90">IF(COUNTIF(Y17,"*七種*")&gt;0,0,IF($AD17=AM$6,$E15,0))</f>
        <v>0</v>
      </c>
      <c r="AN17" s="212" t="b">
        <f>IF(AM17=0,FALSE,IF(COUNTIF(AM$7:AM17,AM17)&gt;1,TRUE,FALSE))</f>
        <v>0</v>
      </c>
      <c r="AO17" s="212">
        <f t="shared" ref="AO17" si="91">IF($AD17=AO$6,$E15,0)</f>
        <v>0</v>
      </c>
      <c r="AP17" s="212" t="b">
        <f>IF(AO17=0,FALSE,IF(COUNTIF(AO$7:AO17,AO17)&gt;1,TRUE,FALSE))</f>
        <v>0</v>
      </c>
      <c r="AQ17" s="212">
        <f t="shared" ref="AQ17" si="92">IF(COUNTIF(Y17,"*七種競技*")&gt;0,E15,0)</f>
        <v>0</v>
      </c>
      <c r="AR17" s="212" t="b">
        <f t="shared" si="6"/>
        <v>0</v>
      </c>
      <c r="AT17" s="212" t="b">
        <f t="shared" si="9"/>
        <v>0</v>
      </c>
      <c r="AX17" s="274"/>
      <c r="BD17" s="212" t="b">
        <f t="shared" si="4"/>
        <v>0</v>
      </c>
      <c r="BF17" s="212" t="b">
        <f t="shared" ref="BF17" si="93">IF(J17="",FALSE,IF(OR(AND(AU15,L17=""),AND(AU15,L17="",OR(M17&lt;&gt;"",N17&lt;&gt;"",O17&lt;&gt;"",P17&lt;&gt;""))),TRUE,FALSE))</f>
        <v>0</v>
      </c>
      <c r="BG17" s="212" t="b">
        <f t="shared" si="5"/>
        <v>0</v>
      </c>
      <c r="BH17" s="212" t="b">
        <f t="shared" si="7"/>
        <v>0</v>
      </c>
      <c r="BI17" s="212" t="b">
        <f t="shared" ref="BI17" si="94">IF(J17="",FALSE,IF(L17=0,FALSE,IF(AND(AU15,NOT(BF17),OR(M17="",N17="",O17="")),TRUE,FALSE)))</f>
        <v>0</v>
      </c>
      <c r="BJ17" s="231" t="b">
        <f t="shared" si="8"/>
        <v>0</v>
      </c>
      <c r="BK17" s="231" t="b">
        <f>IF(NOT(BJ17),FALSE,IF(AND(競技会設定!$C$5&lt;=BJ17,BJ17&lt;=競技会設定!$C$6),FALSE,TRUE))</f>
        <v>0</v>
      </c>
      <c r="BL17" s="212" t="b">
        <f>IF(J17="",FALSE,IF(L17=0,FALSE,IF(AND(AU15,NOT(BF17),NOT(BI17),P17=""),TRUE,FALSE)))</f>
        <v>0</v>
      </c>
    </row>
    <row r="18" spans="1:67" ht="18" customHeight="1" thickBot="1">
      <c r="A18" s="472"/>
      <c r="B18" s="395" t="s">
        <v>7051</v>
      </c>
      <c r="C18" s="395"/>
      <c r="D18" s="11"/>
      <c r="E18" s="460"/>
      <c r="F18" s="460"/>
      <c r="G18" s="460"/>
      <c r="H18" s="157"/>
      <c r="I18" s="157" t="s">
        <v>7065</v>
      </c>
      <c r="J18" s="307"/>
      <c r="K18" s="157" t="s">
        <v>7066</v>
      </c>
      <c r="L18" s="307"/>
      <c r="M18" s="258"/>
      <c r="N18" s="259"/>
      <c r="O18" s="260"/>
      <c r="P18" s="307"/>
      <c r="Q18" s="459"/>
      <c r="R18" s="416"/>
      <c r="S18" s="136"/>
      <c r="T18" s="137"/>
      <c r="U18" s="137"/>
      <c r="V18" s="137"/>
      <c r="W18" s="137"/>
      <c r="X18" s="137"/>
      <c r="Y18" s="212">
        <f t="shared" ref="Y18" si="95">IF(OR(E15="",J18=""),0,J18&amp;E15)</f>
        <v>0</v>
      </c>
      <c r="Z18" s="212">
        <f>IF(Y18=0,0,COUNTIF($Y$7:Y18,Y18))</f>
        <v>0</v>
      </c>
      <c r="AD18" s="212">
        <f>IFERROR(VLOOKUP(J18,競技会設定!$T$2:$W$22,2,0),0)</f>
        <v>0</v>
      </c>
      <c r="AE18" s="212">
        <f t="shared" ref="AE18" si="96">IF(E15="",0,IF(AD18=0,0,IF(AD18&lt;3,E15&amp;$AE$6,0)))</f>
        <v>0</v>
      </c>
      <c r="AF18" s="212">
        <f>IF(AE18=0,0,E15&amp;COUNTIF($AE$7:AE18,AE18))</f>
        <v>0</v>
      </c>
      <c r="AG18" s="212">
        <f t="shared" ref="AG18" si="97">IF(E15="",0,IF(AD18=0,0,IF(AD18&gt;=3,E15&amp;$AG$6,0)))</f>
        <v>0</v>
      </c>
      <c r="AH18" s="212">
        <f>IF(AG18=0,0,E15&amp;COUNTIF($AG$7:AG18,AG18))</f>
        <v>0</v>
      </c>
      <c r="AI18" s="212">
        <f t="shared" ref="AI18" si="98">IF($AD18=AI$6,$E15,0)</f>
        <v>0</v>
      </c>
      <c r="AJ18" s="212" t="b">
        <f>IF(AI18=0,FALSE,IF(COUNTIF(AI$7:AI18,AI18)&gt;1,TRUE,FALSE))</f>
        <v>0</v>
      </c>
      <c r="AK18" s="212">
        <f t="shared" ref="AK18" si="99">IF($AD18=AK$6,$E15,0)</f>
        <v>0</v>
      </c>
      <c r="AL18" s="212" t="b">
        <f>IF(AK18=0,FALSE,IF(COUNTIF(AK$7:AK18,AK18)&gt;1,TRUE,FALSE))</f>
        <v>0</v>
      </c>
      <c r="AM18" s="212">
        <f t="shared" ref="AM18" si="100">IF(COUNTIF(Y18,"*七種*")&gt;0,0,IF($AD18=AM$6,$E15,0))</f>
        <v>0</v>
      </c>
      <c r="AN18" s="212" t="b">
        <f>IF(AM18=0,FALSE,IF(COUNTIF(AM$7:AM18,AM18)&gt;1,TRUE,FALSE))</f>
        <v>0</v>
      </c>
      <c r="AO18" s="212">
        <f t="shared" ref="AO18" si="101">IF($AD18=AO$6,$E15,0)</f>
        <v>0</v>
      </c>
      <c r="AP18" s="212" t="b">
        <f>IF(AO18=0,FALSE,IF(COUNTIF(AO$7:AO18,AO18)&gt;1,TRUE,FALSE))</f>
        <v>0</v>
      </c>
      <c r="AQ18" s="212">
        <f t="shared" ref="AQ18" si="102">IF(COUNTIF(Y18,"*七種競技*")&gt;0,E15,0)</f>
        <v>0</v>
      </c>
      <c r="AR18" s="212" t="b">
        <f t="shared" si="6"/>
        <v>0</v>
      </c>
      <c r="AT18" s="212" t="b">
        <f t="shared" si="9"/>
        <v>0</v>
      </c>
      <c r="AX18" s="274"/>
      <c r="BD18" s="212" t="b">
        <f t="shared" si="4"/>
        <v>0</v>
      </c>
      <c r="BF18" s="212" t="b">
        <f t="shared" ref="BF18" si="103">IF(J18="",FALSE,IF(OR(AND(AU15,L18=""),AND(AU15,L18="",OR(M18&lt;&gt;"",N18&lt;&gt;"",O18&lt;&gt;"",P18&lt;&gt;""))),TRUE,FALSE))</f>
        <v>0</v>
      </c>
      <c r="BG18" s="212" t="b">
        <f t="shared" si="5"/>
        <v>0</v>
      </c>
      <c r="BH18" s="212" t="b">
        <f t="shared" si="7"/>
        <v>0</v>
      </c>
      <c r="BI18" s="212" t="b">
        <f t="shared" ref="BI18" si="104">IF(J18="",FALSE,IF(L18=0,FALSE,IF(AND(AU15,NOT(BF18),OR(M18="",N18="",O18="")),TRUE,FALSE)))</f>
        <v>0</v>
      </c>
      <c r="BJ18" s="231" t="b">
        <f t="shared" si="8"/>
        <v>0</v>
      </c>
      <c r="BK18" s="231" t="b">
        <f>IF(NOT(BJ18),FALSE,IF(AND(競技会設定!$C$5&lt;=BJ18,BJ18&lt;=競技会設定!$C$6),FALSE,TRUE))</f>
        <v>0</v>
      </c>
      <c r="BL18" s="212" t="b">
        <f>IF(J18="",FALSE,IF(L18=0,FALSE,IF(AND(AU15,NOT(BF18),NOT(BI18),P18=""),TRUE,FALSE)))</f>
        <v>0</v>
      </c>
    </row>
    <row r="19" spans="1:67" ht="18" customHeight="1" thickTop="1">
      <c r="A19" s="461">
        <v>4</v>
      </c>
      <c r="B19" s="373" t="s">
        <v>7050</v>
      </c>
      <c r="C19" s="375"/>
      <c r="D19" s="158" t="str">
        <f t="shared" ref="D19" si="105">IF(C19="","",502&amp;TEXT(C19,"000000"))</f>
        <v/>
      </c>
      <c r="E19" s="464" t="str">
        <f>IF(D19="","",(VLOOKUP(D19,女子登録!$A$2:$N$2001,3,0)))</f>
        <v/>
      </c>
      <c r="F19" s="464" t="str">
        <f>IF(D19="","",(VLOOKUP(D19,女子登録!$A$2:$N$2001,4,0)))</f>
        <v/>
      </c>
      <c r="G19" s="158" t="str">
        <f>IF(C19="","",(VLOOKUP(D19,女子登録!$A$2:$N$2001,8,0)))</f>
        <v/>
      </c>
      <c r="H19" s="158">
        <f>IFERROR(VLOOKUP(D19,女子登録!$A$2:$N$2001,11,0),基本情報!$E$5)</f>
        <v>0</v>
      </c>
      <c r="I19" s="158" t="s">
        <v>7059</v>
      </c>
      <c r="J19" s="174"/>
      <c r="K19" s="158" t="s">
        <v>7060</v>
      </c>
      <c r="L19" s="174"/>
      <c r="M19" s="261"/>
      <c r="N19" s="262"/>
      <c r="O19" s="263"/>
      <c r="P19" s="174"/>
      <c r="Q19" s="448"/>
      <c r="R19" s="408"/>
      <c r="S19" s="136">
        <f t="shared" ref="S19" si="106">IF(OR(E19="",Q19=""),0,E19)</f>
        <v>0</v>
      </c>
      <c r="T19" s="137">
        <f>IF(S19=0,0,COUNTIF($S$7:S19,"*"))</f>
        <v>0</v>
      </c>
      <c r="U19" s="137">
        <f>IF(S19=0,0,COUNTIF($S$7:S19,S19))</f>
        <v>0</v>
      </c>
      <c r="V19" s="137">
        <f t="shared" si="3"/>
        <v>0</v>
      </c>
      <c r="W19" s="137">
        <f>IF(V19=0,0,COUNTIF($V$7:V19,"*"))</f>
        <v>0</v>
      </c>
      <c r="X19" s="137">
        <f>IF(V19=0,0,COUNTIF($V$7:V19,V19))</f>
        <v>0</v>
      </c>
      <c r="Y19" s="212">
        <f t="shared" ref="Y19" si="107">IF(OR(E19="",J19=""),0,J19&amp;E19)</f>
        <v>0</v>
      </c>
      <c r="Z19" s="212">
        <f>IF(Y19=0,0,COUNTIF($Y$7:Y19,Y19))</f>
        <v>0</v>
      </c>
      <c r="AA19" s="212" t="b">
        <f>IF(COUNTIF(J19:J22,"七種競技")&gt;0,TRUE,FALSE)</f>
        <v>0</v>
      </c>
      <c r="AB19" s="212">
        <f>IF(E19="",0,IF(AA19,COUNTIF($AA$7:AA19,TRUE),0))</f>
        <v>0</v>
      </c>
      <c r="AC19" s="212">
        <f>IFERROR(VLOOKUP("七種競技",J19:L22,3,0),0)</f>
        <v>0</v>
      </c>
      <c r="AD19" s="212">
        <f>IFERROR(VLOOKUP(J19,競技会設定!$T$2:$W$22,2,0),0)</f>
        <v>0</v>
      </c>
      <c r="AE19" s="212">
        <f t="shared" ref="AE19" si="108">IF(E19="",0,IF(AD19=0,0,IF(AD19&lt;3,E19&amp;$AE$6,0)))</f>
        <v>0</v>
      </c>
      <c r="AF19" s="212">
        <f>IF(AE19=0,0,E19&amp;COUNTIF($AE$7:AE19,AE19))</f>
        <v>0</v>
      </c>
      <c r="AG19" s="212">
        <f t="shared" ref="AG19" si="109">IF(E19="",0,IF(AD19=0,0,IF(AD19&gt;=3,E19&amp;$AG$6,0)))</f>
        <v>0</v>
      </c>
      <c r="AH19" s="212">
        <f>IF(AG19=0,0,E19&amp;COUNTIF($AG$7:AG19,AG19))</f>
        <v>0</v>
      </c>
      <c r="AI19" s="212">
        <f t="shared" ref="AI19" si="110">IF($AD19=AI$6,$E19,0)</f>
        <v>0</v>
      </c>
      <c r="AJ19" s="212" t="b">
        <f>IF(AI19=0,FALSE,IF(COUNTIF(AI$7:AI19,AI19)&gt;1,TRUE,FALSE))</f>
        <v>0</v>
      </c>
      <c r="AK19" s="212">
        <f t="shared" ref="AK19" si="111">IF($AD19=AK$6,$E19,0)</f>
        <v>0</v>
      </c>
      <c r="AL19" s="212" t="b">
        <f>IF(AK19=0,FALSE,IF(COUNTIF(AK$7:AK19,AK19)&gt;1,TRUE,FALSE))</f>
        <v>0</v>
      </c>
      <c r="AM19" s="212">
        <f t="shared" ref="AM19" si="112">IF(COUNTIF(Y19,"*七種*")&gt;0,0,IF($AD19=AM$6,$E19,0))</f>
        <v>0</v>
      </c>
      <c r="AN19" s="212" t="b">
        <f>IF(AM19=0,FALSE,IF(COUNTIF(AM$7:AM19,AM19)&gt;1,TRUE,FALSE))</f>
        <v>0</v>
      </c>
      <c r="AO19" s="212">
        <f t="shared" ref="AO19" si="113">IF($AD19=AO$6,$E19,0)</f>
        <v>0</v>
      </c>
      <c r="AP19" s="212" t="b">
        <f>IF(AO19=0,FALSE,IF(COUNTIF(AO$7:AO19,AO19)&gt;1,TRUE,FALSE))</f>
        <v>0</v>
      </c>
      <c r="AQ19" s="212">
        <f t="shared" ref="AQ19" si="114">IF(COUNTIF(Y19,"*七種競技*")&gt;0,E19,0)</f>
        <v>0</v>
      </c>
      <c r="AR19" s="212" t="b">
        <f t="shared" si="6"/>
        <v>0</v>
      </c>
      <c r="AS19" s="212" t="b">
        <f t="shared" ref="AS19" si="115">IF(AND(C19="",E19&lt;&gt;"",F19&lt;&gt;"",E21&lt;&gt;"",G19&lt;&gt;"",G20&lt;&gt;"",G21&lt;&gt;""),TRUE,FALSE)</f>
        <v>0</v>
      </c>
      <c r="AT19" s="212" t="b">
        <f t="shared" si="9"/>
        <v>0</v>
      </c>
      <c r="AU19" s="212" t="b">
        <f>IFERROR(IF(E19&amp;F19&amp;E21&amp;G19&amp;G20&amp;G21&amp;J19&amp;J20&amp;J21&amp;J22&amp;L19&amp;L20&amp;L21&amp;L22&amp;M19&amp;M20&amp;M21&amp;M22&amp;P19&amp;P20&amp;P21&amp;P22&amp;Q19&amp;R19="",FALSE,TRUE),FALSE)</f>
        <v>0</v>
      </c>
      <c r="AV19" s="212" t="b">
        <f t="shared" ref="AV19" si="116">IF(AS19,FALSE,IF(C19="",AU19,FALSE))</f>
        <v>0</v>
      </c>
      <c r="AW19" s="212" t="b">
        <f t="shared" ref="AW19" si="117">IF(C19="",FALSE,IF(C19&lt;=2000,TRUE,FALSE))</f>
        <v>0</v>
      </c>
      <c r="AX19" s="274" t="b">
        <f>IF(H19=0,FALSE,IF(EXACT(基本情報!$E$5,H19)=TRUE,FALSE,TRUE))</f>
        <v>0</v>
      </c>
      <c r="AY19" s="212" t="b">
        <f>IF(C19="",FALSE,IF(ISNA(E19)=TRUE,TRUE,FALSE))</f>
        <v>0</v>
      </c>
      <c r="AZ19" s="274" t="b">
        <f>IFERROR(IF(E19="",FALSE,IF(COUNTIF($E$7:E19,E19)&gt;1,TRUE,FALSE)),FALSE)</f>
        <v>0</v>
      </c>
      <c r="BA19" s="212" t="b">
        <f t="shared" ref="BA19" si="118">IF(OR(J19&amp;J20&amp;J21&amp;J22&amp;Q19&amp;R19="",AT19,AT20,AT21,AT22),AU19,FALSE)</f>
        <v>0</v>
      </c>
      <c r="BB19" s="212" t="b">
        <f>IF(U19&gt;1,TRUE,FALSE)</f>
        <v>0</v>
      </c>
      <c r="BC19" s="212" t="b">
        <f>IF(X19&gt;1,TRUE,FALSE)</f>
        <v>0</v>
      </c>
      <c r="BD19" s="212" t="b">
        <f t="shared" si="4"/>
        <v>0</v>
      </c>
      <c r="BF19" s="212" t="b">
        <f t="shared" ref="BF19" si="119">IF(J19="",FALSE,IF(OR(AND(AU19,L19=""),AND(AU19,L19="",OR(M19&lt;&gt;"",N19&lt;&gt;"",O19&lt;&gt;"",P19&lt;&gt;""))),TRUE,FALSE))</f>
        <v>0</v>
      </c>
      <c r="BG19" s="212" t="b">
        <f t="shared" si="5"/>
        <v>0</v>
      </c>
      <c r="BH19" s="212" t="b">
        <f t="shared" si="7"/>
        <v>0</v>
      </c>
      <c r="BI19" s="212" t="b">
        <f t="shared" ref="BI19" si="120">IF(J19="",FALSE,IF(L19=0,FALSE,IF(AND(AU19,NOT(BF19),OR(M19="",N19="",O19="")),TRUE,FALSE)))</f>
        <v>0</v>
      </c>
      <c r="BJ19" s="231" t="b">
        <f t="shared" si="8"/>
        <v>0</v>
      </c>
      <c r="BK19" s="231" t="b">
        <f>IF(NOT(BJ19),FALSE,IF(AND(競技会設定!$C$5&lt;=BJ19,BJ19&lt;=競技会設定!$C$6),FALSE,TRUE))</f>
        <v>0</v>
      </c>
      <c r="BL19" s="212" t="b">
        <f>IF(J19="",FALSE,IF(L19=0,FALSE,IF(AND(AU19,NOT(BF19),NOT(BI19),P19=""),TRUE,FALSE)))</f>
        <v>0</v>
      </c>
      <c r="BO19" s="274">
        <f t="shared" ref="BO19" si="121">IF(AND(AU19,SUM(COUNTIF(AV19:BC19,TRUE),COUNTIF(BF19:BL22,TRUE),COUNTIF(BD19:BD22,TRUE))=0,NOT($BE$7)),1,0)</f>
        <v>0</v>
      </c>
    </row>
    <row r="20" spans="1:67" ht="17.399999999999999" customHeight="1">
      <c r="A20" s="462"/>
      <c r="B20" s="374"/>
      <c r="C20" s="376"/>
      <c r="D20" s="159"/>
      <c r="E20" s="465"/>
      <c r="F20" s="465"/>
      <c r="G20" s="159" t="str">
        <f>IF(C19="","",(VLOOKUP(D19,女子登録!$A$2:$N$2001,13,0)))</f>
        <v/>
      </c>
      <c r="H20" s="159"/>
      <c r="I20" s="159" t="s">
        <v>7061</v>
      </c>
      <c r="J20" s="175"/>
      <c r="K20" s="159" t="s">
        <v>7062</v>
      </c>
      <c r="L20" s="175"/>
      <c r="M20" s="264"/>
      <c r="N20" s="265"/>
      <c r="O20" s="266"/>
      <c r="P20" s="175"/>
      <c r="Q20" s="449"/>
      <c r="R20" s="409"/>
      <c r="S20" s="136"/>
      <c r="T20" s="137"/>
      <c r="U20" s="137"/>
      <c r="V20" s="137"/>
      <c r="W20" s="137"/>
      <c r="X20" s="137"/>
      <c r="Y20" s="212">
        <f t="shared" ref="Y20" si="122">IF(OR(E19="",J20=""),0,J20&amp;E19)</f>
        <v>0</v>
      </c>
      <c r="Z20" s="212">
        <f>IF(Y20=0,0,COUNTIF($Y$7:Y20,Y20))</f>
        <v>0</v>
      </c>
      <c r="AD20" s="212">
        <f>IFERROR(VLOOKUP(J20,競技会設定!$T$2:$W$22,2,0),0)</f>
        <v>0</v>
      </c>
      <c r="AE20" s="212">
        <f t="shared" ref="AE20" si="123">IF(E19="",0,IF(AD20=0,0,IF(AD20&lt;3,E19&amp;$AE$6,0)))</f>
        <v>0</v>
      </c>
      <c r="AF20" s="212">
        <f>IF(AE20=0,0,E19&amp;COUNTIF($AE$7:AE20,AE20))</f>
        <v>0</v>
      </c>
      <c r="AG20" s="212">
        <f t="shared" ref="AG20" si="124">IF(E19="",0,IF(AD20=0,0,IF(AD20&gt;=3,E19&amp;$AG$6,0)))</f>
        <v>0</v>
      </c>
      <c r="AH20" s="212">
        <f>IF(AG20=0,0,E19&amp;COUNTIF($AG$7:AG20,AG20))</f>
        <v>0</v>
      </c>
      <c r="AI20" s="212">
        <f t="shared" ref="AI20" si="125">IF($AD20=AI$6,$E19,0)</f>
        <v>0</v>
      </c>
      <c r="AJ20" s="212" t="b">
        <f>IF(AI20=0,FALSE,IF(COUNTIF(AI$7:AI20,AI20)&gt;1,TRUE,FALSE))</f>
        <v>0</v>
      </c>
      <c r="AK20" s="212">
        <f t="shared" ref="AK20" si="126">IF($AD20=AK$6,$E19,0)</f>
        <v>0</v>
      </c>
      <c r="AL20" s="212" t="b">
        <f>IF(AK20=0,FALSE,IF(COUNTIF(AK$7:AK20,AK20)&gt;1,TRUE,FALSE))</f>
        <v>0</v>
      </c>
      <c r="AM20" s="212">
        <f t="shared" ref="AM20" si="127">IF(COUNTIF(Y20,"*七種*")&gt;0,0,IF($AD20=AM$6,$E19,0))</f>
        <v>0</v>
      </c>
      <c r="AN20" s="212" t="b">
        <f>IF(AM20=0,FALSE,IF(COUNTIF(AM$7:AM20,AM20)&gt;1,TRUE,FALSE))</f>
        <v>0</v>
      </c>
      <c r="AO20" s="212">
        <f t="shared" ref="AO20" si="128">IF($AD20=AO$6,$E19,0)</f>
        <v>0</v>
      </c>
      <c r="AP20" s="212" t="b">
        <f>IF(AO20=0,FALSE,IF(COUNTIF(AO$7:AO20,AO20)&gt;1,TRUE,FALSE))</f>
        <v>0</v>
      </c>
      <c r="AQ20" s="212">
        <f t="shared" ref="AQ20" si="129">IF(COUNTIF(Y20,"*七種競技*")&gt;0,E19,0)</f>
        <v>0</v>
      </c>
      <c r="AR20" s="212" t="b">
        <f t="shared" si="6"/>
        <v>0</v>
      </c>
      <c r="AT20" s="212" t="b">
        <f t="shared" si="9"/>
        <v>0</v>
      </c>
      <c r="AX20" s="274"/>
      <c r="BD20" s="212" t="b">
        <f t="shared" si="4"/>
        <v>0</v>
      </c>
      <c r="BF20" s="212" t="b">
        <f t="shared" ref="BF20" si="130">IF(J20="",FALSE,IF(OR(AND(AU19,L20=""),AND(AU19,L20="",OR(M20&lt;&gt;"",N20&lt;&gt;"",O20&lt;&gt;"",P20&lt;&gt;""))),TRUE,FALSE))</f>
        <v>0</v>
      </c>
      <c r="BG20" s="212" t="b">
        <f t="shared" si="5"/>
        <v>0</v>
      </c>
      <c r="BH20" s="212" t="b">
        <f t="shared" si="7"/>
        <v>0</v>
      </c>
      <c r="BI20" s="212" t="b">
        <f t="shared" ref="BI20" si="131">IF(J20="",FALSE,IF(L20=0,FALSE,IF(AND(AU19,NOT(BF20),OR(M20="",N20="",O20="")),TRUE,FALSE)))</f>
        <v>0</v>
      </c>
      <c r="BJ20" s="231" t="b">
        <f t="shared" si="8"/>
        <v>0</v>
      </c>
      <c r="BK20" s="231" t="b">
        <f>IF(NOT(BJ20),FALSE,IF(AND(競技会設定!$C$5&lt;=BJ20,BJ20&lt;=競技会設定!$C$6),FALSE,TRUE))</f>
        <v>0</v>
      </c>
      <c r="BL20" s="212" t="b">
        <f>IF(J20="",FALSE,IF(L20=0,FALSE,IF(AND(AU19,NOT(BF20),NOT(BI20),P20=""),TRUE,FALSE)))</f>
        <v>0</v>
      </c>
    </row>
    <row r="21" spans="1:67" ht="17.399999999999999" customHeight="1">
      <c r="A21" s="462"/>
      <c r="B21" s="374"/>
      <c r="C21" s="376"/>
      <c r="D21" s="160"/>
      <c r="E21" s="452" t="str">
        <f>IF(C19="","",VLOOKUP(D19,女子登録!$A$2:$O$2001,14,0)&amp;" ("&amp;VLOOKUP(D19,女子登録!$A$2:$O$2001,15,0)&amp;")")</f>
        <v/>
      </c>
      <c r="F21" s="453"/>
      <c r="G21" s="160" t="str">
        <f>IF(C19="","",(VLOOKUP(D19,女子登録!$A$2:$N$2001,9,0)))</f>
        <v/>
      </c>
      <c r="H21" s="160"/>
      <c r="I21" s="160" t="s">
        <v>7063</v>
      </c>
      <c r="J21" s="176"/>
      <c r="K21" s="160" t="s">
        <v>7064</v>
      </c>
      <c r="L21" s="176"/>
      <c r="M21" s="264"/>
      <c r="N21" s="265"/>
      <c r="O21" s="266"/>
      <c r="P21" s="175"/>
      <c r="Q21" s="449"/>
      <c r="R21" s="409"/>
      <c r="S21" s="136"/>
      <c r="T21" s="137"/>
      <c r="U21" s="137"/>
      <c r="V21" s="137"/>
      <c r="W21" s="137"/>
      <c r="X21" s="137"/>
      <c r="Y21" s="212">
        <f t="shared" ref="Y21" si="132">IF(OR(E19="",J21=""),0,J21&amp;E19)</f>
        <v>0</v>
      </c>
      <c r="Z21" s="212">
        <f>IF(Y21=0,0,COUNTIF($Y$7:Y21,Y21))</f>
        <v>0</v>
      </c>
      <c r="AD21" s="212">
        <f>IFERROR(VLOOKUP(J21,競技会設定!$T$2:$W$22,2,0),0)</f>
        <v>0</v>
      </c>
      <c r="AE21" s="212">
        <f t="shared" ref="AE21" si="133">IF(E19="",0,IF(AD21=0,0,IF(AD21&lt;3,E19&amp;$AE$6,0)))</f>
        <v>0</v>
      </c>
      <c r="AF21" s="212">
        <f>IF(AE21=0,0,E19&amp;COUNTIF($AE$7:AE21,AE21))</f>
        <v>0</v>
      </c>
      <c r="AG21" s="212">
        <f t="shared" ref="AG21" si="134">IF(E19="",0,IF(AD21=0,0,IF(AD21&gt;=3,E19&amp;$AG$6,0)))</f>
        <v>0</v>
      </c>
      <c r="AH21" s="212">
        <f>IF(AG21=0,0,E19&amp;COUNTIF($AG$7:AG21,AG21))</f>
        <v>0</v>
      </c>
      <c r="AI21" s="212">
        <f t="shared" ref="AI21" si="135">IF($AD21=AI$6,$E19,0)</f>
        <v>0</v>
      </c>
      <c r="AJ21" s="212" t="b">
        <f>IF(AI21=0,FALSE,IF(COUNTIF(AI$7:AI21,AI21)&gt;1,TRUE,FALSE))</f>
        <v>0</v>
      </c>
      <c r="AK21" s="212">
        <f t="shared" ref="AK21" si="136">IF($AD21=AK$6,$E19,0)</f>
        <v>0</v>
      </c>
      <c r="AL21" s="212" t="b">
        <f>IF(AK21=0,FALSE,IF(COUNTIF(AK$7:AK21,AK21)&gt;1,TRUE,FALSE))</f>
        <v>0</v>
      </c>
      <c r="AM21" s="212">
        <f t="shared" ref="AM21" si="137">IF(COUNTIF(Y21,"*七種*")&gt;0,0,IF($AD21=AM$6,$E19,0))</f>
        <v>0</v>
      </c>
      <c r="AN21" s="212" t="b">
        <f>IF(AM21=0,FALSE,IF(COUNTIF(AM$7:AM21,AM21)&gt;1,TRUE,FALSE))</f>
        <v>0</v>
      </c>
      <c r="AO21" s="212">
        <f t="shared" ref="AO21" si="138">IF($AD21=AO$6,$E19,0)</f>
        <v>0</v>
      </c>
      <c r="AP21" s="212" t="b">
        <f>IF(AO21=0,FALSE,IF(COUNTIF(AO$7:AO21,AO21)&gt;1,TRUE,FALSE))</f>
        <v>0</v>
      </c>
      <c r="AQ21" s="212">
        <f t="shared" ref="AQ21" si="139">IF(COUNTIF(Y21,"*七種競技*")&gt;0,E19,0)</f>
        <v>0</v>
      </c>
      <c r="AR21" s="212" t="b">
        <f t="shared" si="6"/>
        <v>0</v>
      </c>
      <c r="AT21" s="212" t="b">
        <f t="shared" si="9"/>
        <v>0</v>
      </c>
      <c r="AX21" s="274"/>
      <c r="BD21" s="212" t="b">
        <f t="shared" si="4"/>
        <v>0</v>
      </c>
      <c r="BF21" s="212" t="b">
        <f t="shared" ref="BF21" si="140">IF(J21="",FALSE,IF(OR(AND(AU19,L21=""),AND(AU19,L21="",OR(M21&lt;&gt;"",N21&lt;&gt;"",O21&lt;&gt;"",P21&lt;&gt;""))),TRUE,FALSE))</f>
        <v>0</v>
      </c>
      <c r="BG21" s="212" t="b">
        <f t="shared" si="5"/>
        <v>0</v>
      </c>
      <c r="BH21" s="212" t="b">
        <f t="shared" si="7"/>
        <v>0</v>
      </c>
      <c r="BI21" s="212" t="b">
        <f t="shared" ref="BI21" si="141">IF(J21="",FALSE,IF(L21=0,FALSE,IF(AND(AU19,NOT(BF21),OR(M21="",N21="",O21="")),TRUE,FALSE)))</f>
        <v>0</v>
      </c>
      <c r="BJ21" s="231" t="b">
        <f t="shared" si="8"/>
        <v>0</v>
      </c>
      <c r="BK21" s="231" t="b">
        <f>IF(NOT(BJ21),FALSE,IF(AND(競技会設定!$C$5&lt;=BJ21,BJ21&lt;=競技会設定!$C$6),FALSE,TRUE))</f>
        <v>0</v>
      </c>
      <c r="BL21" s="212" t="b">
        <f>IF(J21="",FALSE,IF(L21=0,FALSE,IF(AND(AU19,NOT(BF21),NOT(BI21),P21=""),TRUE,FALSE)))</f>
        <v>0</v>
      </c>
    </row>
    <row r="22" spans="1:67" ht="18" customHeight="1" thickBot="1">
      <c r="A22" s="475"/>
      <c r="B22" s="387" t="s">
        <v>7051</v>
      </c>
      <c r="C22" s="387"/>
      <c r="D22" s="161"/>
      <c r="E22" s="467"/>
      <c r="F22" s="468"/>
      <c r="G22" s="469"/>
      <c r="H22" s="162"/>
      <c r="I22" s="161" t="s">
        <v>7065</v>
      </c>
      <c r="J22" s="177"/>
      <c r="K22" s="161" t="s">
        <v>7066</v>
      </c>
      <c r="L22" s="177"/>
      <c r="M22" s="267"/>
      <c r="N22" s="268"/>
      <c r="O22" s="269"/>
      <c r="P22" s="177"/>
      <c r="Q22" s="466"/>
      <c r="R22" s="410"/>
      <c r="S22" s="136"/>
      <c r="T22" s="137"/>
      <c r="U22" s="137"/>
      <c r="V22" s="137"/>
      <c r="W22" s="137"/>
      <c r="X22" s="137"/>
      <c r="Y22" s="212">
        <f t="shared" ref="Y22" si="142">IF(OR(E19="",J22=""),0,J22&amp;E19)</f>
        <v>0</v>
      </c>
      <c r="Z22" s="212">
        <f>IF(Y22=0,0,COUNTIF($Y$7:Y22,Y22))</f>
        <v>0</v>
      </c>
      <c r="AD22" s="212">
        <f>IFERROR(VLOOKUP(J22,競技会設定!$T$2:$W$22,2,0),0)</f>
        <v>0</v>
      </c>
      <c r="AE22" s="212">
        <f t="shared" ref="AE22" si="143">IF(E19="",0,IF(AD22=0,0,IF(AD22&lt;3,E19&amp;$AE$6,0)))</f>
        <v>0</v>
      </c>
      <c r="AF22" s="212">
        <f>IF(AE22=0,0,E19&amp;COUNTIF($AE$7:AE22,AE22))</f>
        <v>0</v>
      </c>
      <c r="AG22" s="212">
        <f t="shared" ref="AG22" si="144">IF(E19="",0,IF(AD22=0,0,IF(AD22&gt;=3,E19&amp;$AG$6,0)))</f>
        <v>0</v>
      </c>
      <c r="AH22" s="212">
        <f>IF(AG22=0,0,E19&amp;COUNTIF($AG$7:AG22,AG22))</f>
        <v>0</v>
      </c>
      <c r="AI22" s="212">
        <f t="shared" ref="AI22" si="145">IF($AD22=AI$6,$E19,0)</f>
        <v>0</v>
      </c>
      <c r="AJ22" s="212" t="b">
        <f>IF(AI22=0,FALSE,IF(COUNTIF(AI$7:AI22,AI22)&gt;1,TRUE,FALSE))</f>
        <v>0</v>
      </c>
      <c r="AK22" s="212">
        <f t="shared" ref="AK22" si="146">IF($AD22=AK$6,$E19,0)</f>
        <v>0</v>
      </c>
      <c r="AL22" s="212" t="b">
        <f>IF(AK22=0,FALSE,IF(COUNTIF(AK$7:AK22,AK22)&gt;1,TRUE,FALSE))</f>
        <v>0</v>
      </c>
      <c r="AM22" s="212">
        <f t="shared" ref="AM22" si="147">IF(COUNTIF(Y22,"*七種*")&gt;0,0,IF($AD22=AM$6,$E19,0))</f>
        <v>0</v>
      </c>
      <c r="AN22" s="212" t="b">
        <f>IF(AM22=0,FALSE,IF(COUNTIF(AM$7:AM22,AM22)&gt;1,TRUE,FALSE))</f>
        <v>0</v>
      </c>
      <c r="AO22" s="212">
        <f t="shared" ref="AO22" si="148">IF($AD22=AO$6,$E19,0)</f>
        <v>0</v>
      </c>
      <c r="AP22" s="212" t="b">
        <f>IF(AO22=0,FALSE,IF(COUNTIF(AO$7:AO22,AO22)&gt;1,TRUE,FALSE))</f>
        <v>0</v>
      </c>
      <c r="AQ22" s="212">
        <f t="shared" ref="AQ22" si="149">IF(COUNTIF(Y22,"*七種競技*")&gt;0,E19,0)</f>
        <v>0</v>
      </c>
      <c r="AR22" s="212" t="b">
        <f t="shared" si="6"/>
        <v>0</v>
      </c>
      <c r="AT22" s="212" t="b">
        <f t="shared" si="9"/>
        <v>0</v>
      </c>
      <c r="AX22" s="274"/>
      <c r="BD22" s="212" t="b">
        <f t="shared" si="4"/>
        <v>0</v>
      </c>
      <c r="BF22" s="212" t="b">
        <f t="shared" ref="BF22" si="150">IF(J22="",FALSE,IF(OR(AND(AU19,L22=""),AND(AU19,L22="",OR(M22&lt;&gt;"",N22&lt;&gt;"",O22&lt;&gt;"",P22&lt;&gt;""))),TRUE,FALSE))</f>
        <v>0</v>
      </c>
      <c r="BG22" s="212" t="b">
        <f t="shared" si="5"/>
        <v>0</v>
      </c>
      <c r="BH22" s="212" t="b">
        <f t="shared" si="7"/>
        <v>0</v>
      </c>
      <c r="BI22" s="212" t="b">
        <f t="shared" ref="BI22" si="151">IF(J22="",FALSE,IF(L22=0,FALSE,IF(AND(AU19,NOT(BF22),OR(M22="",N22="",O22="")),TRUE,FALSE)))</f>
        <v>0</v>
      </c>
      <c r="BJ22" s="231" t="b">
        <f t="shared" si="8"/>
        <v>0</v>
      </c>
      <c r="BK22" s="231" t="b">
        <f>IF(NOT(BJ22),FALSE,IF(AND(競技会設定!$C$5&lt;=BJ22,BJ22&lt;=競技会設定!$C$6),FALSE,TRUE))</f>
        <v>0</v>
      </c>
      <c r="BL22" s="212" t="b">
        <f>IF(J22="",FALSE,IF(L22=0,FALSE,IF(AND(AU19,NOT(BF22),NOT(BI22),P22=""),TRUE,FALSE)))</f>
        <v>0</v>
      </c>
    </row>
    <row r="23" spans="1:67" ht="18" customHeight="1" thickTop="1">
      <c r="A23" s="470">
        <v>5</v>
      </c>
      <c r="B23" s="401" t="s">
        <v>7050</v>
      </c>
      <c r="C23" s="403"/>
      <c r="D23" s="156" t="str">
        <f t="shared" ref="D23" si="152">IF(C23="","",502&amp;TEXT(C23,"000000"))</f>
        <v/>
      </c>
      <c r="E23" s="473" t="str">
        <f>IF(D23="","",(VLOOKUP(D23,女子登録!$A$2:$N$2001,3,0)))</f>
        <v/>
      </c>
      <c r="F23" s="473" t="str">
        <f>IF(D23="","",(VLOOKUP(D23,女子登録!$A$2:$N$2001,4,0)))</f>
        <v/>
      </c>
      <c r="G23" s="156" t="str">
        <f>IF(C23="","",(VLOOKUP(D23,女子登録!$A$2:$N$2001,8,0)))</f>
        <v/>
      </c>
      <c r="H23" s="156">
        <f>IFERROR(VLOOKUP(D23,女子登録!$A$2:$N$2001,11,0),基本情報!$E$5)</f>
        <v>0</v>
      </c>
      <c r="I23" s="156" t="s">
        <v>7059</v>
      </c>
      <c r="J23" s="170"/>
      <c r="K23" s="156" t="s">
        <v>7060</v>
      </c>
      <c r="L23" s="170"/>
      <c r="M23" s="252"/>
      <c r="N23" s="253"/>
      <c r="O23" s="254"/>
      <c r="P23" s="170"/>
      <c r="Q23" s="457"/>
      <c r="R23" s="414"/>
      <c r="S23" s="136">
        <f t="shared" ref="S23" si="153">IF(OR(E23="",Q23=""),0,E23)</f>
        <v>0</v>
      </c>
      <c r="T23" s="137">
        <f>IF(S23=0,0,COUNTIF($S$7:S23,"*"))</f>
        <v>0</v>
      </c>
      <c r="U23" s="137">
        <f>IF(S23=0,0,COUNTIF($S$7:S23,S23))</f>
        <v>0</v>
      </c>
      <c r="V23" s="137">
        <f t="shared" si="3"/>
        <v>0</v>
      </c>
      <c r="W23" s="137">
        <f>IF(V23=0,0,COUNTIF($V$7:V23,"*"))</f>
        <v>0</v>
      </c>
      <c r="X23" s="137">
        <f>IF(V23=0,0,COUNTIF($V$7:V23,V23))</f>
        <v>0</v>
      </c>
      <c r="Y23" s="212">
        <f t="shared" ref="Y23" si="154">IF(OR(E23="",J23=""),0,J23&amp;E23)</f>
        <v>0</v>
      </c>
      <c r="Z23" s="212">
        <f>IF(Y23=0,0,COUNTIF($Y$7:Y23,Y23))</f>
        <v>0</v>
      </c>
      <c r="AA23" s="212" t="b">
        <f>IF(COUNTIF(J23:J26,"七種競技")&gt;0,TRUE,FALSE)</f>
        <v>0</v>
      </c>
      <c r="AB23" s="212">
        <f>IF(E23="",0,IF(AA23,COUNTIF($AA$7:AA23,TRUE),0))</f>
        <v>0</v>
      </c>
      <c r="AC23" s="212">
        <f>IFERROR(VLOOKUP("七種競技",J23:L26,3,0),0)</f>
        <v>0</v>
      </c>
      <c r="AD23" s="212">
        <f>IFERROR(VLOOKUP(J23,競技会設定!$T$2:$W$22,2,0),0)</f>
        <v>0</v>
      </c>
      <c r="AE23" s="212">
        <f t="shared" ref="AE23" si="155">IF(E23="",0,IF(AD23=0,0,IF(AD23&lt;3,E23&amp;$AE$6,0)))</f>
        <v>0</v>
      </c>
      <c r="AF23" s="212">
        <f>IF(AE23=0,0,E23&amp;COUNTIF($AE$7:AE23,AE23))</f>
        <v>0</v>
      </c>
      <c r="AG23" s="212">
        <f t="shared" ref="AG23" si="156">IF(E23="",0,IF(AD23=0,0,IF(AD23&gt;=3,E23&amp;$AG$6,0)))</f>
        <v>0</v>
      </c>
      <c r="AH23" s="212">
        <f>IF(AG23=0,0,E23&amp;COUNTIF($AG$7:AG23,AG23))</f>
        <v>0</v>
      </c>
      <c r="AI23" s="212">
        <f t="shared" ref="AI23" si="157">IF($AD23=AI$6,$E23,0)</f>
        <v>0</v>
      </c>
      <c r="AJ23" s="212" t="b">
        <f>IF(AI23=0,FALSE,IF(COUNTIF(AI$7:AI23,AI23)&gt;1,TRUE,FALSE))</f>
        <v>0</v>
      </c>
      <c r="AK23" s="212">
        <f t="shared" ref="AK23" si="158">IF($AD23=AK$6,$E23,0)</f>
        <v>0</v>
      </c>
      <c r="AL23" s="212" t="b">
        <f>IF(AK23=0,FALSE,IF(COUNTIF(AK$7:AK23,AK23)&gt;1,TRUE,FALSE))</f>
        <v>0</v>
      </c>
      <c r="AM23" s="212">
        <f t="shared" ref="AM23" si="159">IF(COUNTIF(Y23,"*七種*")&gt;0,0,IF($AD23=AM$6,$E23,0))</f>
        <v>0</v>
      </c>
      <c r="AN23" s="212" t="b">
        <f>IF(AM23=0,FALSE,IF(COUNTIF(AM$7:AM23,AM23)&gt;1,TRUE,FALSE))</f>
        <v>0</v>
      </c>
      <c r="AO23" s="212">
        <f t="shared" ref="AO23" si="160">IF($AD23=AO$6,$E23,0)</f>
        <v>0</v>
      </c>
      <c r="AP23" s="212" t="b">
        <f>IF(AO23=0,FALSE,IF(COUNTIF(AO$7:AO23,AO23)&gt;1,TRUE,FALSE))</f>
        <v>0</v>
      </c>
      <c r="AQ23" s="212">
        <f t="shared" ref="AQ23" si="161">IF(COUNTIF(Y23,"*七種競技*")&gt;0,E23,0)</f>
        <v>0</v>
      </c>
      <c r="AR23" s="212" t="b">
        <f t="shared" si="6"/>
        <v>0</v>
      </c>
      <c r="AS23" s="212" t="b">
        <f t="shared" ref="AS23" si="162">IF(AND(C23="",E23&lt;&gt;"",F23&lt;&gt;"",E25&lt;&gt;"",G23&lt;&gt;"",G24&lt;&gt;"",G25&lt;&gt;""),TRUE,FALSE)</f>
        <v>0</v>
      </c>
      <c r="AT23" s="212" t="b">
        <f t="shared" si="9"/>
        <v>0</v>
      </c>
      <c r="AU23" s="212" t="b">
        <f>IFERROR(IF(E23&amp;F23&amp;E25&amp;G23&amp;G24&amp;G25&amp;J23&amp;J24&amp;J25&amp;J26&amp;L23&amp;L24&amp;L25&amp;L26&amp;M23&amp;M24&amp;M25&amp;M26&amp;P23&amp;P24&amp;P25&amp;P26&amp;Q23&amp;R23="",FALSE,TRUE),FALSE)</f>
        <v>0</v>
      </c>
      <c r="AV23" s="212" t="b">
        <f t="shared" ref="AV23" si="163">IF(AS23,FALSE,IF(C23="",AU23,FALSE))</f>
        <v>0</v>
      </c>
      <c r="AW23" s="212" t="b">
        <f t="shared" ref="AW23" si="164">IF(C23="",FALSE,IF(C23&lt;=2000,TRUE,FALSE))</f>
        <v>0</v>
      </c>
      <c r="AX23" s="274" t="b">
        <f>IF(H23=0,FALSE,IF(EXACT(基本情報!$E$5,H23)=TRUE,FALSE,TRUE))</f>
        <v>0</v>
      </c>
      <c r="AY23" s="212" t="b">
        <f>IF(C23="",FALSE,IF(ISNA(E23)=TRUE,TRUE,FALSE))</f>
        <v>0</v>
      </c>
      <c r="AZ23" s="274" t="b">
        <f>IFERROR(IF(E23="",FALSE,IF(COUNTIF($E$7:E23,E23)&gt;1,TRUE,FALSE)),FALSE)</f>
        <v>0</v>
      </c>
      <c r="BA23" s="212" t="b">
        <f t="shared" ref="BA23" si="165">IF(OR(J23&amp;J24&amp;J25&amp;J26&amp;Q23&amp;R23="",AT23,AT24,AT25,AT26),AU23,FALSE)</f>
        <v>0</v>
      </c>
      <c r="BB23" s="212" t="b">
        <f>IF(U23&gt;1,TRUE,FALSE)</f>
        <v>0</v>
      </c>
      <c r="BC23" s="212" t="b">
        <f>IF(X23&gt;1,TRUE,FALSE)</f>
        <v>0</v>
      </c>
      <c r="BD23" s="212" t="b">
        <f t="shared" si="4"/>
        <v>0</v>
      </c>
      <c r="BF23" s="212" t="b">
        <f t="shared" ref="BF23" si="166">IF(J23="",FALSE,IF(OR(AND(AU23,L23=""),AND(AU23,L23="",OR(M23&lt;&gt;"",N23&lt;&gt;"",O23&lt;&gt;"",P23&lt;&gt;""))),TRUE,FALSE))</f>
        <v>0</v>
      </c>
      <c r="BG23" s="212" t="b">
        <f t="shared" si="5"/>
        <v>0</v>
      </c>
      <c r="BH23" s="212" t="b">
        <f t="shared" si="7"/>
        <v>0</v>
      </c>
      <c r="BI23" s="212" t="b">
        <f t="shared" ref="BI23" si="167">IF(J23="",FALSE,IF(L23=0,FALSE,IF(AND(AU23,NOT(BF23),OR(M23="",N23="",O23="")),TRUE,FALSE)))</f>
        <v>0</v>
      </c>
      <c r="BJ23" s="231" t="b">
        <f t="shared" si="8"/>
        <v>0</v>
      </c>
      <c r="BK23" s="231" t="b">
        <f>IF(NOT(BJ23),FALSE,IF(AND(競技会設定!$C$5&lt;=BJ23,BJ23&lt;=競技会設定!$C$6),FALSE,TRUE))</f>
        <v>0</v>
      </c>
      <c r="BL23" s="212" t="b">
        <f>IF(J23="",FALSE,IF(L23=0,FALSE,IF(AND(AU23,NOT(BF23),NOT(BI23),P23=""),TRUE,FALSE)))</f>
        <v>0</v>
      </c>
      <c r="BO23" s="274">
        <f t="shared" ref="BO23" si="168">IF(AND(AU23,SUM(COUNTIF(AV23:BC23,TRUE),COUNTIF(BF23:BL26,TRUE),COUNTIF(BD23:BD26,TRUE))=0,NOT($BE$7)),1,0)</f>
        <v>0</v>
      </c>
    </row>
    <row r="24" spans="1:67" ht="17.399999999999999" customHeight="1">
      <c r="A24" s="471"/>
      <c r="B24" s="402"/>
      <c r="C24" s="404"/>
      <c r="D24" s="11"/>
      <c r="E24" s="474"/>
      <c r="F24" s="474"/>
      <c r="G24" s="11" t="str">
        <f>IF(C23="","",(VLOOKUP(D23,女子登録!$A$2:$N$2001,13,0)))</f>
        <v/>
      </c>
      <c r="H24" s="11"/>
      <c r="I24" s="11" t="s">
        <v>7061</v>
      </c>
      <c r="J24" s="171"/>
      <c r="K24" s="11" t="s">
        <v>7062</v>
      </c>
      <c r="L24" s="171"/>
      <c r="M24" s="255"/>
      <c r="N24" s="256"/>
      <c r="O24" s="257"/>
      <c r="P24" s="171"/>
      <c r="Q24" s="458"/>
      <c r="R24" s="415"/>
      <c r="S24" s="136"/>
      <c r="T24" s="137"/>
      <c r="U24" s="137"/>
      <c r="V24" s="137"/>
      <c r="W24" s="137"/>
      <c r="X24" s="137"/>
      <c r="Y24" s="212">
        <f t="shared" ref="Y24" si="169">IF(OR(E23="",J24=""),0,J24&amp;E23)</f>
        <v>0</v>
      </c>
      <c r="Z24" s="212">
        <f>IF(Y24=0,0,COUNTIF($Y$7:Y24,Y24))</f>
        <v>0</v>
      </c>
      <c r="AD24" s="212">
        <f>IFERROR(VLOOKUP(J24,競技会設定!$T$2:$W$22,2,0),0)</f>
        <v>0</v>
      </c>
      <c r="AE24" s="212">
        <f t="shared" ref="AE24" si="170">IF(E23="",0,IF(AD24=0,0,IF(AD24&lt;3,E23&amp;$AE$6,0)))</f>
        <v>0</v>
      </c>
      <c r="AF24" s="212">
        <f>IF(AE24=0,0,E23&amp;COUNTIF($AE$7:AE24,AE24))</f>
        <v>0</v>
      </c>
      <c r="AG24" s="212">
        <f t="shared" ref="AG24" si="171">IF(E23="",0,IF(AD24=0,0,IF(AD24&gt;=3,E23&amp;$AG$6,0)))</f>
        <v>0</v>
      </c>
      <c r="AH24" s="212">
        <f>IF(AG24=0,0,E23&amp;COUNTIF($AG$7:AG24,AG24))</f>
        <v>0</v>
      </c>
      <c r="AI24" s="212">
        <f t="shared" ref="AI24" si="172">IF($AD24=AI$6,$E23,0)</f>
        <v>0</v>
      </c>
      <c r="AJ24" s="212" t="b">
        <f>IF(AI24=0,FALSE,IF(COUNTIF(AI$7:AI24,AI24)&gt;1,TRUE,FALSE))</f>
        <v>0</v>
      </c>
      <c r="AK24" s="212">
        <f t="shared" ref="AK24" si="173">IF($AD24=AK$6,$E23,0)</f>
        <v>0</v>
      </c>
      <c r="AL24" s="212" t="b">
        <f>IF(AK24=0,FALSE,IF(COUNTIF(AK$7:AK24,AK24)&gt;1,TRUE,FALSE))</f>
        <v>0</v>
      </c>
      <c r="AM24" s="212">
        <f t="shared" ref="AM24" si="174">IF(COUNTIF(Y24,"*七種*")&gt;0,0,IF($AD24=AM$6,$E23,0))</f>
        <v>0</v>
      </c>
      <c r="AN24" s="212" t="b">
        <f>IF(AM24=0,FALSE,IF(COUNTIF(AM$7:AM24,AM24)&gt;1,TRUE,FALSE))</f>
        <v>0</v>
      </c>
      <c r="AO24" s="212">
        <f t="shared" ref="AO24" si="175">IF($AD24=AO$6,$E23,0)</f>
        <v>0</v>
      </c>
      <c r="AP24" s="212" t="b">
        <f>IF(AO24=0,FALSE,IF(COUNTIF(AO$7:AO24,AO24)&gt;1,TRUE,FALSE))</f>
        <v>0</v>
      </c>
      <c r="AQ24" s="212">
        <f t="shared" ref="AQ24" si="176">IF(COUNTIF(Y24,"*七種競技*")&gt;0,E23,0)</f>
        <v>0</v>
      </c>
      <c r="AR24" s="212" t="b">
        <f t="shared" si="6"/>
        <v>0</v>
      </c>
      <c r="AT24" s="212" t="b">
        <f t="shared" si="9"/>
        <v>0</v>
      </c>
      <c r="AX24" s="274"/>
      <c r="BD24" s="212" t="b">
        <f t="shared" si="4"/>
        <v>0</v>
      </c>
      <c r="BF24" s="212" t="b">
        <f t="shared" ref="BF24" si="177">IF(J24="",FALSE,IF(OR(AND(AU23,L24=""),AND(AU23,L24="",OR(M24&lt;&gt;"",N24&lt;&gt;"",O24&lt;&gt;"",P24&lt;&gt;""))),TRUE,FALSE))</f>
        <v>0</v>
      </c>
      <c r="BG24" s="212" t="b">
        <f t="shared" si="5"/>
        <v>0</v>
      </c>
      <c r="BH24" s="212" t="b">
        <f t="shared" si="7"/>
        <v>0</v>
      </c>
      <c r="BI24" s="212" t="b">
        <f t="shared" ref="BI24" si="178">IF(J24="",FALSE,IF(L24=0,FALSE,IF(AND(AU23,NOT(BF24),OR(M24="",N24="",O24="")),TRUE,FALSE)))</f>
        <v>0</v>
      </c>
      <c r="BJ24" s="231" t="b">
        <f t="shared" si="8"/>
        <v>0</v>
      </c>
      <c r="BK24" s="231" t="b">
        <f>IF(NOT(BJ24),FALSE,IF(AND(競技会設定!$C$5&lt;=BJ24,BJ24&lt;=競技会設定!$C$6),FALSE,TRUE))</f>
        <v>0</v>
      </c>
      <c r="BL24" s="212" t="b">
        <f>IF(J24="",FALSE,IF(L24=0,FALSE,IF(AND(AU23,NOT(BF24),NOT(BI24),P24=""),TRUE,FALSE)))</f>
        <v>0</v>
      </c>
    </row>
    <row r="25" spans="1:67" ht="17.399999999999999" customHeight="1">
      <c r="A25" s="471"/>
      <c r="B25" s="402"/>
      <c r="C25" s="404"/>
      <c r="D25" s="11"/>
      <c r="E25" s="348" t="str">
        <f>IF(C23="","",VLOOKUP(D23,女子登録!$A$2:$O$2001,14,0)&amp;" ("&amp;VLOOKUP(D23,女子登録!$A$2:$O$2001,15,0)&amp;")")</f>
        <v/>
      </c>
      <c r="F25" s="348"/>
      <c r="G25" s="13" t="str">
        <f>IF(C23="","",(VLOOKUP(D23,女子登録!$A$2:$N$2001,9,0)))</f>
        <v/>
      </c>
      <c r="H25" s="13"/>
      <c r="I25" s="13" t="s">
        <v>7063</v>
      </c>
      <c r="J25" s="172"/>
      <c r="K25" s="13" t="s">
        <v>7064</v>
      </c>
      <c r="L25" s="172"/>
      <c r="M25" s="255"/>
      <c r="N25" s="256"/>
      <c r="O25" s="257"/>
      <c r="P25" s="171"/>
      <c r="Q25" s="458"/>
      <c r="R25" s="415"/>
      <c r="S25" s="136"/>
      <c r="T25" s="137"/>
      <c r="U25" s="137"/>
      <c r="V25" s="137"/>
      <c r="W25" s="137"/>
      <c r="X25" s="137"/>
      <c r="Y25" s="212">
        <f t="shared" ref="Y25" si="179">IF(OR(E23="",J25=""),0,J25&amp;E23)</f>
        <v>0</v>
      </c>
      <c r="Z25" s="212">
        <f>IF(Y25=0,0,COUNTIF($Y$7:Y25,Y25))</f>
        <v>0</v>
      </c>
      <c r="AD25" s="212">
        <f>IFERROR(VLOOKUP(J25,競技会設定!$T$2:$W$22,2,0),0)</f>
        <v>0</v>
      </c>
      <c r="AE25" s="212">
        <f t="shared" ref="AE25" si="180">IF(E23="",0,IF(AD25=0,0,IF(AD25&lt;3,E23&amp;$AE$6,0)))</f>
        <v>0</v>
      </c>
      <c r="AF25" s="212">
        <f>IF(AE25=0,0,E23&amp;COUNTIF($AE$7:AE25,AE25))</f>
        <v>0</v>
      </c>
      <c r="AG25" s="212">
        <f t="shared" ref="AG25" si="181">IF(E23="",0,IF(AD25=0,0,IF(AD25&gt;=3,E23&amp;$AG$6,0)))</f>
        <v>0</v>
      </c>
      <c r="AH25" s="212">
        <f>IF(AG25=0,0,E23&amp;COUNTIF($AG$7:AG25,AG25))</f>
        <v>0</v>
      </c>
      <c r="AI25" s="212">
        <f t="shared" ref="AI25" si="182">IF($AD25=AI$6,$E23,0)</f>
        <v>0</v>
      </c>
      <c r="AJ25" s="212" t="b">
        <f>IF(AI25=0,FALSE,IF(COUNTIF(AI$7:AI25,AI25)&gt;1,TRUE,FALSE))</f>
        <v>0</v>
      </c>
      <c r="AK25" s="212">
        <f t="shared" ref="AK25" si="183">IF($AD25=AK$6,$E23,0)</f>
        <v>0</v>
      </c>
      <c r="AL25" s="212" t="b">
        <f>IF(AK25=0,FALSE,IF(COUNTIF(AK$7:AK25,AK25)&gt;1,TRUE,FALSE))</f>
        <v>0</v>
      </c>
      <c r="AM25" s="212">
        <f t="shared" ref="AM25" si="184">IF(COUNTIF(Y25,"*七種*")&gt;0,0,IF($AD25=AM$6,$E23,0))</f>
        <v>0</v>
      </c>
      <c r="AN25" s="212" t="b">
        <f>IF(AM25=0,FALSE,IF(COUNTIF(AM$7:AM25,AM25)&gt;1,TRUE,FALSE))</f>
        <v>0</v>
      </c>
      <c r="AO25" s="212">
        <f t="shared" ref="AO25" si="185">IF($AD25=AO$6,$E23,0)</f>
        <v>0</v>
      </c>
      <c r="AP25" s="212" t="b">
        <f>IF(AO25=0,FALSE,IF(COUNTIF(AO$7:AO25,AO25)&gt;1,TRUE,FALSE))</f>
        <v>0</v>
      </c>
      <c r="AQ25" s="212">
        <f t="shared" ref="AQ25" si="186">IF(COUNTIF(Y25,"*七種競技*")&gt;0,E23,0)</f>
        <v>0</v>
      </c>
      <c r="AR25" s="212" t="b">
        <f t="shared" si="6"/>
        <v>0</v>
      </c>
      <c r="AT25" s="212" t="b">
        <f t="shared" si="9"/>
        <v>0</v>
      </c>
      <c r="AX25" s="274"/>
      <c r="BD25" s="212" t="b">
        <f t="shared" si="4"/>
        <v>0</v>
      </c>
      <c r="BF25" s="212" t="b">
        <f t="shared" ref="BF25" si="187">IF(J25="",FALSE,IF(OR(AND(AU23,L25=""),AND(AU23,L25="",OR(M25&lt;&gt;"",N25&lt;&gt;"",O25&lt;&gt;"",P25&lt;&gt;""))),TRUE,FALSE))</f>
        <v>0</v>
      </c>
      <c r="BG25" s="212" t="b">
        <f t="shared" si="5"/>
        <v>0</v>
      </c>
      <c r="BH25" s="212" t="b">
        <f t="shared" si="7"/>
        <v>0</v>
      </c>
      <c r="BI25" s="212" t="b">
        <f t="shared" ref="BI25" si="188">IF(J25="",FALSE,IF(L25=0,FALSE,IF(AND(AU23,NOT(BF25),OR(M25="",N25="",O25="")),TRUE,FALSE)))</f>
        <v>0</v>
      </c>
      <c r="BJ25" s="231" t="b">
        <f t="shared" si="8"/>
        <v>0</v>
      </c>
      <c r="BK25" s="231" t="b">
        <f>IF(NOT(BJ25),FALSE,IF(AND(競技会設定!$C$5&lt;=BJ25,BJ25&lt;=競技会設定!$C$6),FALSE,TRUE))</f>
        <v>0</v>
      </c>
      <c r="BL25" s="212" t="b">
        <f>IF(J25="",FALSE,IF(L25=0,FALSE,IF(AND(AU23,NOT(BF25),NOT(BI25),P25=""),TRUE,FALSE)))</f>
        <v>0</v>
      </c>
    </row>
    <row r="26" spans="1:67" ht="18" customHeight="1" thickBot="1">
      <c r="A26" s="472"/>
      <c r="B26" s="395" t="s">
        <v>7051</v>
      </c>
      <c r="C26" s="395"/>
      <c r="D26" s="11"/>
      <c r="E26" s="460"/>
      <c r="F26" s="460"/>
      <c r="G26" s="460"/>
      <c r="H26" s="157"/>
      <c r="I26" s="157" t="s">
        <v>7065</v>
      </c>
      <c r="J26" s="307"/>
      <c r="K26" s="157" t="s">
        <v>7066</v>
      </c>
      <c r="L26" s="173"/>
      <c r="M26" s="258"/>
      <c r="N26" s="259"/>
      <c r="O26" s="260"/>
      <c r="P26" s="307"/>
      <c r="Q26" s="459"/>
      <c r="R26" s="416"/>
      <c r="S26" s="136"/>
      <c r="T26" s="137"/>
      <c r="U26" s="137"/>
      <c r="V26" s="137"/>
      <c r="W26" s="137"/>
      <c r="X26" s="137"/>
      <c r="Y26" s="212">
        <f t="shared" ref="Y26" si="189">IF(OR(E23="",J26=""),0,J26&amp;E23)</f>
        <v>0</v>
      </c>
      <c r="Z26" s="212">
        <f>IF(Y26=0,0,COUNTIF($Y$7:Y26,Y26))</f>
        <v>0</v>
      </c>
      <c r="AD26" s="212">
        <f>IFERROR(VLOOKUP(J26,競技会設定!$T$2:$W$22,2,0),0)</f>
        <v>0</v>
      </c>
      <c r="AE26" s="212">
        <f t="shared" ref="AE26" si="190">IF(E23="",0,IF(AD26=0,0,IF(AD26&lt;3,E23&amp;$AE$6,0)))</f>
        <v>0</v>
      </c>
      <c r="AF26" s="212">
        <f>IF(AE26=0,0,E23&amp;COUNTIF($AE$7:AE26,AE26))</f>
        <v>0</v>
      </c>
      <c r="AG26" s="212">
        <f t="shared" ref="AG26" si="191">IF(E23="",0,IF(AD26=0,0,IF(AD26&gt;=3,E23&amp;$AG$6,0)))</f>
        <v>0</v>
      </c>
      <c r="AH26" s="212">
        <f>IF(AG26=0,0,E23&amp;COUNTIF($AG$7:AG26,AG26))</f>
        <v>0</v>
      </c>
      <c r="AI26" s="212">
        <f t="shared" ref="AI26" si="192">IF($AD26=AI$6,$E23,0)</f>
        <v>0</v>
      </c>
      <c r="AJ26" s="212" t="b">
        <f>IF(AI26=0,FALSE,IF(COUNTIF(AI$7:AI26,AI26)&gt;1,TRUE,FALSE))</f>
        <v>0</v>
      </c>
      <c r="AK26" s="212">
        <f t="shared" ref="AK26" si="193">IF($AD26=AK$6,$E23,0)</f>
        <v>0</v>
      </c>
      <c r="AL26" s="212" t="b">
        <f>IF(AK26=0,FALSE,IF(COUNTIF(AK$7:AK26,AK26)&gt;1,TRUE,FALSE))</f>
        <v>0</v>
      </c>
      <c r="AM26" s="212">
        <f t="shared" ref="AM26" si="194">IF(COUNTIF(Y26,"*七種*")&gt;0,0,IF($AD26=AM$6,$E23,0))</f>
        <v>0</v>
      </c>
      <c r="AN26" s="212" t="b">
        <f>IF(AM26=0,FALSE,IF(COUNTIF(AM$7:AM26,AM26)&gt;1,TRUE,FALSE))</f>
        <v>0</v>
      </c>
      <c r="AO26" s="212">
        <f t="shared" ref="AO26" si="195">IF($AD26=AO$6,$E23,0)</f>
        <v>0</v>
      </c>
      <c r="AP26" s="212" t="b">
        <f>IF(AO26=0,FALSE,IF(COUNTIF(AO$7:AO26,AO26)&gt;1,TRUE,FALSE))</f>
        <v>0</v>
      </c>
      <c r="AQ26" s="212">
        <f t="shared" ref="AQ26" si="196">IF(COUNTIF(Y26,"*七種競技*")&gt;0,E23,0)</f>
        <v>0</v>
      </c>
      <c r="AR26" s="212" t="b">
        <f t="shared" si="6"/>
        <v>0</v>
      </c>
      <c r="AT26" s="212" t="b">
        <f t="shared" si="9"/>
        <v>0</v>
      </c>
      <c r="AX26" s="274"/>
      <c r="BD26" s="212" t="b">
        <f t="shared" si="4"/>
        <v>0</v>
      </c>
      <c r="BF26" s="212" t="b">
        <f t="shared" ref="BF26" si="197">IF(J26="",FALSE,IF(OR(AND(AU23,L26=""),AND(AU23,L26="",OR(M26&lt;&gt;"",N26&lt;&gt;"",O26&lt;&gt;"",P26&lt;&gt;""))),TRUE,FALSE))</f>
        <v>0</v>
      </c>
      <c r="BG26" s="212" t="b">
        <f t="shared" si="5"/>
        <v>0</v>
      </c>
      <c r="BH26" s="212" t="b">
        <f t="shared" si="7"/>
        <v>0</v>
      </c>
      <c r="BI26" s="212" t="b">
        <f t="shared" ref="BI26" si="198">IF(J26="",FALSE,IF(L26=0,FALSE,IF(AND(AU23,NOT(BF26),OR(M26="",N26="",O26="")),TRUE,FALSE)))</f>
        <v>0</v>
      </c>
      <c r="BJ26" s="231" t="b">
        <f t="shared" si="8"/>
        <v>0</v>
      </c>
      <c r="BK26" s="231" t="b">
        <f>IF(NOT(BJ26),FALSE,IF(AND(競技会設定!$C$5&lt;=BJ26,BJ26&lt;=競技会設定!$C$6),FALSE,TRUE))</f>
        <v>0</v>
      </c>
      <c r="BL26" s="212" t="b">
        <f>IF(J26="",FALSE,IF(L26=0,FALSE,IF(AND(AU23,NOT(BF26),NOT(BI26),P26=""),TRUE,FALSE)))</f>
        <v>0</v>
      </c>
    </row>
    <row r="27" spans="1:67" ht="18" customHeight="1" thickTop="1">
      <c r="A27" s="461">
        <v>6</v>
      </c>
      <c r="B27" s="373" t="s">
        <v>7050</v>
      </c>
      <c r="C27" s="375"/>
      <c r="D27" s="158" t="str">
        <f t="shared" ref="D27" si="199">IF(C27="","",502&amp;TEXT(C27,"000000"))</f>
        <v/>
      </c>
      <c r="E27" s="464" t="str">
        <f>IF(D27="","",(VLOOKUP(D27,女子登録!$A$2:$N$2001,3,0)))</f>
        <v/>
      </c>
      <c r="F27" s="464" t="str">
        <f>IF(D27="","",(VLOOKUP(D27,女子登録!$A$2:$N$2001,4,0)))</f>
        <v/>
      </c>
      <c r="G27" s="158" t="str">
        <f>IF(C27="","",(VLOOKUP(D27,女子登録!$A$2:$N$2001,8,0)))</f>
        <v/>
      </c>
      <c r="H27" s="158">
        <f>IFERROR(VLOOKUP(D27,女子登録!$A$2:$N$2001,11,0),基本情報!$E$5)</f>
        <v>0</v>
      </c>
      <c r="I27" s="158" t="s">
        <v>7059</v>
      </c>
      <c r="J27" s="174"/>
      <c r="K27" s="158" t="s">
        <v>7060</v>
      </c>
      <c r="L27" s="174"/>
      <c r="M27" s="261"/>
      <c r="N27" s="262"/>
      <c r="O27" s="263"/>
      <c r="P27" s="174"/>
      <c r="Q27" s="448"/>
      <c r="R27" s="408"/>
      <c r="S27" s="136">
        <f t="shared" ref="S27" si="200">IF(OR(E27="",Q27=""),0,E27)</f>
        <v>0</v>
      </c>
      <c r="T27" s="137">
        <f>IF(S27=0,0,COUNTIF($S$7:S27,"*"))</f>
        <v>0</v>
      </c>
      <c r="U27" s="137">
        <f>IF(S27=0,0,COUNTIF($S$7:S27,S27))</f>
        <v>0</v>
      </c>
      <c r="V27" s="137">
        <f t="shared" ref="V27:V87" si="201">IF(OR(E27="",R27=""),0,E27&amp;MAX(COUNTIF($AG$7:$AG$406,E27&amp;"nans21v"))+1)</f>
        <v>0</v>
      </c>
      <c r="W27" s="137">
        <f>IF(V27=0,0,COUNTIF($V$7:V27,"*"))</f>
        <v>0</v>
      </c>
      <c r="X27" s="137">
        <f>IF(V27=0,0,COUNTIF($V$7:V27,V27))</f>
        <v>0</v>
      </c>
      <c r="Y27" s="212">
        <f t="shared" ref="Y27" si="202">IF(OR(E27="",J27=""),0,J27&amp;E27)</f>
        <v>0</v>
      </c>
      <c r="Z27" s="212">
        <f>IF(Y27=0,0,COUNTIF($Y$7:Y27,Y27))</f>
        <v>0</v>
      </c>
      <c r="AA27" s="212" t="b">
        <f>IF(COUNTIF(J27:J30,"七種競技")&gt;0,TRUE,FALSE)</f>
        <v>0</v>
      </c>
      <c r="AB27" s="212">
        <f>IF(E27="",0,IF(AA27,COUNTIF($AA$7:AA27,TRUE),0))</f>
        <v>0</v>
      </c>
      <c r="AC27" s="212">
        <f>IFERROR(VLOOKUP("七種競技",J27:L30,3,0),0)</f>
        <v>0</v>
      </c>
      <c r="AD27" s="212">
        <f>IFERROR(VLOOKUP(J27,競技会設定!$T$2:$W$22,2,0),0)</f>
        <v>0</v>
      </c>
      <c r="AE27" s="212">
        <f t="shared" ref="AE27" si="203">IF(E27="",0,IF(AD27=0,0,IF(AD27&lt;3,E27&amp;$AE$6,0)))</f>
        <v>0</v>
      </c>
      <c r="AF27" s="212">
        <f>IF(AE27=0,0,E27&amp;COUNTIF($AE$7:AE27,AE27))</f>
        <v>0</v>
      </c>
      <c r="AG27" s="212">
        <f t="shared" ref="AG27" si="204">IF(E27="",0,IF(AD27=0,0,IF(AD27&gt;=3,E27&amp;$AG$6,0)))</f>
        <v>0</v>
      </c>
      <c r="AH27" s="212">
        <f>IF(AG27=0,0,E27&amp;COUNTIF($AG$7:AG27,AG27))</f>
        <v>0</v>
      </c>
      <c r="AI27" s="212">
        <f t="shared" ref="AI27" si="205">IF($AD27=AI$6,$E27,0)</f>
        <v>0</v>
      </c>
      <c r="AJ27" s="212" t="b">
        <f>IF(AI27=0,FALSE,IF(COUNTIF(AI$7:AI27,AI27)&gt;1,TRUE,FALSE))</f>
        <v>0</v>
      </c>
      <c r="AK27" s="212">
        <f t="shared" ref="AK27" si="206">IF($AD27=AK$6,$E27,0)</f>
        <v>0</v>
      </c>
      <c r="AL27" s="212" t="b">
        <f>IF(AK27=0,FALSE,IF(COUNTIF(AK$7:AK27,AK27)&gt;1,TRUE,FALSE))</f>
        <v>0</v>
      </c>
      <c r="AM27" s="212">
        <f t="shared" ref="AM27" si="207">IF(COUNTIF(Y27,"*七種*")&gt;0,0,IF($AD27=AM$6,$E27,0))</f>
        <v>0</v>
      </c>
      <c r="AN27" s="212" t="b">
        <f>IF(AM27=0,FALSE,IF(COUNTIF(AM$7:AM27,AM27)&gt;1,TRUE,FALSE))</f>
        <v>0</v>
      </c>
      <c r="AO27" s="212">
        <f t="shared" ref="AO27" si="208">IF($AD27=AO$6,$E27,0)</f>
        <v>0</v>
      </c>
      <c r="AP27" s="212" t="b">
        <f>IF(AO27=0,FALSE,IF(COUNTIF(AO$7:AO27,AO27)&gt;1,TRUE,FALSE))</f>
        <v>0</v>
      </c>
      <c r="AQ27" s="212">
        <f t="shared" ref="AQ27" si="209">IF(COUNTIF(Y27,"*七種競技*")&gt;0,E27,0)</f>
        <v>0</v>
      </c>
      <c r="AR27" s="212" t="b">
        <f t="shared" si="6"/>
        <v>0</v>
      </c>
      <c r="AS27" s="212" t="b">
        <f t="shared" ref="AS27" si="210">IF(AND(C27="",E27&lt;&gt;"",F27&lt;&gt;"",E29&lt;&gt;"",G27&lt;&gt;"",G28&lt;&gt;"",G29&lt;&gt;""),TRUE,FALSE)</f>
        <v>0</v>
      </c>
      <c r="AT27" s="212" t="b">
        <f t="shared" si="9"/>
        <v>0</v>
      </c>
      <c r="AU27" s="212" t="b">
        <f>IFERROR(IF(E27&amp;F27&amp;E29&amp;G27&amp;G28&amp;G29&amp;J27&amp;J28&amp;J29&amp;J30&amp;L27&amp;L28&amp;L29&amp;L30&amp;M27&amp;M28&amp;M29&amp;M30&amp;P27&amp;P28&amp;P29&amp;P30&amp;Q27&amp;R27="",FALSE,TRUE),FALSE)</f>
        <v>0</v>
      </c>
      <c r="AV27" s="212" t="b">
        <f t="shared" ref="AV27" si="211">IF(AS27,FALSE,IF(C27="",AU27,FALSE))</f>
        <v>0</v>
      </c>
      <c r="AW27" s="212" t="b">
        <f t="shared" ref="AW27" si="212">IF(C27="",FALSE,IF(C27&lt;=2000,TRUE,FALSE))</f>
        <v>0</v>
      </c>
      <c r="AX27" s="274" t="b">
        <f>IF(H27=0,FALSE,IF(EXACT(基本情報!$E$5,H27)=TRUE,FALSE,TRUE))</f>
        <v>0</v>
      </c>
      <c r="AY27" s="212" t="b">
        <f>IF(C27="",FALSE,IF(ISNA(E27)=TRUE,TRUE,FALSE))</f>
        <v>0</v>
      </c>
      <c r="AZ27" s="274" t="b">
        <f>IFERROR(IF(E27="",FALSE,IF(COUNTIF($E$7:E27,E27)&gt;1,TRUE,FALSE)),FALSE)</f>
        <v>0</v>
      </c>
      <c r="BA27" s="212" t="b">
        <f t="shared" ref="BA27" si="213">IF(OR(J27&amp;J28&amp;J29&amp;J30&amp;Q27&amp;R27="",AT27,AT28,AT29,AT30),AU27,FALSE)</f>
        <v>0</v>
      </c>
      <c r="BB27" s="212" t="b">
        <f>IF(U27&gt;1,TRUE,FALSE)</f>
        <v>0</v>
      </c>
      <c r="BC27" s="212" t="b">
        <f>IF(X27&gt;1,TRUE,FALSE)</f>
        <v>0</v>
      </c>
      <c r="BD27" s="212" t="b">
        <f t="shared" si="4"/>
        <v>0</v>
      </c>
      <c r="BF27" s="212" t="b">
        <f t="shared" ref="BF27" si="214">IF(J27="",FALSE,IF(OR(AND(AU27,L27=""),AND(AU27,L27="",OR(M27&lt;&gt;"",N27&lt;&gt;"",O27&lt;&gt;"",P27&lt;&gt;""))),TRUE,FALSE))</f>
        <v>0</v>
      </c>
      <c r="BG27" s="212" t="b">
        <f t="shared" si="5"/>
        <v>0</v>
      </c>
      <c r="BH27" s="212" t="b">
        <f t="shared" si="7"/>
        <v>0</v>
      </c>
      <c r="BI27" s="212" t="b">
        <f t="shared" ref="BI27" si="215">IF(J27="",FALSE,IF(L27=0,FALSE,IF(AND(AU27,NOT(BF27),OR(M27="",N27="",O27="")),TRUE,FALSE)))</f>
        <v>0</v>
      </c>
      <c r="BJ27" s="231" t="b">
        <f t="shared" si="8"/>
        <v>0</v>
      </c>
      <c r="BK27" s="231" t="b">
        <f>IF(NOT(BJ27),FALSE,IF(AND(競技会設定!$C$5&lt;=BJ27,BJ27&lt;=競技会設定!$C$6),FALSE,TRUE))</f>
        <v>0</v>
      </c>
      <c r="BL27" s="212" t="b">
        <f>IF(J27="",FALSE,IF(L27=0,FALSE,IF(AND(AU27,NOT(BF27),NOT(BI27),P27=""),TRUE,FALSE)))</f>
        <v>0</v>
      </c>
      <c r="BO27" s="274">
        <f t="shared" ref="BO27" si="216">IF(AND(AU27,SUM(COUNTIF(AV27:BC27,TRUE),COUNTIF(BF27:BL30,TRUE),COUNTIF(BD27:BD30,TRUE))=0,NOT($BE$7)),1,0)</f>
        <v>0</v>
      </c>
    </row>
    <row r="28" spans="1:67" ht="17.399999999999999" customHeight="1">
      <c r="A28" s="462"/>
      <c r="B28" s="374"/>
      <c r="C28" s="376"/>
      <c r="D28" s="159"/>
      <c r="E28" s="465"/>
      <c r="F28" s="465"/>
      <c r="G28" s="159" t="str">
        <f>IF(C27="","",(VLOOKUP(D27,女子登録!$A$2:$N$2001,13,0)))</f>
        <v/>
      </c>
      <c r="H28" s="159"/>
      <c r="I28" s="159" t="s">
        <v>7061</v>
      </c>
      <c r="J28" s="175"/>
      <c r="K28" s="159" t="s">
        <v>7062</v>
      </c>
      <c r="L28" s="175"/>
      <c r="M28" s="264"/>
      <c r="N28" s="265"/>
      <c r="O28" s="266"/>
      <c r="P28" s="175"/>
      <c r="Q28" s="449"/>
      <c r="R28" s="409"/>
      <c r="S28" s="136"/>
      <c r="T28" s="137"/>
      <c r="U28" s="137"/>
      <c r="V28" s="137"/>
      <c r="W28" s="137"/>
      <c r="X28" s="137"/>
      <c r="Y28" s="212">
        <f t="shared" ref="Y28" si="217">IF(OR(E27="",J28=""),0,J28&amp;E27)</f>
        <v>0</v>
      </c>
      <c r="Z28" s="212">
        <f>IF(Y28=0,0,COUNTIF($Y$7:Y28,Y28))</f>
        <v>0</v>
      </c>
      <c r="AD28" s="212">
        <f>IFERROR(VLOOKUP(J28,競技会設定!$T$2:$W$22,2,0),0)</f>
        <v>0</v>
      </c>
      <c r="AE28" s="212">
        <f t="shared" ref="AE28" si="218">IF(E27="",0,IF(AD28=0,0,IF(AD28&lt;3,E27&amp;$AE$6,0)))</f>
        <v>0</v>
      </c>
      <c r="AF28" s="212">
        <f>IF(AE28=0,0,E27&amp;COUNTIF($AE$7:AE28,AE28))</f>
        <v>0</v>
      </c>
      <c r="AG28" s="212">
        <f t="shared" ref="AG28" si="219">IF(E27="",0,IF(AD28=0,0,IF(AD28&gt;=3,E27&amp;$AG$6,0)))</f>
        <v>0</v>
      </c>
      <c r="AH28" s="212">
        <f>IF(AG28=0,0,E27&amp;COUNTIF($AG$7:AG28,AG28))</f>
        <v>0</v>
      </c>
      <c r="AI28" s="212">
        <f t="shared" ref="AI28" si="220">IF($AD28=AI$6,$E27,0)</f>
        <v>0</v>
      </c>
      <c r="AJ28" s="212" t="b">
        <f>IF(AI28=0,FALSE,IF(COUNTIF(AI$7:AI28,AI28)&gt;1,TRUE,FALSE))</f>
        <v>0</v>
      </c>
      <c r="AK28" s="212">
        <f t="shared" ref="AK28" si="221">IF($AD28=AK$6,$E27,0)</f>
        <v>0</v>
      </c>
      <c r="AL28" s="212" t="b">
        <f>IF(AK28=0,FALSE,IF(COUNTIF(AK$7:AK28,AK28)&gt;1,TRUE,FALSE))</f>
        <v>0</v>
      </c>
      <c r="AM28" s="212">
        <f t="shared" ref="AM28" si="222">IF(COUNTIF(Y28,"*七種*")&gt;0,0,IF($AD28=AM$6,$E27,0))</f>
        <v>0</v>
      </c>
      <c r="AN28" s="212" t="b">
        <f>IF(AM28=0,FALSE,IF(COUNTIF(AM$7:AM28,AM28)&gt;1,TRUE,FALSE))</f>
        <v>0</v>
      </c>
      <c r="AO28" s="212">
        <f t="shared" ref="AO28" si="223">IF($AD28=AO$6,$E27,0)</f>
        <v>0</v>
      </c>
      <c r="AP28" s="212" t="b">
        <f>IF(AO28=0,FALSE,IF(COUNTIF(AO$7:AO28,AO28)&gt;1,TRUE,FALSE))</f>
        <v>0</v>
      </c>
      <c r="AQ28" s="212">
        <f t="shared" ref="AQ28" si="224">IF(COUNTIF(Y28,"*七種競技*")&gt;0,E27,0)</f>
        <v>0</v>
      </c>
      <c r="AR28" s="212" t="b">
        <f t="shared" si="6"/>
        <v>0</v>
      </c>
      <c r="AT28" s="212" t="b">
        <f t="shared" si="9"/>
        <v>0</v>
      </c>
      <c r="AX28" s="274"/>
      <c r="BD28" s="212" t="b">
        <f t="shared" si="4"/>
        <v>0</v>
      </c>
      <c r="BF28" s="212" t="b">
        <f t="shared" ref="BF28" si="225">IF(J28="",FALSE,IF(OR(AND(AU27,L28=""),AND(AU27,L28="",OR(M28&lt;&gt;"",N28&lt;&gt;"",O28&lt;&gt;"",P28&lt;&gt;""))),TRUE,FALSE))</f>
        <v>0</v>
      </c>
      <c r="BG28" s="212" t="b">
        <f t="shared" si="5"/>
        <v>0</v>
      </c>
      <c r="BH28" s="212" t="b">
        <f t="shared" si="7"/>
        <v>0</v>
      </c>
      <c r="BI28" s="212" t="b">
        <f t="shared" ref="BI28" si="226">IF(J28="",FALSE,IF(L28=0,FALSE,IF(AND(AU27,NOT(BF28),OR(M28="",N28="",O28="")),TRUE,FALSE)))</f>
        <v>0</v>
      </c>
      <c r="BJ28" s="231" t="b">
        <f t="shared" si="8"/>
        <v>0</v>
      </c>
      <c r="BK28" s="231" t="b">
        <f>IF(NOT(BJ28),FALSE,IF(AND(競技会設定!$C$5&lt;=BJ28,BJ28&lt;=競技会設定!$C$6),FALSE,TRUE))</f>
        <v>0</v>
      </c>
      <c r="BL28" s="212" t="b">
        <f>IF(J28="",FALSE,IF(L28=0,FALSE,IF(AND(AU27,NOT(BF28),NOT(BI28),P28=""),TRUE,FALSE)))</f>
        <v>0</v>
      </c>
    </row>
    <row r="29" spans="1:67" ht="17.399999999999999" customHeight="1">
      <c r="A29" s="462"/>
      <c r="B29" s="374"/>
      <c r="C29" s="376"/>
      <c r="D29" s="160"/>
      <c r="E29" s="452" t="str">
        <f>IF(C27="","",VLOOKUP(D27,女子登録!$A$2:$O$2001,14,0)&amp;" ("&amp;VLOOKUP(D27,女子登録!$A$2:$O$2001,15,0)&amp;")")</f>
        <v/>
      </c>
      <c r="F29" s="453"/>
      <c r="G29" s="160" t="str">
        <f>IF(C27="","",(VLOOKUP(D27,女子登録!$A$2:$N$2001,9,0)))</f>
        <v/>
      </c>
      <c r="H29" s="160"/>
      <c r="I29" s="160" t="s">
        <v>7063</v>
      </c>
      <c r="J29" s="176"/>
      <c r="K29" s="160" t="s">
        <v>7064</v>
      </c>
      <c r="L29" s="176"/>
      <c r="M29" s="264"/>
      <c r="N29" s="265"/>
      <c r="O29" s="266"/>
      <c r="P29" s="175"/>
      <c r="Q29" s="449"/>
      <c r="R29" s="409"/>
      <c r="S29" s="136"/>
      <c r="T29" s="137"/>
      <c r="U29" s="137"/>
      <c r="V29" s="137"/>
      <c r="W29" s="137"/>
      <c r="X29" s="137"/>
      <c r="Y29" s="212">
        <f t="shared" ref="Y29" si="227">IF(OR(E27="",J29=""),0,J29&amp;E27)</f>
        <v>0</v>
      </c>
      <c r="Z29" s="212">
        <f>IF(Y29=0,0,COUNTIF($Y$7:Y29,Y29))</f>
        <v>0</v>
      </c>
      <c r="AD29" s="212">
        <f>IFERROR(VLOOKUP(J29,競技会設定!$T$2:$W$22,2,0),0)</f>
        <v>0</v>
      </c>
      <c r="AE29" s="212">
        <f t="shared" ref="AE29" si="228">IF(E27="",0,IF(AD29=0,0,IF(AD29&lt;3,E27&amp;$AE$6,0)))</f>
        <v>0</v>
      </c>
      <c r="AF29" s="212">
        <f>IF(AE29=0,0,E27&amp;COUNTIF($AE$7:AE29,AE29))</f>
        <v>0</v>
      </c>
      <c r="AG29" s="212">
        <f t="shared" ref="AG29" si="229">IF(E27="",0,IF(AD29=0,0,IF(AD29&gt;=3,E27&amp;$AG$6,0)))</f>
        <v>0</v>
      </c>
      <c r="AH29" s="212">
        <f>IF(AG29=0,0,E27&amp;COUNTIF($AG$7:AG29,AG29))</f>
        <v>0</v>
      </c>
      <c r="AI29" s="212">
        <f t="shared" ref="AI29" si="230">IF($AD29=AI$6,$E27,0)</f>
        <v>0</v>
      </c>
      <c r="AJ29" s="212" t="b">
        <f>IF(AI29=0,FALSE,IF(COUNTIF(AI$7:AI29,AI29)&gt;1,TRUE,FALSE))</f>
        <v>0</v>
      </c>
      <c r="AK29" s="212">
        <f t="shared" ref="AK29" si="231">IF($AD29=AK$6,$E27,0)</f>
        <v>0</v>
      </c>
      <c r="AL29" s="212" t="b">
        <f>IF(AK29=0,FALSE,IF(COUNTIF(AK$7:AK29,AK29)&gt;1,TRUE,FALSE))</f>
        <v>0</v>
      </c>
      <c r="AM29" s="212">
        <f t="shared" ref="AM29" si="232">IF(COUNTIF(Y29,"*七種*")&gt;0,0,IF($AD29=AM$6,$E27,0))</f>
        <v>0</v>
      </c>
      <c r="AN29" s="212" t="b">
        <f>IF(AM29=0,FALSE,IF(COUNTIF(AM$7:AM29,AM29)&gt;1,TRUE,FALSE))</f>
        <v>0</v>
      </c>
      <c r="AO29" s="212">
        <f t="shared" ref="AO29" si="233">IF($AD29=AO$6,$E27,0)</f>
        <v>0</v>
      </c>
      <c r="AP29" s="212" t="b">
        <f>IF(AO29=0,FALSE,IF(COUNTIF(AO$7:AO29,AO29)&gt;1,TRUE,FALSE))</f>
        <v>0</v>
      </c>
      <c r="AQ29" s="212">
        <f t="shared" ref="AQ29" si="234">IF(COUNTIF(Y29,"*七種競技*")&gt;0,E27,0)</f>
        <v>0</v>
      </c>
      <c r="AR29" s="212" t="b">
        <f t="shared" si="6"/>
        <v>0</v>
      </c>
      <c r="AT29" s="212" t="b">
        <f t="shared" si="9"/>
        <v>0</v>
      </c>
      <c r="AX29" s="274"/>
      <c r="BD29" s="212" t="b">
        <f t="shared" si="4"/>
        <v>0</v>
      </c>
      <c r="BF29" s="212" t="b">
        <f t="shared" ref="BF29" si="235">IF(J29="",FALSE,IF(OR(AND(AU27,L29=""),AND(AU27,L29="",OR(M29&lt;&gt;"",N29&lt;&gt;"",O29&lt;&gt;"",P29&lt;&gt;""))),TRUE,FALSE))</f>
        <v>0</v>
      </c>
      <c r="BG29" s="212" t="b">
        <f t="shared" si="5"/>
        <v>0</v>
      </c>
      <c r="BH29" s="212" t="b">
        <f t="shared" si="7"/>
        <v>0</v>
      </c>
      <c r="BI29" s="212" t="b">
        <f t="shared" ref="BI29" si="236">IF(J29="",FALSE,IF(L29=0,FALSE,IF(AND(AU27,NOT(BF29),OR(M29="",N29="",O29="")),TRUE,FALSE)))</f>
        <v>0</v>
      </c>
      <c r="BJ29" s="231" t="b">
        <f t="shared" si="8"/>
        <v>0</v>
      </c>
      <c r="BK29" s="231" t="b">
        <f>IF(NOT(BJ29),FALSE,IF(AND(競技会設定!$C$5&lt;=BJ29,BJ29&lt;=競技会設定!$C$6),FALSE,TRUE))</f>
        <v>0</v>
      </c>
      <c r="BL29" s="212" t="b">
        <f>IF(J29="",FALSE,IF(L29=0,FALSE,IF(AND(AU27,NOT(BF29),NOT(BI29),P29=""),TRUE,FALSE)))</f>
        <v>0</v>
      </c>
    </row>
    <row r="30" spans="1:67" ht="18" customHeight="1" thickBot="1">
      <c r="A30" s="475"/>
      <c r="B30" s="387" t="s">
        <v>7051</v>
      </c>
      <c r="C30" s="387"/>
      <c r="D30" s="161"/>
      <c r="E30" s="467"/>
      <c r="F30" s="468"/>
      <c r="G30" s="469"/>
      <c r="H30" s="162"/>
      <c r="I30" s="161" t="s">
        <v>7065</v>
      </c>
      <c r="J30" s="177"/>
      <c r="K30" s="161" t="s">
        <v>7066</v>
      </c>
      <c r="L30" s="177"/>
      <c r="M30" s="267"/>
      <c r="N30" s="268"/>
      <c r="O30" s="269"/>
      <c r="P30" s="177"/>
      <c r="Q30" s="466"/>
      <c r="R30" s="410"/>
      <c r="S30" s="136"/>
      <c r="T30" s="137"/>
      <c r="U30" s="137"/>
      <c r="V30" s="137"/>
      <c r="W30" s="137"/>
      <c r="X30" s="137"/>
      <c r="Y30" s="212">
        <f t="shared" ref="Y30" si="237">IF(OR(E27="",J30=""),0,J30&amp;E27)</f>
        <v>0</v>
      </c>
      <c r="Z30" s="212">
        <f>IF(Y30=0,0,COUNTIF($Y$7:Y30,Y30))</f>
        <v>0</v>
      </c>
      <c r="AD30" s="212">
        <f>IFERROR(VLOOKUP(J30,競技会設定!$T$2:$W$22,2,0),0)</f>
        <v>0</v>
      </c>
      <c r="AE30" s="212">
        <f t="shared" ref="AE30" si="238">IF(E27="",0,IF(AD30=0,0,IF(AD30&lt;3,E27&amp;$AE$6,0)))</f>
        <v>0</v>
      </c>
      <c r="AF30" s="212">
        <f>IF(AE30=0,0,E27&amp;COUNTIF($AE$7:AE30,AE30))</f>
        <v>0</v>
      </c>
      <c r="AG30" s="212">
        <f t="shared" ref="AG30" si="239">IF(E27="",0,IF(AD30=0,0,IF(AD30&gt;=3,E27&amp;$AG$6,0)))</f>
        <v>0</v>
      </c>
      <c r="AH30" s="212">
        <f>IF(AG30=0,0,E27&amp;COUNTIF($AG$7:AG30,AG30))</f>
        <v>0</v>
      </c>
      <c r="AI30" s="212">
        <f t="shared" ref="AI30" si="240">IF($AD30=AI$6,$E27,0)</f>
        <v>0</v>
      </c>
      <c r="AJ30" s="212" t="b">
        <f>IF(AI30=0,FALSE,IF(COUNTIF(AI$7:AI30,AI30)&gt;1,TRUE,FALSE))</f>
        <v>0</v>
      </c>
      <c r="AK30" s="212">
        <f t="shared" ref="AK30" si="241">IF($AD30=AK$6,$E27,0)</f>
        <v>0</v>
      </c>
      <c r="AL30" s="212" t="b">
        <f>IF(AK30=0,FALSE,IF(COUNTIF(AK$7:AK30,AK30)&gt;1,TRUE,FALSE))</f>
        <v>0</v>
      </c>
      <c r="AM30" s="212">
        <f t="shared" ref="AM30" si="242">IF(COUNTIF(Y30,"*七種*")&gt;0,0,IF($AD30=AM$6,$E27,0))</f>
        <v>0</v>
      </c>
      <c r="AN30" s="212" t="b">
        <f>IF(AM30=0,FALSE,IF(COUNTIF(AM$7:AM30,AM30)&gt;1,TRUE,FALSE))</f>
        <v>0</v>
      </c>
      <c r="AO30" s="212">
        <f t="shared" ref="AO30" si="243">IF($AD30=AO$6,$E27,0)</f>
        <v>0</v>
      </c>
      <c r="AP30" s="212" t="b">
        <f>IF(AO30=0,FALSE,IF(COUNTIF(AO$7:AO30,AO30)&gt;1,TRUE,FALSE))</f>
        <v>0</v>
      </c>
      <c r="AQ30" s="212">
        <f t="shared" ref="AQ30" si="244">IF(COUNTIF(Y30,"*七種競技*")&gt;0,E27,0)</f>
        <v>0</v>
      </c>
      <c r="AR30" s="212" t="b">
        <f t="shared" si="6"/>
        <v>0</v>
      </c>
      <c r="AT30" s="212" t="b">
        <f t="shared" si="9"/>
        <v>0</v>
      </c>
      <c r="AX30" s="274"/>
      <c r="BD30" s="212" t="b">
        <f t="shared" si="4"/>
        <v>0</v>
      </c>
      <c r="BF30" s="212" t="b">
        <f t="shared" ref="BF30" si="245">IF(J30="",FALSE,IF(OR(AND(AU27,L30=""),AND(AU27,L30="",OR(M30&lt;&gt;"",N30&lt;&gt;"",O30&lt;&gt;"",P30&lt;&gt;""))),TRUE,FALSE))</f>
        <v>0</v>
      </c>
      <c r="BG30" s="212" t="b">
        <f t="shared" si="5"/>
        <v>0</v>
      </c>
      <c r="BH30" s="212" t="b">
        <f t="shared" si="7"/>
        <v>0</v>
      </c>
      <c r="BI30" s="212" t="b">
        <f t="shared" ref="BI30" si="246">IF(J30="",FALSE,IF(L30=0,FALSE,IF(AND(AU27,NOT(BF30),OR(M30="",N30="",O30="")),TRUE,FALSE)))</f>
        <v>0</v>
      </c>
      <c r="BJ30" s="231" t="b">
        <f t="shared" si="8"/>
        <v>0</v>
      </c>
      <c r="BK30" s="231" t="b">
        <f>IF(NOT(BJ30),FALSE,IF(AND(競技会設定!$C$5&lt;=BJ30,BJ30&lt;=競技会設定!$C$6),FALSE,TRUE))</f>
        <v>0</v>
      </c>
      <c r="BL30" s="212" t="b">
        <f>IF(J30="",FALSE,IF(L30=0,FALSE,IF(AND(AU27,NOT(BF30),NOT(BI30),P30=""),TRUE,FALSE)))</f>
        <v>0</v>
      </c>
    </row>
    <row r="31" spans="1:67" ht="18" customHeight="1" thickTop="1">
      <c r="A31" s="470">
        <v>7</v>
      </c>
      <c r="B31" s="401" t="s">
        <v>7050</v>
      </c>
      <c r="C31" s="403"/>
      <c r="D31" s="156" t="str">
        <f t="shared" ref="D31" si="247">IF(C31="","",502&amp;TEXT(C31,"000000"))</f>
        <v/>
      </c>
      <c r="E31" s="473" t="str">
        <f>IF(D31="","",(VLOOKUP(D31,女子登録!$A$2:$N$2001,3,0)))</f>
        <v/>
      </c>
      <c r="F31" s="473" t="str">
        <f>IF(D31="","",(VLOOKUP(D31,女子登録!$A$2:$N$2001,4,0)))</f>
        <v/>
      </c>
      <c r="G31" s="156" t="str">
        <f>IF(C31="","",(VLOOKUP(D31,女子登録!$A$2:$N$2001,8,0)))</f>
        <v/>
      </c>
      <c r="H31" s="156">
        <f>IFERROR(VLOOKUP(D31,女子登録!$A$2:$N$2001,11,0),基本情報!$E$5)</f>
        <v>0</v>
      </c>
      <c r="I31" s="156" t="s">
        <v>7059</v>
      </c>
      <c r="J31" s="170"/>
      <c r="K31" s="156" t="s">
        <v>7060</v>
      </c>
      <c r="L31" s="170"/>
      <c r="M31" s="252"/>
      <c r="N31" s="253"/>
      <c r="O31" s="254"/>
      <c r="P31" s="170"/>
      <c r="Q31" s="457"/>
      <c r="R31" s="414"/>
      <c r="S31" s="136">
        <f t="shared" ref="S31" si="248">IF(OR(E31="",Q31=""),0,E31)</f>
        <v>0</v>
      </c>
      <c r="T31" s="137">
        <f>IF(S31=0,0,COUNTIF($S$7:S31,"*"))</f>
        <v>0</v>
      </c>
      <c r="U31" s="137">
        <f>IF(S31=0,0,COUNTIF($S$7:S31,S31))</f>
        <v>0</v>
      </c>
      <c r="V31" s="137">
        <f t="shared" si="201"/>
        <v>0</v>
      </c>
      <c r="W31" s="137">
        <f>IF(V31=0,0,COUNTIF($V$7:V31,"*"))</f>
        <v>0</v>
      </c>
      <c r="X31" s="137">
        <f>IF(V31=0,0,COUNTIF($V$7:V31,V31))</f>
        <v>0</v>
      </c>
      <c r="Y31" s="212">
        <f t="shared" ref="Y31" si="249">IF(OR(E31="",J31=""),0,J31&amp;E31)</f>
        <v>0</v>
      </c>
      <c r="Z31" s="212">
        <f>IF(Y31=0,0,COUNTIF($Y$7:Y31,Y31))</f>
        <v>0</v>
      </c>
      <c r="AA31" s="212" t="b">
        <f>IF(COUNTIF(J31:J34,"七種競技")&gt;0,TRUE,FALSE)</f>
        <v>0</v>
      </c>
      <c r="AB31" s="212">
        <f>IF(E31="",0,IF(AA31,COUNTIF($AA$7:AA31,TRUE),0))</f>
        <v>0</v>
      </c>
      <c r="AC31" s="212">
        <f>IFERROR(VLOOKUP("七種競技",J31:L34,3,0),0)</f>
        <v>0</v>
      </c>
      <c r="AD31" s="212">
        <f>IFERROR(VLOOKUP(J31,競技会設定!$T$2:$W$22,2,0),0)</f>
        <v>0</v>
      </c>
      <c r="AE31" s="212">
        <f t="shared" ref="AE31" si="250">IF(E31="",0,IF(AD31=0,0,IF(AD31&lt;3,E31&amp;$AE$6,0)))</f>
        <v>0</v>
      </c>
      <c r="AF31" s="212">
        <f>IF(AE31=0,0,E31&amp;COUNTIF($AE$7:AE31,AE31))</f>
        <v>0</v>
      </c>
      <c r="AG31" s="212">
        <f t="shared" ref="AG31" si="251">IF(E31="",0,IF(AD31=0,0,IF(AD31&gt;=3,E31&amp;$AG$6,0)))</f>
        <v>0</v>
      </c>
      <c r="AH31" s="212">
        <f>IF(AG31=0,0,E31&amp;COUNTIF($AG$7:AG31,AG31))</f>
        <v>0</v>
      </c>
      <c r="AI31" s="212">
        <f t="shared" ref="AI31" si="252">IF($AD31=AI$6,$E31,0)</f>
        <v>0</v>
      </c>
      <c r="AJ31" s="212" t="b">
        <f>IF(AI31=0,FALSE,IF(COUNTIF(AI$7:AI31,AI31)&gt;1,TRUE,FALSE))</f>
        <v>0</v>
      </c>
      <c r="AK31" s="212">
        <f t="shared" ref="AK31" si="253">IF($AD31=AK$6,$E31,0)</f>
        <v>0</v>
      </c>
      <c r="AL31" s="212" t="b">
        <f>IF(AK31=0,FALSE,IF(COUNTIF(AK$7:AK31,AK31)&gt;1,TRUE,FALSE))</f>
        <v>0</v>
      </c>
      <c r="AM31" s="212">
        <f t="shared" ref="AM31" si="254">IF(COUNTIF(Y31,"*七種*")&gt;0,0,IF($AD31=AM$6,$E31,0))</f>
        <v>0</v>
      </c>
      <c r="AN31" s="212" t="b">
        <f>IF(AM31=0,FALSE,IF(COUNTIF(AM$7:AM31,AM31)&gt;1,TRUE,FALSE))</f>
        <v>0</v>
      </c>
      <c r="AO31" s="212">
        <f t="shared" ref="AO31" si="255">IF($AD31=AO$6,$E31,0)</f>
        <v>0</v>
      </c>
      <c r="AP31" s="212" t="b">
        <f>IF(AO31=0,FALSE,IF(COUNTIF(AO$7:AO31,AO31)&gt;1,TRUE,FALSE))</f>
        <v>0</v>
      </c>
      <c r="AQ31" s="212">
        <f t="shared" ref="AQ31" si="256">IF(COUNTIF(Y31,"*七種競技*")&gt;0,E31,0)</f>
        <v>0</v>
      </c>
      <c r="AR31" s="212" t="b">
        <f t="shared" si="6"/>
        <v>0</v>
      </c>
      <c r="AS31" s="212" t="b">
        <f t="shared" ref="AS31" si="257">IF(AND(C31="",E31&lt;&gt;"",F31&lt;&gt;"",E33&lt;&gt;"",G31&lt;&gt;"",G32&lt;&gt;"",G33&lt;&gt;""),TRUE,FALSE)</f>
        <v>0</v>
      </c>
      <c r="AT31" s="212" t="b">
        <f t="shared" si="9"/>
        <v>0</v>
      </c>
      <c r="AU31" s="212" t="b">
        <f>IFERROR(IF(E31&amp;F31&amp;E33&amp;G31&amp;G32&amp;G33&amp;J31&amp;J32&amp;J33&amp;J34&amp;L31&amp;L32&amp;L33&amp;L34&amp;M31&amp;M32&amp;M33&amp;M34&amp;P31&amp;P32&amp;P33&amp;P34&amp;Q31&amp;R31="",FALSE,TRUE),FALSE)</f>
        <v>0</v>
      </c>
      <c r="AV31" s="212" t="b">
        <f t="shared" ref="AV31" si="258">IF(AS31,FALSE,IF(C31="",AU31,FALSE))</f>
        <v>0</v>
      </c>
      <c r="AW31" s="212" t="b">
        <f t="shared" ref="AW31" si="259">IF(C31="",FALSE,IF(C31&lt;=2000,TRUE,FALSE))</f>
        <v>0</v>
      </c>
      <c r="AX31" s="274" t="b">
        <f>IF(H31=0,FALSE,IF(EXACT(基本情報!$E$5,H31)=TRUE,FALSE,TRUE))</f>
        <v>0</v>
      </c>
      <c r="AY31" s="212" t="b">
        <f>IF(C31="",FALSE,IF(ISNA(E31)=TRUE,TRUE,FALSE))</f>
        <v>0</v>
      </c>
      <c r="AZ31" s="274" t="b">
        <f>IFERROR(IF(E31="",FALSE,IF(COUNTIF($E$7:E31,E31)&gt;1,TRUE,FALSE)),FALSE)</f>
        <v>0</v>
      </c>
      <c r="BA31" s="212" t="b">
        <f t="shared" ref="BA31" si="260">IF(OR(J31&amp;J32&amp;J33&amp;J34&amp;Q31&amp;R31="",AT31,AT32,AT33,AT34),AU31,FALSE)</f>
        <v>0</v>
      </c>
      <c r="BB31" s="212" t="b">
        <f>IF(U31&gt;1,TRUE,FALSE)</f>
        <v>0</v>
      </c>
      <c r="BC31" s="212" t="b">
        <f>IF(X31&gt;1,TRUE,FALSE)</f>
        <v>0</v>
      </c>
      <c r="BD31" s="212" t="b">
        <f t="shared" si="4"/>
        <v>0</v>
      </c>
      <c r="BF31" s="212" t="b">
        <f t="shared" ref="BF31" si="261">IF(J31="",FALSE,IF(OR(AND(AU31,L31=""),AND(AU31,L31="",OR(M31&lt;&gt;"",N31&lt;&gt;"",O31&lt;&gt;"",P31&lt;&gt;""))),TRUE,FALSE))</f>
        <v>0</v>
      </c>
      <c r="BG31" s="212" t="b">
        <f t="shared" si="5"/>
        <v>0</v>
      </c>
      <c r="BH31" s="212" t="b">
        <f t="shared" si="7"/>
        <v>0</v>
      </c>
      <c r="BI31" s="212" t="b">
        <f t="shared" ref="BI31" si="262">IF(J31="",FALSE,IF(L31=0,FALSE,IF(AND(AU31,NOT(BF31),OR(M31="",N31="",O31="")),TRUE,FALSE)))</f>
        <v>0</v>
      </c>
      <c r="BJ31" s="231" t="b">
        <f t="shared" si="8"/>
        <v>0</v>
      </c>
      <c r="BK31" s="231" t="b">
        <f>IF(NOT(BJ31),FALSE,IF(AND(競技会設定!$C$5&lt;=BJ31,BJ31&lt;=競技会設定!$C$6),FALSE,TRUE))</f>
        <v>0</v>
      </c>
      <c r="BL31" s="212" t="b">
        <f>IF(J31="",FALSE,IF(L31=0,FALSE,IF(AND(AU31,NOT(BF31),NOT(BI31),P31=""),TRUE,FALSE)))</f>
        <v>0</v>
      </c>
      <c r="BO31" s="274">
        <f t="shared" ref="BO31" si="263">IF(AND(AU31,SUM(COUNTIF(AV31:BC31,TRUE),COUNTIF(BF31:BL34,TRUE),COUNTIF(BD31:BD34,TRUE))=0,NOT($BE$7)),1,0)</f>
        <v>0</v>
      </c>
    </row>
    <row r="32" spans="1:67" ht="17.399999999999999" customHeight="1">
      <c r="A32" s="471"/>
      <c r="B32" s="402"/>
      <c r="C32" s="404"/>
      <c r="D32" s="11"/>
      <c r="E32" s="474"/>
      <c r="F32" s="474"/>
      <c r="G32" s="11" t="str">
        <f>IF(C31="","",(VLOOKUP(D31,女子登録!$A$2:$N$2001,13,0)))</f>
        <v/>
      </c>
      <c r="H32" s="11"/>
      <c r="I32" s="11" t="s">
        <v>7061</v>
      </c>
      <c r="J32" s="171"/>
      <c r="K32" s="11" t="s">
        <v>7062</v>
      </c>
      <c r="L32" s="171"/>
      <c r="M32" s="255"/>
      <c r="N32" s="256"/>
      <c r="O32" s="257"/>
      <c r="P32" s="171"/>
      <c r="Q32" s="458"/>
      <c r="R32" s="415"/>
      <c r="S32" s="136"/>
      <c r="T32" s="137"/>
      <c r="U32" s="137"/>
      <c r="V32" s="137"/>
      <c r="W32" s="137"/>
      <c r="X32" s="137"/>
      <c r="Y32" s="212">
        <f t="shared" ref="Y32" si="264">IF(OR(E31="",J32=""),0,J32&amp;E31)</f>
        <v>0</v>
      </c>
      <c r="Z32" s="212">
        <f>IF(Y32=0,0,COUNTIF($Y$7:Y32,Y32))</f>
        <v>0</v>
      </c>
      <c r="AD32" s="212">
        <f>IFERROR(VLOOKUP(J32,競技会設定!$T$2:$W$22,2,0),0)</f>
        <v>0</v>
      </c>
      <c r="AE32" s="212">
        <f t="shared" ref="AE32" si="265">IF(E31="",0,IF(AD32=0,0,IF(AD32&lt;3,E31&amp;$AE$6,0)))</f>
        <v>0</v>
      </c>
      <c r="AF32" s="212">
        <f>IF(AE32=0,0,E31&amp;COUNTIF($AE$7:AE32,AE32))</f>
        <v>0</v>
      </c>
      <c r="AG32" s="212">
        <f t="shared" ref="AG32" si="266">IF(E31="",0,IF(AD32=0,0,IF(AD32&gt;=3,E31&amp;$AG$6,0)))</f>
        <v>0</v>
      </c>
      <c r="AH32" s="212">
        <f>IF(AG32=0,0,E31&amp;COUNTIF($AG$7:AG32,AG32))</f>
        <v>0</v>
      </c>
      <c r="AI32" s="212">
        <f t="shared" ref="AI32" si="267">IF($AD32=AI$6,$E31,0)</f>
        <v>0</v>
      </c>
      <c r="AJ32" s="212" t="b">
        <f>IF(AI32=0,FALSE,IF(COUNTIF(AI$7:AI32,AI32)&gt;1,TRUE,FALSE))</f>
        <v>0</v>
      </c>
      <c r="AK32" s="212">
        <f t="shared" ref="AK32" si="268">IF($AD32=AK$6,$E31,0)</f>
        <v>0</v>
      </c>
      <c r="AL32" s="212" t="b">
        <f>IF(AK32=0,FALSE,IF(COUNTIF(AK$7:AK32,AK32)&gt;1,TRUE,FALSE))</f>
        <v>0</v>
      </c>
      <c r="AM32" s="212">
        <f t="shared" ref="AM32" si="269">IF(COUNTIF(Y32,"*七種*")&gt;0,0,IF($AD32=AM$6,$E31,0))</f>
        <v>0</v>
      </c>
      <c r="AN32" s="212" t="b">
        <f>IF(AM32=0,FALSE,IF(COUNTIF(AM$7:AM32,AM32)&gt;1,TRUE,FALSE))</f>
        <v>0</v>
      </c>
      <c r="AO32" s="212">
        <f t="shared" ref="AO32" si="270">IF($AD32=AO$6,$E31,0)</f>
        <v>0</v>
      </c>
      <c r="AP32" s="212" t="b">
        <f>IF(AO32=0,FALSE,IF(COUNTIF(AO$7:AO32,AO32)&gt;1,TRUE,FALSE))</f>
        <v>0</v>
      </c>
      <c r="AQ32" s="212">
        <f t="shared" ref="AQ32" si="271">IF(COUNTIF(Y32,"*七種競技*")&gt;0,E31,0)</f>
        <v>0</v>
      </c>
      <c r="AR32" s="212" t="b">
        <f t="shared" si="6"/>
        <v>0</v>
      </c>
      <c r="AT32" s="212" t="b">
        <f t="shared" si="9"/>
        <v>0</v>
      </c>
      <c r="AX32" s="274"/>
      <c r="BD32" s="212" t="b">
        <f t="shared" si="4"/>
        <v>0</v>
      </c>
      <c r="BF32" s="212" t="b">
        <f t="shared" ref="BF32" si="272">IF(J32="",FALSE,IF(OR(AND(AU31,L32=""),AND(AU31,L32="",OR(M32&lt;&gt;"",N32&lt;&gt;"",O32&lt;&gt;"",P32&lt;&gt;""))),TRUE,FALSE))</f>
        <v>0</v>
      </c>
      <c r="BG32" s="212" t="b">
        <f t="shared" si="5"/>
        <v>0</v>
      </c>
      <c r="BH32" s="212" t="b">
        <f t="shared" si="7"/>
        <v>0</v>
      </c>
      <c r="BI32" s="212" t="b">
        <f t="shared" ref="BI32" si="273">IF(J32="",FALSE,IF(L32=0,FALSE,IF(AND(AU31,NOT(BF32),OR(M32="",N32="",O32="")),TRUE,FALSE)))</f>
        <v>0</v>
      </c>
      <c r="BJ32" s="231" t="b">
        <f t="shared" si="8"/>
        <v>0</v>
      </c>
      <c r="BK32" s="231" t="b">
        <f>IF(NOT(BJ32),FALSE,IF(AND(競技会設定!$C$5&lt;=BJ32,BJ32&lt;=競技会設定!$C$6),FALSE,TRUE))</f>
        <v>0</v>
      </c>
      <c r="BL32" s="212" t="b">
        <f>IF(J32="",FALSE,IF(L32=0,FALSE,IF(AND(AU31,NOT(BF32),NOT(BI32),P32=""),TRUE,FALSE)))</f>
        <v>0</v>
      </c>
    </row>
    <row r="33" spans="1:67" ht="17.399999999999999" customHeight="1">
      <c r="A33" s="471"/>
      <c r="B33" s="402"/>
      <c r="C33" s="404"/>
      <c r="D33" s="11"/>
      <c r="E33" s="348" t="str">
        <f>IF(C31="","",VLOOKUP(D31,女子登録!$A$2:$O$2001,14,0)&amp;" ("&amp;VLOOKUP(D31,女子登録!$A$2:$O$2001,15,0)&amp;")")</f>
        <v/>
      </c>
      <c r="F33" s="348"/>
      <c r="G33" s="13" t="str">
        <f>IF(C31="","",(VLOOKUP(D31,女子登録!$A$2:$N$2001,9,0)))</f>
        <v/>
      </c>
      <c r="H33" s="13"/>
      <c r="I33" s="13" t="s">
        <v>7063</v>
      </c>
      <c r="J33" s="172"/>
      <c r="K33" s="13" t="s">
        <v>7064</v>
      </c>
      <c r="L33" s="172"/>
      <c r="M33" s="255"/>
      <c r="N33" s="256"/>
      <c r="O33" s="257"/>
      <c r="P33" s="171"/>
      <c r="Q33" s="458"/>
      <c r="R33" s="415"/>
      <c r="S33" s="136"/>
      <c r="T33" s="137"/>
      <c r="U33" s="137"/>
      <c r="V33" s="137"/>
      <c r="W33" s="137"/>
      <c r="X33" s="137"/>
      <c r="Y33" s="212">
        <f t="shared" ref="Y33" si="274">IF(OR(E31="",J33=""),0,J33&amp;E31)</f>
        <v>0</v>
      </c>
      <c r="Z33" s="212">
        <f>IF(Y33=0,0,COUNTIF($Y$7:Y33,Y33))</f>
        <v>0</v>
      </c>
      <c r="AD33" s="212">
        <f>IFERROR(VLOOKUP(J33,競技会設定!$T$2:$W$22,2,0),0)</f>
        <v>0</v>
      </c>
      <c r="AE33" s="212">
        <f t="shared" ref="AE33" si="275">IF(E31="",0,IF(AD33=0,0,IF(AD33&lt;3,E31&amp;$AE$6,0)))</f>
        <v>0</v>
      </c>
      <c r="AF33" s="212">
        <f>IF(AE33=0,0,E31&amp;COUNTIF($AE$7:AE33,AE33))</f>
        <v>0</v>
      </c>
      <c r="AG33" s="212">
        <f t="shared" ref="AG33" si="276">IF(E31="",0,IF(AD33=0,0,IF(AD33&gt;=3,E31&amp;$AG$6,0)))</f>
        <v>0</v>
      </c>
      <c r="AH33" s="212">
        <f>IF(AG33=0,0,E31&amp;COUNTIF($AG$7:AG33,AG33))</f>
        <v>0</v>
      </c>
      <c r="AI33" s="212">
        <f t="shared" ref="AI33" si="277">IF($AD33=AI$6,$E31,0)</f>
        <v>0</v>
      </c>
      <c r="AJ33" s="212" t="b">
        <f>IF(AI33=0,FALSE,IF(COUNTIF(AI$7:AI33,AI33)&gt;1,TRUE,FALSE))</f>
        <v>0</v>
      </c>
      <c r="AK33" s="212">
        <f t="shared" ref="AK33" si="278">IF($AD33=AK$6,$E31,0)</f>
        <v>0</v>
      </c>
      <c r="AL33" s="212" t="b">
        <f>IF(AK33=0,FALSE,IF(COUNTIF(AK$7:AK33,AK33)&gt;1,TRUE,FALSE))</f>
        <v>0</v>
      </c>
      <c r="AM33" s="212">
        <f t="shared" ref="AM33" si="279">IF(COUNTIF(Y33,"*七種*")&gt;0,0,IF($AD33=AM$6,$E31,0))</f>
        <v>0</v>
      </c>
      <c r="AN33" s="212" t="b">
        <f>IF(AM33=0,FALSE,IF(COUNTIF(AM$7:AM33,AM33)&gt;1,TRUE,FALSE))</f>
        <v>0</v>
      </c>
      <c r="AO33" s="212">
        <f t="shared" ref="AO33" si="280">IF($AD33=AO$6,$E31,0)</f>
        <v>0</v>
      </c>
      <c r="AP33" s="212" t="b">
        <f>IF(AO33=0,FALSE,IF(COUNTIF(AO$7:AO33,AO33)&gt;1,TRUE,FALSE))</f>
        <v>0</v>
      </c>
      <c r="AQ33" s="212">
        <f t="shared" ref="AQ33" si="281">IF(COUNTIF(Y33,"*七種競技*")&gt;0,E31,0)</f>
        <v>0</v>
      </c>
      <c r="AR33" s="212" t="b">
        <f t="shared" si="6"/>
        <v>0</v>
      </c>
      <c r="AT33" s="212" t="b">
        <f t="shared" si="9"/>
        <v>0</v>
      </c>
      <c r="AX33" s="274"/>
      <c r="BD33" s="212" t="b">
        <f t="shared" si="4"/>
        <v>0</v>
      </c>
      <c r="BF33" s="212" t="b">
        <f t="shared" ref="BF33" si="282">IF(J33="",FALSE,IF(OR(AND(AU31,L33=""),AND(AU31,L33="",OR(M33&lt;&gt;"",N33&lt;&gt;"",O33&lt;&gt;"",P33&lt;&gt;""))),TRUE,FALSE))</f>
        <v>0</v>
      </c>
      <c r="BG33" s="212" t="b">
        <f t="shared" si="5"/>
        <v>0</v>
      </c>
      <c r="BH33" s="212" t="b">
        <f t="shared" si="7"/>
        <v>0</v>
      </c>
      <c r="BI33" s="212" t="b">
        <f t="shared" ref="BI33" si="283">IF(J33="",FALSE,IF(L33=0,FALSE,IF(AND(AU31,NOT(BF33),OR(M33="",N33="",O33="")),TRUE,FALSE)))</f>
        <v>0</v>
      </c>
      <c r="BJ33" s="231" t="b">
        <f t="shared" si="8"/>
        <v>0</v>
      </c>
      <c r="BK33" s="231" t="b">
        <f>IF(NOT(BJ33),FALSE,IF(AND(競技会設定!$C$5&lt;=BJ33,BJ33&lt;=競技会設定!$C$6),FALSE,TRUE))</f>
        <v>0</v>
      </c>
      <c r="BL33" s="212" t="b">
        <f>IF(J33="",FALSE,IF(L33=0,FALSE,IF(AND(AU31,NOT(BF33),NOT(BI33),P33=""),TRUE,FALSE)))</f>
        <v>0</v>
      </c>
    </row>
    <row r="34" spans="1:67" ht="18" customHeight="1" thickBot="1">
      <c r="A34" s="472"/>
      <c r="B34" s="395" t="s">
        <v>7051</v>
      </c>
      <c r="C34" s="395"/>
      <c r="D34" s="11"/>
      <c r="E34" s="460"/>
      <c r="F34" s="460"/>
      <c r="G34" s="460"/>
      <c r="H34" s="157"/>
      <c r="I34" s="157" t="s">
        <v>7065</v>
      </c>
      <c r="J34" s="307"/>
      <c r="K34" s="157" t="s">
        <v>7066</v>
      </c>
      <c r="L34" s="173"/>
      <c r="M34" s="258"/>
      <c r="N34" s="259"/>
      <c r="O34" s="260"/>
      <c r="P34" s="307"/>
      <c r="Q34" s="459"/>
      <c r="R34" s="416"/>
      <c r="S34" s="136"/>
      <c r="T34" s="137"/>
      <c r="U34" s="137"/>
      <c r="V34" s="137"/>
      <c r="W34" s="137"/>
      <c r="X34" s="137"/>
      <c r="Y34" s="212">
        <f t="shared" ref="Y34" si="284">IF(OR(E31="",J34=""),0,J34&amp;E31)</f>
        <v>0</v>
      </c>
      <c r="Z34" s="212">
        <f>IF(Y34=0,0,COUNTIF($Y$7:Y34,Y34))</f>
        <v>0</v>
      </c>
      <c r="AD34" s="212">
        <f>IFERROR(VLOOKUP(J34,競技会設定!$T$2:$W$22,2,0),0)</f>
        <v>0</v>
      </c>
      <c r="AE34" s="212">
        <f t="shared" ref="AE34" si="285">IF(E31="",0,IF(AD34=0,0,IF(AD34&lt;3,E31&amp;$AE$6,0)))</f>
        <v>0</v>
      </c>
      <c r="AF34" s="212">
        <f>IF(AE34=0,0,E31&amp;COUNTIF($AE$7:AE34,AE34))</f>
        <v>0</v>
      </c>
      <c r="AG34" s="212">
        <f t="shared" ref="AG34" si="286">IF(E31="",0,IF(AD34=0,0,IF(AD34&gt;=3,E31&amp;$AG$6,0)))</f>
        <v>0</v>
      </c>
      <c r="AH34" s="212">
        <f>IF(AG34=0,0,E31&amp;COUNTIF($AG$7:AG34,AG34))</f>
        <v>0</v>
      </c>
      <c r="AI34" s="212">
        <f t="shared" ref="AI34" si="287">IF($AD34=AI$6,$E31,0)</f>
        <v>0</v>
      </c>
      <c r="AJ34" s="212" t="b">
        <f>IF(AI34=0,FALSE,IF(COUNTIF(AI$7:AI34,AI34)&gt;1,TRUE,FALSE))</f>
        <v>0</v>
      </c>
      <c r="AK34" s="212">
        <f t="shared" ref="AK34" si="288">IF($AD34=AK$6,$E31,0)</f>
        <v>0</v>
      </c>
      <c r="AL34" s="212" t="b">
        <f>IF(AK34=0,FALSE,IF(COUNTIF(AK$7:AK34,AK34)&gt;1,TRUE,FALSE))</f>
        <v>0</v>
      </c>
      <c r="AM34" s="212">
        <f t="shared" ref="AM34" si="289">IF(COUNTIF(Y34,"*七種*")&gt;0,0,IF($AD34=AM$6,$E31,0))</f>
        <v>0</v>
      </c>
      <c r="AN34" s="212" t="b">
        <f>IF(AM34=0,FALSE,IF(COUNTIF(AM$7:AM34,AM34)&gt;1,TRUE,FALSE))</f>
        <v>0</v>
      </c>
      <c r="AO34" s="212">
        <f t="shared" ref="AO34" si="290">IF($AD34=AO$6,$E31,0)</f>
        <v>0</v>
      </c>
      <c r="AP34" s="212" t="b">
        <f>IF(AO34=0,FALSE,IF(COUNTIF(AO$7:AO34,AO34)&gt;1,TRUE,FALSE))</f>
        <v>0</v>
      </c>
      <c r="AQ34" s="212">
        <f t="shared" ref="AQ34" si="291">IF(COUNTIF(Y34,"*七種競技*")&gt;0,E31,0)</f>
        <v>0</v>
      </c>
      <c r="AR34" s="212" t="b">
        <f t="shared" si="6"/>
        <v>0</v>
      </c>
      <c r="AT34" s="212" t="b">
        <f t="shared" si="9"/>
        <v>0</v>
      </c>
      <c r="AX34" s="274"/>
      <c r="BD34" s="212" t="b">
        <f t="shared" si="4"/>
        <v>0</v>
      </c>
      <c r="BF34" s="212" t="b">
        <f t="shared" ref="BF34" si="292">IF(J34="",FALSE,IF(OR(AND(AU31,L34=""),AND(AU31,L34="",OR(M34&lt;&gt;"",N34&lt;&gt;"",O34&lt;&gt;"",P34&lt;&gt;""))),TRUE,FALSE))</f>
        <v>0</v>
      </c>
      <c r="BG34" s="212" t="b">
        <f t="shared" si="5"/>
        <v>0</v>
      </c>
      <c r="BH34" s="212" t="b">
        <f t="shared" si="7"/>
        <v>0</v>
      </c>
      <c r="BI34" s="212" t="b">
        <f t="shared" ref="BI34" si="293">IF(J34="",FALSE,IF(L34=0,FALSE,IF(AND(AU31,NOT(BF34),OR(M34="",N34="",O34="")),TRUE,FALSE)))</f>
        <v>0</v>
      </c>
      <c r="BJ34" s="231" t="b">
        <f t="shared" si="8"/>
        <v>0</v>
      </c>
      <c r="BK34" s="231" t="b">
        <f>IF(NOT(BJ34),FALSE,IF(AND(競技会設定!$C$5&lt;=BJ34,BJ34&lt;=競技会設定!$C$6),FALSE,TRUE))</f>
        <v>0</v>
      </c>
      <c r="BL34" s="212" t="b">
        <f>IF(J34="",FALSE,IF(L34=0,FALSE,IF(AND(AU31,NOT(BF34),NOT(BI34),P34=""),TRUE,FALSE)))</f>
        <v>0</v>
      </c>
    </row>
    <row r="35" spans="1:67" ht="18" customHeight="1" thickTop="1">
      <c r="A35" s="461">
        <v>8</v>
      </c>
      <c r="B35" s="373" t="s">
        <v>7050</v>
      </c>
      <c r="C35" s="375"/>
      <c r="D35" s="158" t="str">
        <f t="shared" ref="D35" si="294">IF(C35="","",502&amp;TEXT(C35,"000000"))</f>
        <v/>
      </c>
      <c r="E35" s="464" t="str">
        <f>IF(D35="","",(VLOOKUP(D35,女子登録!$A$2:$N$2001,3,0)))</f>
        <v/>
      </c>
      <c r="F35" s="464" t="str">
        <f>IF(D35="","",(VLOOKUP(D35,女子登録!$A$2:$N$2001,4,0)))</f>
        <v/>
      </c>
      <c r="G35" s="158" t="str">
        <f>IF(C35="","",(VLOOKUP(D35,女子登録!$A$2:$N$2001,8,0)))</f>
        <v/>
      </c>
      <c r="H35" s="158">
        <f>IFERROR(VLOOKUP(D35,女子登録!$A$2:$N$2001,11,0),基本情報!$E$5)</f>
        <v>0</v>
      </c>
      <c r="I35" s="158" t="s">
        <v>7059</v>
      </c>
      <c r="J35" s="174"/>
      <c r="K35" s="158" t="s">
        <v>7060</v>
      </c>
      <c r="L35" s="174"/>
      <c r="M35" s="261"/>
      <c r="N35" s="262"/>
      <c r="O35" s="263"/>
      <c r="P35" s="174"/>
      <c r="Q35" s="448"/>
      <c r="R35" s="408"/>
      <c r="S35" s="136">
        <f t="shared" ref="S35" si="295">IF(OR(E35="",Q35=""),0,E35)</f>
        <v>0</v>
      </c>
      <c r="T35" s="137">
        <f>IF(S35=0,0,COUNTIF($S$7:S35,"*"))</f>
        <v>0</v>
      </c>
      <c r="U35" s="137">
        <f>IF(S35=0,0,COUNTIF($S$7:S35,S35))</f>
        <v>0</v>
      </c>
      <c r="V35" s="137">
        <f t="shared" si="201"/>
        <v>0</v>
      </c>
      <c r="W35" s="137">
        <f>IF(V35=0,0,COUNTIF($V$7:V35,"*"))</f>
        <v>0</v>
      </c>
      <c r="X35" s="137">
        <f>IF(V35=0,0,COUNTIF($V$7:V35,V35))</f>
        <v>0</v>
      </c>
      <c r="Y35" s="212">
        <f t="shared" ref="Y35" si="296">IF(OR(E35="",J35=""),0,J35&amp;E35)</f>
        <v>0</v>
      </c>
      <c r="Z35" s="212">
        <f>IF(Y35=0,0,COUNTIF($Y$7:Y35,Y35))</f>
        <v>0</v>
      </c>
      <c r="AA35" s="212" t="b">
        <f>IF(COUNTIF(J35:J38,"七種競技")&gt;0,TRUE,FALSE)</f>
        <v>0</v>
      </c>
      <c r="AB35" s="212">
        <f>IF(E35="",0,IF(AA35,COUNTIF($AA$7:AA35,TRUE),0))</f>
        <v>0</v>
      </c>
      <c r="AC35" s="212">
        <f>IFERROR(VLOOKUP("七種競技",J35:L38,3,0),0)</f>
        <v>0</v>
      </c>
      <c r="AD35" s="212">
        <f>IFERROR(VLOOKUP(J35,競技会設定!$T$2:$W$22,2,0),0)</f>
        <v>0</v>
      </c>
      <c r="AE35" s="212">
        <f t="shared" ref="AE35" si="297">IF(E35="",0,IF(AD35=0,0,IF(AD35&lt;3,E35&amp;$AE$6,0)))</f>
        <v>0</v>
      </c>
      <c r="AF35" s="212">
        <f>IF(AE35=0,0,E35&amp;COUNTIF($AE$7:AE35,AE35))</f>
        <v>0</v>
      </c>
      <c r="AG35" s="212">
        <f t="shared" ref="AG35" si="298">IF(E35="",0,IF(AD35=0,0,IF(AD35&gt;=3,E35&amp;$AG$6,0)))</f>
        <v>0</v>
      </c>
      <c r="AH35" s="212">
        <f>IF(AG35=0,0,E35&amp;COUNTIF($AG$7:AG35,AG35))</f>
        <v>0</v>
      </c>
      <c r="AI35" s="212">
        <f t="shared" ref="AI35" si="299">IF($AD35=AI$6,$E35,0)</f>
        <v>0</v>
      </c>
      <c r="AJ35" s="212" t="b">
        <f>IF(AI35=0,FALSE,IF(COUNTIF(AI$7:AI35,AI35)&gt;1,TRUE,FALSE))</f>
        <v>0</v>
      </c>
      <c r="AK35" s="212">
        <f t="shared" ref="AK35" si="300">IF($AD35=AK$6,$E35,0)</f>
        <v>0</v>
      </c>
      <c r="AL35" s="212" t="b">
        <f>IF(AK35=0,FALSE,IF(COUNTIF(AK$7:AK35,AK35)&gt;1,TRUE,FALSE))</f>
        <v>0</v>
      </c>
      <c r="AM35" s="212">
        <f t="shared" ref="AM35" si="301">IF(COUNTIF(Y35,"*七種*")&gt;0,0,IF($AD35=AM$6,$E35,0))</f>
        <v>0</v>
      </c>
      <c r="AN35" s="212" t="b">
        <f>IF(AM35=0,FALSE,IF(COUNTIF(AM$7:AM35,AM35)&gt;1,TRUE,FALSE))</f>
        <v>0</v>
      </c>
      <c r="AO35" s="212">
        <f t="shared" ref="AO35" si="302">IF($AD35=AO$6,$E35,0)</f>
        <v>0</v>
      </c>
      <c r="AP35" s="212" t="b">
        <f>IF(AO35=0,FALSE,IF(COUNTIF(AO$7:AO35,AO35)&gt;1,TRUE,FALSE))</f>
        <v>0</v>
      </c>
      <c r="AQ35" s="212">
        <f t="shared" ref="AQ35" si="303">IF(COUNTIF(Y35,"*七種競技*")&gt;0,E35,0)</f>
        <v>0</v>
      </c>
      <c r="AR35" s="212" t="b">
        <f t="shared" si="6"/>
        <v>0</v>
      </c>
      <c r="AS35" s="212" t="b">
        <f t="shared" ref="AS35" si="304">IF(AND(C35="",E35&lt;&gt;"",F35&lt;&gt;"",E37&lt;&gt;"",G35&lt;&gt;"",G36&lt;&gt;"",G37&lt;&gt;""),TRUE,FALSE)</f>
        <v>0</v>
      </c>
      <c r="AT35" s="212" t="b">
        <f t="shared" si="9"/>
        <v>0</v>
      </c>
      <c r="AU35" s="212" t="b">
        <f>IFERROR(IF(E35&amp;F35&amp;E37&amp;G35&amp;G36&amp;G37&amp;J35&amp;J36&amp;J37&amp;J38&amp;L35&amp;L36&amp;L37&amp;L38&amp;M35&amp;M36&amp;M37&amp;M38&amp;P35&amp;P36&amp;P37&amp;P38&amp;Q35&amp;R35="",FALSE,TRUE),FALSE)</f>
        <v>0</v>
      </c>
      <c r="AV35" s="212" t="b">
        <f t="shared" ref="AV35" si="305">IF(AS35,FALSE,IF(C35="",AU35,FALSE))</f>
        <v>0</v>
      </c>
      <c r="AW35" s="212" t="b">
        <f t="shared" ref="AW35" si="306">IF(C35="",FALSE,IF(C35&lt;=2000,TRUE,FALSE))</f>
        <v>0</v>
      </c>
      <c r="AX35" s="274" t="b">
        <f>IF(H35=0,FALSE,IF(EXACT(基本情報!$E$5,H35)=TRUE,FALSE,TRUE))</f>
        <v>0</v>
      </c>
      <c r="AY35" s="212" t="b">
        <f>IF(C35="",FALSE,IF(ISNA(E35)=TRUE,TRUE,FALSE))</f>
        <v>0</v>
      </c>
      <c r="AZ35" s="274" t="b">
        <f>IFERROR(IF(E35="",FALSE,IF(COUNTIF($E$7:E35,E35)&gt;1,TRUE,FALSE)),FALSE)</f>
        <v>0</v>
      </c>
      <c r="BA35" s="212" t="b">
        <f t="shared" ref="BA35" si="307">IF(OR(J35&amp;J36&amp;J37&amp;J38&amp;Q35&amp;R35="",AT35,AT36,AT37,AT38),AU35,FALSE)</f>
        <v>0</v>
      </c>
      <c r="BB35" s="212" t="b">
        <f>IF(U35&gt;1,TRUE,FALSE)</f>
        <v>0</v>
      </c>
      <c r="BC35" s="212" t="b">
        <f>IF(X35&gt;1,TRUE,FALSE)</f>
        <v>0</v>
      </c>
      <c r="BD35" s="212" t="b">
        <f t="shared" si="4"/>
        <v>0</v>
      </c>
      <c r="BF35" s="212" t="b">
        <f t="shared" ref="BF35" si="308">IF(J35="",FALSE,IF(OR(AND(AU35,L35=""),AND(AU35,L35="",OR(M35&lt;&gt;"",N35&lt;&gt;"",O35&lt;&gt;"",P35&lt;&gt;""))),TRUE,FALSE))</f>
        <v>0</v>
      </c>
      <c r="BG35" s="212" t="b">
        <f t="shared" si="5"/>
        <v>0</v>
      </c>
      <c r="BH35" s="212" t="b">
        <f t="shared" si="7"/>
        <v>0</v>
      </c>
      <c r="BI35" s="212" t="b">
        <f t="shared" ref="BI35" si="309">IF(J35="",FALSE,IF(L35=0,FALSE,IF(AND(AU35,NOT(BF35),OR(M35="",N35="",O35="")),TRUE,FALSE)))</f>
        <v>0</v>
      </c>
      <c r="BJ35" s="231" t="b">
        <f t="shared" si="8"/>
        <v>0</v>
      </c>
      <c r="BK35" s="231" t="b">
        <f>IF(NOT(BJ35),FALSE,IF(AND(競技会設定!$C$5&lt;=BJ35,BJ35&lt;=競技会設定!$C$6),FALSE,TRUE))</f>
        <v>0</v>
      </c>
      <c r="BL35" s="212" t="b">
        <f>IF(J35="",FALSE,IF(L35=0,FALSE,IF(AND(AU35,NOT(BF35),NOT(BI35),P35=""),TRUE,FALSE)))</f>
        <v>0</v>
      </c>
      <c r="BO35" s="274">
        <f t="shared" ref="BO35" si="310">IF(AND(AU35,SUM(COUNTIF(AV35:BC35,TRUE),COUNTIF(BF35:BL38,TRUE),COUNTIF(BD35:BD38,TRUE))=0,NOT($BE$7)),1,0)</f>
        <v>0</v>
      </c>
    </row>
    <row r="36" spans="1:67" ht="17.399999999999999" customHeight="1">
      <c r="A36" s="462"/>
      <c r="B36" s="374"/>
      <c r="C36" s="376"/>
      <c r="D36" s="159"/>
      <c r="E36" s="465"/>
      <c r="F36" s="465"/>
      <c r="G36" s="159" t="str">
        <f>IF(C35="","",(VLOOKUP(D35,女子登録!$A$2:$N$2001,13,0)))</f>
        <v/>
      </c>
      <c r="H36" s="159"/>
      <c r="I36" s="159" t="s">
        <v>7061</v>
      </c>
      <c r="J36" s="175"/>
      <c r="K36" s="159" t="s">
        <v>7062</v>
      </c>
      <c r="L36" s="175"/>
      <c r="M36" s="264"/>
      <c r="N36" s="265"/>
      <c r="O36" s="266"/>
      <c r="P36" s="175"/>
      <c r="Q36" s="449"/>
      <c r="R36" s="409"/>
      <c r="S36" s="136"/>
      <c r="T36" s="137"/>
      <c r="U36" s="137"/>
      <c r="V36" s="137"/>
      <c r="W36" s="137"/>
      <c r="X36" s="137"/>
      <c r="Y36" s="212">
        <f t="shared" ref="Y36" si="311">IF(OR(E35="",J36=""),0,J36&amp;E35)</f>
        <v>0</v>
      </c>
      <c r="Z36" s="212">
        <f>IF(Y36=0,0,COUNTIF($Y$7:Y36,Y36))</f>
        <v>0</v>
      </c>
      <c r="AD36" s="212">
        <f>IFERROR(VLOOKUP(J36,競技会設定!$T$2:$W$22,2,0),0)</f>
        <v>0</v>
      </c>
      <c r="AE36" s="212">
        <f t="shared" ref="AE36" si="312">IF(E35="",0,IF(AD36=0,0,IF(AD36&lt;3,E35&amp;$AE$6,0)))</f>
        <v>0</v>
      </c>
      <c r="AF36" s="212">
        <f>IF(AE36=0,0,E35&amp;COUNTIF($AE$7:AE36,AE36))</f>
        <v>0</v>
      </c>
      <c r="AG36" s="212">
        <f t="shared" ref="AG36" si="313">IF(E35="",0,IF(AD36=0,0,IF(AD36&gt;=3,E35&amp;$AG$6,0)))</f>
        <v>0</v>
      </c>
      <c r="AH36" s="212">
        <f>IF(AG36=0,0,E35&amp;COUNTIF($AG$7:AG36,AG36))</f>
        <v>0</v>
      </c>
      <c r="AI36" s="212">
        <f t="shared" ref="AI36" si="314">IF($AD36=AI$6,$E35,0)</f>
        <v>0</v>
      </c>
      <c r="AJ36" s="212" t="b">
        <f>IF(AI36=0,FALSE,IF(COUNTIF(AI$7:AI36,AI36)&gt;1,TRUE,FALSE))</f>
        <v>0</v>
      </c>
      <c r="AK36" s="212">
        <f t="shared" ref="AK36" si="315">IF($AD36=AK$6,$E35,0)</f>
        <v>0</v>
      </c>
      <c r="AL36" s="212" t="b">
        <f>IF(AK36=0,FALSE,IF(COUNTIF(AK$7:AK36,AK36)&gt;1,TRUE,FALSE))</f>
        <v>0</v>
      </c>
      <c r="AM36" s="212">
        <f t="shared" ref="AM36" si="316">IF(COUNTIF(Y36,"*七種*")&gt;0,0,IF($AD36=AM$6,$E35,0))</f>
        <v>0</v>
      </c>
      <c r="AN36" s="212" t="b">
        <f>IF(AM36=0,FALSE,IF(COUNTIF(AM$7:AM36,AM36)&gt;1,TRUE,FALSE))</f>
        <v>0</v>
      </c>
      <c r="AO36" s="212">
        <f t="shared" ref="AO36" si="317">IF($AD36=AO$6,$E35,0)</f>
        <v>0</v>
      </c>
      <c r="AP36" s="212" t="b">
        <f>IF(AO36=0,FALSE,IF(COUNTIF(AO$7:AO36,AO36)&gt;1,TRUE,FALSE))</f>
        <v>0</v>
      </c>
      <c r="AQ36" s="212">
        <f t="shared" ref="AQ36" si="318">IF(COUNTIF(Y36,"*七種競技*")&gt;0,E35,0)</f>
        <v>0</v>
      </c>
      <c r="AR36" s="212" t="b">
        <f t="shared" si="6"/>
        <v>0</v>
      </c>
      <c r="AT36" s="212" t="b">
        <f t="shared" si="9"/>
        <v>0</v>
      </c>
      <c r="AX36" s="274"/>
      <c r="BD36" s="212" t="b">
        <f t="shared" si="4"/>
        <v>0</v>
      </c>
      <c r="BF36" s="212" t="b">
        <f t="shared" ref="BF36" si="319">IF(J36="",FALSE,IF(OR(AND(AU35,L36=""),AND(AU35,L36="",OR(M36&lt;&gt;"",N36&lt;&gt;"",O36&lt;&gt;"",P36&lt;&gt;""))),TRUE,FALSE))</f>
        <v>0</v>
      </c>
      <c r="BG36" s="212" t="b">
        <f t="shared" si="5"/>
        <v>0</v>
      </c>
      <c r="BH36" s="212" t="b">
        <f t="shared" si="7"/>
        <v>0</v>
      </c>
      <c r="BI36" s="212" t="b">
        <f t="shared" ref="BI36" si="320">IF(J36="",FALSE,IF(L36=0,FALSE,IF(AND(AU35,NOT(BF36),OR(M36="",N36="",O36="")),TRUE,FALSE)))</f>
        <v>0</v>
      </c>
      <c r="BJ36" s="231" t="b">
        <f t="shared" si="8"/>
        <v>0</v>
      </c>
      <c r="BK36" s="231" t="b">
        <f>IF(NOT(BJ36),FALSE,IF(AND(競技会設定!$C$5&lt;=BJ36,BJ36&lt;=競技会設定!$C$6),FALSE,TRUE))</f>
        <v>0</v>
      </c>
      <c r="BL36" s="212" t="b">
        <f>IF(J36="",FALSE,IF(L36=0,FALSE,IF(AND(AU35,NOT(BF36),NOT(BI36),P36=""),TRUE,FALSE)))</f>
        <v>0</v>
      </c>
    </row>
    <row r="37" spans="1:67" ht="17.399999999999999" customHeight="1">
      <c r="A37" s="462"/>
      <c r="B37" s="374"/>
      <c r="C37" s="376"/>
      <c r="D37" s="160"/>
      <c r="E37" s="452" t="str">
        <f>IF(C35="","",VLOOKUP(D35,女子登録!$A$2:$O$2001,14,0)&amp;" ("&amp;VLOOKUP(D35,女子登録!$A$2:$O$2001,15,0)&amp;")")</f>
        <v/>
      </c>
      <c r="F37" s="453"/>
      <c r="G37" s="160" t="str">
        <f>IF(C35="","",(VLOOKUP(D35,女子登録!$A$2:$N$2001,9,0)))</f>
        <v/>
      </c>
      <c r="H37" s="160"/>
      <c r="I37" s="160" t="s">
        <v>7063</v>
      </c>
      <c r="J37" s="176"/>
      <c r="K37" s="160" t="s">
        <v>7064</v>
      </c>
      <c r="L37" s="176"/>
      <c r="M37" s="264"/>
      <c r="N37" s="265"/>
      <c r="O37" s="266"/>
      <c r="P37" s="175"/>
      <c r="Q37" s="449"/>
      <c r="R37" s="409"/>
      <c r="S37" s="136"/>
      <c r="T37" s="137"/>
      <c r="U37" s="137"/>
      <c r="V37" s="137"/>
      <c r="W37" s="137"/>
      <c r="X37" s="137"/>
      <c r="Y37" s="212">
        <f t="shared" ref="Y37" si="321">IF(OR(E35="",J37=""),0,J37&amp;E35)</f>
        <v>0</v>
      </c>
      <c r="Z37" s="212">
        <f>IF(Y37=0,0,COUNTIF($Y$7:Y37,Y37))</f>
        <v>0</v>
      </c>
      <c r="AD37" s="212">
        <f>IFERROR(VLOOKUP(J37,競技会設定!$T$2:$W$22,2,0),0)</f>
        <v>0</v>
      </c>
      <c r="AE37" s="212">
        <f t="shared" ref="AE37" si="322">IF(E35="",0,IF(AD37=0,0,IF(AD37&lt;3,E35&amp;$AE$6,0)))</f>
        <v>0</v>
      </c>
      <c r="AF37" s="212">
        <f>IF(AE37=0,0,E35&amp;COUNTIF($AE$7:AE37,AE37))</f>
        <v>0</v>
      </c>
      <c r="AG37" s="212">
        <f t="shared" ref="AG37" si="323">IF(E35="",0,IF(AD37=0,0,IF(AD37&gt;=3,E35&amp;$AG$6,0)))</f>
        <v>0</v>
      </c>
      <c r="AH37" s="212">
        <f>IF(AG37=0,0,E35&amp;COUNTIF($AG$7:AG37,AG37))</f>
        <v>0</v>
      </c>
      <c r="AI37" s="212">
        <f t="shared" ref="AI37" si="324">IF($AD37=AI$6,$E35,0)</f>
        <v>0</v>
      </c>
      <c r="AJ37" s="212" t="b">
        <f>IF(AI37=0,FALSE,IF(COUNTIF(AI$7:AI37,AI37)&gt;1,TRUE,FALSE))</f>
        <v>0</v>
      </c>
      <c r="AK37" s="212">
        <f t="shared" ref="AK37" si="325">IF($AD37=AK$6,$E35,0)</f>
        <v>0</v>
      </c>
      <c r="AL37" s="212" t="b">
        <f>IF(AK37=0,FALSE,IF(COUNTIF(AK$7:AK37,AK37)&gt;1,TRUE,FALSE))</f>
        <v>0</v>
      </c>
      <c r="AM37" s="212">
        <f t="shared" ref="AM37" si="326">IF(COUNTIF(Y37,"*七種*")&gt;0,0,IF($AD37=AM$6,$E35,0))</f>
        <v>0</v>
      </c>
      <c r="AN37" s="212" t="b">
        <f>IF(AM37=0,FALSE,IF(COUNTIF(AM$7:AM37,AM37)&gt;1,TRUE,FALSE))</f>
        <v>0</v>
      </c>
      <c r="AO37" s="212">
        <f t="shared" ref="AO37" si="327">IF($AD37=AO$6,$E35,0)</f>
        <v>0</v>
      </c>
      <c r="AP37" s="212" t="b">
        <f>IF(AO37=0,FALSE,IF(COUNTIF(AO$7:AO37,AO37)&gt;1,TRUE,FALSE))</f>
        <v>0</v>
      </c>
      <c r="AQ37" s="212">
        <f t="shared" ref="AQ37" si="328">IF(COUNTIF(Y37,"*七種競技*")&gt;0,E35,0)</f>
        <v>0</v>
      </c>
      <c r="AR37" s="212" t="b">
        <f t="shared" si="6"/>
        <v>0</v>
      </c>
      <c r="AT37" s="212" t="b">
        <f t="shared" si="9"/>
        <v>0</v>
      </c>
      <c r="AX37" s="274"/>
      <c r="BD37" s="212" t="b">
        <f t="shared" si="4"/>
        <v>0</v>
      </c>
      <c r="BF37" s="212" t="b">
        <f t="shared" ref="BF37" si="329">IF(J37="",FALSE,IF(OR(AND(AU35,L37=""),AND(AU35,L37="",OR(M37&lt;&gt;"",N37&lt;&gt;"",O37&lt;&gt;"",P37&lt;&gt;""))),TRUE,FALSE))</f>
        <v>0</v>
      </c>
      <c r="BG37" s="212" t="b">
        <f t="shared" si="5"/>
        <v>0</v>
      </c>
      <c r="BH37" s="212" t="b">
        <f t="shared" si="7"/>
        <v>0</v>
      </c>
      <c r="BI37" s="212" t="b">
        <f t="shared" ref="BI37" si="330">IF(J37="",FALSE,IF(L37=0,FALSE,IF(AND(AU35,NOT(BF37),OR(M37="",N37="",O37="")),TRUE,FALSE)))</f>
        <v>0</v>
      </c>
      <c r="BJ37" s="231" t="b">
        <f t="shared" si="8"/>
        <v>0</v>
      </c>
      <c r="BK37" s="231" t="b">
        <f>IF(NOT(BJ37),FALSE,IF(AND(競技会設定!$C$5&lt;=BJ37,BJ37&lt;=競技会設定!$C$6),FALSE,TRUE))</f>
        <v>0</v>
      </c>
      <c r="BL37" s="212" t="b">
        <f>IF(J37="",FALSE,IF(L37=0,FALSE,IF(AND(AU35,NOT(BF37),NOT(BI37),P37=""),TRUE,FALSE)))</f>
        <v>0</v>
      </c>
    </row>
    <row r="38" spans="1:67" ht="18" customHeight="1" thickBot="1">
      <c r="A38" s="475"/>
      <c r="B38" s="387" t="s">
        <v>7051</v>
      </c>
      <c r="C38" s="387"/>
      <c r="D38" s="161"/>
      <c r="E38" s="467"/>
      <c r="F38" s="468"/>
      <c r="G38" s="469"/>
      <c r="H38" s="162"/>
      <c r="I38" s="161" t="s">
        <v>7065</v>
      </c>
      <c r="J38" s="177"/>
      <c r="K38" s="161" t="s">
        <v>7066</v>
      </c>
      <c r="L38" s="177"/>
      <c r="M38" s="267"/>
      <c r="N38" s="268"/>
      <c r="O38" s="269"/>
      <c r="P38" s="177"/>
      <c r="Q38" s="466"/>
      <c r="R38" s="410"/>
      <c r="S38" s="136"/>
      <c r="T38" s="137"/>
      <c r="U38" s="137"/>
      <c r="V38" s="137"/>
      <c r="W38" s="137"/>
      <c r="X38" s="137"/>
      <c r="Y38" s="212">
        <f t="shared" ref="Y38" si="331">IF(OR(E35="",J38=""),0,J38&amp;E35)</f>
        <v>0</v>
      </c>
      <c r="Z38" s="212">
        <f>IF(Y38=0,0,COUNTIF($Y$7:Y38,Y38))</f>
        <v>0</v>
      </c>
      <c r="AD38" s="212">
        <f>IFERROR(VLOOKUP(J38,競技会設定!$T$2:$W$22,2,0),0)</f>
        <v>0</v>
      </c>
      <c r="AE38" s="212">
        <f t="shared" ref="AE38" si="332">IF(E35="",0,IF(AD38=0,0,IF(AD38&lt;3,E35&amp;$AE$6,0)))</f>
        <v>0</v>
      </c>
      <c r="AF38" s="212">
        <f>IF(AE38=0,0,E35&amp;COUNTIF($AE$7:AE38,AE38))</f>
        <v>0</v>
      </c>
      <c r="AG38" s="212">
        <f t="shared" ref="AG38" si="333">IF(E35="",0,IF(AD38=0,0,IF(AD38&gt;=3,E35&amp;$AG$6,0)))</f>
        <v>0</v>
      </c>
      <c r="AH38" s="212">
        <f>IF(AG38=0,0,E35&amp;COUNTIF($AG$7:AG38,AG38))</f>
        <v>0</v>
      </c>
      <c r="AI38" s="212">
        <f t="shared" ref="AI38" si="334">IF($AD38=AI$6,$E35,0)</f>
        <v>0</v>
      </c>
      <c r="AJ38" s="212" t="b">
        <f>IF(AI38=0,FALSE,IF(COUNTIF(AI$7:AI38,AI38)&gt;1,TRUE,FALSE))</f>
        <v>0</v>
      </c>
      <c r="AK38" s="212">
        <f t="shared" ref="AK38" si="335">IF($AD38=AK$6,$E35,0)</f>
        <v>0</v>
      </c>
      <c r="AL38" s="212" t="b">
        <f>IF(AK38=0,FALSE,IF(COUNTIF(AK$7:AK38,AK38)&gt;1,TRUE,FALSE))</f>
        <v>0</v>
      </c>
      <c r="AM38" s="212">
        <f t="shared" ref="AM38" si="336">IF(COUNTIF(Y38,"*七種*")&gt;0,0,IF($AD38=AM$6,$E35,0))</f>
        <v>0</v>
      </c>
      <c r="AN38" s="212" t="b">
        <f>IF(AM38=0,FALSE,IF(COUNTIF(AM$7:AM38,AM38)&gt;1,TRUE,FALSE))</f>
        <v>0</v>
      </c>
      <c r="AO38" s="212">
        <f t="shared" ref="AO38" si="337">IF($AD38=AO$6,$E35,0)</f>
        <v>0</v>
      </c>
      <c r="AP38" s="212" t="b">
        <f>IF(AO38=0,FALSE,IF(COUNTIF(AO$7:AO38,AO38)&gt;1,TRUE,FALSE))</f>
        <v>0</v>
      </c>
      <c r="AQ38" s="212">
        <f t="shared" ref="AQ38" si="338">IF(COUNTIF(Y38,"*七種競技*")&gt;0,E35,0)</f>
        <v>0</v>
      </c>
      <c r="AR38" s="212" t="b">
        <f t="shared" si="6"/>
        <v>0</v>
      </c>
      <c r="AT38" s="212" t="b">
        <f t="shared" si="9"/>
        <v>0</v>
      </c>
      <c r="AX38" s="274"/>
      <c r="BD38" s="212" t="b">
        <f t="shared" si="4"/>
        <v>0</v>
      </c>
      <c r="BF38" s="212" t="b">
        <f t="shared" ref="BF38" si="339">IF(J38="",FALSE,IF(OR(AND(AU35,L38=""),AND(AU35,L38="",OR(M38&lt;&gt;"",N38&lt;&gt;"",O38&lt;&gt;"",P38&lt;&gt;""))),TRUE,FALSE))</f>
        <v>0</v>
      </c>
      <c r="BG38" s="212" t="b">
        <f t="shared" si="5"/>
        <v>0</v>
      </c>
      <c r="BH38" s="212" t="b">
        <f t="shared" si="7"/>
        <v>0</v>
      </c>
      <c r="BI38" s="212" t="b">
        <f t="shared" ref="BI38" si="340">IF(J38="",FALSE,IF(L38=0,FALSE,IF(AND(AU35,NOT(BF38),OR(M38="",N38="",O38="")),TRUE,FALSE)))</f>
        <v>0</v>
      </c>
      <c r="BJ38" s="231" t="b">
        <f t="shared" si="8"/>
        <v>0</v>
      </c>
      <c r="BK38" s="231" t="b">
        <f>IF(NOT(BJ38),FALSE,IF(AND(競技会設定!$C$5&lt;=BJ38,BJ38&lt;=競技会設定!$C$6),FALSE,TRUE))</f>
        <v>0</v>
      </c>
      <c r="BL38" s="212" t="b">
        <f>IF(J38="",FALSE,IF(L38=0,FALSE,IF(AND(AU35,NOT(BF38),NOT(BI38),P38=""),TRUE,FALSE)))</f>
        <v>0</v>
      </c>
    </row>
    <row r="39" spans="1:67" ht="18" customHeight="1" thickTop="1">
      <c r="A39" s="470">
        <v>9</v>
      </c>
      <c r="B39" s="401" t="s">
        <v>7050</v>
      </c>
      <c r="C39" s="403"/>
      <c r="D39" s="156" t="str">
        <f t="shared" ref="D39" si="341">IF(C39="","",502&amp;TEXT(C39,"000000"))</f>
        <v/>
      </c>
      <c r="E39" s="473" t="str">
        <f>IF(D39="","",(VLOOKUP(D39,女子登録!$A$2:$N$2001,3,0)))</f>
        <v/>
      </c>
      <c r="F39" s="473" t="str">
        <f>IF(D39="","",(VLOOKUP(D39,女子登録!$A$2:$N$2001,4,0)))</f>
        <v/>
      </c>
      <c r="G39" s="156" t="str">
        <f>IF(C39="","",(VLOOKUP(D39,女子登録!$A$2:$N$2001,8,0)))</f>
        <v/>
      </c>
      <c r="H39" s="156">
        <f>IFERROR(VLOOKUP(D39,女子登録!$A$2:$N$2001,11,0),基本情報!$E$5)</f>
        <v>0</v>
      </c>
      <c r="I39" s="156" t="s">
        <v>7059</v>
      </c>
      <c r="J39" s="170"/>
      <c r="K39" s="156" t="s">
        <v>7060</v>
      </c>
      <c r="L39" s="170"/>
      <c r="M39" s="252"/>
      <c r="N39" s="253"/>
      <c r="O39" s="254"/>
      <c r="P39" s="170"/>
      <c r="Q39" s="457"/>
      <c r="R39" s="414"/>
      <c r="S39" s="136">
        <f t="shared" ref="S39" si="342">IF(OR(E39="",Q39=""),0,E39)</f>
        <v>0</v>
      </c>
      <c r="T39" s="137">
        <f>IF(S39=0,0,COUNTIF($S$7:S39,"*"))</f>
        <v>0</v>
      </c>
      <c r="U39" s="137">
        <f>IF(S39=0,0,COUNTIF($S$7:S39,S39))</f>
        <v>0</v>
      </c>
      <c r="V39" s="137">
        <f t="shared" si="201"/>
        <v>0</v>
      </c>
      <c r="W39" s="137">
        <f>IF(V39=0,0,COUNTIF($V$7:V39,"*"))</f>
        <v>0</v>
      </c>
      <c r="X39" s="137">
        <f>IF(V39=0,0,COUNTIF($V$7:V39,V39))</f>
        <v>0</v>
      </c>
      <c r="Y39" s="212">
        <f t="shared" ref="Y39" si="343">IF(OR(E39="",J39=""),0,J39&amp;E39)</f>
        <v>0</v>
      </c>
      <c r="Z39" s="212">
        <f>IF(Y39=0,0,COUNTIF($Y$7:Y39,Y39))</f>
        <v>0</v>
      </c>
      <c r="AA39" s="212" t="b">
        <f>IF(COUNTIF(J39:J42,"七種競技")&gt;0,TRUE,FALSE)</f>
        <v>0</v>
      </c>
      <c r="AB39" s="212">
        <f>IF(E39="",0,IF(AA39,COUNTIF($AA$7:AA39,TRUE),0))</f>
        <v>0</v>
      </c>
      <c r="AC39" s="212">
        <f>IFERROR(VLOOKUP("七種競技",J39:L42,3,0),0)</f>
        <v>0</v>
      </c>
      <c r="AD39" s="212">
        <f>IFERROR(VLOOKUP(J39,競技会設定!$T$2:$W$22,2,0),0)</f>
        <v>0</v>
      </c>
      <c r="AE39" s="212">
        <f t="shared" ref="AE39" si="344">IF(E39="",0,IF(AD39=0,0,IF(AD39&lt;3,E39&amp;$AE$6,0)))</f>
        <v>0</v>
      </c>
      <c r="AF39" s="212">
        <f>IF(AE39=0,0,E39&amp;COUNTIF($AE$7:AE39,AE39))</f>
        <v>0</v>
      </c>
      <c r="AG39" s="212">
        <f t="shared" ref="AG39" si="345">IF(E39="",0,IF(AD39=0,0,IF(AD39&gt;=3,E39&amp;$AG$6,0)))</f>
        <v>0</v>
      </c>
      <c r="AH39" s="212">
        <f>IF(AG39=0,0,E39&amp;COUNTIF($AG$7:AG39,AG39))</f>
        <v>0</v>
      </c>
      <c r="AI39" s="212">
        <f t="shared" ref="AI39" si="346">IF($AD39=AI$6,$E39,0)</f>
        <v>0</v>
      </c>
      <c r="AJ39" s="212" t="b">
        <f>IF(AI39=0,FALSE,IF(COUNTIF(AI$7:AI39,AI39)&gt;1,TRUE,FALSE))</f>
        <v>0</v>
      </c>
      <c r="AK39" s="212">
        <f t="shared" ref="AK39" si="347">IF($AD39=AK$6,$E39,0)</f>
        <v>0</v>
      </c>
      <c r="AL39" s="212" t="b">
        <f>IF(AK39=0,FALSE,IF(COUNTIF(AK$7:AK39,AK39)&gt;1,TRUE,FALSE))</f>
        <v>0</v>
      </c>
      <c r="AM39" s="212">
        <f t="shared" ref="AM39" si="348">IF(COUNTIF(Y39,"*七種*")&gt;0,0,IF($AD39=AM$6,$E39,0))</f>
        <v>0</v>
      </c>
      <c r="AN39" s="212" t="b">
        <f>IF(AM39=0,FALSE,IF(COUNTIF(AM$7:AM39,AM39)&gt;1,TRUE,FALSE))</f>
        <v>0</v>
      </c>
      <c r="AO39" s="212">
        <f t="shared" ref="AO39" si="349">IF($AD39=AO$6,$E39,0)</f>
        <v>0</v>
      </c>
      <c r="AP39" s="212" t="b">
        <f>IF(AO39=0,FALSE,IF(COUNTIF(AO$7:AO39,AO39)&gt;1,TRUE,FALSE))</f>
        <v>0</v>
      </c>
      <c r="AQ39" s="212">
        <f t="shared" ref="AQ39" si="350">IF(COUNTIF(Y39,"*七種競技*")&gt;0,E39,0)</f>
        <v>0</v>
      </c>
      <c r="AR39" s="212" t="b">
        <f t="shared" si="6"/>
        <v>0</v>
      </c>
      <c r="AS39" s="212" t="b">
        <f t="shared" ref="AS39" si="351">IF(AND(C39="",E39&lt;&gt;"",F39&lt;&gt;"",E41&lt;&gt;"",G39&lt;&gt;"",G40&lt;&gt;"",G41&lt;&gt;""),TRUE,FALSE)</f>
        <v>0</v>
      </c>
      <c r="AT39" s="212" t="b">
        <f t="shared" si="9"/>
        <v>0</v>
      </c>
      <c r="AU39" s="212" t="b">
        <f>IFERROR(IF(E39&amp;F39&amp;E41&amp;G39&amp;G40&amp;G41&amp;J39&amp;J40&amp;J41&amp;J42&amp;L39&amp;L40&amp;L41&amp;L42&amp;M39&amp;M40&amp;M41&amp;M42&amp;P39&amp;P40&amp;P41&amp;P42&amp;Q39&amp;R39="",FALSE,TRUE),FALSE)</f>
        <v>0</v>
      </c>
      <c r="AV39" s="212" t="b">
        <f t="shared" ref="AV39" si="352">IF(AS39,FALSE,IF(C39="",AU39,FALSE))</f>
        <v>0</v>
      </c>
      <c r="AW39" s="212" t="b">
        <f t="shared" ref="AW39" si="353">IF(C39="",FALSE,IF(C39&lt;=2000,TRUE,FALSE))</f>
        <v>0</v>
      </c>
      <c r="AX39" s="274" t="b">
        <f>IF(H39=0,FALSE,IF(EXACT(基本情報!$E$5,H39)=TRUE,FALSE,TRUE))</f>
        <v>0</v>
      </c>
      <c r="AY39" s="212" t="b">
        <f>IF(C39="",FALSE,IF(ISNA(E39)=TRUE,TRUE,FALSE))</f>
        <v>0</v>
      </c>
      <c r="AZ39" s="274" t="b">
        <f>IFERROR(IF(E39="",FALSE,IF(COUNTIF($E$7:E39,E39)&gt;1,TRUE,FALSE)),FALSE)</f>
        <v>0</v>
      </c>
      <c r="BA39" s="212" t="b">
        <f t="shared" ref="BA39" si="354">IF(OR(J39&amp;J40&amp;J41&amp;J42&amp;Q39&amp;R39="",AT39,AT40,AT41,AT42),AU39,FALSE)</f>
        <v>0</v>
      </c>
      <c r="BB39" s="212" t="b">
        <f>IF(U39&gt;1,TRUE,FALSE)</f>
        <v>0</v>
      </c>
      <c r="BC39" s="212" t="b">
        <f>IF(X39&gt;1,TRUE,FALSE)</f>
        <v>0</v>
      </c>
      <c r="BD39" s="212" t="b">
        <f t="shared" si="4"/>
        <v>0</v>
      </c>
      <c r="BF39" s="212" t="b">
        <f t="shared" ref="BF39" si="355">IF(J39="",FALSE,IF(OR(AND(AU39,L39=""),AND(AU39,L39="",OR(M39&lt;&gt;"",N39&lt;&gt;"",O39&lt;&gt;"",P39&lt;&gt;""))),TRUE,FALSE))</f>
        <v>0</v>
      </c>
      <c r="BG39" s="212" t="b">
        <f t="shared" si="5"/>
        <v>0</v>
      </c>
      <c r="BH39" s="212" t="b">
        <f t="shared" si="7"/>
        <v>0</v>
      </c>
      <c r="BI39" s="212" t="b">
        <f t="shared" ref="BI39" si="356">IF(J39="",FALSE,IF(L39=0,FALSE,IF(AND(AU39,NOT(BF39),OR(M39="",N39="",O39="")),TRUE,FALSE)))</f>
        <v>0</v>
      </c>
      <c r="BJ39" s="231" t="b">
        <f t="shared" si="8"/>
        <v>0</v>
      </c>
      <c r="BK39" s="231" t="b">
        <f>IF(NOT(BJ39),FALSE,IF(AND(競技会設定!$C$5&lt;=BJ39,BJ39&lt;=競技会設定!$C$6),FALSE,TRUE))</f>
        <v>0</v>
      </c>
      <c r="BL39" s="212" t="b">
        <f>IF(J39="",FALSE,IF(L39=0,FALSE,IF(AND(AU39,NOT(BF39),NOT(BI39),P39=""),TRUE,FALSE)))</f>
        <v>0</v>
      </c>
      <c r="BO39" s="274">
        <f t="shared" ref="BO39" si="357">IF(AND(AU39,SUM(COUNTIF(AV39:BC39,TRUE),COUNTIF(BF39:BL42,TRUE),COUNTIF(BD39:BD42,TRUE))=0,NOT($BE$7)),1,0)</f>
        <v>0</v>
      </c>
    </row>
    <row r="40" spans="1:67" ht="17.399999999999999" customHeight="1">
      <c r="A40" s="471"/>
      <c r="B40" s="402"/>
      <c r="C40" s="404"/>
      <c r="D40" s="11"/>
      <c r="E40" s="474"/>
      <c r="F40" s="474"/>
      <c r="G40" s="11" t="str">
        <f>IF(C39="","",(VLOOKUP(D39,女子登録!$A$2:$N$2001,13,0)))</f>
        <v/>
      </c>
      <c r="H40" s="11"/>
      <c r="I40" s="11" t="s">
        <v>7061</v>
      </c>
      <c r="J40" s="171"/>
      <c r="K40" s="11" t="s">
        <v>7062</v>
      </c>
      <c r="L40" s="171"/>
      <c r="M40" s="255"/>
      <c r="N40" s="256"/>
      <c r="O40" s="257"/>
      <c r="P40" s="171"/>
      <c r="Q40" s="458"/>
      <c r="R40" s="415"/>
      <c r="S40" s="136"/>
      <c r="T40" s="137"/>
      <c r="U40" s="137"/>
      <c r="V40" s="137"/>
      <c r="W40" s="137"/>
      <c r="X40" s="137"/>
      <c r="Y40" s="212">
        <f t="shared" ref="Y40" si="358">IF(OR(E39="",J40=""),0,J40&amp;E39)</f>
        <v>0</v>
      </c>
      <c r="Z40" s="212">
        <f>IF(Y40=0,0,COUNTIF($Y$7:Y40,Y40))</f>
        <v>0</v>
      </c>
      <c r="AD40" s="212">
        <f>IFERROR(VLOOKUP(J40,競技会設定!$T$2:$W$22,2,0),0)</f>
        <v>0</v>
      </c>
      <c r="AE40" s="212">
        <f t="shared" ref="AE40" si="359">IF(E39="",0,IF(AD40=0,0,IF(AD40&lt;3,E39&amp;$AE$6,0)))</f>
        <v>0</v>
      </c>
      <c r="AF40" s="212">
        <f>IF(AE40=0,0,E39&amp;COUNTIF($AE$7:AE40,AE40))</f>
        <v>0</v>
      </c>
      <c r="AG40" s="212">
        <f t="shared" ref="AG40" si="360">IF(E39="",0,IF(AD40=0,0,IF(AD40&gt;=3,E39&amp;$AG$6,0)))</f>
        <v>0</v>
      </c>
      <c r="AH40" s="212">
        <f>IF(AG40=0,0,E39&amp;COUNTIF($AG$7:AG40,AG40))</f>
        <v>0</v>
      </c>
      <c r="AI40" s="212">
        <f t="shared" ref="AI40" si="361">IF($AD40=AI$6,$E39,0)</f>
        <v>0</v>
      </c>
      <c r="AJ40" s="212" t="b">
        <f>IF(AI40=0,FALSE,IF(COUNTIF(AI$7:AI40,AI40)&gt;1,TRUE,FALSE))</f>
        <v>0</v>
      </c>
      <c r="AK40" s="212">
        <f t="shared" ref="AK40" si="362">IF($AD40=AK$6,$E39,0)</f>
        <v>0</v>
      </c>
      <c r="AL40" s="212" t="b">
        <f>IF(AK40=0,FALSE,IF(COUNTIF(AK$7:AK40,AK40)&gt;1,TRUE,FALSE))</f>
        <v>0</v>
      </c>
      <c r="AM40" s="212">
        <f t="shared" ref="AM40" si="363">IF(COUNTIF(Y40,"*七種*")&gt;0,0,IF($AD40=AM$6,$E39,0))</f>
        <v>0</v>
      </c>
      <c r="AN40" s="212" t="b">
        <f>IF(AM40=0,FALSE,IF(COUNTIF(AM$7:AM40,AM40)&gt;1,TRUE,FALSE))</f>
        <v>0</v>
      </c>
      <c r="AO40" s="212">
        <f t="shared" ref="AO40" si="364">IF($AD40=AO$6,$E39,0)</f>
        <v>0</v>
      </c>
      <c r="AP40" s="212" t="b">
        <f>IF(AO40=0,FALSE,IF(COUNTIF(AO$7:AO40,AO40)&gt;1,TRUE,FALSE))</f>
        <v>0</v>
      </c>
      <c r="AQ40" s="212">
        <f t="shared" ref="AQ40" si="365">IF(COUNTIF(Y40,"*七種競技*")&gt;0,E39,0)</f>
        <v>0</v>
      </c>
      <c r="AR40" s="212" t="b">
        <f t="shared" si="6"/>
        <v>0</v>
      </c>
      <c r="AT40" s="212" t="b">
        <f t="shared" si="9"/>
        <v>0</v>
      </c>
      <c r="AX40" s="274"/>
      <c r="BD40" s="212" t="b">
        <f t="shared" si="4"/>
        <v>0</v>
      </c>
      <c r="BF40" s="212" t="b">
        <f t="shared" ref="BF40" si="366">IF(J40="",FALSE,IF(OR(AND(AU39,L40=""),AND(AU39,L40="",OR(M40&lt;&gt;"",N40&lt;&gt;"",O40&lt;&gt;"",P40&lt;&gt;""))),TRUE,FALSE))</f>
        <v>0</v>
      </c>
      <c r="BG40" s="212" t="b">
        <f t="shared" si="5"/>
        <v>0</v>
      </c>
      <c r="BH40" s="212" t="b">
        <f t="shared" si="7"/>
        <v>0</v>
      </c>
      <c r="BI40" s="212" t="b">
        <f t="shared" ref="BI40" si="367">IF(J40="",FALSE,IF(L40=0,FALSE,IF(AND(AU39,NOT(BF40),OR(M40="",N40="",O40="")),TRUE,FALSE)))</f>
        <v>0</v>
      </c>
      <c r="BJ40" s="231" t="b">
        <f t="shared" si="8"/>
        <v>0</v>
      </c>
      <c r="BK40" s="231" t="b">
        <f>IF(NOT(BJ40),FALSE,IF(AND(競技会設定!$C$5&lt;=BJ40,BJ40&lt;=競技会設定!$C$6),FALSE,TRUE))</f>
        <v>0</v>
      </c>
      <c r="BL40" s="212" t="b">
        <f>IF(J40="",FALSE,IF(L40=0,FALSE,IF(AND(AU39,NOT(BF40),NOT(BI40),P40=""),TRUE,FALSE)))</f>
        <v>0</v>
      </c>
    </row>
    <row r="41" spans="1:67" ht="17.399999999999999" customHeight="1">
      <c r="A41" s="471"/>
      <c r="B41" s="402"/>
      <c r="C41" s="404"/>
      <c r="D41" s="11"/>
      <c r="E41" s="348" t="str">
        <f>IF(C39="","",VLOOKUP(D39,女子登録!$A$2:$O$2001,14,0)&amp;" ("&amp;VLOOKUP(D39,女子登録!$A$2:$O$2001,15,0)&amp;")")</f>
        <v/>
      </c>
      <c r="F41" s="348"/>
      <c r="G41" s="13" t="str">
        <f>IF(C39="","",(VLOOKUP(D39,女子登録!$A$2:$N$2001,9,0)))</f>
        <v/>
      </c>
      <c r="H41" s="13"/>
      <c r="I41" s="13" t="s">
        <v>7063</v>
      </c>
      <c r="J41" s="172"/>
      <c r="K41" s="13" t="s">
        <v>7064</v>
      </c>
      <c r="L41" s="172"/>
      <c r="M41" s="255"/>
      <c r="N41" s="256"/>
      <c r="O41" s="257"/>
      <c r="P41" s="171"/>
      <c r="Q41" s="458"/>
      <c r="R41" s="415"/>
      <c r="S41" s="136"/>
      <c r="T41" s="137"/>
      <c r="U41" s="137"/>
      <c r="V41" s="137"/>
      <c r="W41" s="137"/>
      <c r="X41" s="137"/>
      <c r="Y41" s="212">
        <f t="shared" ref="Y41" si="368">IF(OR(E39="",J41=""),0,J41&amp;E39)</f>
        <v>0</v>
      </c>
      <c r="Z41" s="212">
        <f>IF(Y41=0,0,COUNTIF($Y$7:Y41,Y41))</f>
        <v>0</v>
      </c>
      <c r="AD41" s="212">
        <f>IFERROR(VLOOKUP(J41,競技会設定!$T$2:$W$22,2,0),0)</f>
        <v>0</v>
      </c>
      <c r="AE41" s="212">
        <f t="shared" ref="AE41" si="369">IF(E39="",0,IF(AD41=0,0,IF(AD41&lt;3,E39&amp;$AE$6,0)))</f>
        <v>0</v>
      </c>
      <c r="AF41" s="212">
        <f>IF(AE41=0,0,E39&amp;COUNTIF($AE$7:AE41,AE41))</f>
        <v>0</v>
      </c>
      <c r="AG41" s="212">
        <f t="shared" ref="AG41" si="370">IF(E39="",0,IF(AD41=0,0,IF(AD41&gt;=3,E39&amp;$AG$6,0)))</f>
        <v>0</v>
      </c>
      <c r="AH41" s="212">
        <f>IF(AG41=0,0,E39&amp;COUNTIF($AG$7:AG41,AG41))</f>
        <v>0</v>
      </c>
      <c r="AI41" s="212">
        <f t="shared" ref="AI41" si="371">IF($AD41=AI$6,$E39,0)</f>
        <v>0</v>
      </c>
      <c r="AJ41" s="212" t="b">
        <f>IF(AI41=0,FALSE,IF(COUNTIF(AI$7:AI41,AI41)&gt;1,TRUE,FALSE))</f>
        <v>0</v>
      </c>
      <c r="AK41" s="212">
        <f t="shared" ref="AK41" si="372">IF($AD41=AK$6,$E39,0)</f>
        <v>0</v>
      </c>
      <c r="AL41" s="212" t="b">
        <f>IF(AK41=0,FALSE,IF(COUNTIF(AK$7:AK41,AK41)&gt;1,TRUE,FALSE))</f>
        <v>0</v>
      </c>
      <c r="AM41" s="212">
        <f t="shared" ref="AM41" si="373">IF(COUNTIF(Y41,"*七種*")&gt;0,0,IF($AD41=AM$6,$E39,0))</f>
        <v>0</v>
      </c>
      <c r="AN41" s="212" t="b">
        <f>IF(AM41=0,FALSE,IF(COUNTIF(AM$7:AM41,AM41)&gt;1,TRUE,FALSE))</f>
        <v>0</v>
      </c>
      <c r="AO41" s="212">
        <f t="shared" ref="AO41" si="374">IF($AD41=AO$6,$E39,0)</f>
        <v>0</v>
      </c>
      <c r="AP41" s="212" t="b">
        <f>IF(AO41=0,FALSE,IF(COUNTIF(AO$7:AO41,AO41)&gt;1,TRUE,FALSE))</f>
        <v>0</v>
      </c>
      <c r="AQ41" s="212">
        <f t="shared" ref="AQ41" si="375">IF(COUNTIF(Y41,"*七種競技*")&gt;0,E39,0)</f>
        <v>0</v>
      </c>
      <c r="AR41" s="212" t="b">
        <f t="shared" si="6"/>
        <v>0</v>
      </c>
      <c r="AT41" s="212" t="b">
        <f t="shared" si="9"/>
        <v>0</v>
      </c>
      <c r="AX41" s="274"/>
      <c r="BD41" s="212" t="b">
        <f t="shared" si="4"/>
        <v>0</v>
      </c>
      <c r="BF41" s="212" t="b">
        <f t="shared" ref="BF41" si="376">IF(J41="",FALSE,IF(OR(AND(AU39,L41=""),AND(AU39,L41="",OR(M41&lt;&gt;"",N41&lt;&gt;"",O41&lt;&gt;"",P41&lt;&gt;""))),TRUE,FALSE))</f>
        <v>0</v>
      </c>
      <c r="BG41" s="212" t="b">
        <f t="shared" si="5"/>
        <v>0</v>
      </c>
      <c r="BH41" s="212" t="b">
        <f t="shared" si="7"/>
        <v>0</v>
      </c>
      <c r="BI41" s="212" t="b">
        <f t="shared" ref="BI41" si="377">IF(J41="",FALSE,IF(L41=0,FALSE,IF(AND(AU39,NOT(BF41),OR(M41="",N41="",O41="")),TRUE,FALSE)))</f>
        <v>0</v>
      </c>
      <c r="BJ41" s="231" t="b">
        <f t="shared" si="8"/>
        <v>0</v>
      </c>
      <c r="BK41" s="231" t="b">
        <f>IF(NOT(BJ41),FALSE,IF(AND(競技会設定!$C$5&lt;=BJ41,BJ41&lt;=競技会設定!$C$6),FALSE,TRUE))</f>
        <v>0</v>
      </c>
      <c r="BL41" s="212" t="b">
        <f>IF(J41="",FALSE,IF(L41=0,FALSE,IF(AND(AU39,NOT(BF41),NOT(BI41),P41=""),TRUE,FALSE)))</f>
        <v>0</v>
      </c>
    </row>
    <row r="42" spans="1:67" ht="18" customHeight="1" thickBot="1">
      <c r="A42" s="472"/>
      <c r="B42" s="395" t="s">
        <v>7051</v>
      </c>
      <c r="C42" s="395"/>
      <c r="D42" s="11"/>
      <c r="E42" s="460"/>
      <c r="F42" s="460"/>
      <c r="G42" s="460"/>
      <c r="H42" s="157"/>
      <c r="I42" s="157" t="s">
        <v>7065</v>
      </c>
      <c r="J42" s="307"/>
      <c r="K42" s="157" t="s">
        <v>7066</v>
      </c>
      <c r="L42" s="173"/>
      <c r="M42" s="258"/>
      <c r="N42" s="259"/>
      <c r="O42" s="260"/>
      <c r="P42" s="307"/>
      <c r="Q42" s="459"/>
      <c r="R42" s="416"/>
      <c r="S42" s="136"/>
      <c r="T42" s="137"/>
      <c r="U42" s="137"/>
      <c r="V42" s="137"/>
      <c r="W42" s="137"/>
      <c r="X42" s="137"/>
      <c r="Y42" s="212">
        <f t="shared" ref="Y42" si="378">IF(OR(E39="",J42=""),0,J42&amp;E39)</f>
        <v>0</v>
      </c>
      <c r="Z42" s="212">
        <f>IF(Y42=0,0,COUNTIF($Y$7:Y42,Y42))</f>
        <v>0</v>
      </c>
      <c r="AD42" s="212">
        <f>IFERROR(VLOOKUP(J42,競技会設定!$T$2:$W$22,2,0),0)</f>
        <v>0</v>
      </c>
      <c r="AE42" s="212">
        <f t="shared" ref="AE42" si="379">IF(E39="",0,IF(AD42=0,0,IF(AD42&lt;3,E39&amp;$AE$6,0)))</f>
        <v>0</v>
      </c>
      <c r="AF42" s="212">
        <f>IF(AE42=0,0,E39&amp;COUNTIF($AE$7:AE42,AE42))</f>
        <v>0</v>
      </c>
      <c r="AG42" s="212">
        <f t="shared" ref="AG42" si="380">IF(E39="",0,IF(AD42=0,0,IF(AD42&gt;=3,E39&amp;$AG$6,0)))</f>
        <v>0</v>
      </c>
      <c r="AH42" s="212">
        <f>IF(AG42=0,0,E39&amp;COUNTIF($AG$7:AG42,AG42))</f>
        <v>0</v>
      </c>
      <c r="AI42" s="212">
        <f t="shared" ref="AI42" si="381">IF($AD42=AI$6,$E39,0)</f>
        <v>0</v>
      </c>
      <c r="AJ42" s="212" t="b">
        <f>IF(AI42=0,FALSE,IF(COUNTIF(AI$7:AI42,AI42)&gt;1,TRUE,FALSE))</f>
        <v>0</v>
      </c>
      <c r="AK42" s="212">
        <f t="shared" ref="AK42" si="382">IF($AD42=AK$6,$E39,0)</f>
        <v>0</v>
      </c>
      <c r="AL42" s="212" t="b">
        <f>IF(AK42=0,FALSE,IF(COUNTIF(AK$7:AK42,AK42)&gt;1,TRUE,FALSE))</f>
        <v>0</v>
      </c>
      <c r="AM42" s="212">
        <f t="shared" ref="AM42" si="383">IF(COUNTIF(Y42,"*七種*")&gt;0,0,IF($AD42=AM$6,$E39,0))</f>
        <v>0</v>
      </c>
      <c r="AN42" s="212" t="b">
        <f>IF(AM42=0,FALSE,IF(COUNTIF(AM$7:AM42,AM42)&gt;1,TRUE,FALSE))</f>
        <v>0</v>
      </c>
      <c r="AO42" s="212">
        <f t="shared" ref="AO42" si="384">IF($AD42=AO$6,$E39,0)</f>
        <v>0</v>
      </c>
      <c r="AP42" s="212" t="b">
        <f>IF(AO42=0,FALSE,IF(COUNTIF(AO$7:AO42,AO42)&gt;1,TRUE,FALSE))</f>
        <v>0</v>
      </c>
      <c r="AQ42" s="212">
        <f t="shared" ref="AQ42" si="385">IF(COUNTIF(Y42,"*七種競技*")&gt;0,E39,0)</f>
        <v>0</v>
      </c>
      <c r="AR42" s="212" t="b">
        <f t="shared" si="6"/>
        <v>0</v>
      </c>
      <c r="AT42" s="212" t="b">
        <f t="shared" si="9"/>
        <v>0</v>
      </c>
      <c r="AX42" s="274"/>
      <c r="BD42" s="212" t="b">
        <f t="shared" si="4"/>
        <v>0</v>
      </c>
      <c r="BF42" s="212" t="b">
        <f t="shared" ref="BF42" si="386">IF(J42="",FALSE,IF(OR(AND(AU39,L42=""),AND(AU39,L42="",OR(M42&lt;&gt;"",N42&lt;&gt;"",O42&lt;&gt;"",P42&lt;&gt;""))),TRUE,FALSE))</f>
        <v>0</v>
      </c>
      <c r="BG42" s="212" t="b">
        <f t="shared" si="5"/>
        <v>0</v>
      </c>
      <c r="BH42" s="212" t="b">
        <f t="shared" si="7"/>
        <v>0</v>
      </c>
      <c r="BI42" s="212" t="b">
        <f t="shared" ref="BI42" si="387">IF(J42="",FALSE,IF(L42=0,FALSE,IF(AND(AU39,NOT(BF42),OR(M42="",N42="",O42="")),TRUE,FALSE)))</f>
        <v>0</v>
      </c>
      <c r="BJ42" s="231" t="b">
        <f t="shared" si="8"/>
        <v>0</v>
      </c>
      <c r="BK42" s="231" t="b">
        <f>IF(NOT(BJ42),FALSE,IF(AND(競技会設定!$C$5&lt;=BJ42,BJ42&lt;=競技会設定!$C$6),FALSE,TRUE))</f>
        <v>0</v>
      </c>
      <c r="BL42" s="212" t="b">
        <f>IF(J42="",FALSE,IF(L42=0,FALSE,IF(AND(AU39,NOT(BF42),NOT(BI42),P42=""),TRUE,FALSE)))</f>
        <v>0</v>
      </c>
    </row>
    <row r="43" spans="1:67" ht="18" customHeight="1" thickTop="1">
      <c r="A43" s="461">
        <v>10</v>
      </c>
      <c r="B43" s="373" t="s">
        <v>7050</v>
      </c>
      <c r="C43" s="375"/>
      <c r="D43" s="158" t="str">
        <f t="shared" ref="D43" si="388">IF(C43="","",502&amp;TEXT(C43,"000000"))</f>
        <v/>
      </c>
      <c r="E43" s="464" t="str">
        <f>IF(D43="","",(VLOOKUP(D43,女子登録!$A$2:$N$2001,3,0)))</f>
        <v/>
      </c>
      <c r="F43" s="464" t="str">
        <f>IF(D43="","",(VLOOKUP(D43,女子登録!$A$2:$N$2001,4,0)))</f>
        <v/>
      </c>
      <c r="G43" s="158" t="str">
        <f>IF(C43="","",(VLOOKUP(D43,女子登録!$A$2:$N$2001,8,0)))</f>
        <v/>
      </c>
      <c r="H43" s="158">
        <f>IFERROR(VLOOKUP(D43,女子登録!$A$2:$N$2001,11,0),基本情報!$E$5)</f>
        <v>0</v>
      </c>
      <c r="I43" s="158" t="s">
        <v>7059</v>
      </c>
      <c r="J43" s="174"/>
      <c r="K43" s="158" t="s">
        <v>7060</v>
      </c>
      <c r="L43" s="174"/>
      <c r="M43" s="261"/>
      <c r="N43" s="262"/>
      <c r="O43" s="263"/>
      <c r="P43" s="174"/>
      <c r="Q43" s="448"/>
      <c r="R43" s="408"/>
      <c r="S43" s="136">
        <f t="shared" ref="S43" si="389">IF(OR(E43="",Q43=""),0,E43)</f>
        <v>0</v>
      </c>
      <c r="T43" s="137">
        <f>IF(S43=0,0,COUNTIF($S$7:S43,"*"))</f>
        <v>0</v>
      </c>
      <c r="U43" s="137">
        <f>IF(S43=0,0,COUNTIF($S$7:S43,S43))</f>
        <v>0</v>
      </c>
      <c r="V43" s="137">
        <f t="shared" si="201"/>
        <v>0</v>
      </c>
      <c r="W43" s="137">
        <f>IF(V43=0,0,COUNTIF($V$7:V43,"*"))</f>
        <v>0</v>
      </c>
      <c r="X43" s="137">
        <f>IF(V43=0,0,COUNTIF($V$7:V43,V43))</f>
        <v>0</v>
      </c>
      <c r="Y43" s="212">
        <f t="shared" ref="Y43" si="390">IF(OR(E43="",J43=""),0,J43&amp;E43)</f>
        <v>0</v>
      </c>
      <c r="Z43" s="212">
        <f>IF(Y43=0,0,COUNTIF($Y$7:Y43,Y43))</f>
        <v>0</v>
      </c>
      <c r="AA43" s="212" t="b">
        <f>IF(COUNTIF(J43:J46,"七種競技")&gt;0,TRUE,FALSE)</f>
        <v>0</v>
      </c>
      <c r="AB43" s="212">
        <f>IF(E43="",0,IF(AA43,COUNTIF($AA$7:AA43,TRUE),0))</f>
        <v>0</v>
      </c>
      <c r="AC43" s="212">
        <f>IFERROR(VLOOKUP("七種競技",J43:L46,3,0),0)</f>
        <v>0</v>
      </c>
      <c r="AD43" s="212">
        <f>IFERROR(VLOOKUP(J43,競技会設定!$T$2:$W$22,2,0),0)</f>
        <v>0</v>
      </c>
      <c r="AE43" s="212">
        <f t="shared" ref="AE43" si="391">IF(E43="",0,IF(AD43=0,0,IF(AD43&lt;3,E43&amp;$AE$6,0)))</f>
        <v>0</v>
      </c>
      <c r="AF43" s="212">
        <f>IF(AE43=0,0,E43&amp;COUNTIF($AE$7:AE43,AE43))</f>
        <v>0</v>
      </c>
      <c r="AG43" s="212">
        <f t="shared" ref="AG43" si="392">IF(E43="",0,IF(AD43=0,0,IF(AD43&gt;=3,E43&amp;$AG$6,0)))</f>
        <v>0</v>
      </c>
      <c r="AH43" s="212">
        <f>IF(AG43=0,0,E43&amp;COUNTIF($AG$7:AG43,AG43))</f>
        <v>0</v>
      </c>
      <c r="AI43" s="212">
        <f t="shared" ref="AI43" si="393">IF($AD43=AI$6,$E43,0)</f>
        <v>0</v>
      </c>
      <c r="AJ43" s="212" t="b">
        <f>IF(AI43=0,FALSE,IF(COUNTIF(AI$7:AI43,AI43)&gt;1,TRUE,FALSE))</f>
        <v>0</v>
      </c>
      <c r="AK43" s="212">
        <f t="shared" ref="AK43" si="394">IF($AD43=AK$6,$E43,0)</f>
        <v>0</v>
      </c>
      <c r="AL43" s="212" t="b">
        <f>IF(AK43=0,FALSE,IF(COUNTIF(AK$7:AK43,AK43)&gt;1,TRUE,FALSE))</f>
        <v>0</v>
      </c>
      <c r="AM43" s="212">
        <f t="shared" ref="AM43" si="395">IF(COUNTIF(Y43,"*七種*")&gt;0,0,IF($AD43=AM$6,$E43,0))</f>
        <v>0</v>
      </c>
      <c r="AN43" s="212" t="b">
        <f>IF(AM43=0,FALSE,IF(COUNTIF(AM$7:AM43,AM43)&gt;1,TRUE,FALSE))</f>
        <v>0</v>
      </c>
      <c r="AO43" s="212">
        <f t="shared" ref="AO43" si="396">IF($AD43=AO$6,$E43,0)</f>
        <v>0</v>
      </c>
      <c r="AP43" s="212" t="b">
        <f>IF(AO43=0,FALSE,IF(COUNTIF(AO$7:AO43,AO43)&gt;1,TRUE,FALSE))</f>
        <v>0</v>
      </c>
      <c r="AQ43" s="212">
        <f t="shared" ref="AQ43" si="397">IF(COUNTIF(Y43,"*七種競技*")&gt;0,E43,0)</f>
        <v>0</v>
      </c>
      <c r="AR43" s="212" t="b">
        <f t="shared" si="6"/>
        <v>0</v>
      </c>
      <c r="AS43" s="212" t="b">
        <f t="shared" ref="AS43" si="398">IF(AND(C43="",E43&lt;&gt;"",F43&lt;&gt;"",E45&lt;&gt;"",G43&lt;&gt;"",G44&lt;&gt;"",G45&lt;&gt;""),TRUE,FALSE)</f>
        <v>0</v>
      </c>
      <c r="AT43" s="212" t="b">
        <f t="shared" si="9"/>
        <v>0</v>
      </c>
      <c r="AU43" s="212" t="b">
        <f>IFERROR(IF(E43&amp;F43&amp;E45&amp;G43&amp;G44&amp;G45&amp;J43&amp;J44&amp;J45&amp;J46&amp;L43&amp;L44&amp;L45&amp;L46&amp;M43&amp;M44&amp;M45&amp;M46&amp;P43&amp;P44&amp;P45&amp;P46&amp;Q43&amp;R43="",FALSE,TRUE),FALSE)</f>
        <v>0</v>
      </c>
      <c r="AV43" s="212" t="b">
        <f t="shared" ref="AV43" si="399">IF(AS43,FALSE,IF(C43="",AU43,FALSE))</f>
        <v>0</v>
      </c>
      <c r="AW43" s="212" t="b">
        <f t="shared" ref="AW43" si="400">IF(C43="",FALSE,IF(C43&lt;=2000,TRUE,FALSE))</f>
        <v>0</v>
      </c>
      <c r="AX43" s="274" t="b">
        <f>IF(H43=0,FALSE,IF(EXACT(基本情報!$E$5,H43)=TRUE,FALSE,TRUE))</f>
        <v>0</v>
      </c>
      <c r="AY43" s="212" t="b">
        <f>IF(C43="",FALSE,IF(ISNA(E43)=TRUE,TRUE,FALSE))</f>
        <v>0</v>
      </c>
      <c r="AZ43" s="274" t="b">
        <f>IFERROR(IF(E43="",FALSE,IF(COUNTIF($E$7:E43,E43)&gt;1,TRUE,FALSE)),FALSE)</f>
        <v>0</v>
      </c>
      <c r="BA43" s="212" t="b">
        <f t="shared" ref="BA43" si="401">IF(OR(J43&amp;J44&amp;J45&amp;J46&amp;Q43&amp;R43="",AT43,AT44,AT45,AT46),AU43,FALSE)</f>
        <v>0</v>
      </c>
      <c r="BB43" s="212" t="b">
        <f>IF(U43&gt;1,TRUE,FALSE)</f>
        <v>0</v>
      </c>
      <c r="BC43" s="212" t="b">
        <f>IF(X43&gt;1,TRUE,FALSE)</f>
        <v>0</v>
      </c>
      <c r="BD43" s="212" t="b">
        <f t="shared" si="4"/>
        <v>0</v>
      </c>
      <c r="BF43" s="212" t="b">
        <f t="shared" ref="BF43" si="402">IF(J43="",FALSE,IF(OR(AND(AU43,L43=""),AND(AU43,L43="",OR(M43&lt;&gt;"",N43&lt;&gt;"",O43&lt;&gt;"",P43&lt;&gt;""))),TRUE,FALSE))</f>
        <v>0</v>
      </c>
      <c r="BG43" s="212" t="b">
        <f t="shared" si="5"/>
        <v>0</v>
      </c>
      <c r="BH43" s="212" t="b">
        <f t="shared" si="7"/>
        <v>0</v>
      </c>
      <c r="BI43" s="212" t="b">
        <f t="shared" ref="BI43" si="403">IF(J43="",FALSE,IF(L43=0,FALSE,IF(AND(AU43,NOT(BF43),OR(M43="",N43="",O43="")),TRUE,FALSE)))</f>
        <v>0</v>
      </c>
      <c r="BJ43" s="231" t="b">
        <f t="shared" si="8"/>
        <v>0</v>
      </c>
      <c r="BK43" s="231" t="b">
        <f>IF(NOT(BJ43),FALSE,IF(AND(競技会設定!$C$5&lt;=BJ43,BJ43&lt;=競技会設定!$C$6),FALSE,TRUE))</f>
        <v>0</v>
      </c>
      <c r="BL43" s="212" t="b">
        <f>IF(J43="",FALSE,IF(L43=0,FALSE,IF(AND(AU43,NOT(BF43),NOT(BI43),P43=""),TRUE,FALSE)))</f>
        <v>0</v>
      </c>
      <c r="BO43" s="274">
        <f t="shared" ref="BO43" si="404">IF(AND(AU43,SUM(COUNTIF(AV43:BC43,TRUE),COUNTIF(BF43:BL46,TRUE),COUNTIF(BD43:BD46,TRUE))=0,NOT($BE$7)),1,0)</f>
        <v>0</v>
      </c>
    </row>
    <row r="44" spans="1:67" ht="17.399999999999999" customHeight="1">
      <c r="A44" s="462"/>
      <c r="B44" s="374"/>
      <c r="C44" s="376"/>
      <c r="D44" s="159"/>
      <c r="E44" s="465"/>
      <c r="F44" s="465"/>
      <c r="G44" s="159" t="str">
        <f>IF(C43="","",(VLOOKUP(D43,女子登録!$A$2:$N$2001,13,0)))</f>
        <v/>
      </c>
      <c r="H44" s="159"/>
      <c r="I44" s="159" t="s">
        <v>7061</v>
      </c>
      <c r="J44" s="175"/>
      <c r="K44" s="159" t="s">
        <v>7062</v>
      </c>
      <c r="L44" s="175"/>
      <c r="M44" s="264"/>
      <c r="N44" s="265"/>
      <c r="O44" s="266"/>
      <c r="P44" s="175"/>
      <c r="Q44" s="449"/>
      <c r="R44" s="409"/>
      <c r="S44" s="136"/>
      <c r="T44" s="137"/>
      <c r="U44" s="137"/>
      <c r="V44" s="137"/>
      <c r="W44" s="137"/>
      <c r="X44" s="137"/>
      <c r="Y44" s="212">
        <f t="shared" ref="Y44" si="405">IF(OR(E43="",J44=""),0,J44&amp;E43)</f>
        <v>0</v>
      </c>
      <c r="Z44" s="212">
        <f>IF(Y44=0,0,COUNTIF($Y$7:Y44,Y44))</f>
        <v>0</v>
      </c>
      <c r="AD44" s="212">
        <f>IFERROR(VLOOKUP(J44,競技会設定!$T$2:$W$22,2,0),0)</f>
        <v>0</v>
      </c>
      <c r="AE44" s="212">
        <f t="shared" ref="AE44" si="406">IF(E43="",0,IF(AD44=0,0,IF(AD44&lt;3,E43&amp;$AE$6,0)))</f>
        <v>0</v>
      </c>
      <c r="AF44" s="212">
        <f>IF(AE44=0,0,E43&amp;COUNTIF($AE$7:AE44,AE44))</f>
        <v>0</v>
      </c>
      <c r="AG44" s="212">
        <f t="shared" ref="AG44" si="407">IF(E43="",0,IF(AD44=0,0,IF(AD44&gt;=3,E43&amp;$AG$6,0)))</f>
        <v>0</v>
      </c>
      <c r="AH44" s="212">
        <f>IF(AG44=0,0,E43&amp;COUNTIF($AG$7:AG44,AG44))</f>
        <v>0</v>
      </c>
      <c r="AI44" s="212">
        <f t="shared" ref="AI44" si="408">IF($AD44=AI$6,$E43,0)</f>
        <v>0</v>
      </c>
      <c r="AJ44" s="212" t="b">
        <f>IF(AI44=0,FALSE,IF(COUNTIF(AI$7:AI44,AI44)&gt;1,TRUE,FALSE))</f>
        <v>0</v>
      </c>
      <c r="AK44" s="212">
        <f t="shared" ref="AK44" si="409">IF($AD44=AK$6,$E43,0)</f>
        <v>0</v>
      </c>
      <c r="AL44" s="212" t="b">
        <f>IF(AK44=0,FALSE,IF(COUNTIF(AK$7:AK44,AK44)&gt;1,TRUE,FALSE))</f>
        <v>0</v>
      </c>
      <c r="AM44" s="212">
        <f t="shared" ref="AM44" si="410">IF(COUNTIF(Y44,"*七種*")&gt;0,0,IF($AD44=AM$6,$E43,0))</f>
        <v>0</v>
      </c>
      <c r="AN44" s="212" t="b">
        <f>IF(AM44=0,FALSE,IF(COUNTIF(AM$7:AM44,AM44)&gt;1,TRUE,FALSE))</f>
        <v>0</v>
      </c>
      <c r="AO44" s="212">
        <f t="shared" ref="AO44" si="411">IF($AD44=AO$6,$E43,0)</f>
        <v>0</v>
      </c>
      <c r="AP44" s="212" t="b">
        <f>IF(AO44=0,FALSE,IF(COUNTIF(AO$7:AO44,AO44)&gt;1,TRUE,FALSE))</f>
        <v>0</v>
      </c>
      <c r="AQ44" s="212">
        <f t="shared" ref="AQ44" si="412">IF(COUNTIF(Y44,"*七種競技*")&gt;0,E43,0)</f>
        <v>0</v>
      </c>
      <c r="AR44" s="212" t="b">
        <f t="shared" si="6"/>
        <v>0</v>
      </c>
      <c r="AT44" s="212" t="b">
        <f t="shared" si="9"/>
        <v>0</v>
      </c>
      <c r="AX44" s="274"/>
      <c r="BD44" s="212" t="b">
        <f t="shared" si="4"/>
        <v>0</v>
      </c>
      <c r="BF44" s="212" t="b">
        <f t="shared" ref="BF44" si="413">IF(J44="",FALSE,IF(OR(AND(AU43,L44=""),AND(AU43,L44="",OR(M44&lt;&gt;"",N44&lt;&gt;"",O44&lt;&gt;"",P44&lt;&gt;""))),TRUE,FALSE))</f>
        <v>0</v>
      </c>
      <c r="BG44" s="212" t="b">
        <f t="shared" si="5"/>
        <v>0</v>
      </c>
      <c r="BH44" s="212" t="b">
        <f t="shared" si="7"/>
        <v>0</v>
      </c>
      <c r="BI44" s="212" t="b">
        <f t="shared" ref="BI44" si="414">IF(J44="",FALSE,IF(L44=0,FALSE,IF(AND(AU43,NOT(BF44),OR(M44="",N44="",O44="")),TRUE,FALSE)))</f>
        <v>0</v>
      </c>
      <c r="BJ44" s="231" t="b">
        <f t="shared" si="8"/>
        <v>0</v>
      </c>
      <c r="BK44" s="231" t="b">
        <f>IF(NOT(BJ44),FALSE,IF(AND(競技会設定!$C$5&lt;=BJ44,BJ44&lt;=競技会設定!$C$6),FALSE,TRUE))</f>
        <v>0</v>
      </c>
      <c r="BL44" s="212" t="b">
        <f>IF(J44="",FALSE,IF(L44=0,FALSE,IF(AND(AU43,NOT(BF44),NOT(BI44),P44=""),TRUE,FALSE)))</f>
        <v>0</v>
      </c>
    </row>
    <row r="45" spans="1:67" ht="17.399999999999999" customHeight="1">
      <c r="A45" s="462"/>
      <c r="B45" s="374"/>
      <c r="C45" s="376"/>
      <c r="D45" s="160"/>
      <c r="E45" s="452" t="str">
        <f>IF(C43="","",VLOOKUP(D43,女子登録!$A$2:$O$2001,14,0)&amp;" ("&amp;VLOOKUP(D43,女子登録!$A$2:$O$2001,15,0)&amp;")")</f>
        <v/>
      </c>
      <c r="F45" s="453"/>
      <c r="G45" s="160" t="str">
        <f>IF(C43="","",(VLOOKUP(D43,女子登録!$A$2:$N$2001,9,0)))</f>
        <v/>
      </c>
      <c r="H45" s="160"/>
      <c r="I45" s="160" t="s">
        <v>7063</v>
      </c>
      <c r="J45" s="176"/>
      <c r="K45" s="160" t="s">
        <v>7064</v>
      </c>
      <c r="L45" s="176"/>
      <c r="M45" s="264"/>
      <c r="N45" s="265"/>
      <c r="O45" s="266"/>
      <c r="P45" s="175"/>
      <c r="Q45" s="449"/>
      <c r="R45" s="409"/>
      <c r="S45" s="136"/>
      <c r="T45" s="137"/>
      <c r="U45" s="137"/>
      <c r="V45" s="137"/>
      <c r="W45" s="137"/>
      <c r="X45" s="137"/>
      <c r="Y45" s="212">
        <f t="shared" ref="Y45" si="415">IF(OR(E43="",J45=""),0,J45&amp;E43)</f>
        <v>0</v>
      </c>
      <c r="Z45" s="212">
        <f>IF(Y45=0,0,COUNTIF($Y$7:Y45,Y45))</f>
        <v>0</v>
      </c>
      <c r="AD45" s="212">
        <f>IFERROR(VLOOKUP(J45,競技会設定!$T$2:$W$22,2,0),0)</f>
        <v>0</v>
      </c>
      <c r="AE45" s="212">
        <f t="shared" ref="AE45" si="416">IF(E43="",0,IF(AD45=0,0,IF(AD45&lt;3,E43&amp;$AE$6,0)))</f>
        <v>0</v>
      </c>
      <c r="AF45" s="212">
        <f>IF(AE45=0,0,E43&amp;COUNTIF($AE$7:AE45,AE45))</f>
        <v>0</v>
      </c>
      <c r="AG45" s="212">
        <f t="shared" ref="AG45" si="417">IF(E43="",0,IF(AD45=0,0,IF(AD45&gt;=3,E43&amp;$AG$6,0)))</f>
        <v>0</v>
      </c>
      <c r="AH45" s="212">
        <f>IF(AG45=0,0,E43&amp;COUNTIF($AG$7:AG45,AG45))</f>
        <v>0</v>
      </c>
      <c r="AI45" s="212">
        <f t="shared" ref="AI45" si="418">IF($AD45=AI$6,$E43,0)</f>
        <v>0</v>
      </c>
      <c r="AJ45" s="212" t="b">
        <f>IF(AI45=0,FALSE,IF(COUNTIF(AI$7:AI45,AI45)&gt;1,TRUE,FALSE))</f>
        <v>0</v>
      </c>
      <c r="AK45" s="212">
        <f t="shared" ref="AK45" si="419">IF($AD45=AK$6,$E43,0)</f>
        <v>0</v>
      </c>
      <c r="AL45" s="212" t="b">
        <f>IF(AK45=0,FALSE,IF(COUNTIF(AK$7:AK45,AK45)&gt;1,TRUE,FALSE))</f>
        <v>0</v>
      </c>
      <c r="AM45" s="212">
        <f t="shared" ref="AM45" si="420">IF(COUNTIF(Y45,"*七種*")&gt;0,0,IF($AD45=AM$6,$E43,0))</f>
        <v>0</v>
      </c>
      <c r="AN45" s="212" t="b">
        <f>IF(AM45=0,FALSE,IF(COUNTIF(AM$7:AM45,AM45)&gt;1,TRUE,FALSE))</f>
        <v>0</v>
      </c>
      <c r="AO45" s="212">
        <f t="shared" ref="AO45" si="421">IF($AD45=AO$6,$E43,0)</f>
        <v>0</v>
      </c>
      <c r="AP45" s="212" t="b">
        <f>IF(AO45=0,FALSE,IF(COUNTIF(AO$7:AO45,AO45)&gt;1,TRUE,FALSE))</f>
        <v>0</v>
      </c>
      <c r="AQ45" s="212">
        <f t="shared" ref="AQ45" si="422">IF(COUNTIF(Y45,"*七種競技*")&gt;0,E43,0)</f>
        <v>0</v>
      </c>
      <c r="AR45" s="212" t="b">
        <f t="shared" si="6"/>
        <v>0</v>
      </c>
      <c r="AT45" s="212" t="b">
        <f t="shared" si="9"/>
        <v>0</v>
      </c>
      <c r="AX45" s="274"/>
      <c r="BD45" s="212" t="b">
        <f t="shared" si="4"/>
        <v>0</v>
      </c>
      <c r="BF45" s="212" t="b">
        <f t="shared" ref="BF45" si="423">IF(J45="",FALSE,IF(OR(AND(AU43,L45=""),AND(AU43,L45="",OR(M45&lt;&gt;"",N45&lt;&gt;"",O45&lt;&gt;"",P45&lt;&gt;""))),TRUE,FALSE))</f>
        <v>0</v>
      </c>
      <c r="BG45" s="212" t="b">
        <f t="shared" si="5"/>
        <v>0</v>
      </c>
      <c r="BH45" s="212" t="b">
        <f t="shared" si="7"/>
        <v>0</v>
      </c>
      <c r="BI45" s="212" t="b">
        <f t="shared" ref="BI45" si="424">IF(J45="",FALSE,IF(L45=0,FALSE,IF(AND(AU43,NOT(BF45),OR(M45="",N45="",O45="")),TRUE,FALSE)))</f>
        <v>0</v>
      </c>
      <c r="BJ45" s="231" t="b">
        <f t="shared" si="8"/>
        <v>0</v>
      </c>
      <c r="BK45" s="231" t="b">
        <f>IF(NOT(BJ45),FALSE,IF(AND(競技会設定!$C$5&lt;=BJ45,BJ45&lt;=競技会設定!$C$6),FALSE,TRUE))</f>
        <v>0</v>
      </c>
      <c r="BL45" s="212" t="b">
        <f>IF(J45="",FALSE,IF(L45=0,FALSE,IF(AND(AU43,NOT(BF45),NOT(BI45),P45=""),TRUE,FALSE)))</f>
        <v>0</v>
      </c>
    </row>
    <row r="46" spans="1:67" ht="18" customHeight="1" thickBot="1">
      <c r="A46" s="475"/>
      <c r="B46" s="387" t="s">
        <v>7051</v>
      </c>
      <c r="C46" s="387"/>
      <c r="D46" s="161"/>
      <c r="E46" s="467"/>
      <c r="F46" s="468"/>
      <c r="G46" s="469"/>
      <c r="H46" s="162"/>
      <c r="I46" s="161" t="s">
        <v>7065</v>
      </c>
      <c r="J46" s="177"/>
      <c r="K46" s="161" t="s">
        <v>7066</v>
      </c>
      <c r="L46" s="177"/>
      <c r="M46" s="267"/>
      <c r="N46" s="268"/>
      <c r="O46" s="269"/>
      <c r="P46" s="177"/>
      <c r="Q46" s="466"/>
      <c r="R46" s="410"/>
      <c r="S46" s="136"/>
      <c r="T46" s="137"/>
      <c r="U46" s="137"/>
      <c r="V46" s="137"/>
      <c r="W46" s="137"/>
      <c r="X46" s="137"/>
      <c r="Y46" s="212">
        <f t="shared" ref="Y46" si="425">IF(OR(E43="",J46=""),0,J46&amp;E43)</f>
        <v>0</v>
      </c>
      <c r="Z46" s="212">
        <f>IF(Y46=0,0,COUNTIF($Y$7:Y46,Y46))</f>
        <v>0</v>
      </c>
      <c r="AD46" s="212">
        <f>IFERROR(VLOOKUP(J46,競技会設定!$T$2:$W$22,2,0),0)</f>
        <v>0</v>
      </c>
      <c r="AE46" s="212">
        <f t="shared" ref="AE46" si="426">IF(E43="",0,IF(AD46=0,0,IF(AD46&lt;3,E43&amp;$AE$6,0)))</f>
        <v>0</v>
      </c>
      <c r="AF46" s="212">
        <f>IF(AE46=0,0,E43&amp;COUNTIF($AE$7:AE46,AE46))</f>
        <v>0</v>
      </c>
      <c r="AG46" s="212">
        <f t="shared" ref="AG46" si="427">IF(E43="",0,IF(AD46=0,0,IF(AD46&gt;=3,E43&amp;$AG$6,0)))</f>
        <v>0</v>
      </c>
      <c r="AH46" s="212">
        <f>IF(AG46=0,0,E43&amp;COUNTIF($AG$7:AG46,AG46))</f>
        <v>0</v>
      </c>
      <c r="AI46" s="212">
        <f t="shared" ref="AI46" si="428">IF($AD46=AI$6,$E43,0)</f>
        <v>0</v>
      </c>
      <c r="AJ46" s="212" t="b">
        <f>IF(AI46=0,FALSE,IF(COUNTIF(AI$7:AI46,AI46)&gt;1,TRUE,FALSE))</f>
        <v>0</v>
      </c>
      <c r="AK46" s="212">
        <f t="shared" ref="AK46" si="429">IF($AD46=AK$6,$E43,0)</f>
        <v>0</v>
      </c>
      <c r="AL46" s="212" t="b">
        <f>IF(AK46=0,FALSE,IF(COUNTIF(AK$7:AK46,AK46)&gt;1,TRUE,FALSE))</f>
        <v>0</v>
      </c>
      <c r="AM46" s="212">
        <f t="shared" ref="AM46" si="430">IF(COUNTIF(Y46,"*七種*")&gt;0,0,IF($AD46=AM$6,$E43,0))</f>
        <v>0</v>
      </c>
      <c r="AN46" s="212" t="b">
        <f>IF(AM46=0,FALSE,IF(COUNTIF(AM$7:AM46,AM46)&gt;1,TRUE,FALSE))</f>
        <v>0</v>
      </c>
      <c r="AO46" s="212">
        <f t="shared" ref="AO46" si="431">IF($AD46=AO$6,$E43,0)</f>
        <v>0</v>
      </c>
      <c r="AP46" s="212" t="b">
        <f>IF(AO46=0,FALSE,IF(COUNTIF(AO$7:AO46,AO46)&gt;1,TRUE,FALSE))</f>
        <v>0</v>
      </c>
      <c r="AQ46" s="212">
        <f t="shared" ref="AQ46" si="432">IF(COUNTIF(Y46,"*七種競技*")&gt;0,E43,0)</f>
        <v>0</v>
      </c>
      <c r="AR46" s="212" t="b">
        <f t="shared" si="6"/>
        <v>0</v>
      </c>
      <c r="AT46" s="212" t="b">
        <f t="shared" si="9"/>
        <v>0</v>
      </c>
      <c r="AX46" s="274"/>
      <c r="BD46" s="212" t="b">
        <f t="shared" si="4"/>
        <v>0</v>
      </c>
      <c r="BF46" s="212" t="b">
        <f t="shared" ref="BF46" si="433">IF(J46="",FALSE,IF(OR(AND(AU43,L46=""),AND(AU43,L46="",OR(M46&lt;&gt;"",N46&lt;&gt;"",O46&lt;&gt;"",P46&lt;&gt;""))),TRUE,FALSE))</f>
        <v>0</v>
      </c>
      <c r="BG46" s="212" t="b">
        <f t="shared" si="5"/>
        <v>0</v>
      </c>
      <c r="BH46" s="212" t="b">
        <f t="shared" si="7"/>
        <v>0</v>
      </c>
      <c r="BI46" s="212" t="b">
        <f t="shared" ref="BI46" si="434">IF(J46="",FALSE,IF(L46=0,FALSE,IF(AND(AU43,NOT(BF46),OR(M46="",N46="",O46="")),TRUE,FALSE)))</f>
        <v>0</v>
      </c>
      <c r="BJ46" s="231" t="b">
        <f t="shared" si="8"/>
        <v>0</v>
      </c>
      <c r="BK46" s="231" t="b">
        <f>IF(NOT(BJ46),FALSE,IF(AND(競技会設定!$C$5&lt;=BJ46,BJ46&lt;=競技会設定!$C$6),FALSE,TRUE))</f>
        <v>0</v>
      </c>
      <c r="BL46" s="212" t="b">
        <f>IF(J46="",FALSE,IF(L46=0,FALSE,IF(AND(AU43,NOT(BF46),NOT(BI46),P46=""),TRUE,FALSE)))</f>
        <v>0</v>
      </c>
    </row>
    <row r="47" spans="1:67" ht="18" customHeight="1" thickTop="1">
      <c r="A47" s="470">
        <v>11</v>
      </c>
      <c r="B47" s="401" t="s">
        <v>7050</v>
      </c>
      <c r="C47" s="403"/>
      <c r="D47" s="156" t="str">
        <f t="shared" ref="D47" si="435">IF(C47="","",502&amp;TEXT(C47,"000000"))</f>
        <v/>
      </c>
      <c r="E47" s="473" t="str">
        <f>IF(D47="","",(VLOOKUP(D47,女子登録!$A$2:$N$2001,3,0)))</f>
        <v/>
      </c>
      <c r="F47" s="473" t="str">
        <f>IF(D47="","",(VLOOKUP(D47,女子登録!$A$2:$N$2001,4,0)))</f>
        <v/>
      </c>
      <c r="G47" s="156" t="str">
        <f>IF(C47="","",(VLOOKUP(D47,女子登録!$A$2:$N$2001,8,0)))</f>
        <v/>
      </c>
      <c r="H47" s="156">
        <f>IFERROR(VLOOKUP(D47,女子登録!$A$2:$N$2001,11,0),基本情報!$E$5)</f>
        <v>0</v>
      </c>
      <c r="I47" s="156" t="s">
        <v>7059</v>
      </c>
      <c r="J47" s="170"/>
      <c r="K47" s="156" t="s">
        <v>7060</v>
      </c>
      <c r="L47" s="170"/>
      <c r="M47" s="252"/>
      <c r="N47" s="253"/>
      <c r="O47" s="254"/>
      <c r="P47" s="170"/>
      <c r="Q47" s="457"/>
      <c r="R47" s="414"/>
      <c r="S47" s="136">
        <f t="shared" ref="S47" si="436">IF(OR(E47="",Q47=""),0,E47)</f>
        <v>0</v>
      </c>
      <c r="T47" s="137">
        <f>IF(S47=0,0,COUNTIF($S$7:S47,"*"))</f>
        <v>0</v>
      </c>
      <c r="U47" s="137">
        <f>IF(S47=0,0,COUNTIF($S$7:S47,S47))</f>
        <v>0</v>
      </c>
      <c r="V47" s="137">
        <f t="shared" si="201"/>
        <v>0</v>
      </c>
      <c r="W47" s="137">
        <f>IF(V47=0,0,COUNTIF($V$7:V47,"*"))</f>
        <v>0</v>
      </c>
      <c r="X47" s="137">
        <f>IF(V47=0,0,COUNTIF($V$7:V47,V47))</f>
        <v>0</v>
      </c>
      <c r="Y47" s="212">
        <f t="shared" ref="Y47" si="437">IF(OR(E47="",J47=""),0,J47&amp;E47)</f>
        <v>0</v>
      </c>
      <c r="Z47" s="212">
        <f>IF(Y47=0,0,COUNTIF($Y$7:Y47,Y47))</f>
        <v>0</v>
      </c>
      <c r="AA47" s="212" t="b">
        <f>IF(COUNTIF(J47:J50,"七種競技")&gt;0,TRUE,FALSE)</f>
        <v>0</v>
      </c>
      <c r="AB47" s="212">
        <f>IF(E47="",0,IF(AA47,COUNTIF($AA$7:AA47,TRUE),0))</f>
        <v>0</v>
      </c>
      <c r="AC47" s="212">
        <f>IFERROR(VLOOKUP("七種競技",J47:L50,3,0),0)</f>
        <v>0</v>
      </c>
      <c r="AD47" s="212">
        <f>IFERROR(VLOOKUP(J47,競技会設定!$T$2:$W$22,2,0),0)</f>
        <v>0</v>
      </c>
      <c r="AE47" s="212">
        <f t="shared" ref="AE47" si="438">IF(E47="",0,IF(AD47=0,0,IF(AD47&lt;3,E47&amp;$AE$6,0)))</f>
        <v>0</v>
      </c>
      <c r="AF47" s="212">
        <f>IF(AE47=0,0,E47&amp;COUNTIF($AE$7:AE47,AE47))</f>
        <v>0</v>
      </c>
      <c r="AG47" s="212">
        <f t="shared" ref="AG47" si="439">IF(E47="",0,IF(AD47=0,0,IF(AD47&gt;=3,E47&amp;$AG$6,0)))</f>
        <v>0</v>
      </c>
      <c r="AH47" s="212">
        <f>IF(AG47=0,0,E47&amp;COUNTIF($AG$7:AG47,AG47))</f>
        <v>0</v>
      </c>
      <c r="AI47" s="212">
        <f t="shared" ref="AI47" si="440">IF($AD47=AI$6,$E47,0)</f>
        <v>0</v>
      </c>
      <c r="AJ47" s="212" t="b">
        <f>IF(AI47=0,FALSE,IF(COUNTIF(AI$7:AI47,AI47)&gt;1,TRUE,FALSE))</f>
        <v>0</v>
      </c>
      <c r="AK47" s="212">
        <f t="shared" ref="AK47" si="441">IF($AD47=AK$6,$E47,0)</f>
        <v>0</v>
      </c>
      <c r="AL47" s="212" t="b">
        <f>IF(AK47=0,FALSE,IF(COUNTIF(AK$7:AK47,AK47)&gt;1,TRUE,FALSE))</f>
        <v>0</v>
      </c>
      <c r="AM47" s="212">
        <f t="shared" ref="AM47" si="442">IF(COUNTIF(Y47,"*七種*")&gt;0,0,IF($AD47=AM$6,$E47,0))</f>
        <v>0</v>
      </c>
      <c r="AN47" s="212" t="b">
        <f>IF(AM47=0,FALSE,IF(COUNTIF(AM$7:AM47,AM47)&gt;1,TRUE,FALSE))</f>
        <v>0</v>
      </c>
      <c r="AO47" s="212">
        <f t="shared" ref="AO47" si="443">IF($AD47=AO$6,$E47,0)</f>
        <v>0</v>
      </c>
      <c r="AP47" s="212" t="b">
        <f>IF(AO47=0,FALSE,IF(COUNTIF(AO$7:AO47,AO47)&gt;1,TRUE,FALSE))</f>
        <v>0</v>
      </c>
      <c r="AQ47" s="212">
        <f t="shared" ref="AQ47" si="444">IF(COUNTIF(Y47,"*七種競技*")&gt;0,E47,0)</f>
        <v>0</v>
      </c>
      <c r="AR47" s="212" t="b">
        <f t="shared" si="6"/>
        <v>0</v>
      </c>
      <c r="AS47" s="212" t="b">
        <f t="shared" ref="AS47" si="445">IF(AND(C47="",E47&lt;&gt;"",F47&lt;&gt;"",E49&lt;&gt;"",G47&lt;&gt;"",G48&lt;&gt;"",G49&lt;&gt;""),TRUE,FALSE)</f>
        <v>0</v>
      </c>
      <c r="AT47" s="212" t="b">
        <f t="shared" si="9"/>
        <v>0</v>
      </c>
      <c r="AU47" s="212" t="b">
        <f>IFERROR(IF(E47&amp;F47&amp;E49&amp;G47&amp;G48&amp;G49&amp;J47&amp;J48&amp;J49&amp;J50&amp;L47&amp;L48&amp;L49&amp;L50&amp;M47&amp;M48&amp;M49&amp;M50&amp;P47&amp;P48&amp;P49&amp;P50&amp;Q47&amp;R47="",FALSE,TRUE),FALSE)</f>
        <v>0</v>
      </c>
      <c r="AV47" s="212" t="b">
        <f t="shared" ref="AV47" si="446">IF(AS47,FALSE,IF(C47="",AU47,FALSE))</f>
        <v>0</v>
      </c>
      <c r="AW47" s="212" t="b">
        <f t="shared" ref="AW47" si="447">IF(C47="",FALSE,IF(C47&lt;=2000,TRUE,FALSE))</f>
        <v>0</v>
      </c>
      <c r="AX47" s="274" t="b">
        <f>IF(H47=0,FALSE,IF(EXACT(基本情報!$E$5,H47)=TRUE,FALSE,TRUE))</f>
        <v>0</v>
      </c>
      <c r="AY47" s="212" t="b">
        <f>IF(C47="",FALSE,IF(ISNA(E47)=TRUE,TRUE,FALSE))</f>
        <v>0</v>
      </c>
      <c r="AZ47" s="274" t="b">
        <f>IFERROR(IF(E47="",FALSE,IF(COUNTIF($E$7:E47,E47)&gt;1,TRUE,FALSE)),FALSE)</f>
        <v>0</v>
      </c>
      <c r="BA47" s="212" t="b">
        <f t="shared" ref="BA47" si="448">IF(OR(J47&amp;J48&amp;J49&amp;J50&amp;Q47&amp;R47="",AT47,AT48,AT49,AT50),AU47,FALSE)</f>
        <v>0</v>
      </c>
      <c r="BB47" s="212" t="b">
        <f>IF(U47&gt;1,TRUE,FALSE)</f>
        <v>0</v>
      </c>
      <c r="BC47" s="212" t="b">
        <f>IF(X47&gt;1,TRUE,FALSE)</f>
        <v>0</v>
      </c>
      <c r="BD47" s="212" t="b">
        <f t="shared" si="4"/>
        <v>0</v>
      </c>
      <c r="BF47" s="212" t="b">
        <f t="shared" ref="BF47" si="449">IF(J47="",FALSE,IF(OR(AND(AU47,L47=""),AND(AU47,L47="",OR(M47&lt;&gt;"",N47&lt;&gt;"",O47&lt;&gt;"",P47&lt;&gt;""))),TRUE,FALSE))</f>
        <v>0</v>
      </c>
      <c r="BG47" s="212" t="b">
        <f t="shared" si="5"/>
        <v>0</v>
      </c>
      <c r="BH47" s="212" t="b">
        <f t="shared" si="7"/>
        <v>0</v>
      </c>
      <c r="BI47" s="212" t="b">
        <f t="shared" ref="BI47" si="450">IF(J47="",FALSE,IF(L47=0,FALSE,IF(AND(AU47,NOT(BF47),OR(M47="",N47="",O47="")),TRUE,FALSE)))</f>
        <v>0</v>
      </c>
      <c r="BJ47" s="231" t="b">
        <f t="shared" si="8"/>
        <v>0</v>
      </c>
      <c r="BK47" s="231" t="b">
        <f>IF(NOT(BJ47),FALSE,IF(AND(競技会設定!$C$5&lt;=BJ47,BJ47&lt;=競技会設定!$C$6),FALSE,TRUE))</f>
        <v>0</v>
      </c>
      <c r="BL47" s="212" t="b">
        <f>IF(J47="",FALSE,IF(L47=0,FALSE,IF(AND(AU47,NOT(BF47),NOT(BI47),P47=""),TRUE,FALSE)))</f>
        <v>0</v>
      </c>
      <c r="BO47" s="274">
        <f t="shared" ref="BO47" si="451">IF(AND(AU47,SUM(COUNTIF(AV47:BC47,TRUE),COUNTIF(BF47:BL50,TRUE),COUNTIF(BD47:BD50,TRUE))=0,NOT($BE$7)),1,0)</f>
        <v>0</v>
      </c>
    </row>
    <row r="48" spans="1:67" ht="17.399999999999999" customHeight="1">
      <c r="A48" s="471"/>
      <c r="B48" s="402"/>
      <c r="C48" s="404"/>
      <c r="D48" s="11"/>
      <c r="E48" s="474"/>
      <c r="F48" s="474"/>
      <c r="G48" s="11" t="str">
        <f>IF(C47="","",(VLOOKUP(D47,女子登録!$A$2:$N$2001,13,0)))</f>
        <v/>
      </c>
      <c r="H48" s="11"/>
      <c r="I48" s="11" t="s">
        <v>7061</v>
      </c>
      <c r="J48" s="171"/>
      <c r="K48" s="11" t="s">
        <v>7062</v>
      </c>
      <c r="L48" s="171"/>
      <c r="M48" s="255"/>
      <c r="N48" s="256"/>
      <c r="O48" s="257"/>
      <c r="P48" s="171"/>
      <c r="Q48" s="458"/>
      <c r="R48" s="415"/>
      <c r="S48" s="136"/>
      <c r="T48" s="137"/>
      <c r="U48" s="137"/>
      <c r="V48" s="137"/>
      <c r="W48" s="137"/>
      <c r="X48" s="137"/>
      <c r="Y48" s="212">
        <f t="shared" ref="Y48" si="452">IF(OR(E47="",J48=""),0,J48&amp;E47)</f>
        <v>0</v>
      </c>
      <c r="Z48" s="212">
        <f>IF(Y48=0,0,COUNTIF($Y$7:Y48,Y48))</f>
        <v>0</v>
      </c>
      <c r="AD48" s="212">
        <f>IFERROR(VLOOKUP(J48,競技会設定!$T$2:$W$22,2,0),0)</f>
        <v>0</v>
      </c>
      <c r="AE48" s="212">
        <f t="shared" ref="AE48" si="453">IF(E47="",0,IF(AD48=0,0,IF(AD48&lt;3,E47&amp;$AE$6,0)))</f>
        <v>0</v>
      </c>
      <c r="AF48" s="212">
        <f>IF(AE48=0,0,E47&amp;COUNTIF($AE$7:AE48,AE48))</f>
        <v>0</v>
      </c>
      <c r="AG48" s="212">
        <f t="shared" ref="AG48" si="454">IF(E47="",0,IF(AD48=0,0,IF(AD48&gt;=3,E47&amp;$AG$6,0)))</f>
        <v>0</v>
      </c>
      <c r="AH48" s="212">
        <f>IF(AG48=0,0,E47&amp;COUNTIF($AG$7:AG48,AG48))</f>
        <v>0</v>
      </c>
      <c r="AI48" s="212">
        <f t="shared" ref="AI48" si="455">IF($AD48=AI$6,$E47,0)</f>
        <v>0</v>
      </c>
      <c r="AJ48" s="212" t="b">
        <f>IF(AI48=0,FALSE,IF(COUNTIF(AI$7:AI48,AI48)&gt;1,TRUE,FALSE))</f>
        <v>0</v>
      </c>
      <c r="AK48" s="212">
        <f t="shared" ref="AK48" si="456">IF($AD48=AK$6,$E47,0)</f>
        <v>0</v>
      </c>
      <c r="AL48" s="212" t="b">
        <f>IF(AK48=0,FALSE,IF(COUNTIF(AK$7:AK48,AK48)&gt;1,TRUE,FALSE))</f>
        <v>0</v>
      </c>
      <c r="AM48" s="212">
        <f t="shared" ref="AM48" si="457">IF(COUNTIF(Y48,"*七種*")&gt;0,0,IF($AD48=AM$6,$E47,0))</f>
        <v>0</v>
      </c>
      <c r="AN48" s="212" t="b">
        <f>IF(AM48=0,FALSE,IF(COUNTIF(AM$7:AM48,AM48)&gt;1,TRUE,FALSE))</f>
        <v>0</v>
      </c>
      <c r="AO48" s="212">
        <f t="shared" ref="AO48" si="458">IF($AD48=AO$6,$E47,0)</f>
        <v>0</v>
      </c>
      <c r="AP48" s="212" t="b">
        <f>IF(AO48=0,FALSE,IF(COUNTIF(AO$7:AO48,AO48)&gt;1,TRUE,FALSE))</f>
        <v>0</v>
      </c>
      <c r="AQ48" s="212">
        <f t="shared" ref="AQ48" si="459">IF(COUNTIF(Y48,"*七種競技*")&gt;0,E47,0)</f>
        <v>0</v>
      </c>
      <c r="AR48" s="212" t="b">
        <f t="shared" si="6"/>
        <v>0</v>
      </c>
      <c r="AT48" s="212" t="b">
        <f t="shared" si="9"/>
        <v>0</v>
      </c>
      <c r="AX48" s="274"/>
      <c r="BD48" s="212" t="b">
        <f t="shared" si="4"/>
        <v>0</v>
      </c>
      <c r="BF48" s="212" t="b">
        <f t="shared" ref="BF48" si="460">IF(J48="",FALSE,IF(OR(AND(AU47,L48=""),AND(AU47,L48="",OR(M48&lt;&gt;"",N48&lt;&gt;"",O48&lt;&gt;"",P48&lt;&gt;""))),TRUE,FALSE))</f>
        <v>0</v>
      </c>
      <c r="BG48" s="212" t="b">
        <f t="shared" si="5"/>
        <v>0</v>
      </c>
      <c r="BH48" s="212" t="b">
        <f t="shared" si="7"/>
        <v>0</v>
      </c>
      <c r="BI48" s="212" t="b">
        <f t="shared" ref="BI48" si="461">IF(J48="",FALSE,IF(L48=0,FALSE,IF(AND(AU47,NOT(BF48),OR(M48="",N48="",O48="")),TRUE,FALSE)))</f>
        <v>0</v>
      </c>
      <c r="BJ48" s="231" t="b">
        <f t="shared" si="8"/>
        <v>0</v>
      </c>
      <c r="BK48" s="231" t="b">
        <f>IF(NOT(BJ48),FALSE,IF(AND(競技会設定!$C$5&lt;=BJ48,BJ48&lt;=競技会設定!$C$6),FALSE,TRUE))</f>
        <v>0</v>
      </c>
      <c r="BL48" s="212" t="b">
        <f>IF(J48="",FALSE,IF(L48=0,FALSE,IF(AND(AU47,NOT(BF48),NOT(BI48),P48=""),TRUE,FALSE)))</f>
        <v>0</v>
      </c>
    </row>
    <row r="49" spans="1:67" ht="17.399999999999999" customHeight="1">
      <c r="A49" s="471"/>
      <c r="B49" s="402"/>
      <c r="C49" s="404"/>
      <c r="D49" s="11"/>
      <c r="E49" s="348" t="str">
        <f>IF(C47="","",VLOOKUP(D47,女子登録!$A$2:$O$2001,14,0)&amp;" ("&amp;VLOOKUP(D47,女子登録!$A$2:$O$2001,15,0)&amp;")")</f>
        <v/>
      </c>
      <c r="F49" s="348"/>
      <c r="G49" s="13" t="str">
        <f>IF(C47="","",(VLOOKUP(D47,女子登録!$A$2:$N$2001,9,0)))</f>
        <v/>
      </c>
      <c r="H49" s="13"/>
      <c r="I49" s="13" t="s">
        <v>7063</v>
      </c>
      <c r="J49" s="172"/>
      <c r="K49" s="13" t="s">
        <v>7064</v>
      </c>
      <c r="L49" s="172"/>
      <c r="M49" s="255"/>
      <c r="N49" s="256"/>
      <c r="O49" s="257"/>
      <c r="P49" s="171"/>
      <c r="Q49" s="458"/>
      <c r="R49" s="415"/>
      <c r="S49" s="136"/>
      <c r="T49" s="137"/>
      <c r="U49" s="137"/>
      <c r="V49" s="137"/>
      <c r="W49" s="137"/>
      <c r="X49" s="137"/>
      <c r="Y49" s="212">
        <f t="shared" ref="Y49" si="462">IF(OR(E47="",J49=""),0,J49&amp;E47)</f>
        <v>0</v>
      </c>
      <c r="Z49" s="212">
        <f>IF(Y49=0,0,COUNTIF($Y$7:Y49,Y49))</f>
        <v>0</v>
      </c>
      <c r="AD49" s="212">
        <f>IFERROR(VLOOKUP(J49,競技会設定!$T$2:$W$22,2,0),0)</f>
        <v>0</v>
      </c>
      <c r="AE49" s="212">
        <f t="shared" ref="AE49" si="463">IF(E47="",0,IF(AD49=0,0,IF(AD49&lt;3,E47&amp;$AE$6,0)))</f>
        <v>0</v>
      </c>
      <c r="AF49" s="212">
        <f>IF(AE49=0,0,E47&amp;COUNTIF($AE$7:AE49,AE49))</f>
        <v>0</v>
      </c>
      <c r="AG49" s="212">
        <f t="shared" ref="AG49" si="464">IF(E47="",0,IF(AD49=0,0,IF(AD49&gt;=3,E47&amp;$AG$6,0)))</f>
        <v>0</v>
      </c>
      <c r="AH49" s="212">
        <f>IF(AG49=0,0,E47&amp;COUNTIF($AG$7:AG49,AG49))</f>
        <v>0</v>
      </c>
      <c r="AI49" s="212">
        <f t="shared" ref="AI49" si="465">IF($AD49=AI$6,$E47,0)</f>
        <v>0</v>
      </c>
      <c r="AJ49" s="212" t="b">
        <f>IF(AI49=0,FALSE,IF(COUNTIF(AI$7:AI49,AI49)&gt;1,TRUE,FALSE))</f>
        <v>0</v>
      </c>
      <c r="AK49" s="212">
        <f t="shared" ref="AK49" si="466">IF($AD49=AK$6,$E47,0)</f>
        <v>0</v>
      </c>
      <c r="AL49" s="212" t="b">
        <f>IF(AK49=0,FALSE,IF(COUNTIF(AK$7:AK49,AK49)&gt;1,TRUE,FALSE))</f>
        <v>0</v>
      </c>
      <c r="AM49" s="212">
        <f t="shared" ref="AM49" si="467">IF(COUNTIF(Y49,"*七種*")&gt;0,0,IF($AD49=AM$6,$E47,0))</f>
        <v>0</v>
      </c>
      <c r="AN49" s="212" t="b">
        <f>IF(AM49=0,FALSE,IF(COUNTIF(AM$7:AM49,AM49)&gt;1,TRUE,FALSE))</f>
        <v>0</v>
      </c>
      <c r="AO49" s="212">
        <f t="shared" ref="AO49" si="468">IF($AD49=AO$6,$E47,0)</f>
        <v>0</v>
      </c>
      <c r="AP49" s="212" t="b">
        <f>IF(AO49=0,FALSE,IF(COUNTIF(AO$7:AO49,AO49)&gt;1,TRUE,FALSE))</f>
        <v>0</v>
      </c>
      <c r="AQ49" s="212">
        <f t="shared" ref="AQ49" si="469">IF(COUNTIF(Y49,"*七種競技*")&gt;0,E47,0)</f>
        <v>0</v>
      </c>
      <c r="AR49" s="212" t="b">
        <f t="shared" si="6"/>
        <v>0</v>
      </c>
      <c r="AT49" s="212" t="b">
        <f t="shared" si="9"/>
        <v>0</v>
      </c>
      <c r="AX49" s="274"/>
      <c r="BD49" s="212" t="b">
        <f t="shared" si="4"/>
        <v>0</v>
      </c>
      <c r="BF49" s="212" t="b">
        <f t="shared" ref="BF49" si="470">IF(J49="",FALSE,IF(OR(AND(AU47,L49=""),AND(AU47,L49="",OR(M49&lt;&gt;"",N49&lt;&gt;"",O49&lt;&gt;"",P49&lt;&gt;""))),TRUE,FALSE))</f>
        <v>0</v>
      </c>
      <c r="BG49" s="212" t="b">
        <f t="shared" si="5"/>
        <v>0</v>
      </c>
      <c r="BH49" s="212" t="b">
        <f t="shared" si="7"/>
        <v>0</v>
      </c>
      <c r="BI49" s="212" t="b">
        <f t="shared" ref="BI49" si="471">IF(J49="",FALSE,IF(L49=0,FALSE,IF(AND(AU47,NOT(BF49),OR(M49="",N49="",O49="")),TRUE,FALSE)))</f>
        <v>0</v>
      </c>
      <c r="BJ49" s="231" t="b">
        <f t="shared" si="8"/>
        <v>0</v>
      </c>
      <c r="BK49" s="231" t="b">
        <f>IF(NOT(BJ49),FALSE,IF(AND(競技会設定!$C$5&lt;=BJ49,BJ49&lt;=競技会設定!$C$6),FALSE,TRUE))</f>
        <v>0</v>
      </c>
      <c r="BL49" s="212" t="b">
        <f>IF(J49="",FALSE,IF(L49=0,FALSE,IF(AND(AU47,NOT(BF49),NOT(BI49),P49=""),TRUE,FALSE)))</f>
        <v>0</v>
      </c>
    </row>
    <row r="50" spans="1:67" ht="18" customHeight="1" thickBot="1">
      <c r="A50" s="472"/>
      <c r="B50" s="395" t="s">
        <v>7051</v>
      </c>
      <c r="C50" s="395"/>
      <c r="D50" s="11"/>
      <c r="E50" s="460"/>
      <c r="F50" s="460"/>
      <c r="G50" s="460"/>
      <c r="H50" s="157"/>
      <c r="I50" s="157" t="s">
        <v>7065</v>
      </c>
      <c r="J50" s="173"/>
      <c r="K50" s="157" t="s">
        <v>7066</v>
      </c>
      <c r="L50" s="173"/>
      <c r="M50" s="258"/>
      <c r="N50" s="259"/>
      <c r="O50" s="260"/>
      <c r="P50" s="307"/>
      <c r="Q50" s="459"/>
      <c r="R50" s="416"/>
      <c r="S50" s="136"/>
      <c r="T50" s="137"/>
      <c r="U50" s="137"/>
      <c r="V50" s="137"/>
      <c r="W50" s="137"/>
      <c r="X50" s="137"/>
      <c r="Y50" s="212">
        <f t="shared" ref="Y50" si="472">IF(OR(E47="",J50=""),0,J50&amp;E47)</f>
        <v>0</v>
      </c>
      <c r="Z50" s="212">
        <f>IF(Y50=0,0,COUNTIF($Y$7:Y50,Y50))</f>
        <v>0</v>
      </c>
      <c r="AD50" s="212">
        <f>IFERROR(VLOOKUP(J50,競技会設定!$T$2:$W$22,2,0),0)</f>
        <v>0</v>
      </c>
      <c r="AE50" s="212">
        <f t="shared" ref="AE50" si="473">IF(E47="",0,IF(AD50=0,0,IF(AD50&lt;3,E47&amp;$AE$6,0)))</f>
        <v>0</v>
      </c>
      <c r="AF50" s="212">
        <f>IF(AE50=0,0,E47&amp;COUNTIF($AE$7:AE50,AE50))</f>
        <v>0</v>
      </c>
      <c r="AG50" s="212">
        <f t="shared" ref="AG50" si="474">IF(E47="",0,IF(AD50=0,0,IF(AD50&gt;=3,E47&amp;$AG$6,0)))</f>
        <v>0</v>
      </c>
      <c r="AH50" s="212">
        <f>IF(AG50=0,0,E47&amp;COUNTIF($AG$7:AG50,AG50))</f>
        <v>0</v>
      </c>
      <c r="AI50" s="212">
        <f t="shared" ref="AI50" si="475">IF($AD50=AI$6,$E47,0)</f>
        <v>0</v>
      </c>
      <c r="AJ50" s="212" t="b">
        <f>IF(AI50=0,FALSE,IF(COUNTIF(AI$7:AI50,AI50)&gt;1,TRUE,FALSE))</f>
        <v>0</v>
      </c>
      <c r="AK50" s="212">
        <f t="shared" ref="AK50" si="476">IF($AD50=AK$6,$E47,0)</f>
        <v>0</v>
      </c>
      <c r="AL50" s="212" t="b">
        <f>IF(AK50=0,FALSE,IF(COUNTIF(AK$7:AK50,AK50)&gt;1,TRUE,FALSE))</f>
        <v>0</v>
      </c>
      <c r="AM50" s="212">
        <f t="shared" ref="AM50" si="477">IF(COUNTIF(Y50,"*七種*")&gt;0,0,IF($AD50=AM$6,$E47,0))</f>
        <v>0</v>
      </c>
      <c r="AN50" s="212" t="b">
        <f>IF(AM50=0,FALSE,IF(COUNTIF(AM$7:AM50,AM50)&gt;1,TRUE,FALSE))</f>
        <v>0</v>
      </c>
      <c r="AO50" s="212">
        <f t="shared" ref="AO50" si="478">IF($AD50=AO$6,$E47,0)</f>
        <v>0</v>
      </c>
      <c r="AP50" s="212" t="b">
        <f>IF(AO50=0,FALSE,IF(COUNTIF(AO$7:AO50,AO50)&gt;1,TRUE,FALSE))</f>
        <v>0</v>
      </c>
      <c r="AQ50" s="212">
        <f t="shared" ref="AQ50" si="479">IF(COUNTIF(Y50,"*七種競技*")&gt;0,E47,0)</f>
        <v>0</v>
      </c>
      <c r="AR50" s="212" t="b">
        <f t="shared" si="6"/>
        <v>0</v>
      </c>
      <c r="AT50" s="212" t="b">
        <f t="shared" si="9"/>
        <v>0</v>
      </c>
      <c r="AX50" s="274"/>
      <c r="BD50" s="212" t="b">
        <f t="shared" si="4"/>
        <v>0</v>
      </c>
      <c r="BF50" s="212" t="b">
        <f t="shared" ref="BF50" si="480">IF(J50="",FALSE,IF(OR(AND(AU47,L50=""),AND(AU47,L50="",OR(M50&lt;&gt;"",N50&lt;&gt;"",O50&lt;&gt;"",P50&lt;&gt;""))),TRUE,FALSE))</f>
        <v>0</v>
      </c>
      <c r="BG50" s="212" t="b">
        <f t="shared" si="5"/>
        <v>0</v>
      </c>
      <c r="BH50" s="212" t="b">
        <f t="shared" si="7"/>
        <v>0</v>
      </c>
      <c r="BI50" s="212" t="b">
        <f t="shared" ref="BI50" si="481">IF(J50="",FALSE,IF(L50=0,FALSE,IF(AND(AU47,NOT(BF50),OR(M50="",N50="",O50="")),TRUE,FALSE)))</f>
        <v>0</v>
      </c>
      <c r="BJ50" s="231" t="b">
        <f t="shared" si="8"/>
        <v>0</v>
      </c>
      <c r="BK50" s="231" t="b">
        <f>IF(NOT(BJ50),FALSE,IF(AND(競技会設定!$C$5&lt;=BJ50,BJ50&lt;=競技会設定!$C$6),FALSE,TRUE))</f>
        <v>0</v>
      </c>
      <c r="BL50" s="212" t="b">
        <f>IF(J50="",FALSE,IF(L50=0,FALSE,IF(AND(AU47,NOT(BF50),NOT(BI50),P50=""),TRUE,FALSE)))</f>
        <v>0</v>
      </c>
    </row>
    <row r="51" spans="1:67" ht="18" customHeight="1" thickTop="1">
      <c r="A51" s="461">
        <v>12</v>
      </c>
      <c r="B51" s="373" t="s">
        <v>7050</v>
      </c>
      <c r="C51" s="375"/>
      <c r="D51" s="158" t="str">
        <f t="shared" ref="D51" si="482">IF(C51="","",502&amp;TEXT(C51,"000000"))</f>
        <v/>
      </c>
      <c r="E51" s="464" t="str">
        <f>IF(D51="","",(VLOOKUP(D51,女子登録!$A$2:$N$2001,3,0)))</f>
        <v/>
      </c>
      <c r="F51" s="464" t="str">
        <f>IF(D51="","",(VLOOKUP(D51,女子登録!$A$2:$N$2001,4,0)))</f>
        <v/>
      </c>
      <c r="G51" s="158" t="str">
        <f>IF(C51="","",(VLOOKUP(D51,女子登録!$A$2:$N$2001,8,0)))</f>
        <v/>
      </c>
      <c r="H51" s="158">
        <f>IFERROR(VLOOKUP(D51,女子登録!$A$2:$N$2001,11,0),基本情報!$E$5)</f>
        <v>0</v>
      </c>
      <c r="I51" s="158" t="s">
        <v>7059</v>
      </c>
      <c r="J51" s="174"/>
      <c r="K51" s="158" t="s">
        <v>7060</v>
      </c>
      <c r="L51" s="174"/>
      <c r="M51" s="261"/>
      <c r="N51" s="262"/>
      <c r="O51" s="263"/>
      <c r="P51" s="174"/>
      <c r="Q51" s="448"/>
      <c r="R51" s="408"/>
      <c r="S51" s="136">
        <f t="shared" ref="S51" si="483">IF(OR(E51="",Q51=""),0,E51)</f>
        <v>0</v>
      </c>
      <c r="T51" s="137">
        <f>IF(S51=0,0,COUNTIF($S$7:S51,"*"))</f>
        <v>0</v>
      </c>
      <c r="U51" s="137">
        <f>IF(S51=0,0,COUNTIF($S$7:S51,S51))</f>
        <v>0</v>
      </c>
      <c r="V51" s="137">
        <f t="shared" si="201"/>
        <v>0</v>
      </c>
      <c r="W51" s="137">
        <f>IF(V51=0,0,COUNTIF($V$7:V51,"*"))</f>
        <v>0</v>
      </c>
      <c r="X51" s="137">
        <f>IF(V51=0,0,COUNTIF($V$7:V51,V51))</f>
        <v>0</v>
      </c>
      <c r="Y51" s="212">
        <f t="shared" ref="Y51" si="484">IF(OR(E51="",J51=""),0,J51&amp;E51)</f>
        <v>0</v>
      </c>
      <c r="Z51" s="212">
        <f>IF(Y51=0,0,COUNTIF($Y$7:Y51,Y51))</f>
        <v>0</v>
      </c>
      <c r="AA51" s="212" t="b">
        <f>IF(COUNTIF(J51:J54,"七種競技")&gt;0,TRUE,FALSE)</f>
        <v>0</v>
      </c>
      <c r="AB51" s="212">
        <f>IF(E51="",0,IF(AA51,COUNTIF($AA$7:AA51,TRUE),0))</f>
        <v>0</v>
      </c>
      <c r="AC51" s="212">
        <f>IFERROR(VLOOKUP("七種競技",J51:L54,3,0),0)</f>
        <v>0</v>
      </c>
      <c r="AD51" s="212">
        <f>IFERROR(VLOOKUP(J51,競技会設定!$T$2:$W$22,2,0),0)</f>
        <v>0</v>
      </c>
      <c r="AE51" s="212">
        <f t="shared" ref="AE51" si="485">IF(E51="",0,IF(AD51=0,0,IF(AD51&lt;3,E51&amp;$AE$6,0)))</f>
        <v>0</v>
      </c>
      <c r="AF51" s="212">
        <f>IF(AE51=0,0,E51&amp;COUNTIF($AE$7:AE51,AE51))</f>
        <v>0</v>
      </c>
      <c r="AG51" s="212">
        <f t="shared" ref="AG51" si="486">IF(E51="",0,IF(AD51=0,0,IF(AD51&gt;=3,E51&amp;$AG$6,0)))</f>
        <v>0</v>
      </c>
      <c r="AH51" s="212">
        <f>IF(AG51=0,0,E51&amp;COUNTIF($AG$7:AG51,AG51))</f>
        <v>0</v>
      </c>
      <c r="AI51" s="212">
        <f t="shared" ref="AI51" si="487">IF($AD51=AI$6,$E51,0)</f>
        <v>0</v>
      </c>
      <c r="AJ51" s="212" t="b">
        <f>IF(AI51=0,FALSE,IF(COUNTIF(AI$7:AI51,AI51)&gt;1,TRUE,FALSE))</f>
        <v>0</v>
      </c>
      <c r="AK51" s="212">
        <f t="shared" ref="AK51" si="488">IF($AD51=AK$6,$E51,0)</f>
        <v>0</v>
      </c>
      <c r="AL51" s="212" t="b">
        <f>IF(AK51=0,FALSE,IF(COUNTIF(AK$7:AK51,AK51)&gt;1,TRUE,FALSE))</f>
        <v>0</v>
      </c>
      <c r="AM51" s="212">
        <f t="shared" ref="AM51" si="489">IF(COUNTIF(Y51,"*七種*")&gt;0,0,IF($AD51=AM$6,$E51,0))</f>
        <v>0</v>
      </c>
      <c r="AN51" s="212" t="b">
        <f>IF(AM51=0,FALSE,IF(COUNTIF(AM$7:AM51,AM51)&gt;1,TRUE,FALSE))</f>
        <v>0</v>
      </c>
      <c r="AO51" s="212">
        <f t="shared" ref="AO51" si="490">IF($AD51=AO$6,$E51,0)</f>
        <v>0</v>
      </c>
      <c r="AP51" s="212" t="b">
        <f>IF(AO51=0,FALSE,IF(COUNTIF(AO$7:AO51,AO51)&gt;1,TRUE,FALSE))</f>
        <v>0</v>
      </c>
      <c r="AQ51" s="212">
        <f t="shared" ref="AQ51" si="491">IF(COUNTIF(Y51,"*七種競技*")&gt;0,E51,0)</f>
        <v>0</v>
      </c>
      <c r="AR51" s="212" t="b">
        <f t="shared" si="6"/>
        <v>0</v>
      </c>
      <c r="AS51" s="212" t="b">
        <f t="shared" ref="AS51" si="492">IF(AND(C51="",E51&lt;&gt;"",F51&lt;&gt;"",E53&lt;&gt;"",G51&lt;&gt;"",G52&lt;&gt;"",G53&lt;&gt;""),TRUE,FALSE)</f>
        <v>0</v>
      </c>
      <c r="AT51" s="212" t="b">
        <f t="shared" si="9"/>
        <v>0</v>
      </c>
      <c r="AU51" s="212" t="b">
        <f>IFERROR(IF(E51&amp;F51&amp;E53&amp;G51&amp;G52&amp;G53&amp;J51&amp;J52&amp;J53&amp;J54&amp;L51&amp;L52&amp;L53&amp;L54&amp;M51&amp;M52&amp;M53&amp;M54&amp;P51&amp;P52&amp;P53&amp;P54&amp;Q51&amp;R51="",FALSE,TRUE),FALSE)</f>
        <v>0</v>
      </c>
      <c r="AV51" s="212" t="b">
        <f t="shared" ref="AV51" si="493">IF(AS51,FALSE,IF(C51="",AU51,FALSE))</f>
        <v>0</v>
      </c>
      <c r="AW51" s="212" t="b">
        <f t="shared" ref="AW51" si="494">IF(C51="",FALSE,IF(C51&lt;=2000,TRUE,FALSE))</f>
        <v>0</v>
      </c>
      <c r="AX51" s="274" t="b">
        <f>IF(H51=0,FALSE,IF(EXACT(基本情報!$E$5,H51)=TRUE,FALSE,TRUE))</f>
        <v>0</v>
      </c>
      <c r="AY51" s="212" t="b">
        <f>IF(C51="",FALSE,IF(ISNA(E51)=TRUE,TRUE,FALSE))</f>
        <v>0</v>
      </c>
      <c r="AZ51" s="274" t="b">
        <f>IFERROR(IF(E51="",FALSE,IF(COUNTIF($E$7:E51,E51)&gt;1,TRUE,FALSE)),FALSE)</f>
        <v>0</v>
      </c>
      <c r="BA51" s="212" t="b">
        <f t="shared" ref="BA51" si="495">IF(OR(J51&amp;J52&amp;J53&amp;J54&amp;Q51&amp;R51="",AT51,AT52,AT53,AT54),AU51,FALSE)</f>
        <v>0</v>
      </c>
      <c r="BB51" s="212" t="b">
        <f>IF(U51&gt;1,TRUE,FALSE)</f>
        <v>0</v>
      </c>
      <c r="BC51" s="212" t="b">
        <f>IF(X51&gt;1,TRUE,FALSE)</f>
        <v>0</v>
      </c>
      <c r="BD51" s="212" t="b">
        <f t="shared" si="4"/>
        <v>0</v>
      </c>
      <c r="BF51" s="212" t="b">
        <f t="shared" ref="BF51" si="496">IF(J51="",FALSE,IF(OR(AND(AU51,L51=""),AND(AU51,L51="",OR(M51&lt;&gt;"",N51&lt;&gt;"",O51&lt;&gt;"",P51&lt;&gt;""))),TRUE,FALSE))</f>
        <v>0</v>
      </c>
      <c r="BG51" s="212" t="b">
        <f t="shared" si="5"/>
        <v>0</v>
      </c>
      <c r="BH51" s="212" t="b">
        <f t="shared" si="7"/>
        <v>0</v>
      </c>
      <c r="BI51" s="212" t="b">
        <f t="shared" ref="BI51" si="497">IF(J51="",FALSE,IF(L51=0,FALSE,IF(AND(AU51,NOT(BF51),OR(M51="",N51="",O51="")),TRUE,FALSE)))</f>
        <v>0</v>
      </c>
      <c r="BJ51" s="231" t="b">
        <f t="shared" si="8"/>
        <v>0</v>
      </c>
      <c r="BK51" s="231" t="b">
        <f>IF(NOT(BJ51),FALSE,IF(AND(競技会設定!$C$5&lt;=BJ51,BJ51&lt;=競技会設定!$C$6),FALSE,TRUE))</f>
        <v>0</v>
      </c>
      <c r="BL51" s="212" t="b">
        <f>IF(J51="",FALSE,IF(L51=0,FALSE,IF(AND(AU51,NOT(BF51),NOT(BI51),P51=""),TRUE,FALSE)))</f>
        <v>0</v>
      </c>
      <c r="BO51" s="274">
        <f t="shared" ref="BO51" si="498">IF(AND(AU51,SUM(COUNTIF(AV51:BC51,TRUE),COUNTIF(BF51:BL54,TRUE),COUNTIF(BD51:BD54,TRUE))=0,NOT($BE$7)),1,0)</f>
        <v>0</v>
      </c>
    </row>
    <row r="52" spans="1:67" ht="17.399999999999999" customHeight="1">
      <c r="A52" s="462"/>
      <c r="B52" s="374"/>
      <c r="C52" s="376"/>
      <c r="D52" s="159"/>
      <c r="E52" s="465"/>
      <c r="F52" s="465"/>
      <c r="G52" s="159" t="str">
        <f>IF(C51="","",(VLOOKUP(D51,女子登録!$A$2:$N$2001,13,0)))</f>
        <v/>
      </c>
      <c r="H52" s="159"/>
      <c r="I52" s="159" t="s">
        <v>7061</v>
      </c>
      <c r="J52" s="175"/>
      <c r="K52" s="159" t="s">
        <v>7062</v>
      </c>
      <c r="L52" s="175"/>
      <c r="M52" s="264"/>
      <c r="N52" s="265"/>
      <c r="O52" s="266"/>
      <c r="P52" s="175"/>
      <c r="Q52" s="449"/>
      <c r="R52" s="409"/>
      <c r="S52" s="136"/>
      <c r="T52" s="137"/>
      <c r="U52" s="137"/>
      <c r="V52" s="137"/>
      <c r="W52" s="137"/>
      <c r="X52" s="137"/>
      <c r="Y52" s="212">
        <f t="shared" ref="Y52" si="499">IF(OR(E51="",J52=""),0,J52&amp;E51)</f>
        <v>0</v>
      </c>
      <c r="Z52" s="212">
        <f>IF(Y52=0,0,COUNTIF($Y$7:Y52,Y52))</f>
        <v>0</v>
      </c>
      <c r="AD52" s="212">
        <f>IFERROR(VLOOKUP(J52,競技会設定!$T$2:$W$22,2,0),0)</f>
        <v>0</v>
      </c>
      <c r="AE52" s="212">
        <f t="shared" ref="AE52" si="500">IF(E51="",0,IF(AD52=0,0,IF(AD52&lt;3,E51&amp;$AE$6,0)))</f>
        <v>0</v>
      </c>
      <c r="AF52" s="212">
        <f>IF(AE52=0,0,E51&amp;COUNTIF($AE$7:AE52,AE52))</f>
        <v>0</v>
      </c>
      <c r="AG52" s="212">
        <f t="shared" ref="AG52" si="501">IF(E51="",0,IF(AD52=0,0,IF(AD52&gt;=3,E51&amp;$AG$6,0)))</f>
        <v>0</v>
      </c>
      <c r="AH52" s="212">
        <f>IF(AG52=0,0,E51&amp;COUNTIF($AG$7:AG52,AG52))</f>
        <v>0</v>
      </c>
      <c r="AI52" s="212">
        <f t="shared" ref="AI52" si="502">IF($AD52=AI$6,$E51,0)</f>
        <v>0</v>
      </c>
      <c r="AJ52" s="212" t="b">
        <f>IF(AI52=0,FALSE,IF(COUNTIF(AI$7:AI52,AI52)&gt;1,TRUE,FALSE))</f>
        <v>0</v>
      </c>
      <c r="AK52" s="212">
        <f t="shared" ref="AK52" si="503">IF($AD52=AK$6,$E51,0)</f>
        <v>0</v>
      </c>
      <c r="AL52" s="212" t="b">
        <f>IF(AK52=0,FALSE,IF(COUNTIF(AK$7:AK52,AK52)&gt;1,TRUE,FALSE))</f>
        <v>0</v>
      </c>
      <c r="AM52" s="212">
        <f t="shared" ref="AM52" si="504">IF(COUNTIF(Y52,"*七種*")&gt;0,0,IF($AD52=AM$6,$E51,0))</f>
        <v>0</v>
      </c>
      <c r="AN52" s="212" t="b">
        <f>IF(AM52=0,FALSE,IF(COUNTIF(AM$7:AM52,AM52)&gt;1,TRUE,FALSE))</f>
        <v>0</v>
      </c>
      <c r="AO52" s="212">
        <f t="shared" ref="AO52" si="505">IF($AD52=AO$6,$E51,0)</f>
        <v>0</v>
      </c>
      <c r="AP52" s="212" t="b">
        <f>IF(AO52=0,FALSE,IF(COUNTIF(AO$7:AO52,AO52)&gt;1,TRUE,FALSE))</f>
        <v>0</v>
      </c>
      <c r="AQ52" s="212">
        <f t="shared" ref="AQ52" si="506">IF(COUNTIF(Y52,"*七種競技*")&gt;0,E51,0)</f>
        <v>0</v>
      </c>
      <c r="AR52" s="212" t="b">
        <f t="shared" si="6"/>
        <v>0</v>
      </c>
      <c r="AT52" s="212" t="b">
        <f t="shared" si="9"/>
        <v>0</v>
      </c>
      <c r="AX52" s="274"/>
      <c r="BD52" s="212" t="b">
        <f t="shared" si="4"/>
        <v>0</v>
      </c>
      <c r="BF52" s="212" t="b">
        <f t="shared" ref="BF52" si="507">IF(J52="",FALSE,IF(OR(AND(AU51,L52=""),AND(AU51,L52="",OR(M52&lt;&gt;"",N52&lt;&gt;"",O52&lt;&gt;"",P52&lt;&gt;""))),TRUE,FALSE))</f>
        <v>0</v>
      </c>
      <c r="BG52" s="212" t="b">
        <f t="shared" si="5"/>
        <v>0</v>
      </c>
      <c r="BH52" s="212" t="b">
        <f t="shared" si="7"/>
        <v>0</v>
      </c>
      <c r="BI52" s="212" t="b">
        <f t="shared" ref="BI52" si="508">IF(J52="",FALSE,IF(L52=0,FALSE,IF(AND(AU51,NOT(BF52),OR(M52="",N52="",O52="")),TRUE,FALSE)))</f>
        <v>0</v>
      </c>
      <c r="BJ52" s="231" t="b">
        <f t="shared" si="8"/>
        <v>0</v>
      </c>
      <c r="BK52" s="231" t="b">
        <f>IF(NOT(BJ52),FALSE,IF(AND(競技会設定!$C$5&lt;=BJ52,BJ52&lt;=競技会設定!$C$6),FALSE,TRUE))</f>
        <v>0</v>
      </c>
      <c r="BL52" s="212" t="b">
        <f>IF(J52="",FALSE,IF(L52=0,FALSE,IF(AND(AU51,NOT(BF52),NOT(BI52),P52=""),TRUE,FALSE)))</f>
        <v>0</v>
      </c>
    </row>
    <row r="53" spans="1:67" ht="17.399999999999999" customHeight="1">
      <c r="A53" s="462"/>
      <c r="B53" s="374"/>
      <c r="C53" s="376"/>
      <c r="D53" s="160"/>
      <c r="E53" s="452" t="str">
        <f>IF(C51="","",VLOOKUP(D51,女子登録!$A$2:$O$2001,14,0)&amp;" ("&amp;VLOOKUP(D51,女子登録!$A$2:$O$2001,15,0)&amp;")")</f>
        <v/>
      </c>
      <c r="F53" s="453"/>
      <c r="G53" s="160" t="str">
        <f>IF(C51="","",(VLOOKUP(D51,女子登録!$A$2:$N$2001,9,0)))</f>
        <v/>
      </c>
      <c r="H53" s="160"/>
      <c r="I53" s="160" t="s">
        <v>7063</v>
      </c>
      <c r="J53" s="176"/>
      <c r="K53" s="160" t="s">
        <v>7064</v>
      </c>
      <c r="L53" s="176"/>
      <c r="M53" s="264"/>
      <c r="N53" s="265"/>
      <c r="O53" s="266"/>
      <c r="P53" s="175"/>
      <c r="Q53" s="449"/>
      <c r="R53" s="409"/>
      <c r="S53" s="136"/>
      <c r="T53" s="137"/>
      <c r="U53" s="137"/>
      <c r="V53" s="137"/>
      <c r="W53" s="137"/>
      <c r="X53" s="137"/>
      <c r="Y53" s="212">
        <f t="shared" ref="Y53" si="509">IF(OR(E51="",J53=""),0,J53&amp;E51)</f>
        <v>0</v>
      </c>
      <c r="Z53" s="212">
        <f>IF(Y53=0,0,COUNTIF($Y$7:Y53,Y53))</f>
        <v>0</v>
      </c>
      <c r="AD53" s="212">
        <f>IFERROR(VLOOKUP(J53,競技会設定!$T$2:$W$22,2,0),0)</f>
        <v>0</v>
      </c>
      <c r="AE53" s="212">
        <f t="shared" ref="AE53" si="510">IF(E51="",0,IF(AD53=0,0,IF(AD53&lt;3,E51&amp;$AE$6,0)))</f>
        <v>0</v>
      </c>
      <c r="AF53" s="212">
        <f>IF(AE53=0,0,E51&amp;COUNTIF($AE$7:AE53,AE53))</f>
        <v>0</v>
      </c>
      <c r="AG53" s="212">
        <f t="shared" ref="AG53" si="511">IF(E51="",0,IF(AD53=0,0,IF(AD53&gt;=3,E51&amp;$AG$6,0)))</f>
        <v>0</v>
      </c>
      <c r="AH53" s="212">
        <f>IF(AG53=0,0,E51&amp;COUNTIF($AG$7:AG53,AG53))</f>
        <v>0</v>
      </c>
      <c r="AI53" s="212">
        <f t="shared" ref="AI53" si="512">IF($AD53=AI$6,$E51,0)</f>
        <v>0</v>
      </c>
      <c r="AJ53" s="212" t="b">
        <f>IF(AI53=0,FALSE,IF(COUNTIF(AI$7:AI53,AI53)&gt;1,TRUE,FALSE))</f>
        <v>0</v>
      </c>
      <c r="AK53" s="212">
        <f t="shared" ref="AK53" si="513">IF($AD53=AK$6,$E51,0)</f>
        <v>0</v>
      </c>
      <c r="AL53" s="212" t="b">
        <f>IF(AK53=0,FALSE,IF(COUNTIF(AK$7:AK53,AK53)&gt;1,TRUE,FALSE))</f>
        <v>0</v>
      </c>
      <c r="AM53" s="212">
        <f t="shared" ref="AM53" si="514">IF(COUNTIF(Y53,"*七種*")&gt;0,0,IF($AD53=AM$6,$E51,0))</f>
        <v>0</v>
      </c>
      <c r="AN53" s="212" t="b">
        <f>IF(AM53=0,FALSE,IF(COUNTIF(AM$7:AM53,AM53)&gt;1,TRUE,FALSE))</f>
        <v>0</v>
      </c>
      <c r="AO53" s="212">
        <f t="shared" ref="AO53" si="515">IF($AD53=AO$6,$E51,0)</f>
        <v>0</v>
      </c>
      <c r="AP53" s="212" t="b">
        <f>IF(AO53=0,FALSE,IF(COUNTIF(AO$7:AO53,AO53)&gt;1,TRUE,FALSE))</f>
        <v>0</v>
      </c>
      <c r="AQ53" s="212">
        <f t="shared" ref="AQ53" si="516">IF(COUNTIF(Y53,"*七種競技*")&gt;0,E51,0)</f>
        <v>0</v>
      </c>
      <c r="AR53" s="212" t="b">
        <f t="shared" si="6"/>
        <v>0</v>
      </c>
      <c r="AT53" s="212" t="b">
        <f t="shared" si="9"/>
        <v>0</v>
      </c>
      <c r="AX53" s="274"/>
      <c r="BD53" s="212" t="b">
        <f t="shared" si="4"/>
        <v>0</v>
      </c>
      <c r="BF53" s="212" t="b">
        <f t="shared" ref="BF53" si="517">IF(J53="",FALSE,IF(OR(AND(AU51,L53=""),AND(AU51,L53="",OR(M53&lt;&gt;"",N53&lt;&gt;"",O53&lt;&gt;"",P53&lt;&gt;""))),TRUE,FALSE))</f>
        <v>0</v>
      </c>
      <c r="BG53" s="212" t="b">
        <f t="shared" si="5"/>
        <v>0</v>
      </c>
      <c r="BH53" s="212" t="b">
        <f t="shared" si="7"/>
        <v>0</v>
      </c>
      <c r="BI53" s="212" t="b">
        <f t="shared" ref="BI53" si="518">IF(J53="",FALSE,IF(L53=0,FALSE,IF(AND(AU51,NOT(BF53),OR(M53="",N53="",O53="")),TRUE,FALSE)))</f>
        <v>0</v>
      </c>
      <c r="BJ53" s="231" t="b">
        <f t="shared" si="8"/>
        <v>0</v>
      </c>
      <c r="BK53" s="231" t="b">
        <f>IF(NOT(BJ53),FALSE,IF(AND(競技会設定!$C$5&lt;=BJ53,BJ53&lt;=競技会設定!$C$6),FALSE,TRUE))</f>
        <v>0</v>
      </c>
      <c r="BL53" s="212" t="b">
        <f>IF(J53="",FALSE,IF(L53=0,FALSE,IF(AND(AU51,NOT(BF53),NOT(BI53),P53=""),TRUE,FALSE)))</f>
        <v>0</v>
      </c>
    </row>
    <row r="54" spans="1:67" ht="18" customHeight="1" thickBot="1">
      <c r="A54" s="475"/>
      <c r="B54" s="387" t="s">
        <v>7051</v>
      </c>
      <c r="C54" s="387"/>
      <c r="D54" s="161"/>
      <c r="E54" s="467"/>
      <c r="F54" s="468"/>
      <c r="G54" s="469"/>
      <c r="H54" s="162"/>
      <c r="I54" s="161" t="s">
        <v>7065</v>
      </c>
      <c r="J54" s="177"/>
      <c r="K54" s="161" t="s">
        <v>7066</v>
      </c>
      <c r="L54" s="177"/>
      <c r="M54" s="267"/>
      <c r="N54" s="268"/>
      <c r="O54" s="269"/>
      <c r="P54" s="177"/>
      <c r="Q54" s="466"/>
      <c r="R54" s="410"/>
      <c r="S54" s="136"/>
      <c r="T54" s="137"/>
      <c r="U54" s="137"/>
      <c r="V54" s="137"/>
      <c r="W54" s="137"/>
      <c r="X54" s="137"/>
      <c r="Y54" s="212">
        <f t="shared" ref="Y54" si="519">IF(OR(E51="",J54=""),0,J54&amp;E51)</f>
        <v>0</v>
      </c>
      <c r="Z54" s="212">
        <f>IF(Y54=0,0,COUNTIF($Y$7:Y54,Y54))</f>
        <v>0</v>
      </c>
      <c r="AD54" s="212">
        <f>IFERROR(VLOOKUP(J54,競技会設定!$T$2:$W$22,2,0),0)</f>
        <v>0</v>
      </c>
      <c r="AE54" s="212">
        <f t="shared" ref="AE54" si="520">IF(E51="",0,IF(AD54=0,0,IF(AD54&lt;3,E51&amp;$AE$6,0)))</f>
        <v>0</v>
      </c>
      <c r="AF54" s="212">
        <f>IF(AE54=0,0,E51&amp;COUNTIF($AE$7:AE54,AE54))</f>
        <v>0</v>
      </c>
      <c r="AG54" s="212">
        <f t="shared" ref="AG54" si="521">IF(E51="",0,IF(AD54=0,0,IF(AD54&gt;=3,E51&amp;$AG$6,0)))</f>
        <v>0</v>
      </c>
      <c r="AH54" s="212">
        <f>IF(AG54=0,0,E51&amp;COUNTIF($AG$7:AG54,AG54))</f>
        <v>0</v>
      </c>
      <c r="AI54" s="212">
        <f t="shared" ref="AI54" si="522">IF($AD54=AI$6,$E51,0)</f>
        <v>0</v>
      </c>
      <c r="AJ54" s="212" t="b">
        <f>IF(AI54=0,FALSE,IF(COUNTIF(AI$7:AI54,AI54)&gt;1,TRUE,FALSE))</f>
        <v>0</v>
      </c>
      <c r="AK54" s="212">
        <f t="shared" ref="AK54" si="523">IF($AD54=AK$6,$E51,0)</f>
        <v>0</v>
      </c>
      <c r="AL54" s="212" t="b">
        <f>IF(AK54=0,FALSE,IF(COUNTIF(AK$7:AK54,AK54)&gt;1,TRUE,FALSE))</f>
        <v>0</v>
      </c>
      <c r="AM54" s="212">
        <f t="shared" ref="AM54" si="524">IF(COUNTIF(Y54,"*七種*")&gt;0,0,IF($AD54=AM$6,$E51,0))</f>
        <v>0</v>
      </c>
      <c r="AN54" s="212" t="b">
        <f>IF(AM54=0,FALSE,IF(COUNTIF(AM$7:AM54,AM54)&gt;1,TRUE,FALSE))</f>
        <v>0</v>
      </c>
      <c r="AO54" s="212">
        <f t="shared" ref="AO54" si="525">IF($AD54=AO$6,$E51,0)</f>
        <v>0</v>
      </c>
      <c r="AP54" s="212" t="b">
        <f>IF(AO54=0,FALSE,IF(COUNTIF(AO$7:AO54,AO54)&gt;1,TRUE,FALSE))</f>
        <v>0</v>
      </c>
      <c r="AQ54" s="212">
        <f t="shared" ref="AQ54" si="526">IF(COUNTIF(Y54,"*七種競技*")&gt;0,E51,0)</f>
        <v>0</v>
      </c>
      <c r="AR54" s="212" t="b">
        <f t="shared" si="6"/>
        <v>0</v>
      </c>
      <c r="AT54" s="212" t="b">
        <f t="shared" si="9"/>
        <v>0</v>
      </c>
      <c r="AX54" s="274"/>
      <c r="BD54" s="212" t="b">
        <f t="shared" si="4"/>
        <v>0</v>
      </c>
      <c r="BF54" s="212" t="b">
        <f t="shared" ref="BF54" si="527">IF(J54="",FALSE,IF(OR(AND(AU51,L54=""),AND(AU51,L54="",OR(M54&lt;&gt;"",N54&lt;&gt;"",O54&lt;&gt;"",P54&lt;&gt;""))),TRUE,FALSE))</f>
        <v>0</v>
      </c>
      <c r="BG54" s="212" t="b">
        <f t="shared" si="5"/>
        <v>0</v>
      </c>
      <c r="BH54" s="212" t="b">
        <f t="shared" si="7"/>
        <v>0</v>
      </c>
      <c r="BI54" s="212" t="b">
        <f t="shared" ref="BI54" si="528">IF(J54="",FALSE,IF(L54=0,FALSE,IF(AND(AU51,NOT(BF54),OR(M54="",N54="",O54="")),TRUE,FALSE)))</f>
        <v>0</v>
      </c>
      <c r="BJ54" s="231" t="b">
        <f t="shared" si="8"/>
        <v>0</v>
      </c>
      <c r="BK54" s="231" t="b">
        <f>IF(NOT(BJ54),FALSE,IF(AND(競技会設定!$C$5&lt;=BJ54,BJ54&lt;=競技会設定!$C$6),FALSE,TRUE))</f>
        <v>0</v>
      </c>
      <c r="BL54" s="212" t="b">
        <f>IF(J54="",FALSE,IF(L54=0,FALSE,IF(AND(AU51,NOT(BF54),NOT(BI54),P54=""),TRUE,FALSE)))</f>
        <v>0</v>
      </c>
    </row>
    <row r="55" spans="1:67" ht="18" customHeight="1" thickTop="1">
      <c r="A55" s="470">
        <v>13</v>
      </c>
      <c r="B55" s="401" t="s">
        <v>7050</v>
      </c>
      <c r="C55" s="403"/>
      <c r="D55" s="156" t="str">
        <f t="shared" ref="D55" si="529">IF(C55="","",502&amp;TEXT(C55,"000000"))</f>
        <v/>
      </c>
      <c r="E55" s="473" t="str">
        <f>IF(D55="","",(VLOOKUP(D55,女子登録!$A$2:$N$2001,3,0)))</f>
        <v/>
      </c>
      <c r="F55" s="473" t="str">
        <f>IF(D55="","",(VLOOKUP(D55,女子登録!$A$2:$N$2001,4,0)))</f>
        <v/>
      </c>
      <c r="G55" s="156" t="str">
        <f>IF(C55="","",(VLOOKUP(D55,女子登録!$A$2:$N$2001,8,0)))</f>
        <v/>
      </c>
      <c r="H55" s="156">
        <f>IFERROR(VLOOKUP(D55,女子登録!$A$2:$N$2001,11,0),基本情報!$E$5)</f>
        <v>0</v>
      </c>
      <c r="I55" s="156" t="s">
        <v>7059</v>
      </c>
      <c r="J55" s="170"/>
      <c r="K55" s="156" t="s">
        <v>7060</v>
      </c>
      <c r="L55" s="170"/>
      <c r="M55" s="252"/>
      <c r="N55" s="253"/>
      <c r="O55" s="254"/>
      <c r="P55" s="170"/>
      <c r="Q55" s="457"/>
      <c r="R55" s="414"/>
      <c r="S55" s="136">
        <f t="shared" ref="S55" si="530">IF(OR(E55="",Q55=""),0,E55)</f>
        <v>0</v>
      </c>
      <c r="T55" s="137">
        <f>IF(S55=0,0,COUNTIF($S$7:S55,"*"))</f>
        <v>0</v>
      </c>
      <c r="U55" s="137">
        <f>IF(S55=0,0,COUNTIF($S$7:S55,S55))</f>
        <v>0</v>
      </c>
      <c r="V55" s="137">
        <f t="shared" si="201"/>
        <v>0</v>
      </c>
      <c r="W55" s="137">
        <f>IF(V55=0,0,COUNTIF($V$7:V55,"*"))</f>
        <v>0</v>
      </c>
      <c r="X55" s="137">
        <f>IF(V55=0,0,COUNTIF($V$7:V55,V55))</f>
        <v>0</v>
      </c>
      <c r="Y55" s="212">
        <f t="shared" ref="Y55" si="531">IF(OR(E55="",J55=""),0,J55&amp;E55)</f>
        <v>0</v>
      </c>
      <c r="Z55" s="212">
        <f>IF(Y55=0,0,COUNTIF($Y$7:Y55,Y55))</f>
        <v>0</v>
      </c>
      <c r="AA55" s="212" t="b">
        <f>IF(COUNTIF(J55:J58,"七種競技")&gt;0,TRUE,FALSE)</f>
        <v>0</v>
      </c>
      <c r="AB55" s="212">
        <f>IF(E55="",0,IF(AA55,COUNTIF($AA$7:AA55,TRUE),0))</f>
        <v>0</v>
      </c>
      <c r="AC55" s="212">
        <f>IFERROR(VLOOKUP("七種競技",J55:L58,3,0),0)</f>
        <v>0</v>
      </c>
      <c r="AD55" s="212">
        <f>IFERROR(VLOOKUP(J55,競技会設定!$T$2:$W$22,2,0),0)</f>
        <v>0</v>
      </c>
      <c r="AE55" s="212">
        <f t="shared" ref="AE55" si="532">IF(E55="",0,IF(AD55=0,0,IF(AD55&lt;3,E55&amp;$AE$6,0)))</f>
        <v>0</v>
      </c>
      <c r="AF55" s="212">
        <f>IF(AE55=0,0,E55&amp;COUNTIF($AE$7:AE55,AE55))</f>
        <v>0</v>
      </c>
      <c r="AG55" s="212">
        <f t="shared" ref="AG55" si="533">IF(E55="",0,IF(AD55=0,0,IF(AD55&gt;=3,E55&amp;$AG$6,0)))</f>
        <v>0</v>
      </c>
      <c r="AH55" s="212">
        <f>IF(AG55=0,0,E55&amp;COUNTIF($AG$7:AG55,AG55))</f>
        <v>0</v>
      </c>
      <c r="AI55" s="212">
        <f t="shared" ref="AI55" si="534">IF($AD55=AI$6,$E55,0)</f>
        <v>0</v>
      </c>
      <c r="AJ55" s="212" t="b">
        <f>IF(AI55=0,FALSE,IF(COUNTIF(AI$7:AI55,AI55)&gt;1,TRUE,FALSE))</f>
        <v>0</v>
      </c>
      <c r="AK55" s="212">
        <f t="shared" ref="AK55" si="535">IF($AD55=AK$6,$E55,0)</f>
        <v>0</v>
      </c>
      <c r="AL55" s="212" t="b">
        <f>IF(AK55=0,FALSE,IF(COUNTIF(AK$7:AK55,AK55)&gt;1,TRUE,FALSE))</f>
        <v>0</v>
      </c>
      <c r="AM55" s="212">
        <f t="shared" ref="AM55" si="536">IF(COUNTIF(Y55,"*七種*")&gt;0,0,IF($AD55=AM$6,$E55,0))</f>
        <v>0</v>
      </c>
      <c r="AN55" s="212" t="b">
        <f>IF(AM55=0,FALSE,IF(COUNTIF(AM$7:AM55,AM55)&gt;1,TRUE,FALSE))</f>
        <v>0</v>
      </c>
      <c r="AO55" s="212">
        <f t="shared" ref="AO55" si="537">IF($AD55=AO$6,$E55,0)</f>
        <v>0</v>
      </c>
      <c r="AP55" s="212" t="b">
        <f>IF(AO55=0,FALSE,IF(COUNTIF(AO$7:AO55,AO55)&gt;1,TRUE,FALSE))</f>
        <v>0</v>
      </c>
      <c r="AQ55" s="212">
        <f t="shared" ref="AQ55" si="538">IF(COUNTIF(Y55,"*七種競技*")&gt;0,E55,0)</f>
        <v>0</v>
      </c>
      <c r="AR55" s="212" t="b">
        <f t="shared" si="6"/>
        <v>0</v>
      </c>
      <c r="AS55" s="212" t="b">
        <f t="shared" ref="AS55" si="539">IF(AND(C55="",E55&lt;&gt;"",F55&lt;&gt;"",E57&lt;&gt;"",G55&lt;&gt;"",G56&lt;&gt;"",G57&lt;&gt;""),TRUE,FALSE)</f>
        <v>0</v>
      </c>
      <c r="AT55" s="212" t="b">
        <f t="shared" si="9"/>
        <v>0</v>
      </c>
      <c r="AU55" s="212" t="b">
        <f>IFERROR(IF(E55&amp;F55&amp;E57&amp;G55&amp;G56&amp;G57&amp;J55&amp;J56&amp;J57&amp;J58&amp;L55&amp;L56&amp;L57&amp;L58&amp;M55&amp;M56&amp;M57&amp;M58&amp;P55&amp;P56&amp;P57&amp;P58&amp;Q55&amp;R55="",FALSE,TRUE),FALSE)</f>
        <v>0</v>
      </c>
      <c r="AV55" s="212" t="b">
        <f t="shared" ref="AV55" si="540">IF(AS55,FALSE,IF(C55="",AU55,FALSE))</f>
        <v>0</v>
      </c>
      <c r="AW55" s="212" t="b">
        <f t="shared" ref="AW55" si="541">IF(C55="",FALSE,IF(C55&lt;=2000,TRUE,FALSE))</f>
        <v>0</v>
      </c>
      <c r="AX55" s="274" t="b">
        <f>IF(H55=0,FALSE,IF(EXACT(基本情報!$E$5,H55)=TRUE,FALSE,TRUE))</f>
        <v>0</v>
      </c>
      <c r="AY55" s="212" t="b">
        <f>IF(C55="",FALSE,IF(ISNA(E55)=TRUE,TRUE,FALSE))</f>
        <v>0</v>
      </c>
      <c r="AZ55" s="274" t="b">
        <f>IFERROR(IF(E55="",FALSE,IF(COUNTIF($E$7:E55,E55)&gt;1,TRUE,FALSE)),FALSE)</f>
        <v>0</v>
      </c>
      <c r="BA55" s="212" t="b">
        <f t="shared" ref="BA55" si="542">IF(OR(J55&amp;J56&amp;J57&amp;J58&amp;Q55&amp;R55="",AT55,AT56,AT57,AT58),AU55,FALSE)</f>
        <v>0</v>
      </c>
      <c r="BB55" s="212" t="b">
        <f>IF(U55&gt;1,TRUE,FALSE)</f>
        <v>0</v>
      </c>
      <c r="BC55" s="212" t="b">
        <f>IF(X55&gt;1,TRUE,FALSE)</f>
        <v>0</v>
      </c>
      <c r="BD55" s="212" t="b">
        <f t="shared" si="4"/>
        <v>0</v>
      </c>
      <c r="BF55" s="212" t="b">
        <f t="shared" ref="BF55" si="543">IF(J55="",FALSE,IF(OR(AND(AU55,L55=""),AND(AU55,L55="",OR(M55&lt;&gt;"",N55&lt;&gt;"",O55&lt;&gt;"",P55&lt;&gt;""))),TRUE,FALSE))</f>
        <v>0</v>
      </c>
      <c r="BG55" s="212" t="b">
        <f t="shared" si="5"/>
        <v>0</v>
      </c>
      <c r="BH55" s="212" t="b">
        <f t="shared" si="7"/>
        <v>0</v>
      </c>
      <c r="BI55" s="212" t="b">
        <f t="shared" ref="BI55" si="544">IF(J55="",FALSE,IF(L55=0,FALSE,IF(AND(AU55,NOT(BF55),OR(M55="",N55="",O55="")),TRUE,FALSE)))</f>
        <v>0</v>
      </c>
      <c r="BJ55" s="231" t="b">
        <f t="shared" si="8"/>
        <v>0</v>
      </c>
      <c r="BK55" s="231" t="b">
        <f>IF(NOT(BJ55),FALSE,IF(AND(競技会設定!$C$5&lt;=BJ55,BJ55&lt;=競技会設定!$C$6),FALSE,TRUE))</f>
        <v>0</v>
      </c>
      <c r="BL55" s="212" t="b">
        <f>IF(J55="",FALSE,IF(L55=0,FALSE,IF(AND(AU55,NOT(BF55),NOT(BI55),P55=""),TRUE,FALSE)))</f>
        <v>0</v>
      </c>
      <c r="BO55" s="274">
        <f t="shared" ref="BO55" si="545">IF(AND(AU55,SUM(COUNTIF(AV55:BC55,TRUE),COUNTIF(BF55:BL58,TRUE),COUNTIF(BD55:BD58,TRUE))=0,NOT($BE$7)),1,0)</f>
        <v>0</v>
      </c>
    </row>
    <row r="56" spans="1:67" ht="17.399999999999999" customHeight="1">
      <c r="A56" s="471"/>
      <c r="B56" s="402"/>
      <c r="C56" s="404"/>
      <c r="D56" s="11"/>
      <c r="E56" s="474"/>
      <c r="F56" s="474"/>
      <c r="G56" s="11" t="str">
        <f>IF(C55="","",(VLOOKUP(D55,女子登録!$A$2:$N$2001,13,0)))</f>
        <v/>
      </c>
      <c r="H56" s="11"/>
      <c r="I56" s="11" t="s">
        <v>7061</v>
      </c>
      <c r="J56" s="171"/>
      <c r="K56" s="11" t="s">
        <v>7062</v>
      </c>
      <c r="L56" s="171"/>
      <c r="M56" s="255"/>
      <c r="N56" s="256"/>
      <c r="O56" s="257"/>
      <c r="P56" s="171"/>
      <c r="Q56" s="458"/>
      <c r="R56" s="415"/>
      <c r="S56" s="136"/>
      <c r="T56" s="137"/>
      <c r="U56" s="137"/>
      <c r="V56" s="137"/>
      <c r="W56" s="137"/>
      <c r="X56" s="137"/>
      <c r="Y56" s="212">
        <f t="shared" ref="Y56" si="546">IF(OR(E55="",J56=""),0,J56&amp;E55)</f>
        <v>0</v>
      </c>
      <c r="Z56" s="212">
        <f>IF(Y56=0,0,COUNTIF($Y$7:Y56,Y56))</f>
        <v>0</v>
      </c>
      <c r="AD56" s="212">
        <f>IFERROR(VLOOKUP(J56,競技会設定!$T$2:$W$22,2,0),0)</f>
        <v>0</v>
      </c>
      <c r="AE56" s="212">
        <f t="shared" ref="AE56" si="547">IF(E55="",0,IF(AD56=0,0,IF(AD56&lt;3,E55&amp;$AE$6,0)))</f>
        <v>0</v>
      </c>
      <c r="AF56" s="212">
        <f>IF(AE56=0,0,E55&amp;COUNTIF($AE$7:AE56,AE56))</f>
        <v>0</v>
      </c>
      <c r="AG56" s="212">
        <f t="shared" ref="AG56" si="548">IF(E55="",0,IF(AD56=0,0,IF(AD56&gt;=3,E55&amp;$AG$6,0)))</f>
        <v>0</v>
      </c>
      <c r="AH56" s="212">
        <f>IF(AG56=0,0,E55&amp;COUNTIF($AG$7:AG56,AG56))</f>
        <v>0</v>
      </c>
      <c r="AI56" s="212">
        <f t="shared" ref="AI56" si="549">IF($AD56=AI$6,$E55,0)</f>
        <v>0</v>
      </c>
      <c r="AJ56" s="212" t="b">
        <f>IF(AI56=0,FALSE,IF(COUNTIF(AI$7:AI56,AI56)&gt;1,TRUE,FALSE))</f>
        <v>0</v>
      </c>
      <c r="AK56" s="212">
        <f t="shared" ref="AK56" si="550">IF($AD56=AK$6,$E55,0)</f>
        <v>0</v>
      </c>
      <c r="AL56" s="212" t="b">
        <f>IF(AK56=0,FALSE,IF(COUNTIF(AK$7:AK56,AK56)&gt;1,TRUE,FALSE))</f>
        <v>0</v>
      </c>
      <c r="AM56" s="212">
        <f t="shared" ref="AM56" si="551">IF(COUNTIF(Y56,"*七種*")&gt;0,0,IF($AD56=AM$6,$E55,0))</f>
        <v>0</v>
      </c>
      <c r="AN56" s="212" t="b">
        <f>IF(AM56=0,FALSE,IF(COUNTIF(AM$7:AM56,AM56)&gt;1,TRUE,FALSE))</f>
        <v>0</v>
      </c>
      <c r="AO56" s="212">
        <f t="shared" ref="AO56" si="552">IF($AD56=AO$6,$E55,0)</f>
        <v>0</v>
      </c>
      <c r="AP56" s="212" t="b">
        <f>IF(AO56=0,FALSE,IF(COUNTIF(AO$7:AO56,AO56)&gt;1,TRUE,FALSE))</f>
        <v>0</v>
      </c>
      <c r="AQ56" s="212">
        <f t="shared" ref="AQ56" si="553">IF(COUNTIF(Y56,"*七種競技*")&gt;0,E55,0)</f>
        <v>0</v>
      </c>
      <c r="AR56" s="212" t="b">
        <f t="shared" si="6"/>
        <v>0</v>
      </c>
      <c r="AT56" s="212" t="b">
        <f t="shared" si="9"/>
        <v>0</v>
      </c>
      <c r="AX56" s="274"/>
      <c r="BD56" s="212" t="b">
        <f t="shared" si="4"/>
        <v>0</v>
      </c>
      <c r="BF56" s="212" t="b">
        <f t="shared" ref="BF56" si="554">IF(J56="",FALSE,IF(OR(AND(AU55,L56=""),AND(AU55,L56="",OR(M56&lt;&gt;"",N56&lt;&gt;"",O56&lt;&gt;"",P56&lt;&gt;""))),TRUE,FALSE))</f>
        <v>0</v>
      </c>
      <c r="BG56" s="212" t="b">
        <f t="shared" si="5"/>
        <v>0</v>
      </c>
      <c r="BH56" s="212" t="b">
        <f t="shared" si="7"/>
        <v>0</v>
      </c>
      <c r="BI56" s="212" t="b">
        <f t="shared" ref="BI56" si="555">IF(J56="",FALSE,IF(L56=0,FALSE,IF(AND(AU55,NOT(BF56),OR(M56="",N56="",O56="")),TRUE,FALSE)))</f>
        <v>0</v>
      </c>
      <c r="BJ56" s="231" t="b">
        <f t="shared" si="8"/>
        <v>0</v>
      </c>
      <c r="BK56" s="231" t="b">
        <f>IF(NOT(BJ56),FALSE,IF(AND(競技会設定!$C$5&lt;=BJ56,BJ56&lt;=競技会設定!$C$6),FALSE,TRUE))</f>
        <v>0</v>
      </c>
      <c r="BL56" s="212" t="b">
        <f>IF(J56="",FALSE,IF(L56=0,FALSE,IF(AND(AU55,NOT(BF56),NOT(BI56),P56=""),TRUE,FALSE)))</f>
        <v>0</v>
      </c>
    </row>
    <row r="57" spans="1:67" ht="17.399999999999999" customHeight="1">
      <c r="A57" s="471"/>
      <c r="B57" s="402"/>
      <c r="C57" s="404"/>
      <c r="D57" s="11"/>
      <c r="E57" s="348" t="str">
        <f>IF(C55="","",VLOOKUP(D55,女子登録!$A$2:$O$2001,14,0)&amp;" ("&amp;VLOOKUP(D55,女子登録!$A$2:$O$2001,15,0)&amp;")")</f>
        <v/>
      </c>
      <c r="F57" s="348"/>
      <c r="G57" s="13" t="str">
        <f>IF(C55="","",(VLOOKUP(D55,女子登録!$A$2:$N$2001,9,0)))</f>
        <v/>
      </c>
      <c r="H57" s="13"/>
      <c r="I57" s="13" t="s">
        <v>7063</v>
      </c>
      <c r="J57" s="172"/>
      <c r="K57" s="13" t="s">
        <v>7064</v>
      </c>
      <c r="L57" s="172"/>
      <c r="M57" s="255"/>
      <c r="N57" s="256"/>
      <c r="O57" s="257"/>
      <c r="P57" s="171"/>
      <c r="Q57" s="458"/>
      <c r="R57" s="415"/>
      <c r="S57" s="136"/>
      <c r="T57" s="137"/>
      <c r="U57" s="137"/>
      <c r="V57" s="137"/>
      <c r="W57" s="137"/>
      <c r="X57" s="137"/>
      <c r="Y57" s="212">
        <f t="shared" ref="Y57" si="556">IF(OR(E55="",J57=""),0,J57&amp;E55)</f>
        <v>0</v>
      </c>
      <c r="Z57" s="212">
        <f>IF(Y57=0,0,COUNTIF($Y$7:Y57,Y57))</f>
        <v>0</v>
      </c>
      <c r="AD57" s="212">
        <f>IFERROR(VLOOKUP(J57,競技会設定!$T$2:$W$22,2,0),0)</f>
        <v>0</v>
      </c>
      <c r="AE57" s="212">
        <f t="shared" ref="AE57" si="557">IF(E55="",0,IF(AD57=0,0,IF(AD57&lt;3,E55&amp;$AE$6,0)))</f>
        <v>0</v>
      </c>
      <c r="AF57" s="212">
        <f>IF(AE57=0,0,E55&amp;COUNTIF($AE$7:AE57,AE57))</f>
        <v>0</v>
      </c>
      <c r="AG57" s="212">
        <f t="shared" ref="AG57" si="558">IF(E55="",0,IF(AD57=0,0,IF(AD57&gt;=3,E55&amp;$AG$6,0)))</f>
        <v>0</v>
      </c>
      <c r="AH57" s="212">
        <f>IF(AG57=0,0,E55&amp;COUNTIF($AG$7:AG57,AG57))</f>
        <v>0</v>
      </c>
      <c r="AI57" s="212">
        <f t="shared" ref="AI57" si="559">IF($AD57=AI$6,$E55,0)</f>
        <v>0</v>
      </c>
      <c r="AJ57" s="212" t="b">
        <f>IF(AI57=0,FALSE,IF(COUNTIF(AI$7:AI57,AI57)&gt;1,TRUE,FALSE))</f>
        <v>0</v>
      </c>
      <c r="AK57" s="212">
        <f t="shared" ref="AK57" si="560">IF($AD57=AK$6,$E55,0)</f>
        <v>0</v>
      </c>
      <c r="AL57" s="212" t="b">
        <f>IF(AK57=0,FALSE,IF(COUNTIF(AK$7:AK57,AK57)&gt;1,TRUE,FALSE))</f>
        <v>0</v>
      </c>
      <c r="AM57" s="212">
        <f t="shared" ref="AM57" si="561">IF(COUNTIF(Y57,"*七種*")&gt;0,0,IF($AD57=AM$6,$E55,0))</f>
        <v>0</v>
      </c>
      <c r="AN57" s="212" t="b">
        <f>IF(AM57=0,FALSE,IF(COUNTIF(AM$7:AM57,AM57)&gt;1,TRUE,FALSE))</f>
        <v>0</v>
      </c>
      <c r="AO57" s="212">
        <f t="shared" ref="AO57" si="562">IF($AD57=AO$6,$E55,0)</f>
        <v>0</v>
      </c>
      <c r="AP57" s="212" t="b">
        <f>IF(AO57=0,FALSE,IF(COUNTIF(AO$7:AO57,AO57)&gt;1,TRUE,FALSE))</f>
        <v>0</v>
      </c>
      <c r="AQ57" s="212">
        <f t="shared" ref="AQ57" si="563">IF(COUNTIF(Y57,"*七種競技*")&gt;0,E55,0)</f>
        <v>0</v>
      </c>
      <c r="AR57" s="212" t="b">
        <f t="shared" si="6"/>
        <v>0</v>
      </c>
      <c r="AT57" s="212" t="b">
        <f t="shared" si="9"/>
        <v>0</v>
      </c>
      <c r="AX57" s="274"/>
      <c r="BD57" s="212" t="b">
        <f t="shared" si="4"/>
        <v>0</v>
      </c>
      <c r="BF57" s="212" t="b">
        <f t="shared" ref="BF57" si="564">IF(J57="",FALSE,IF(OR(AND(AU55,L57=""),AND(AU55,L57="",OR(M57&lt;&gt;"",N57&lt;&gt;"",O57&lt;&gt;"",P57&lt;&gt;""))),TRUE,FALSE))</f>
        <v>0</v>
      </c>
      <c r="BG57" s="212" t="b">
        <f t="shared" si="5"/>
        <v>0</v>
      </c>
      <c r="BH57" s="212" t="b">
        <f t="shared" si="7"/>
        <v>0</v>
      </c>
      <c r="BI57" s="212" t="b">
        <f t="shared" ref="BI57" si="565">IF(J57="",FALSE,IF(L57=0,FALSE,IF(AND(AU55,NOT(BF57),OR(M57="",N57="",O57="")),TRUE,FALSE)))</f>
        <v>0</v>
      </c>
      <c r="BJ57" s="231" t="b">
        <f t="shared" si="8"/>
        <v>0</v>
      </c>
      <c r="BK57" s="231" t="b">
        <f>IF(NOT(BJ57),FALSE,IF(AND(競技会設定!$C$5&lt;=BJ57,BJ57&lt;=競技会設定!$C$6),FALSE,TRUE))</f>
        <v>0</v>
      </c>
      <c r="BL57" s="212" t="b">
        <f>IF(J57="",FALSE,IF(L57=0,FALSE,IF(AND(AU55,NOT(BF57),NOT(BI57),P57=""),TRUE,FALSE)))</f>
        <v>0</v>
      </c>
    </row>
    <row r="58" spans="1:67" ht="18" customHeight="1" thickBot="1">
      <c r="A58" s="472"/>
      <c r="B58" s="395" t="s">
        <v>7051</v>
      </c>
      <c r="C58" s="395"/>
      <c r="D58" s="11"/>
      <c r="E58" s="460"/>
      <c r="F58" s="460"/>
      <c r="G58" s="460"/>
      <c r="H58" s="157"/>
      <c r="I58" s="157" t="s">
        <v>7065</v>
      </c>
      <c r="J58" s="173"/>
      <c r="K58" s="157" t="s">
        <v>7066</v>
      </c>
      <c r="L58" s="173"/>
      <c r="M58" s="258"/>
      <c r="N58" s="259"/>
      <c r="O58" s="260"/>
      <c r="P58" s="307"/>
      <c r="Q58" s="459"/>
      <c r="R58" s="416"/>
      <c r="S58" s="136"/>
      <c r="T58" s="137"/>
      <c r="U58" s="137"/>
      <c r="V58" s="137"/>
      <c r="W58" s="137"/>
      <c r="X58" s="137"/>
      <c r="Y58" s="212">
        <f t="shared" ref="Y58" si="566">IF(OR(E55="",J58=""),0,J58&amp;E55)</f>
        <v>0</v>
      </c>
      <c r="Z58" s="212">
        <f>IF(Y58=0,0,COUNTIF($Y$7:Y58,Y58))</f>
        <v>0</v>
      </c>
      <c r="AD58" s="212">
        <f>IFERROR(VLOOKUP(J58,競技会設定!$T$2:$W$22,2,0),0)</f>
        <v>0</v>
      </c>
      <c r="AE58" s="212">
        <f t="shared" ref="AE58" si="567">IF(E55="",0,IF(AD58=0,0,IF(AD58&lt;3,E55&amp;$AE$6,0)))</f>
        <v>0</v>
      </c>
      <c r="AF58" s="212">
        <f>IF(AE58=0,0,E55&amp;COUNTIF($AE$7:AE58,AE58))</f>
        <v>0</v>
      </c>
      <c r="AG58" s="212">
        <f t="shared" ref="AG58" si="568">IF(E55="",0,IF(AD58=0,0,IF(AD58&gt;=3,E55&amp;$AG$6,0)))</f>
        <v>0</v>
      </c>
      <c r="AH58" s="212">
        <f>IF(AG58=0,0,E55&amp;COUNTIF($AG$7:AG58,AG58))</f>
        <v>0</v>
      </c>
      <c r="AI58" s="212">
        <f t="shared" ref="AI58" si="569">IF($AD58=AI$6,$E55,0)</f>
        <v>0</v>
      </c>
      <c r="AJ58" s="212" t="b">
        <f>IF(AI58=0,FALSE,IF(COUNTIF(AI$7:AI58,AI58)&gt;1,TRUE,FALSE))</f>
        <v>0</v>
      </c>
      <c r="AK58" s="212">
        <f t="shared" ref="AK58" si="570">IF($AD58=AK$6,$E55,0)</f>
        <v>0</v>
      </c>
      <c r="AL58" s="212" t="b">
        <f>IF(AK58=0,FALSE,IF(COUNTIF(AK$7:AK58,AK58)&gt;1,TRUE,FALSE))</f>
        <v>0</v>
      </c>
      <c r="AM58" s="212">
        <f t="shared" ref="AM58" si="571">IF(COUNTIF(Y58,"*七種*")&gt;0,0,IF($AD58=AM$6,$E55,0))</f>
        <v>0</v>
      </c>
      <c r="AN58" s="212" t="b">
        <f>IF(AM58=0,FALSE,IF(COUNTIF(AM$7:AM58,AM58)&gt;1,TRUE,FALSE))</f>
        <v>0</v>
      </c>
      <c r="AO58" s="212">
        <f t="shared" ref="AO58" si="572">IF($AD58=AO$6,$E55,0)</f>
        <v>0</v>
      </c>
      <c r="AP58" s="212" t="b">
        <f>IF(AO58=0,FALSE,IF(COUNTIF(AO$7:AO58,AO58)&gt;1,TRUE,FALSE))</f>
        <v>0</v>
      </c>
      <c r="AQ58" s="212">
        <f t="shared" ref="AQ58" si="573">IF(COUNTIF(Y58,"*七種競技*")&gt;0,E55,0)</f>
        <v>0</v>
      </c>
      <c r="AR58" s="212" t="b">
        <f t="shared" si="6"/>
        <v>0</v>
      </c>
      <c r="AT58" s="212" t="b">
        <f t="shared" si="9"/>
        <v>0</v>
      </c>
      <c r="AX58" s="274"/>
      <c r="BD58" s="212" t="b">
        <f t="shared" si="4"/>
        <v>0</v>
      </c>
      <c r="BF58" s="212" t="b">
        <f t="shared" ref="BF58" si="574">IF(J58="",FALSE,IF(OR(AND(AU55,L58=""),AND(AU55,L58="",OR(M58&lt;&gt;"",N58&lt;&gt;"",O58&lt;&gt;"",P58&lt;&gt;""))),TRUE,FALSE))</f>
        <v>0</v>
      </c>
      <c r="BG58" s="212" t="b">
        <f t="shared" si="5"/>
        <v>0</v>
      </c>
      <c r="BH58" s="212" t="b">
        <f t="shared" si="7"/>
        <v>0</v>
      </c>
      <c r="BI58" s="212" t="b">
        <f t="shared" ref="BI58" si="575">IF(J58="",FALSE,IF(L58=0,FALSE,IF(AND(AU55,NOT(BF58),OR(M58="",N58="",O58="")),TRUE,FALSE)))</f>
        <v>0</v>
      </c>
      <c r="BJ58" s="231" t="b">
        <f t="shared" si="8"/>
        <v>0</v>
      </c>
      <c r="BK58" s="231" t="b">
        <f>IF(NOT(BJ58),FALSE,IF(AND(競技会設定!$C$5&lt;=BJ58,BJ58&lt;=競技会設定!$C$6),FALSE,TRUE))</f>
        <v>0</v>
      </c>
      <c r="BL58" s="212" t="b">
        <f>IF(J58="",FALSE,IF(L58=0,FALSE,IF(AND(AU55,NOT(BF58),NOT(BI58),P58=""),TRUE,FALSE)))</f>
        <v>0</v>
      </c>
    </row>
    <row r="59" spans="1:67" ht="18" customHeight="1" thickTop="1">
      <c r="A59" s="461">
        <v>14</v>
      </c>
      <c r="B59" s="373" t="s">
        <v>7050</v>
      </c>
      <c r="C59" s="375"/>
      <c r="D59" s="158" t="str">
        <f t="shared" ref="D59" si="576">IF(C59="","",502&amp;TEXT(C59,"000000"))</f>
        <v/>
      </c>
      <c r="E59" s="464" t="str">
        <f>IF(D59="","",(VLOOKUP(D59,女子登録!$A$2:$N$2001,3,0)))</f>
        <v/>
      </c>
      <c r="F59" s="464" t="str">
        <f>IF(D59="","",(VLOOKUP(D59,女子登録!$A$2:$N$2001,4,0)))</f>
        <v/>
      </c>
      <c r="G59" s="158" t="str">
        <f>IF(C59="","",(VLOOKUP(D59,女子登録!$A$2:$N$2001,8,0)))</f>
        <v/>
      </c>
      <c r="H59" s="158">
        <f>IFERROR(VLOOKUP(D59,女子登録!$A$2:$N$2001,11,0),基本情報!$E$5)</f>
        <v>0</v>
      </c>
      <c r="I59" s="158" t="s">
        <v>7059</v>
      </c>
      <c r="J59" s="174"/>
      <c r="K59" s="158" t="s">
        <v>7060</v>
      </c>
      <c r="L59" s="174"/>
      <c r="M59" s="261"/>
      <c r="N59" s="262"/>
      <c r="O59" s="263"/>
      <c r="P59" s="174"/>
      <c r="Q59" s="448"/>
      <c r="R59" s="408"/>
      <c r="S59" s="136">
        <f t="shared" ref="S59" si="577">IF(OR(E59="",Q59=""),0,E59)</f>
        <v>0</v>
      </c>
      <c r="T59" s="137">
        <f>IF(S59=0,0,COUNTIF($S$7:S59,"*"))</f>
        <v>0</v>
      </c>
      <c r="U59" s="137">
        <f>IF(S59=0,0,COUNTIF($S$7:S59,S59))</f>
        <v>0</v>
      </c>
      <c r="V59" s="137">
        <f t="shared" si="201"/>
        <v>0</v>
      </c>
      <c r="W59" s="137">
        <f>IF(V59=0,0,COUNTIF($V$7:V59,"*"))</f>
        <v>0</v>
      </c>
      <c r="X59" s="137">
        <f>IF(V59=0,0,COUNTIF($V$7:V59,V59))</f>
        <v>0</v>
      </c>
      <c r="Y59" s="212">
        <f t="shared" ref="Y59" si="578">IF(OR(E59="",J59=""),0,J59&amp;E59)</f>
        <v>0</v>
      </c>
      <c r="Z59" s="212">
        <f>IF(Y59=0,0,COUNTIF($Y$7:Y59,Y59))</f>
        <v>0</v>
      </c>
      <c r="AA59" s="212" t="b">
        <f>IF(COUNTIF(J59:J62,"七種競技")&gt;0,TRUE,FALSE)</f>
        <v>0</v>
      </c>
      <c r="AB59" s="212">
        <f>IF(E59="",0,IF(AA59,COUNTIF($AA$7:AA59,TRUE),0))</f>
        <v>0</v>
      </c>
      <c r="AC59" s="212">
        <f>IFERROR(VLOOKUP("七種競技",J59:L62,3,0),0)</f>
        <v>0</v>
      </c>
      <c r="AD59" s="212">
        <f>IFERROR(VLOOKUP(J59,競技会設定!$T$2:$W$22,2,0),0)</f>
        <v>0</v>
      </c>
      <c r="AE59" s="212">
        <f t="shared" ref="AE59" si="579">IF(E59="",0,IF(AD59=0,0,IF(AD59&lt;3,E59&amp;$AE$6,0)))</f>
        <v>0</v>
      </c>
      <c r="AF59" s="212">
        <f>IF(AE59=0,0,E59&amp;COUNTIF($AE$7:AE59,AE59))</f>
        <v>0</v>
      </c>
      <c r="AG59" s="212">
        <f t="shared" ref="AG59" si="580">IF(E59="",0,IF(AD59=0,0,IF(AD59&gt;=3,E59&amp;$AG$6,0)))</f>
        <v>0</v>
      </c>
      <c r="AH59" s="212">
        <f>IF(AG59=0,0,E59&amp;COUNTIF($AG$7:AG59,AG59))</f>
        <v>0</v>
      </c>
      <c r="AI59" s="212">
        <f t="shared" ref="AI59" si="581">IF($AD59=AI$6,$E59,0)</f>
        <v>0</v>
      </c>
      <c r="AJ59" s="212" t="b">
        <f>IF(AI59=0,FALSE,IF(COUNTIF(AI$7:AI59,AI59)&gt;1,TRUE,FALSE))</f>
        <v>0</v>
      </c>
      <c r="AK59" s="212">
        <f t="shared" ref="AK59" si="582">IF($AD59=AK$6,$E59,0)</f>
        <v>0</v>
      </c>
      <c r="AL59" s="212" t="b">
        <f>IF(AK59=0,FALSE,IF(COUNTIF(AK$7:AK59,AK59)&gt;1,TRUE,FALSE))</f>
        <v>0</v>
      </c>
      <c r="AM59" s="212">
        <f t="shared" ref="AM59" si="583">IF(COUNTIF(Y59,"*七種*")&gt;0,0,IF($AD59=AM$6,$E59,0))</f>
        <v>0</v>
      </c>
      <c r="AN59" s="212" t="b">
        <f>IF(AM59=0,FALSE,IF(COUNTIF(AM$7:AM59,AM59)&gt;1,TRUE,FALSE))</f>
        <v>0</v>
      </c>
      <c r="AO59" s="212">
        <f t="shared" ref="AO59" si="584">IF($AD59=AO$6,$E59,0)</f>
        <v>0</v>
      </c>
      <c r="AP59" s="212" t="b">
        <f>IF(AO59=0,FALSE,IF(COUNTIF(AO$7:AO59,AO59)&gt;1,TRUE,FALSE))</f>
        <v>0</v>
      </c>
      <c r="AQ59" s="212">
        <f t="shared" ref="AQ59" si="585">IF(COUNTIF(Y59,"*七種競技*")&gt;0,E59,0)</f>
        <v>0</v>
      </c>
      <c r="AR59" s="212" t="b">
        <f t="shared" si="6"/>
        <v>0</v>
      </c>
      <c r="AS59" s="212" t="b">
        <f t="shared" ref="AS59" si="586">IF(AND(C59="",E59&lt;&gt;"",F59&lt;&gt;"",E61&lt;&gt;"",G59&lt;&gt;"",G60&lt;&gt;"",G61&lt;&gt;""),TRUE,FALSE)</f>
        <v>0</v>
      </c>
      <c r="AT59" s="212" t="b">
        <f t="shared" si="9"/>
        <v>0</v>
      </c>
      <c r="AU59" s="212" t="b">
        <f>IFERROR(IF(E59&amp;F59&amp;E61&amp;G59&amp;G60&amp;G61&amp;J59&amp;J60&amp;J61&amp;J62&amp;L59&amp;L60&amp;L61&amp;L62&amp;M59&amp;M60&amp;M61&amp;M62&amp;P59&amp;P60&amp;P61&amp;P62&amp;Q59&amp;R59="",FALSE,TRUE),FALSE)</f>
        <v>0</v>
      </c>
      <c r="AV59" s="212" t="b">
        <f t="shared" ref="AV59" si="587">IF(AS59,FALSE,IF(C59="",AU59,FALSE))</f>
        <v>0</v>
      </c>
      <c r="AW59" s="212" t="b">
        <f t="shared" ref="AW59" si="588">IF(C59="",FALSE,IF(C59&lt;=2000,TRUE,FALSE))</f>
        <v>0</v>
      </c>
      <c r="AX59" s="274" t="b">
        <f>IF(H59=0,FALSE,IF(EXACT(基本情報!$E$5,H59)=TRUE,FALSE,TRUE))</f>
        <v>0</v>
      </c>
      <c r="AY59" s="212" t="b">
        <f>IF(C59="",FALSE,IF(ISNA(E59)=TRUE,TRUE,FALSE))</f>
        <v>0</v>
      </c>
      <c r="AZ59" s="274" t="b">
        <f>IFERROR(IF(E59="",FALSE,IF(COUNTIF($E$7:E59,E59)&gt;1,TRUE,FALSE)),FALSE)</f>
        <v>0</v>
      </c>
      <c r="BA59" s="212" t="b">
        <f t="shared" ref="BA59" si="589">IF(OR(J59&amp;J60&amp;J61&amp;J62&amp;Q59&amp;R59="",AT59,AT60,AT61,AT62),AU59,FALSE)</f>
        <v>0</v>
      </c>
      <c r="BB59" s="212" t="b">
        <f>IF(U59&gt;1,TRUE,FALSE)</f>
        <v>0</v>
      </c>
      <c r="BC59" s="212" t="b">
        <f>IF(X59&gt;1,TRUE,FALSE)</f>
        <v>0</v>
      </c>
      <c r="BD59" s="212" t="b">
        <f t="shared" si="4"/>
        <v>0</v>
      </c>
      <c r="BF59" s="212" t="b">
        <f t="shared" ref="BF59" si="590">IF(J59="",FALSE,IF(OR(AND(AU59,L59=""),AND(AU59,L59="",OR(M59&lt;&gt;"",N59&lt;&gt;"",O59&lt;&gt;"",P59&lt;&gt;""))),TRUE,FALSE))</f>
        <v>0</v>
      </c>
      <c r="BG59" s="212" t="b">
        <f t="shared" si="5"/>
        <v>0</v>
      </c>
      <c r="BH59" s="212" t="b">
        <f t="shared" si="7"/>
        <v>0</v>
      </c>
      <c r="BI59" s="212" t="b">
        <f t="shared" ref="BI59" si="591">IF(J59="",FALSE,IF(L59=0,FALSE,IF(AND(AU59,NOT(BF59),OR(M59="",N59="",O59="")),TRUE,FALSE)))</f>
        <v>0</v>
      </c>
      <c r="BJ59" s="231" t="b">
        <f t="shared" si="8"/>
        <v>0</v>
      </c>
      <c r="BK59" s="231" t="b">
        <f>IF(NOT(BJ59),FALSE,IF(AND(競技会設定!$C$5&lt;=BJ59,BJ59&lt;=競技会設定!$C$6),FALSE,TRUE))</f>
        <v>0</v>
      </c>
      <c r="BL59" s="212" t="b">
        <f>IF(J59="",FALSE,IF(L59=0,FALSE,IF(AND(AU59,NOT(BF59),NOT(BI59),P59=""),TRUE,FALSE)))</f>
        <v>0</v>
      </c>
      <c r="BO59" s="274">
        <f t="shared" ref="BO59" si="592">IF(AND(AU59,SUM(COUNTIF(AV59:BC59,TRUE),COUNTIF(BF59:BL62,TRUE),COUNTIF(BD59:BD62,TRUE))=0,NOT($BE$7)),1,0)</f>
        <v>0</v>
      </c>
    </row>
    <row r="60" spans="1:67" ht="17.399999999999999" customHeight="1">
      <c r="A60" s="462"/>
      <c r="B60" s="374"/>
      <c r="C60" s="376"/>
      <c r="D60" s="159"/>
      <c r="E60" s="465"/>
      <c r="F60" s="465"/>
      <c r="G60" s="159" t="str">
        <f>IF(C59="","",(VLOOKUP(D59,女子登録!$A$2:$N$2001,13,0)))</f>
        <v/>
      </c>
      <c r="H60" s="159"/>
      <c r="I60" s="159" t="s">
        <v>7061</v>
      </c>
      <c r="J60" s="175"/>
      <c r="K60" s="159" t="s">
        <v>7062</v>
      </c>
      <c r="L60" s="175"/>
      <c r="M60" s="264"/>
      <c r="N60" s="265"/>
      <c r="O60" s="266"/>
      <c r="P60" s="175"/>
      <c r="Q60" s="449"/>
      <c r="R60" s="409"/>
      <c r="S60" s="136"/>
      <c r="T60" s="137"/>
      <c r="U60" s="137"/>
      <c r="V60" s="137"/>
      <c r="W60" s="137"/>
      <c r="X60" s="137"/>
      <c r="Y60" s="212">
        <f t="shared" ref="Y60" si="593">IF(OR(E59="",J60=""),0,J60&amp;E59)</f>
        <v>0</v>
      </c>
      <c r="Z60" s="212">
        <f>IF(Y60=0,0,COUNTIF($Y$7:Y60,Y60))</f>
        <v>0</v>
      </c>
      <c r="AD60" s="212">
        <f>IFERROR(VLOOKUP(J60,競技会設定!$T$2:$W$22,2,0),0)</f>
        <v>0</v>
      </c>
      <c r="AE60" s="212">
        <f t="shared" ref="AE60" si="594">IF(E59="",0,IF(AD60=0,0,IF(AD60&lt;3,E59&amp;$AE$6,0)))</f>
        <v>0</v>
      </c>
      <c r="AF60" s="212">
        <f>IF(AE60=0,0,E59&amp;COUNTIF($AE$7:AE60,AE60))</f>
        <v>0</v>
      </c>
      <c r="AG60" s="212">
        <f t="shared" ref="AG60" si="595">IF(E59="",0,IF(AD60=0,0,IF(AD60&gt;=3,E59&amp;$AG$6,0)))</f>
        <v>0</v>
      </c>
      <c r="AH60" s="212">
        <f>IF(AG60=0,0,E59&amp;COUNTIF($AG$7:AG60,AG60))</f>
        <v>0</v>
      </c>
      <c r="AI60" s="212">
        <f t="shared" ref="AI60" si="596">IF($AD60=AI$6,$E59,0)</f>
        <v>0</v>
      </c>
      <c r="AJ60" s="212" t="b">
        <f>IF(AI60=0,FALSE,IF(COUNTIF(AI$7:AI60,AI60)&gt;1,TRUE,FALSE))</f>
        <v>0</v>
      </c>
      <c r="AK60" s="212">
        <f t="shared" ref="AK60" si="597">IF($AD60=AK$6,$E59,0)</f>
        <v>0</v>
      </c>
      <c r="AL60" s="212" t="b">
        <f>IF(AK60=0,FALSE,IF(COUNTIF(AK$7:AK60,AK60)&gt;1,TRUE,FALSE))</f>
        <v>0</v>
      </c>
      <c r="AM60" s="212">
        <f t="shared" ref="AM60" si="598">IF(COUNTIF(Y60,"*七種*")&gt;0,0,IF($AD60=AM$6,$E59,0))</f>
        <v>0</v>
      </c>
      <c r="AN60" s="212" t="b">
        <f>IF(AM60=0,FALSE,IF(COUNTIF(AM$7:AM60,AM60)&gt;1,TRUE,FALSE))</f>
        <v>0</v>
      </c>
      <c r="AO60" s="212">
        <f t="shared" ref="AO60" si="599">IF($AD60=AO$6,$E59,0)</f>
        <v>0</v>
      </c>
      <c r="AP60" s="212" t="b">
        <f>IF(AO60=0,FALSE,IF(COUNTIF(AO$7:AO60,AO60)&gt;1,TRUE,FALSE))</f>
        <v>0</v>
      </c>
      <c r="AQ60" s="212">
        <f t="shared" ref="AQ60" si="600">IF(COUNTIF(Y60,"*七種競技*")&gt;0,E59,0)</f>
        <v>0</v>
      </c>
      <c r="AR60" s="212" t="b">
        <f t="shared" si="6"/>
        <v>0</v>
      </c>
      <c r="AT60" s="212" t="b">
        <f t="shared" si="9"/>
        <v>0</v>
      </c>
      <c r="AX60" s="274"/>
      <c r="BD60" s="212" t="b">
        <f t="shared" si="4"/>
        <v>0</v>
      </c>
      <c r="BF60" s="212" t="b">
        <f t="shared" ref="BF60" si="601">IF(J60="",FALSE,IF(OR(AND(AU59,L60=""),AND(AU59,L60="",OR(M60&lt;&gt;"",N60&lt;&gt;"",O60&lt;&gt;"",P60&lt;&gt;""))),TRUE,FALSE))</f>
        <v>0</v>
      </c>
      <c r="BG60" s="212" t="b">
        <f t="shared" si="5"/>
        <v>0</v>
      </c>
      <c r="BH60" s="212" t="b">
        <f t="shared" si="7"/>
        <v>0</v>
      </c>
      <c r="BI60" s="212" t="b">
        <f t="shared" ref="BI60" si="602">IF(J60="",FALSE,IF(L60=0,FALSE,IF(AND(AU59,NOT(BF60),OR(M60="",N60="",O60="")),TRUE,FALSE)))</f>
        <v>0</v>
      </c>
      <c r="BJ60" s="231" t="b">
        <f t="shared" si="8"/>
        <v>0</v>
      </c>
      <c r="BK60" s="231" t="b">
        <f>IF(NOT(BJ60),FALSE,IF(AND(競技会設定!$C$5&lt;=BJ60,BJ60&lt;=競技会設定!$C$6),FALSE,TRUE))</f>
        <v>0</v>
      </c>
      <c r="BL60" s="212" t="b">
        <f>IF(J60="",FALSE,IF(L60=0,FALSE,IF(AND(AU59,NOT(BF60),NOT(BI60),P60=""),TRUE,FALSE)))</f>
        <v>0</v>
      </c>
    </row>
    <row r="61" spans="1:67" ht="17.399999999999999" customHeight="1">
      <c r="A61" s="462"/>
      <c r="B61" s="374"/>
      <c r="C61" s="376"/>
      <c r="D61" s="160"/>
      <c r="E61" s="452" t="str">
        <f>IF(C59="","",VLOOKUP(D59,女子登録!$A$2:$O$2001,14,0)&amp;" ("&amp;VLOOKUP(D59,女子登録!$A$2:$O$2001,15,0)&amp;")")</f>
        <v/>
      </c>
      <c r="F61" s="453"/>
      <c r="G61" s="160" t="str">
        <f>IF(C59="","",(VLOOKUP(D59,女子登録!$A$2:$N$2001,9,0)))</f>
        <v/>
      </c>
      <c r="H61" s="160"/>
      <c r="I61" s="160" t="s">
        <v>7063</v>
      </c>
      <c r="J61" s="176"/>
      <c r="K61" s="160" t="s">
        <v>7064</v>
      </c>
      <c r="L61" s="176"/>
      <c r="M61" s="264"/>
      <c r="N61" s="265"/>
      <c r="O61" s="266"/>
      <c r="P61" s="175"/>
      <c r="Q61" s="449"/>
      <c r="R61" s="409"/>
      <c r="S61" s="136"/>
      <c r="T61" s="137"/>
      <c r="U61" s="137"/>
      <c r="V61" s="137"/>
      <c r="W61" s="137"/>
      <c r="X61" s="137"/>
      <c r="Y61" s="212">
        <f t="shared" ref="Y61" si="603">IF(OR(E59="",J61=""),0,J61&amp;E59)</f>
        <v>0</v>
      </c>
      <c r="Z61" s="212">
        <f>IF(Y61=0,0,COUNTIF($Y$7:Y61,Y61))</f>
        <v>0</v>
      </c>
      <c r="AD61" s="212">
        <f>IFERROR(VLOOKUP(J61,競技会設定!$T$2:$W$22,2,0),0)</f>
        <v>0</v>
      </c>
      <c r="AE61" s="212">
        <f t="shared" ref="AE61" si="604">IF(E59="",0,IF(AD61=0,0,IF(AD61&lt;3,E59&amp;$AE$6,0)))</f>
        <v>0</v>
      </c>
      <c r="AF61" s="212">
        <f>IF(AE61=0,0,E59&amp;COUNTIF($AE$7:AE61,AE61))</f>
        <v>0</v>
      </c>
      <c r="AG61" s="212">
        <f t="shared" ref="AG61" si="605">IF(E59="",0,IF(AD61=0,0,IF(AD61&gt;=3,E59&amp;$AG$6,0)))</f>
        <v>0</v>
      </c>
      <c r="AH61" s="212">
        <f>IF(AG61=0,0,E59&amp;COUNTIF($AG$7:AG61,AG61))</f>
        <v>0</v>
      </c>
      <c r="AI61" s="212">
        <f t="shared" ref="AI61" si="606">IF($AD61=AI$6,$E59,0)</f>
        <v>0</v>
      </c>
      <c r="AJ61" s="212" t="b">
        <f>IF(AI61=0,FALSE,IF(COUNTIF(AI$7:AI61,AI61)&gt;1,TRUE,FALSE))</f>
        <v>0</v>
      </c>
      <c r="AK61" s="212">
        <f t="shared" ref="AK61" si="607">IF($AD61=AK$6,$E59,0)</f>
        <v>0</v>
      </c>
      <c r="AL61" s="212" t="b">
        <f>IF(AK61=0,FALSE,IF(COUNTIF(AK$7:AK61,AK61)&gt;1,TRUE,FALSE))</f>
        <v>0</v>
      </c>
      <c r="AM61" s="212">
        <f t="shared" ref="AM61" si="608">IF(COUNTIF(Y61,"*七種*")&gt;0,0,IF($AD61=AM$6,$E59,0))</f>
        <v>0</v>
      </c>
      <c r="AN61" s="212" t="b">
        <f>IF(AM61=0,FALSE,IF(COUNTIF(AM$7:AM61,AM61)&gt;1,TRUE,FALSE))</f>
        <v>0</v>
      </c>
      <c r="AO61" s="212">
        <f t="shared" ref="AO61" si="609">IF($AD61=AO$6,$E59,0)</f>
        <v>0</v>
      </c>
      <c r="AP61" s="212" t="b">
        <f>IF(AO61=0,FALSE,IF(COUNTIF(AO$7:AO61,AO61)&gt;1,TRUE,FALSE))</f>
        <v>0</v>
      </c>
      <c r="AQ61" s="212">
        <f t="shared" ref="AQ61" si="610">IF(COUNTIF(Y61,"*七種競技*")&gt;0,E59,0)</f>
        <v>0</v>
      </c>
      <c r="AR61" s="212" t="b">
        <f t="shared" si="6"/>
        <v>0</v>
      </c>
      <c r="AT61" s="212" t="b">
        <f t="shared" si="9"/>
        <v>0</v>
      </c>
      <c r="AX61" s="274"/>
      <c r="BD61" s="212" t="b">
        <f t="shared" si="4"/>
        <v>0</v>
      </c>
      <c r="BF61" s="212" t="b">
        <f t="shared" ref="BF61" si="611">IF(J61="",FALSE,IF(OR(AND(AU59,L61=""),AND(AU59,L61="",OR(M61&lt;&gt;"",N61&lt;&gt;"",O61&lt;&gt;"",P61&lt;&gt;""))),TRUE,FALSE))</f>
        <v>0</v>
      </c>
      <c r="BG61" s="212" t="b">
        <f t="shared" si="5"/>
        <v>0</v>
      </c>
      <c r="BH61" s="212" t="b">
        <f t="shared" si="7"/>
        <v>0</v>
      </c>
      <c r="BI61" s="212" t="b">
        <f t="shared" ref="BI61" si="612">IF(J61="",FALSE,IF(L61=0,FALSE,IF(AND(AU59,NOT(BF61),OR(M61="",N61="",O61="")),TRUE,FALSE)))</f>
        <v>0</v>
      </c>
      <c r="BJ61" s="231" t="b">
        <f t="shared" si="8"/>
        <v>0</v>
      </c>
      <c r="BK61" s="231" t="b">
        <f>IF(NOT(BJ61),FALSE,IF(AND(競技会設定!$C$5&lt;=BJ61,BJ61&lt;=競技会設定!$C$6),FALSE,TRUE))</f>
        <v>0</v>
      </c>
      <c r="BL61" s="212" t="b">
        <f>IF(J61="",FALSE,IF(L61=0,FALSE,IF(AND(AU59,NOT(BF61),NOT(BI61),P61=""),TRUE,FALSE)))</f>
        <v>0</v>
      </c>
    </row>
    <row r="62" spans="1:67" ht="18" customHeight="1" thickBot="1">
      <c r="A62" s="475"/>
      <c r="B62" s="387" t="s">
        <v>7051</v>
      </c>
      <c r="C62" s="387"/>
      <c r="D62" s="161"/>
      <c r="E62" s="467"/>
      <c r="F62" s="468"/>
      <c r="G62" s="469"/>
      <c r="H62" s="162"/>
      <c r="I62" s="161" t="s">
        <v>7065</v>
      </c>
      <c r="J62" s="177"/>
      <c r="K62" s="161" t="s">
        <v>7066</v>
      </c>
      <c r="L62" s="177"/>
      <c r="M62" s="267"/>
      <c r="N62" s="268"/>
      <c r="O62" s="269"/>
      <c r="P62" s="177"/>
      <c r="Q62" s="466"/>
      <c r="R62" s="410"/>
      <c r="S62" s="136"/>
      <c r="T62" s="137"/>
      <c r="U62" s="137"/>
      <c r="V62" s="137"/>
      <c r="W62" s="137"/>
      <c r="X62" s="137"/>
      <c r="Y62" s="212">
        <f t="shared" ref="Y62" si="613">IF(OR(E59="",J62=""),0,J62&amp;E59)</f>
        <v>0</v>
      </c>
      <c r="Z62" s="212">
        <f>IF(Y62=0,0,COUNTIF($Y$7:Y62,Y62))</f>
        <v>0</v>
      </c>
      <c r="AD62" s="212">
        <f>IFERROR(VLOOKUP(J62,競技会設定!$T$2:$W$22,2,0),0)</f>
        <v>0</v>
      </c>
      <c r="AE62" s="212">
        <f t="shared" ref="AE62" si="614">IF(E59="",0,IF(AD62=0,0,IF(AD62&lt;3,E59&amp;$AE$6,0)))</f>
        <v>0</v>
      </c>
      <c r="AF62" s="212">
        <f>IF(AE62=0,0,E59&amp;COUNTIF($AE$7:AE62,AE62))</f>
        <v>0</v>
      </c>
      <c r="AG62" s="212">
        <f t="shared" ref="AG62" si="615">IF(E59="",0,IF(AD62=0,0,IF(AD62&gt;=3,E59&amp;$AG$6,0)))</f>
        <v>0</v>
      </c>
      <c r="AH62" s="212">
        <f>IF(AG62=0,0,E59&amp;COUNTIF($AG$7:AG62,AG62))</f>
        <v>0</v>
      </c>
      <c r="AI62" s="212">
        <f t="shared" ref="AI62" si="616">IF($AD62=AI$6,$E59,0)</f>
        <v>0</v>
      </c>
      <c r="AJ62" s="212" t="b">
        <f>IF(AI62=0,FALSE,IF(COUNTIF(AI$7:AI62,AI62)&gt;1,TRUE,FALSE))</f>
        <v>0</v>
      </c>
      <c r="AK62" s="212">
        <f t="shared" ref="AK62" si="617">IF($AD62=AK$6,$E59,0)</f>
        <v>0</v>
      </c>
      <c r="AL62" s="212" t="b">
        <f>IF(AK62=0,FALSE,IF(COUNTIF(AK$7:AK62,AK62)&gt;1,TRUE,FALSE))</f>
        <v>0</v>
      </c>
      <c r="AM62" s="212">
        <f t="shared" ref="AM62" si="618">IF(COUNTIF(Y62,"*七種*")&gt;0,0,IF($AD62=AM$6,$E59,0))</f>
        <v>0</v>
      </c>
      <c r="AN62" s="212" t="b">
        <f>IF(AM62=0,FALSE,IF(COUNTIF(AM$7:AM62,AM62)&gt;1,TRUE,FALSE))</f>
        <v>0</v>
      </c>
      <c r="AO62" s="212">
        <f t="shared" ref="AO62" si="619">IF($AD62=AO$6,$E59,0)</f>
        <v>0</v>
      </c>
      <c r="AP62" s="212" t="b">
        <f>IF(AO62=0,FALSE,IF(COUNTIF(AO$7:AO62,AO62)&gt;1,TRUE,FALSE))</f>
        <v>0</v>
      </c>
      <c r="AQ62" s="212">
        <f t="shared" ref="AQ62" si="620">IF(COUNTIF(Y62,"*七種競技*")&gt;0,E59,0)</f>
        <v>0</v>
      </c>
      <c r="AR62" s="212" t="b">
        <f t="shared" si="6"/>
        <v>0</v>
      </c>
      <c r="AT62" s="212" t="b">
        <f t="shared" si="9"/>
        <v>0</v>
      </c>
      <c r="AX62" s="274"/>
      <c r="BD62" s="212" t="b">
        <f t="shared" si="4"/>
        <v>0</v>
      </c>
      <c r="BF62" s="212" t="b">
        <f t="shared" ref="BF62" si="621">IF(J62="",FALSE,IF(OR(AND(AU59,L62=""),AND(AU59,L62="",OR(M62&lt;&gt;"",N62&lt;&gt;"",O62&lt;&gt;"",P62&lt;&gt;""))),TRUE,FALSE))</f>
        <v>0</v>
      </c>
      <c r="BG62" s="212" t="b">
        <f t="shared" si="5"/>
        <v>0</v>
      </c>
      <c r="BH62" s="212" t="b">
        <f t="shared" si="7"/>
        <v>0</v>
      </c>
      <c r="BI62" s="212" t="b">
        <f t="shared" ref="BI62" si="622">IF(J62="",FALSE,IF(L62=0,FALSE,IF(AND(AU59,NOT(BF62),OR(M62="",N62="",O62="")),TRUE,FALSE)))</f>
        <v>0</v>
      </c>
      <c r="BJ62" s="231" t="b">
        <f t="shared" si="8"/>
        <v>0</v>
      </c>
      <c r="BK62" s="231" t="b">
        <f>IF(NOT(BJ62),FALSE,IF(AND(競技会設定!$C$5&lt;=BJ62,BJ62&lt;=競技会設定!$C$6),FALSE,TRUE))</f>
        <v>0</v>
      </c>
      <c r="BL62" s="212" t="b">
        <f>IF(J62="",FALSE,IF(L62=0,FALSE,IF(AND(AU59,NOT(BF62),NOT(BI62),P62=""),TRUE,FALSE)))</f>
        <v>0</v>
      </c>
    </row>
    <row r="63" spans="1:67" ht="18" customHeight="1" thickTop="1">
      <c r="A63" s="470">
        <v>15</v>
      </c>
      <c r="B63" s="401" t="s">
        <v>7050</v>
      </c>
      <c r="C63" s="403"/>
      <c r="D63" s="156" t="str">
        <f t="shared" ref="D63" si="623">IF(C63="","",502&amp;TEXT(C63,"000000"))</f>
        <v/>
      </c>
      <c r="E63" s="473" t="str">
        <f>IF(D63="","",(VLOOKUP(D63,女子登録!$A$2:$N$2001,3,0)))</f>
        <v/>
      </c>
      <c r="F63" s="473" t="str">
        <f>IF(D63="","",(VLOOKUP(D63,女子登録!$A$2:$N$2001,4,0)))</f>
        <v/>
      </c>
      <c r="G63" s="156" t="str">
        <f>IF(C63="","",(VLOOKUP(D63,女子登録!$A$2:$N$2001,8,0)))</f>
        <v/>
      </c>
      <c r="H63" s="156">
        <f>IFERROR(VLOOKUP(D63,女子登録!$A$2:$N$2001,11,0),基本情報!$E$5)</f>
        <v>0</v>
      </c>
      <c r="I63" s="156" t="s">
        <v>7059</v>
      </c>
      <c r="J63" s="170"/>
      <c r="K63" s="156" t="s">
        <v>7060</v>
      </c>
      <c r="L63" s="170"/>
      <c r="M63" s="252"/>
      <c r="N63" s="253"/>
      <c r="O63" s="254"/>
      <c r="P63" s="170"/>
      <c r="Q63" s="457"/>
      <c r="R63" s="414"/>
      <c r="S63" s="136">
        <f t="shared" ref="S63" si="624">IF(OR(E63="",Q63=""),0,E63)</f>
        <v>0</v>
      </c>
      <c r="T63" s="137">
        <f>IF(S63=0,0,COUNTIF($S$7:S63,"*"))</f>
        <v>0</v>
      </c>
      <c r="U63" s="137">
        <f>IF(S63=0,0,COUNTIF($S$7:S63,S63))</f>
        <v>0</v>
      </c>
      <c r="V63" s="137">
        <f t="shared" si="201"/>
        <v>0</v>
      </c>
      <c r="W63" s="137">
        <f>IF(V63=0,0,COUNTIF($V$7:V63,"*"))</f>
        <v>0</v>
      </c>
      <c r="X63" s="137">
        <f>IF(V63=0,0,COUNTIF($V$7:V63,V63))</f>
        <v>0</v>
      </c>
      <c r="Y63" s="212">
        <f t="shared" ref="Y63" si="625">IF(OR(E63="",J63=""),0,J63&amp;E63)</f>
        <v>0</v>
      </c>
      <c r="Z63" s="212">
        <f>IF(Y63=0,0,COUNTIF($Y$7:Y63,Y63))</f>
        <v>0</v>
      </c>
      <c r="AA63" s="212" t="b">
        <f>IF(COUNTIF(J63:J66,"七種競技")&gt;0,TRUE,FALSE)</f>
        <v>0</v>
      </c>
      <c r="AB63" s="212">
        <f>IF(E63="",0,IF(AA63,COUNTIF($AA$7:AA63,TRUE),0))</f>
        <v>0</v>
      </c>
      <c r="AC63" s="212">
        <f>IFERROR(VLOOKUP("七種競技",J63:L66,3,0),0)</f>
        <v>0</v>
      </c>
      <c r="AD63" s="212">
        <f>IFERROR(VLOOKUP(J63,競技会設定!$T$2:$W$22,2,0),0)</f>
        <v>0</v>
      </c>
      <c r="AE63" s="212">
        <f t="shared" ref="AE63" si="626">IF(E63="",0,IF(AD63=0,0,IF(AD63&lt;3,E63&amp;$AE$6,0)))</f>
        <v>0</v>
      </c>
      <c r="AF63" s="212">
        <f>IF(AE63=0,0,E63&amp;COUNTIF($AE$7:AE63,AE63))</f>
        <v>0</v>
      </c>
      <c r="AG63" s="212">
        <f t="shared" ref="AG63" si="627">IF(E63="",0,IF(AD63=0,0,IF(AD63&gt;=3,E63&amp;$AG$6,0)))</f>
        <v>0</v>
      </c>
      <c r="AH63" s="212">
        <f>IF(AG63=0,0,E63&amp;COUNTIF($AG$7:AG63,AG63))</f>
        <v>0</v>
      </c>
      <c r="AI63" s="212">
        <f t="shared" ref="AI63" si="628">IF($AD63=AI$6,$E63,0)</f>
        <v>0</v>
      </c>
      <c r="AJ63" s="212" t="b">
        <f>IF(AI63=0,FALSE,IF(COUNTIF(AI$7:AI63,AI63)&gt;1,TRUE,FALSE))</f>
        <v>0</v>
      </c>
      <c r="AK63" s="212">
        <f t="shared" ref="AK63" si="629">IF($AD63=AK$6,$E63,0)</f>
        <v>0</v>
      </c>
      <c r="AL63" s="212" t="b">
        <f>IF(AK63=0,FALSE,IF(COUNTIF(AK$7:AK63,AK63)&gt;1,TRUE,FALSE))</f>
        <v>0</v>
      </c>
      <c r="AM63" s="212">
        <f t="shared" ref="AM63" si="630">IF(COUNTIF(Y63,"*七種*")&gt;0,0,IF($AD63=AM$6,$E63,0))</f>
        <v>0</v>
      </c>
      <c r="AN63" s="212" t="b">
        <f>IF(AM63=0,FALSE,IF(COUNTIF(AM$7:AM63,AM63)&gt;1,TRUE,FALSE))</f>
        <v>0</v>
      </c>
      <c r="AO63" s="212">
        <f t="shared" ref="AO63" si="631">IF($AD63=AO$6,$E63,0)</f>
        <v>0</v>
      </c>
      <c r="AP63" s="212" t="b">
        <f>IF(AO63=0,FALSE,IF(COUNTIF(AO$7:AO63,AO63)&gt;1,TRUE,FALSE))</f>
        <v>0</v>
      </c>
      <c r="AQ63" s="212">
        <f t="shared" ref="AQ63" si="632">IF(COUNTIF(Y63,"*七種競技*")&gt;0,E63,0)</f>
        <v>0</v>
      </c>
      <c r="AR63" s="212" t="b">
        <f t="shared" si="6"/>
        <v>0</v>
      </c>
      <c r="AS63" s="212" t="b">
        <f t="shared" ref="AS63" si="633">IF(AND(C63="",E63&lt;&gt;"",F63&lt;&gt;"",E65&lt;&gt;"",G63&lt;&gt;"",G64&lt;&gt;"",G65&lt;&gt;""),TRUE,FALSE)</f>
        <v>0</v>
      </c>
      <c r="AT63" s="212" t="b">
        <f t="shared" si="9"/>
        <v>0</v>
      </c>
      <c r="AU63" s="212" t="b">
        <f>IFERROR(IF(E63&amp;F63&amp;E65&amp;G63&amp;G64&amp;G65&amp;J63&amp;J64&amp;J65&amp;J66&amp;L63&amp;L64&amp;L65&amp;L66&amp;M63&amp;M64&amp;M65&amp;M66&amp;P63&amp;P64&amp;P65&amp;P66&amp;Q63&amp;R63="",FALSE,TRUE),FALSE)</f>
        <v>0</v>
      </c>
      <c r="AV63" s="212" t="b">
        <f t="shared" ref="AV63" si="634">IF(AS63,FALSE,IF(C63="",AU63,FALSE))</f>
        <v>0</v>
      </c>
      <c r="AW63" s="212" t="b">
        <f t="shared" ref="AW63" si="635">IF(C63="",FALSE,IF(C63&lt;=2000,TRUE,FALSE))</f>
        <v>0</v>
      </c>
      <c r="AX63" s="274" t="b">
        <f>IF(H63=0,FALSE,IF(EXACT(基本情報!$E$5,H63)=TRUE,FALSE,TRUE))</f>
        <v>0</v>
      </c>
      <c r="AY63" s="212" t="b">
        <f>IF(C63="",FALSE,IF(ISNA(E63)=TRUE,TRUE,FALSE))</f>
        <v>0</v>
      </c>
      <c r="AZ63" s="274" t="b">
        <f>IFERROR(IF(E63="",FALSE,IF(COUNTIF($E$7:E63,E63)&gt;1,TRUE,FALSE)),FALSE)</f>
        <v>0</v>
      </c>
      <c r="BA63" s="212" t="b">
        <f t="shared" ref="BA63" si="636">IF(OR(J63&amp;J64&amp;J65&amp;J66&amp;Q63&amp;R63="",AT63,AT64,AT65,AT66),AU63,FALSE)</f>
        <v>0</v>
      </c>
      <c r="BB63" s="212" t="b">
        <f>IF(U63&gt;1,TRUE,FALSE)</f>
        <v>0</v>
      </c>
      <c r="BC63" s="212" t="b">
        <f>IF(X63&gt;1,TRUE,FALSE)</f>
        <v>0</v>
      </c>
      <c r="BD63" s="212" t="b">
        <f t="shared" si="4"/>
        <v>0</v>
      </c>
      <c r="BF63" s="212" t="b">
        <f t="shared" ref="BF63" si="637">IF(J63="",FALSE,IF(OR(AND(AU63,L63=""),AND(AU63,L63="",OR(M63&lt;&gt;"",N63&lt;&gt;"",O63&lt;&gt;"",P63&lt;&gt;""))),TRUE,FALSE))</f>
        <v>0</v>
      </c>
      <c r="BG63" s="212" t="b">
        <f t="shared" si="5"/>
        <v>0</v>
      </c>
      <c r="BH63" s="212" t="b">
        <f t="shared" si="7"/>
        <v>0</v>
      </c>
      <c r="BI63" s="212" t="b">
        <f t="shared" ref="BI63" si="638">IF(J63="",FALSE,IF(L63=0,FALSE,IF(AND(AU63,NOT(BF63),OR(M63="",N63="",O63="")),TRUE,FALSE)))</f>
        <v>0</v>
      </c>
      <c r="BJ63" s="231" t="b">
        <f t="shared" si="8"/>
        <v>0</v>
      </c>
      <c r="BK63" s="231" t="b">
        <f>IF(NOT(BJ63),FALSE,IF(AND(競技会設定!$C$5&lt;=BJ63,BJ63&lt;=競技会設定!$C$6),FALSE,TRUE))</f>
        <v>0</v>
      </c>
      <c r="BL63" s="212" t="b">
        <f>IF(J63="",FALSE,IF(L63=0,FALSE,IF(AND(AU63,NOT(BF63),NOT(BI63),P63=""),TRUE,FALSE)))</f>
        <v>0</v>
      </c>
      <c r="BO63" s="274">
        <f t="shared" ref="BO63" si="639">IF(AND(AU63,SUM(COUNTIF(AV63:BC63,TRUE),COUNTIF(BF63:BL66,TRUE),COUNTIF(BD63:BD66,TRUE))=0,NOT($BE$7)),1,0)</f>
        <v>0</v>
      </c>
    </row>
    <row r="64" spans="1:67" ht="17.399999999999999" customHeight="1">
      <c r="A64" s="471"/>
      <c r="B64" s="402"/>
      <c r="C64" s="404"/>
      <c r="D64" s="11"/>
      <c r="E64" s="474"/>
      <c r="F64" s="474"/>
      <c r="G64" s="11" t="str">
        <f>IF(C63="","",(VLOOKUP(D63,女子登録!$A$2:$N$2001,13,0)))</f>
        <v/>
      </c>
      <c r="H64" s="11"/>
      <c r="I64" s="11" t="s">
        <v>7061</v>
      </c>
      <c r="J64" s="171"/>
      <c r="K64" s="11" t="s">
        <v>7062</v>
      </c>
      <c r="L64" s="171"/>
      <c r="M64" s="255"/>
      <c r="N64" s="256"/>
      <c r="O64" s="257"/>
      <c r="P64" s="171"/>
      <c r="Q64" s="458"/>
      <c r="R64" s="415"/>
      <c r="S64" s="136"/>
      <c r="T64" s="137"/>
      <c r="U64" s="137"/>
      <c r="V64" s="137"/>
      <c r="W64" s="137"/>
      <c r="X64" s="137"/>
      <c r="Y64" s="212">
        <f t="shared" ref="Y64" si="640">IF(OR(E63="",J64=""),0,J64&amp;E63)</f>
        <v>0</v>
      </c>
      <c r="Z64" s="212">
        <f>IF(Y64=0,0,COUNTIF($Y$7:Y64,Y64))</f>
        <v>0</v>
      </c>
      <c r="AD64" s="212">
        <f>IFERROR(VLOOKUP(J64,競技会設定!$T$2:$W$22,2,0),0)</f>
        <v>0</v>
      </c>
      <c r="AE64" s="212">
        <f t="shared" ref="AE64" si="641">IF(E63="",0,IF(AD64=0,0,IF(AD64&lt;3,E63&amp;$AE$6,0)))</f>
        <v>0</v>
      </c>
      <c r="AF64" s="212">
        <f>IF(AE64=0,0,E63&amp;COUNTIF($AE$7:AE64,AE64))</f>
        <v>0</v>
      </c>
      <c r="AG64" s="212">
        <f t="shared" ref="AG64" si="642">IF(E63="",0,IF(AD64=0,0,IF(AD64&gt;=3,E63&amp;$AG$6,0)))</f>
        <v>0</v>
      </c>
      <c r="AH64" s="212">
        <f>IF(AG64=0,0,E63&amp;COUNTIF($AG$7:AG64,AG64))</f>
        <v>0</v>
      </c>
      <c r="AI64" s="212">
        <f t="shared" ref="AI64" si="643">IF($AD64=AI$6,$E63,0)</f>
        <v>0</v>
      </c>
      <c r="AJ64" s="212" t="b">
        <f>IF(AI64=0,FALSE,IF(COUNTIF(AI$7:AI64,AI64)&gt;1,TRUE,FALSE))</f>
        <v>0</v>
      </c>
      <c r="AK64" s="212">
        <f t="shared" ref="AK64" si="644">IF($AD64=AK$6,$E63,0)</f>
        <v>0</v>
      </c>
      <c r="AL64" s="212" t="b">
        <f>IF(AK64=0,FALSE,IF(COUNTIF(AK$7:AK64,AK64)&gt;1,TRUE,FALSE))</f>
        <v>0</v>
      </c>
      <c r="AM64" s="212">
        <f t="shared" ref="AM64" si="645">IF(COUNTIF(Y64,"*七種*")&gt;0,0,IF($AD64=AM$6,$E63,0))</f>
        <v>0</v>
      </c>
      <c r="AN64" s="212" t="b">
        <f>IF(AM64=0,FALSE,IF(COUNTIF(AM$7:AM64,AM64)&gt;1,TRUE,FALSE))</f>
        <v>0</v>
      </c>
      <c r="AO64" s="212">
        <f t="shared" ref="AO64" si="646">IF($AD64=AO$6,$E63,0)</f>
        <v>0</v>
      </c>
      <c r="AP64" s="212" t="b">
        <f>IF(AO64=0,FALSE,IF(COUNTIF(AO$7:AO64,AO64)&gt;1,TRUE,FALSE))</f>
        <v>0</v>
      </c>
      <c r="AQ64" s="212">
        <f t="shared" ref="AQ64" si="647">IF(COUNTIF(Y64,"*七種競技*")&gt;0,E63,0)</f>
        <v>0</v>
      </c>
      <c r="AR64" s="212" t="b">
        <f t="shared" si="6"/>
        <v>0</v>
      </c>
      <c r="AT64" s="212" t="b">
        <f t="shared" si="9"/>
        <v>0</v>
      </c>
      <c r="AX64" s="274"/>
      <c r="BD64" s="212" t="b">
        <f t="shared" si="4"/>
        <v>0</v>
      </c>
      <c r="BF64" s="212" t="b">
        <f t="shared" ref="BF64" si="648">IF(J64="",FALSE,IF(OR(AND(AU63,L64=""),AND(AU63,L64="",OR(M64&lt;&gt;"",N64&lt;&gt;"",O64&lt;&gt;"",P64&lt;&gt;""))),TRUE,FALSE))</f>
        <v>0</v>
      </c>
      <c r="BG64" s="212" t="b">
        <f t="shared" si="5"/>
        <v>0</v>
      </c>
      <c r="BH64" s="212" t="b">
        <f t="shared" si="7"/>
        <v>0</v>
      </c>
      <c r="BI64" s="212" t="b">
        <f t="shared" ref="BI64" si="649">IF(J64="",FALSE,IF(L64=0,FALSE,IF(AND(AU63,NOT(BF64),OR(M64="",N64="",O64="")),TRUE,FALSE)))</f>
        <v>0</v>
      </c>
      <c r="BJ64" s="231" t="b">
        <f t="shared" si="8"/>
        <v>0</v>
      </c>
      <c r="BK64" s="231" t="b">
        <f>IF(NOT(BJ64),FALSE,IF(AND(競技会設定!$C$5&lt;=BJ64,BJ64&lt;=競技会設定!$C$6),FALSE,TRUE))</f>
        <v>0</v>
      </c>
      <c r="BL64" s="212" t="b">
        <f>IF(J64="",FALSE,IF(L64=0,FALSE,IF(AND(AU63,NOT(BF64),NOT(BI64),P64=""),TRUE,FALSE)))</f>
        <v>0</v>
      </c>
    </row>
    <row r="65" spans="1:67" ht="17.399999999999999" customHeight="1">
      <c r="A65" s="471"/>
      <c r="B65" s="402"/>
      <c r="C65" s="404"/>
      <c r="D65" s="11"/>
      <c r="E65" s="348" t="str">
        <f>IF(C63="","",VLOOKUP(D63,女子登録!$A$2:$O$2001,14,0)&amp;" ("&amp;VLOOKUP(D63,女子登録!$A$2:$O$2001,15,0)&amp;")")</f>
        <v/>
      </c>
      <c r="F65" s="348"/>
      <c r="G65" s="13" t="str">
        <f>IF(C63="","",(VLOOKUP(D63,女子登録!$A$2:$N$2001,9,0)))</f>
        <v/>
      </c>
      <c r="H65" s="13"/>
      <c r="I65" s="13" t="s">
        <v>7063</v>
      </c>
      <c r="J65" s="172"/>
      <c r="K65" s="13" t="s">
        <v>7064</v>
      </c>
      <c r="L65" s="172"/>
      <c r="M65" s="255"/>
      <c r="N65" s="256"/>
      <c r="O65" s="257"/>
      <c r="P65" s="171"/>
      <c r="Q65" s="458"/>
      <c r="R65" s="415"/>
      <c r="S65" s="136"/>
      <c r="T65" s="137"/>
      <c r="U65" s="137"/>
      <c r="V65" s="137"/>
      <c r="W65" s="137"/>
      <c r="X65" s="137"/>
      <c r="Y65" s="212">
        <f t="shared" ref="Y65" si="650">IF(OR(E63="",J65=""),0,J65&amp;E63)</f>
        <v>0</v>
      </c>
      <c r="Z65" s="212">
        <f>IF(Y65=0,0,COUNTIF($Y$7:Y65,Y65))</f>
        <v>0</v>
      </c>
      <c r="AD65" s="212">
        <f>IFERROR(VLOOKUP(J65,競技会設定!$T$2:$W$22,2,0),0)</f>
        <v>0</v>
      </c>
      <c r="AE65" s="212">
        <f t="shared" ref="AE65" si="651">IF(E63="",0,IF(AD65=0,0,IF(AD65&lt;3,E63&amp;$AE$6,0)))</f>
        <v>0</v>
      </c>
      <c r="AF65" s="212">
        <f>IF(AE65=0,0,E63&amp;COUNTIF($AE$7:AE65,AE65))</f>
        <v>0</v>
      </c>
      <c r="AG65" s="212">
        <f t="shared" ref="AG65" si="652">IF(E63="",0,IF(AD65=0,0,IF(AD65&gt;=3,E63&amp;$AG$6,0)))</f>
        <v>0</v>
      </c>
      <c r="AH65" s="212">
        <f>IF(AG65=0,0,E63&amp;COUNTIF($AG$7:AG65,AG65))</f>
        <v>0</v>
      </c>
      <c r="AI65" s="212">
        <f t="shared" ref="AI65" si="653">IF($AD65=AI$6,$E63,0)</f>
        <v>0</v>
      </c>
      <c r="AJ65" s="212" t="b">
        <f>IF(AI65=0,FALSE,IF(COUNTIF(AI$7:AI65,AI65)&gt;1,TRUE,FALSE))</f>
        <v>0</v>
      </c>
      <c r="AK65" s="212">
        <f t="shared" ref="AK65" si="654">IF($AD65=AK$6,$E63,0)</f>
        <v>0</v>
      </c>
      <c r="AL65" s="212" t="b">
        <f>IF(AK65=0,FALSE,IF(COUNTIF(AK$7:AK65,AK65)&gt;1,TRUE,FALSE))</f>
        <v>0</v>
      </c>
      <c r="AM65" s="212">
        <f t="shared" ref="AM65" si="655">IF(COUNTIF(Y65,"*七種*")&gt;0,0,IF($AD65=AM$6,$E63,0))</f>
        <v>0</v>
      </c>
      <c r="AN65" s="212" t="b">
        <f>IF(AM65=0,FALSE,IF(COUNTIF(AM$7:AM65,AM65)&gt;1,TRUE,FALSE))</f>
        <v>0</v>
      </c>
      <c r="AO65" s="212">
        <f t="shared" ref="AO65" si="656">IF($AD65=AO$6,$E63,0)</f>
        <v>0</v>
      </c>
      <c r="AP65" s="212" t="b">
        <f>IF(AO65=0,FALSE,IF(COUNTIF(AO$7:AO65,AO65)&gt;1,TRUE,FALSE))</f>
        <v>0</v>
      </c>
      <c r="AQ65" s="212">
        <f t="shared" ref="AQ65" si="657">IF(COUNTIF(Y65,"*七種競技*")&gt;0,E63,0)</f>
        <v>0</v>
      </c>
      <c r="AR65" s="212" t="b">
        <f t="shared" si="6"/>
        <v>0</v>
      </c>
      <c r="AT65" s="212" t="b">
        <f t="shared" si="9"/>
        <v>0</v>
      </c>
      <c r="AX65" s="274"/>
      <c r="BD65" s="212" t="b">
        <f t="shared" si="4"/>
        <v>0</v>
      </c>
      <c r="BF65" s="212" t="b">
        <f t="shared" ref="BF65" si="658">IF(J65="",FALSE,IF(OR(AND(AU63,L65=""),AND(AU63,L65="",OR(M65&lt;&gt;"",N65&lt;&gt;"",O65&lt;&gt;"",P65&lt;&gt;""))),TRUE,FALSE))</f>
        <v>0</v>
      </c>
      <c r="BG65" s="212" t="b">
        <f t="shared" si="5"/>
        <v>0</v>
      </c>
      <c r="BH65" s="212" t="b">
        <f t="shared" si="7"/>
        <v>0</v>
      </c>
      <c r="BI65" s="212" t="b">
        <f t="shared" ref="BI65" si="659">IF(J65="",FALSE,IF(L65=0,FALSE,IF(AND(AU63,NOT(BF65),OR(M65="",N65="",O65="")),TRUE,FALSE)))</f>
        <v>0</v>
      </c>
      <c r="BJ65" s="231" t="b">
        <f t="shared" si="8"/>
        <v>0</v>
      </c>
      <c r="BK65" s="231" t="b">
        <f>IF(NOT(BJ65),FALSE,IF(AND(競技会設定!$C$5&lt;=BJ65,BJ65&lt;=競技会設定!$C$6),FALSE,TRUE))</f>
        <v>0</v>
      </c>
      <c r="BL65" s="212" t="b">
        <f>IF(J65="",FALSE,IF(L65=0,FALSE,IF(AND(AU63,NOT(BF65),NOT(BI65),P65=""),TRUE,FALSE)))</f>
        <v>0</v>
      </c>
    </row>
    <row r="66" spans="1:67" ht="18" customHeight="1" thickBot="1">
      <c r="A66" s="472"/>
      <c r="B66" s="395" t="s">
        <v>7051</v>
      </c>
      <c r="C66" s="395"/>
      <c r="D66" s="11"/>
      <c r="E66" s="460"/>
      <c r="F66" s="460"/>
      <c r="G66" s="460"/>
      <c r="H66" s="157"/>
      <c r="I66" s="157" t="s">
        <v>7065</v>
      </c>
      <c r="J66" s="173"/>
      <c r="K66" s="157" t="s">
        <v>7066</v>
      </c>
      <c r="L66" s="173"/>
      <c r="M66" s="258"/>
      <c r="N66" s="259"/>
      <c r="O66" s="260"/>
      <c r="P66" s="173"/>
      <c r="Q66" s="459"/>
      <c r="R66" s="416"/>
      <c r="S66" s="136"/>
      <c r="T66" s="137"/>
      <c r="U66" s="137"/>
      <c r="V66" s="137"/>
      <c r="W66" s="137"/>
      <c r="X66" s="137"/>
      <c r="Y66" s="212">
        <f t="shared" ref="Y66" si="660">IF(OR(E63="",J66=""),0,J66&amp;E63)</f>
        <v>0</v>
      </c>
      <c r="Z66" s="212">
        <f>IF(Y66=0,0,COUNTIF($Y$7:Y66,Y66))</f>
        <v>0</v>
      </c>
      <c r="AD66" s="212">
        <f>IFERROR(VLOOKUP(J66,競技会設定!$T$2:$W$22,2,0),0)</f>
        <v>0</v>
      </c>
      <c r="AE66" s="212">
        <f t="shared" ref="AE66" si="661">IF(E63="",0,IF(AD66=0,0,IF(AD66&lt;3,E63&amp;$AE$6,0)))</f>
        <v>0</v>
      </c>
      <c r="AF66" s="212">
        <f>IF(AE66=0,0,E63&amp;COUNTIF($AE$7:AE66,AE66))</f>
        <v>0</v>
      </c>
      <c r="AG66" s="212">
        <f t="shared" ref="AG66" si="662">IF(E63="",0,IF(AD66=0,0,IF(AD66&gt;=3,E63&amp;$AG$6,0)))</f>
        <v>0</v>
      </c>
      <c r="AH66" s="212">
        <f>IF(AG66=0,0,E63&amp;COUNTIF($AG$7:AG66,AG66))</f>
        <v>0</v>
      </c>
      <c r="AI66" s="212">
        <f t="shared" ref="AI66" si="663">IF($AD66=AI$6,$E63,0)</f>
        <v>0</v>
      </c>
      <c r="AJ66" s="212" t="b">
        <f>IF(AI66=0,FALSE,IF(COUNTIF(AI$7:AI66,AI66)&gt;1,TRUE,FALSE))</f>
        <v>0</v>
      </c>
      <c r="AK66" s="212">
        <f t="shared" ref="AK66" si="664">IF($AD66=AK$6,$E63,0)</f>
        <v>0</v>
      </c>
      <c r="AL66" s="212" t="b">
        <f>IF(AK66=0,FALSE,IF(COUNTIF(AK$7:AK66,AK66)&gt;1,TRUE,FALSE))</f>
        <v>0</v>
      </c>
      <c r="AM66" s="212">
        <f t="shared" ref="AM66" si="665">IF(COUNTIF(Y66,"*七種*")&gt;0,0,IF($AD66=AM$6,$E63,0))</f>
        <v>0</v>
      </c>
      <c r="AN66" s="212" t="b">
        <f>IF(AM66=0,FALSE,IF(COUNTIF(AM$7:AM66,AM66)&gt;1,TRUE,FALSE))</f>
        <v>0</v>
      </c>
      <c r="AO66" s="212">
        <f t="shared" ref="AO66" si="666">IF($AD66=AO$6,$E63,0)</f>
        <v>0</v>
      </c>
      <c r="AP66" s="212" t="b">
        <f>IF(AO66=0,FALSE,IF(COUNTIF(AO$7:AO66,AO66)&gt;1,TRUE,FALSE))</f>
        <v>0</v>
      </c>
      <c r="AQ66" s="212">
        <f t="shared" ref="AQ66" si="667">IF(COUNTIF(Y66,"*七種競技*")&gt;0,E63,0)</f>
        <v>0</v>
      </c>
      <c r="AR66" s="212" t="b">
        <f t="shared" si="6"/>
        <v>0</v>
      </c>
      <c r="AT66" s="212" t="b">
        <f t="shared" si="9"/>
        <v>0</v>
      </c>
      <c r="AX66" s="274"/>
      <c r="BD66" s="212" t="b">
        <f t="shared" si="4"/>
        <v>0</v>
      </c>
      <c r="BF66" s="212" t="b">
        <f t="shared" ref="BF66" si="668">IF(J66="",FALSE,IF(OR(AND(AU63,L66=""),AND(AU63,L66="",OR(M66&lt;&gt;"",N66&lt;&gt;"",O66&lt;&gt;"",P66&lt;&gt;""))),TRUE,FALSE))</f>
        <v>0</v>
      </c>
      <c r="BG66" s="212" t="b">
        <f t="shared" si="5"/>
        <v>0</v>
      </c>
      <c r="BH66" s="212" t="b">
        <f t="shared" si="7"/>
        <v>0</v>
      </c>
      <c r="BI66" s="212" t="b">
        <f t="shared" ref="BI66" si="669">IF(J66="",FALSE,IF(L66=0,FALSE,IF(AND(AU63,NOT(BF66),OR(M66="",N66="",O66="")),TRUE,FALSE)))</f>
        <v>0</v>
      </c>
      <c r="BJ66" s="231" t="b">
        <f t="shared" si="8"/>
        <v>0</v>
      </c>
      <c r="BK66" s="231" t="b">
        <f>IF(NOT(BJ66),FALSE,IF(AND(競技会設定!$C$5&lt;=BJ66,BJ66&lt;=競技会設定!$C$6),FALSE,TRUE))</f>
        <v>0</v>
      </c>
      <c r="BL66" s="212" t="b">
        <f>IF(J66="",FALSE,IF(L66=0,FALSE,IF(AND(AU63,NOT(BF66),NOT(BI66),P66=""),TRUE,FALSE)))</f>
        <v>0</v>
      </c>
    </row>
    <row r="67" spans="1:67" ht="18" customHeight="1" thickTop="1">
      <c r="A67" s="461">
        <v>16</v>
      </c>
      <c r="B67" s="373" t="s">
        <v>7050</v>
      </c>
      <c r="C67" s="375"/>
      <c r="D67" s="158" t="str">
        <f t="shared" ref="D67" si="670">IF(C67="","",502&amp;TEXT(C67,"000000"))</f>
        <v/>
      </c>
      <c r="E67" s="464" t="str">
        <f>IF(D67="","",(VLOOKUP(D67,女子登録!$A$2:$N$2001,3,0)))</f>
        <v/>
      </c>
      <c r="F67" s="464" t="str">
        <f>IF(D67="","",(VLOOKUP(D67,女子登録!$A$2:$N$2001,4,0)))</f>
        <v/>
      </c>
      <c r="G67" s="158" t="str">
        <f>IF(C67="","",(VLOOKUP(D67,女子登録!$A$2:$N$2001,8,0)))</f>
        <v/>
      </c>
      <c r="H67" s="158">
        <f>IFERROR(VLOOKUP(D67,女子登録!$A$2:$N$2001,11,0),基本情報!$E$5)</f>
        <v>0</v>
      </c>
      <c r="I67" s="158" t="s">
        <v>7059</v>
      </c>
      <c r="J67" s="174"/>
      <c r="K67" s="158" t="s">
        <v>7060</v>
      </c>
      <c r="L67" s="174"/>
      <c r="M67" s="261"/>
      <c r="N67" s="262"/>
      <c r="O67" s="263"/>
      <c r="P67" s="174"/>
      <c r="Q67" s="448"/>
      <c r="R67" s="408"/>
      <c r="S67" s="136">
        <f t="shared" ref="S67" si="671">IF(OR(E67="",Q67=""),0,E67)</f>
        <v>0</v>
      </c>
      <c r="T67" s="137">
        <f>IF(S67=0,0,COUNTIF($S$7:S67,"*"))</f>
        <v>0</v>
      </c>
      <c r="U67" s="137">
        <f>IF(S67=0,0,COUNTIF($S$7:S67,S67))</f>
        <v>0</v>
      </c>
      <c r="V67" s="137">
        <f t="shared" si="201"/>
        <v>0</v>
      </c>
      <c r="W67" s="137">
        <f>IF(V67=0,0,COUNTIF($V$7:V67,"*"))</f>
        <v>0</v>
      </c>
      <c r="X67" s="137">
        <f>IF(V67=0,0,COUNTIF($V$7:V67,V67))</f>
        <v>0</v>
      </c>
      <c r="Y67" s="212">
        <f t="shared" ref="Y67" si="672">IF(OR(E67="",J67=""),0,J67&amp;E67)</f>
        <v>0</v>
      </c>
      <c r="Z67" s="212">
        <f>IF(Y67=0,0,COUNTIF($Y$7:Y67,Y67))</f>
        <v>0</v>
      </c>
      <c r="AA67" s="212" t="b">
        <f>IF(COUNTIF(J67:J70,"七種競技")&gt;0,TRUE,FALSE)</f>
        <v>0</v>
      </c>
      <c r="AB67" s="212">
        <f>IF(E67="",0,IF(AA67,COUNTIF($AA$7:AA67,TRUE),0))</f>
        <v>0</v>
      </c>
      <c r="AC67" s="212">
        <f>IFERROR(VLOOKUP("七種競技",J67:L70,3,0),0)</f>
        <v>0</v>
      </c>
      <c r="AD67" s="212">
        <f>IFERROR(VLOOKUP(J67,競技会設定!$T$2:$W$22,2,0),0)</f>
        <v>0</v>
      </c>
      <c r="AE67" s="212">
        <f t="shared" ref="AE67" si="673">IF(E67="",0,IF(AD67=0,0,IF(AD67&lt;3,E67&amp;$AE$6,0)))</f>
        <v>0</v>
      </c>
      <c r="AF67" s="212">
        <f>IF(AE67=0,0,E67&amp;COUNTIF($AE$7:AE67,AE67))</f>
        <v>0</v>
      </c>
      <c r="AG67" s="212">
        <f t="shared" ref="AG67" si="674">IF(E67="",0,IF(AD67=0,0,IF(AD67&gt;=3,E67&amp;$AG$6,0)))</f>
        <v>0</v>
      </c>
      <c r="AH67" s="212">
        <f>IF(AG67=0,0,E67&amp;COUNTIF($AG$7:AG67,AG67))</f>
        <v>0</v>
      </c>
      <c r="AI67" s="212">
        <f t="shared" ref="AI67" si="675">IF($AD67=AI$6,$E67,0)</f>
        <v>0</v>
      </c>
      <c r="AJ67" s="212" t="b">
        <f>IF(AI67=0,FALSE,IF(COUNTIF(AI$7:AI67,AI67)&gt;1,TRUE,FALSE))</f>
        <v>0</v>
      </c>
      <c r="AK67" s="212">
        <f t="shared" ref="AK67" si="676">IF($AD67=AK$6,$E67,0)</f>
        <v>0</v>
      </c>
      <c r="AL67" s="212" t="b">
        <f>IF(AK67=0,FALSE,IF(COUNTIF(AK$7:AK67,AK67)&gt;1,TRUE,FALSE))</f>
        <v>0</v>
      </c>
      <c r="AM67" s="212">
        <f t="shared" ref="AM67" si="677">IF(COUNTIF(Y67,"*七種*")&gt;0,0,IF($AD67=AM$6,$E67,0))</f>
        <v>0</v>
      </c>
      <c r="AN67" s="212" t="b">
        <f>IF(AM67=0,FALSE,IF(COUNTIF(AM$7:AM67,AM67)&gt;1,TRUE,FALSE))</f>
        <v>0</v>
      </c>
      <c r="AO67" s="212">
        <f t="shared" ref="AO67" si="678">IF($AD67=AO$6,$E67,0)</f>
        <v>0</v>
      </c>
      <c r="AP67" s="212" t="b">
        <f>IF(AO67=0,FALSE,IF(COUNTIF(AO$7:AO67,AO67)&gt;1,TRUE,FALSE))</f>
        <v>0</v>
      </c>
      <c r="AQ67" s="212">
        <f t="shared" ref="AQ67" si="679">IF(COUNTIF(Y67,"*七種競技*")&gt;0,E67,0)</f>
        <v>0</v>
      </c>
      <c r="AR67" s="212" t="b">
        <f t="shared" si="6"/>
        <v>0</v>
      </c>
      <c r="AS67" s="212" t="b">
        <f t="shared" ref="AS67" si="680">IF(AND(C67="",E67&lt;&gt;"",F67&lt;&gt;"",E69&lt;&gt;"",G67&lt;&gt;"",G68&lt;&gt;"",G69&lt;&gt;""),TRUE,FALSE)</f>
        <v>0</v>
      </c>
      <c r="AT67" s="212" t="b">
        <f t="shared" si="9"/>
        <v>0</v>
      </c>
      <c r="AU67" s="212" t="b">
        <f>IFERROR(IF(E67&amp;F67&amp;E69&amp;G67&amp;G68&amp;G69&amp;J67&amp;J68&amp;J69&amp;J70&amp;L67&amp;L68&amp;L69&amp;L70&amp;M67&amp;M68&amp;M69&amp;M70&amp;P67&amp;P68&amp;P69&amp;P70&amp;Q67&amp;R67="",FALSE,TRUE),FALSE)</f>
        <v>0</v>
      </c>
      <c r="AV67" s="212" t="b">
        <f t="shared" ref="AV67" si="681">IF(AS67,FALSE,IF(C67="",AU67,FALSE))</f>
        <v>0</v>
      </c>
      <c r="AW67" s="212" t="b">
        <f t="shared" ref="AW67" si="682">IF(C67="",FALSE,IF(C67&lt;=2000,TRUE,FALSE))</f>
        <v>0</v>
      </c>
      <c r="AX67" s="274" t="b">
        <f>IF(H67=0,FALSE,IF(EXACT(基本情報!$E$5,H67)=TRUE,FALSE,TRUE))</f>
        <v>0</v>
      </c>
      <c r="AY67" s="212" t="b">
        <f>IF(C67="",FALSE,IF(ISNA(E67)=TRUE,TRUE,FALSE))</f>
        <v>0</v>
      </c>
      <c r="AZ67" s="274" t="b">
        <f>IFERROR(IF(E67="",FALSE,IF(COUNTIF($E$7:E67,E67)&gt;1,TRUE,FALSE)),FALSE)</f>
        <v>0</v>
      </c>
      <c r="BA67" s="212" t="b">
        <f t="shared" ref="BA67" si="683">IF(OR(J67&amp;J68&amp;J69&amp;J70&amp;Q67&amp;R67="",AT67,AT68,AT69,AT70),AU67,FALSE)</f>
        <v>0</v>
      </c>
      <c r="BB67" s="212" t="b">
        <f>IF(U67&gt;1,TRUE,FALSE)</f>
        <v>0</v>
      </c>
      <c r="BC67" s="212" t="b">
        <f>IF(X67&gt;1,TRUE,FALSE)</f>
        <v>0</v>
      </c>
      <c r="BD67" s="212" t="b">
        <f t="shared" si="4"/>
        <v>0</v>
      </c>
      <c r="BF67" s="212" t="b">
        <f t="shared" ref="BF67" si="684">IF(J67="",FALSE,IF(OR(AND(AU67,L67=""),AND(AU67,L67="",OR(M67&lt;&gt;"",N67&lt;&gt;"",O67&lt;&gt;"",P67&lt;&gt;""))),TRUE,FALSE))</f>
        <v>0</v>
      </c>
      <c r="BG67" s="212" t="b">
        <f t="shared" si="5"/>
        <v>0</v>
      </c>
      <c r="BH67" s="212" t="b">
        <f t="shared" si="7"/>
        <v>0</v>
      </c>
      <c r="BI67" s="212" t="b">
        <f t="shared" ref="BI67" si="685">IF(J67="",FALSE,IF(L67=0,FALSE,IF(AND(AU67,NOT(BF67),OR(M67="",N67="",O67="")),TRUE,FALSE)))</f>
        <v>0</v>
      </c>
      <c r="BJ67" s="231" t="b">
        <f t="shared" si="8"/>
        <v>0</v>
      </c>
      <c r="BK67" s="231" t="b">
        <f>IF(NOT(BJ67),FALSE,IF(AND(競技会設定!$C$5&lt;=BJ67,BJ67&lt;=競技会設定!$C$6),FALSE,TRUE))</f>
        <v>0</v>
      </c>
      <c r="BL67" s="212" t="b">
        <f>IF(J67="",FALSE,IF(L67=0,FALSE,IF(AND(AU67,NOT(BF67),NOT(BI67),P67=""),TRUE,FALSE)))</f>
        <v>0</v>
      </c>
      <c r="BO67" s="274">
        <f t="shared" ref="BO67" si="686">IF(AND(AU67,SUM(COUNTIF(AV67:BC67,TRUE),COUNTIF(BF67:BL70,TRUE),COUNTIF(BD67:BD70,TRUE))=0,NOT($BE$7)),1,0)</f>
        <v>0</v>
      </c>
    </row>
    <row r="68" spans="1:67" ht="17.399999999999999" customHeight="1">
      <c r="A68" s="462"/>
      <c r="B68" s="374"/>
      <c r="C68" s="376"/>
      <c r="D68" s="159"/>
      <c r="E68" s="465"/>
      <c r="F68" s="465"/>
      <c r="G68" s="159" t="str">
        <f>IF(C67="","",(VLOOKUP(D67,女子登録!$A$2:$N$2001,13,0)))</f>
        <v/>
      </c>
      <c r="H68" s="159"/>
      <c r="I68" s="159" t="s">
        <v>7061</v>
      </c>
      <c r="J68" s="175"/>
      <c r="K68" s="159" t="s">
        <v>7062</v>
      </c>
      <c r="L68" s="175"/>
      <c r="M68" s="264"/>
      <c r="N68" s="265"/>
      <c r="O68" s="266"/>
      <c r="P68" s="175"/>
      <c r="Q68" s="449"/>
      <c r="R68" s="409"/>
      <c r="S68" s="136"/>
      <c r="T68" s="137"/>
      <c r="U68" s="137"/>
      <c r="V68" s="137"/>
      <c r="W68" s="137"/>
      <c r="X68" s="137"/>
      <c r="Y68" s="212">
        <f t="shared" ref="Y68" si="687">IF(OR(E67="",J68=""),0,J68&amp;E67)</f>
        <v>0</v>
      </c>
      <c r="Z68" s="212">
        <f>IF(Y68=0,0,COUNTIF($Y$7:Y68,Y68))</f>
        <v>0</v>
      </c>
      <c r="AD68" s="212">
        <f>IFERROR(VLOOKUP(J68,競技会設定!$T$2:$W$22,2,0),0)</f>
        <v>0</v>
      </c>
      <c r="AE68" s="212">
        <f t="shared" ref="AE68" si="688">IF(E67="",0,IF(AD68=0,0,IF(AD68&lt;3,E67&amp;$AE$6,0)))</f>
        <v>0</v>
      </c>
      <c r="AF68" s="212">
        <f>IF(AE68=0,0,E67&amp;COUNTIF($AE$7:AE68,AE68))</f>
        <v>0</v>
      </c>
      <c r="AG68" s="212">
        <f t="shared" ref="AG68" si="689">IF(E67="",0,IF(AD68=0,0,IF(AD68&gt;=3,E67&amp;$AG$6,0)))</f>
        <v>0</v>
      </c>
      <c r="AH68" s="212">
        <f>IF(AG68=0,0,E67&amp;COUNTIF($AG$7:AG68,AG68))</f>
        <v>0</v>
      </c>
      <c r="AI68" s="212">
        <f t="shared" ref="AI68" si="690">IF($AD68=AI$6,$E67,0)</f>
        <v>0</v>
      </c>
      <c r="AJ68" s="212" t="b">
        <f>IF(AI68=0,FALSE,IF(COUNTIF(AI$7:AI68,AI68)&gt;1,TRUE,FALSE))</f>
        <v>0</v>
      </c>
      <c r="AK68" s="212">
        <f t="shared" ref="AK68" si="691">IF($AD68=AK$6,$E67,0)</f>
        <v>0</v>
      </c>
      <c r="AL68" s="212" t="b">
        <f>IF(AK68=0,FALSE,IF(COUNTIF(AK$7:AK68,AK68)&gt;1,TRUE,FALSE))</f>
        <v>0</v>
      </c>
      <c r="AM68" s="212">
        <f t="shared" ref="AM68" si="692">IF(COUNTIF(Y68,"*七種*")&gt;0,0,IF($AD68=AM$6,$E67,0))</f>
        <v>0</v>
      </c>
      <c r="AN68" s="212" t="b">
        <f>IF(AM68=0,FALSE,IF(COUNTIF(AM$7:AM68,AM68)&gt;1,TRUE,FALSE))</f>
        <v>0</v>
      </c>
      <c r="AO68" s="212">
        <f t="shared" ref="AO68" si="693">IF($AD68=AO$6,$E67,0)</f>
        <v>0</v>
      </c>
      <c r="AP68" s="212" t="b">
        <f>IF(AO68=0,FALSE,IF(COUNTIF(AO$7:AO68,AO68)&gt;1,TRUE,FALSE))</f>
        <v>0</v>
      </c>
      <c r="AQ68" s="212">
        <f t="shared" ref="AQ68" si="694">IF(COUNTIF(Y68,"*七種競技*")&gt;0,E67,0)</f>
        <v>0</v>
      </c>
      <c r="AR68" s="212" t="b">
        <f t="shared" si="6"/>
        <v>0</v>
      </c>
      <c r="AT68" s="212" t="b">
        <f t="shared" si="9"/>
        <v>0</v>
      </c>
      <c r="AX68" s="274"/>
      <c r="BD68" s="212" t="b">
        <f t="shared" si="4"/>
        <v>0</v>
      </c>
      <c r="BF68" s="212" t="b">
        <f t="shared" ref="BF68" si="695">IF(J68="",FALSE,IF(OR(AND(AU67,L68=""),AND(AU67,L68="",OR(M68&lt;&gt;"",N68&lt;&gt;"",O68&lt;&gt;"",P68&lt;&gt;""))),TRUE,FALSE))</f>
        <v>0</v>
      </c>
      <c r="BG68" s="212" t="b">
        <f t="shared" si="5"/>
        <v>0</v>
      </c>
      <c r="BH68" s="212" t="b">
        <f t="shared" si="7"/>
        <v>0</v>
      </c>
      <c r="BI68" s="212" t="b">
        <f t="shared" ref="BI68" si="696">IF(J68="",FALSE,IF(L68=0,FALSE,IF(AND(AU67,NOT(BF68),OR(M68="",N68="",O68="")),TRUE,FALSE)))</f>
        <v>0</v>
      </c>
      <c r="BJ68" s="231" t="b">
        <f t="shared" si="8"/>
        <v>0</v>
      </c>
      <c r="BK68" s="231" t="b">
        <f>IF(NOT(BJ68),FALSE,IF(AND(競技会設定!$C$5&lt;=BJ68,BJ68&lt;=競技会設定!$C$6),FALSE,TRUE))</f>
        <v>0</v>
      </c>
      <c r="BL68" s="212" t="b">
        <f>IF(J68="",FALSE,IF(L68=0,FALSE,IF(AND(AU67,NOT(BF68),NOT(BI68),P68=""),TRUE,FALSE)))</f>
        <v>0</v>
      </c>
    </row>
    <row r="69" spans="1:67" ht="17.399999999999999" customHeight="1">
      <c r="A69" s="462"/>
      <c r="B69" s="374"/>
      <c r="C69" s="376"/>
      <c r="D69" s="160"/>
      <c r="E69" s="452" t="str">
        <f>IF(C67="","",VLOOKUP(D67,女子登録!$A$2:$O$2001,14,0)&amp;" ("&amp;VLOOKUP(D67,女子登録!$A$2:$O$2001,15,0)&amp;")")</f>
        <v/>
      </c>
      <c r="F69" s="453"/>
      <c r="G69" s="160" t="str">
        <f>IF(C67="","",(VLOOKUP(D67,女子登録!$A$2:$N$2001,9,0)))</f>
        <v/>
      </c>
      <c r="H69" s="160"/>
      <c r="I69" s="160" t="s">
        <v>7063</v>
      </c>
      <c r="J69" s="176"/>
      <c r="K69" s="160" t="s">
        <v>7064</v>
      </c>
      <c r="L69" s="176"/>
      <c r="M69" s="264"/>
      <c r="N69" s="265"/>
      <c r="O69" s="266"/>
      <c r="P69" s="175"/>
      <c r="Q69" s="449"/>
      <c r="R69" s="409"/>
      <c r="S69" s="136"/>
      <c r="T69" s="137"/>
      <c r="U69" s="137"/>
      <c r="V69" s="137"/>
      <c r="W69" s="137"/>
      <c r="X69" s="137"/>
      <c r="Y69" s="212">
        <f t="shared" ref="Y69" si="697">IF(OR(E67="",J69=""),0,J69&amp;E67)</f>
        <v>0</v>
      </c>
      <c r="Z69" s="212">
        <f>IF(Y69=0,0,COUNTIF($Y$7:Y69,Y69))</f>
        <v>0</v>
      </c>
      <c r="AD69" s="212">
        <f>IFERROR(VLOOKUP(J69,競技会設定!$T$2:$W$22,2,0),0)</f>
        <v>0</v>
      </c>
      <c r="AE69" s="212">
        <f t="shared" ref="AE69" si="698">IF(E67="",0,IF(AD69=0,0,IF(AD69&lt;3,E67&amp;$AE$6,0)))</f>
        <v>0</v>
      </c>
      <c r="AF69" s="212">
        <f>IF(AE69=0,0,E67&amp;COUNTIF($AE$7:AE69,AE69))</f>
        <v>0</v>
      </c>
      <c r="AG69" s="212">
        <f t="shared" ref="AG69" si="699">IF(E67="",0,IF(AD69=0,0,IF(AD69&gt;=3,E67&amp;$AG$6,0)))</f>
        <v>0</v>
      </c>
      <c r="AH69" s="212">
        <f>IF(AG69=0,0,E67&amp;COUNTIF($AG$7:AG69,AG69))</f>
        <v>0</v>
      </c>
      <c r="AI69" s="212">
        <f t="shared" ref="AI69" si="700">IF($AD69=AI$6,$E67,0)</f>
        <v>0</v>
      </c>
      <c r="AJ69" s="212" t="b">
        <f>IF(AI69=0,FALSE,IF(COUNTIF(AI$7:AI69,AI69)&gt;1,TRUE,FALSE))</f>
        <v>0</v>
      </c>
      <c r="AK69" s="212">
        <f t="shared" ref="AK69" si="701">IF($AD69=AK$6,$E67,0)</f>
        <v>0</v>
      </c>
      <c r="AL69" s="212" t="b">
        <f>IF(AK69=0,FALSE,IF(COUNTIF(AK$7:AK69,AK69)&gt;1,TRUE,FALSE))</f>
        <v>0</v>
      </c>
      <c r="AM69" s="212">
        <f t="shared" ref="AM69" si="702">IF(COUNTIF(Y69,"*七種*")&gt;0,0,IF($AD69=AM$6,$E67,0))</f>
        <v>0</v>
      </c>
      <c r="AN69" s="212" t="b">
        <f>IF(AM69=0,FALSE,IF(COUNTIF(AM$7:AM69,AM69)&gt;1,TRUE,FALSE))</f>
        <v>0</v>
      </c>
      <c r="AO69" s="212">
        <f t="shared" ref="AO69" si="703">IF($AD69=AO$6,$E67,0)</f>
        <v>0</v>
      </c>
      <c r="AP69" s="212" t="b">
        <f>IF(AO69=0,FALSE,IF(COUNTIF(AO$7:AO69,AO69)&gt;1,TRUE,FALSE))</f>
        <v>0</v>
      </c>
      <c r="AQ69" s="212">
        <f t="shared" ref="AQ69" si="704">IF(COUNTIF(Y69,"*七種競技*")&gt;0,E67,0)</f>
        <v>0</v>
      </c>
      <c r="AR69" s="212" t="b">
        <f t="shared" si="6"/>
        <v>0</v>
      </c>
      <c r="AT69" s="212" t="b">
        <f t="shared" si="9"/>
        <v>0</v>
      </c>
      <c r="AX69" s="274"/>
      <c r="BD69" s="212" t="b">
        <f t="shared" si="4"/>
        <v>0</v>
      </c>
      <c r="BF69" s="212" t="b">
        <f t="shared" ref="BF69" si="705">IF(J69="",FALSE,IF(OR(AND(AU67,L69=""),AND(AU67,L69="",OR(M69&lt;&gt;"",N69&lt;&gt;"",O69&lt;&gt;"",P69&lt;&gt;""))),TRUE,FALSE))</f>
        <v>0</v>
      </c>
      <c r="BG69" s="212" t="b">
        <f t="shared" si="5"/>
        <v>0</v>
      </c>
      <c r="BH69" s="212" t="b">
        <f t="shared" si="7"/>
        <v>0</v>
      </c>
      <c r="BI69" s="212" t="b">
        <f t="shared" ref="BI69" si="706">IF(J69="",FALSE,IF(L69=0,FALSE,IF(AND(AU67,NOT(BF69),OR(M69="",N69="",O69="")),TRUE,FALSE)))</f>
        <v>0</v>
      </c>
      <c r="BJ69" s="231" t="b">
        <f t="shared" si="8"/>
        <v>0</v>
      </c>
      <c r="BK69" s="231" t="b">
        <f>IF(NOT(BJ69),FALSE,IF(AND(競技会設定!$C$5&lt;=BJ69,BJ69&lt;=競技会設定!$C$6),FALSE,TRUE))</f>
        <v>0</v>
      </c>
      <c r="BL69" s="212" t="b">
        <f>IF(J69="",FALSE,IF(L69=0,FALSE,IF(AND(AU67,NOT(BF69),NOT(BI69),P69=""),TRUE,FALSE)))</f>
        <v>0</v>
      </c>
    </row>
    <row r="70" spans="1:67" ht="18" customHeight="1" thickBot="1">
      <c r="A70" s="475"/>
      <c r="B70" s="387" t="s">
        <v>7051</v>
      </c>
      <c r="C70" s="387"/>
      <c r="D70" s="161"/>
      <c r="E70" s="467"/>
      <c r="F70" s="468"/>
      <c r="G70" s="469"/>
      <c r="H70" s="162"/>
      <c r="I70" s="161" t="s">
        <v>7065</v>
      </c>
      <c r="J70" s="177"/>
      <c r="K70" s="161" t="s">
        <v>7066</v>
      </c>
      <c r="L70" s="177"/>
      <c r="M70" s="267"/>
      <c r="N70" s="268"/>
      <c r="O70" s="269"/>
      <c r="P70" s="177"/>
      <c r="Q70" s="466"/>
      <c r="R70" s="410"/>
      <c r="S70" s="136"/>
      <c r="T70" s="137"/>
      <c r="U70" s="137"/>
      <c r="V70" s="137"/>
      <c r="W70" s="137"/>
      <c r="X70" s="137"/>
      <c r="Y70" s="212">
        <f t="shared" ref="Y70" si="707">IF(OR(E67="",J70=""),0,J70&amp;E67)</f>
        <v>0</v>
      </c>
      <c r="Z70" s="212">
        <f>IF(Y70=0,0,COUNTIF($Y$7:Y70,Y70))</f>
        <v>0</v>
      </c>
      <c r="AD70" s="212">
        <f>IFERROR(VLOOKUP(J70,競技会設定!$T$2:$W$22,2,0),0)</f>
        <v>0</v>
      </c>
      <c r="AE70" s="212">
        <f t="shared" ref="AE70" si="708">IF(E67="",0,IF(AD70=0,0,IF(AD70&lt;3,E67&amp;$AE$6,0)))</f>
        <v>0</v>
      </c>
      <c r="AF70" s="212">
        <f>IF(AE70=0,0,E67&amp;COUNTIF($AE$7:AE70,AE70))</f>
        <v>0</v>
      </c>
      <c r="AG70" s="212">
        <f t="shared" ref="AG70" si="709">IF(E67="",0,IF(AD70=0,0,IF(AD70&gt;=3,E67&amp;$AG$6,0)))</f>
        <v>0</v>
      </c>
      <c r="AH70" s="212">
        <f>IF(AG70=0,0,E67&amp;COUNTIF($AG$7:AG70,AG70))</f>
        <v>0</v>
      </c>
      <c r="AI70" s="212">
        <f t="shared" ref="AI70" si="710">IF($AD70=AI$6,$E67,0)</f>
        <v>0</v>
      </c>
      <c r="AJ70" s="212" t="b">
        <f>IF(AI70=0,FALSE,IF(COUNTIF(AI$7:AI70,AI70)&gt;1,TRUE,FALSE))</f>
        <v>0</v>
      </c>
      <c r="AK70" s="212">
        <f t="shared" ref="AK70" si="711">IF($AD70=AK$6,$E67,0)</f>
        <v>0</v>
      </c>
      <c r="AL70" s="212" t="b">
        <f>IF(AK70=0,FALSE,IF(COUNTIF(AK$7:AK70,AK70)&gt;1,TRUE,FALSE))</f>
        <v>0</v>
      </c>
      <c r="AM70" s="212">
        <f t="shared" ref="AM70" si="712">IF(COUNTIF(Y70,"*七種*")&gt;0,0,IF($AD70=AM$6,$E67,0))</f>
        <v>0</v>
      </c>
      <c r="AN70" s="212" t="b">
        <f>IF(AM70=0,FALSE,IF(COUNTIF(AM$7:AM70,AM70)&gt;1,TRUE,FALSE))</f>
        <v>0</v>
      </c>
      <c r="AO70" s="212">
        <f t="shared" ref="AO70" si="713">IF($AD70=AO$6,$E67,0)</f>
        <v>0</v>
      </c>
      <c r="AP70" s="212" t="b">
        <f>IF(AO70=0,FALSE,IF(COUNTIF(AO$7:AO70,AO70)&gt;1,TRUE,FALSE))</f>
        <v>0</v>
      </c>
      <c r="AQ70" s="212">
        <f t="shared" ref="AQ70" si="714">IF(COUNTIF(Y70,"*七種競技*")&gt;0,E67,0)</f>
        <v>0</v>
      </c>
      <c r="AR70" s="212" t="b">
        <f t="shared" si="6"/>
        <v>0</v>
      </c>
      <c r="AT70" s="212" t="b">
        <f t="shared" si="9"/>
        <v>0</v>
      </c>
      <c r="AX70" s="274"/>
      <c r="BD70" s="212" t="b">
        <f t="shared" si="4"/>
        <v>0</v>
      </c>
      <c r="BF70" s="212" t="b">
        <f t="shared" ref="BF70" si="715">IF(J70="",FALSE,IF(OR(AND(AU67,L70=""),AND(AU67,L70="",OR(M70&lt;&gt;"",N70&lt;&gt;"",O70&lt;&gt;"",P70&lt;&gt;""))),TRUE,FALSE))</f>
        <v>0</v>
      </c>
      <c r="BG70" s="212" t="b">
        <f t="shared" si="5"/>
        <v>0</v>
      </c>
      <c r="BH70" s="212" t="b">
        <f t="shared" si="7"/>
        <v>0</v>
      </c>
      <c r="BI70" s="212" t="b">
        <f t="shared" ref="BI70" si="716">IF(J70="",FALSE,IF(L70=0,FALSE,IF(AND(AU67,NOT(BF70),OR(M70="",N70="",O70="")),TRUE,FALSE)))</f>
        <v>0</v>
      </c>
      <c r="BJ70" s="231" t="b">
        <f t="shared" si="8"/>
        <v>0</v>
      </c>
      <c r="BK70" s="231" t="b">
        <f>IF(NOT(BJ70),FALSE,IF(AND(競技会設定!$C$5&lt;=BJ70,BJ70&lt;=競技会設定!$C$6),FALSE,TRUE))</f>
        <v>0</v>
      </c>
      <c r="BL70" s="212" t="b">
        <f>IF(J70="",FALSE,IF(L70=0,FALSE,IF(AND(AU67,NOT(BF70),NOT(BI70),P70=""),TRUE,FALSE)))</f>
        <v>0</v>
      </c>
    </row>
    <row r="71" spans="1:67" ht="18" customHeight="1" thickTop="1">
      <c r="A71" s="470">
        <v>17</v>
      </c>
      <c r="B71" s="401" t="s">
        <v>7050</v>
      </c>
      <c r="C71" s="403"/>
      <c r="D71" s="156" t="str">
        <f t="shared" ref="D71" si="717">IF(C71="","",502&amp;TEXT(C71,"000000"))</f>
        <v/>
      </c>
      <c r="E71" s="473" t="str">
        <f>IF(D71="","",(VLOOKUP(D71,女子登録!$A$2:$N$2001,3,0)))</f>
        <v/>
      </c>
      <c r="F71" s="473" t="str">
        <f>IF(D71="","",(VLOOKUP(D71,女子登録!$A$2:$N$2001,4,0)))</f>
        <v/>
      </c>
      <c r="G71" s="156" t="str">
        <f>IF(C71="","",(VLOOKUP(D71,女子登録!$A$2:$N$2001,8,0)))</f>
        <v/>
      </c>
      <c r="H71" s="156">
        <f>IFERROR(VLOOKUP(D71,女子登録!$A$2:$N$2001,11,0),基本情報!$E$5)</f>
        <v>0</v>
      </c>
      <c r="I71" s="156" t="s">
        <v>7059</v>
      </c>
      <c r="J71" s="170"/>
      <c r="K71" s="156" t="s">
        <v>7060</v>
      </c>
      <c r="L71" s="170"/>
      <c r="M71" s="252"/>
      <c r="N71" s="253"/>
      <c r="O71" s="254"/>
      <c r="P71" s="170"/>
      <c r="Q71" s="457"/>
      <c r="R71" s="414"/>
      <c r="S71" s="136">
        <f t="shared" ref="S71" si="718">IF(OR(E71="",Q71=""),0,E71)</f>
        <v>0</v>
      </c>
      <c r="T71" s="137">
        <f>IF(S71=0,0,COUNTIF($S$7:S71,"*"))</f>
        <v>0</v>
      </c>
      <c r="U71" s="137">
        <f>IF(S71=0,0,COUNTIF($S$7:S71,S71))</f>
        <v>0</v>
      </c>
      <c r="V71" s="137">
        <f t="shared" si="201"/>
        <v>0</v>
      </c>
      <c r="W71" s="137">
        <f>IF(V71=0,0,COUNTIF($V$7:V71,"*"))</f>
        <v>0</v>
      </c>
      <c r="X71" s="137">
        <f>IF(V71=0,0,COUNTIF($V$7:V71,V71))</f>
        <v>0</v>
      </c>
      <c r="Y71" s="212">
        <f t="shared" ref="Y71" si="719">IF(OR(E71="",J71=""),0,J71&amp;E71)</f>
        <v>0</v>
      </c>
      <c r="Z71" s="212">
        <f>IF(Y71=0,0,COUNTIF($Y$7:Y71,Y71))</f>
        <v>0</v>
      </c>
      <c r="AA71" s="212" t="b">
        <f>IF(COUNTIF(J71:J74,"七種競技")&gt;0,TRUE,FALSE)</f>
        <v>0</v>
      </c>
      <c r="AB71" s="212">
        <f>IF(E71="",0,IF(AA71,COUNTIF($AA$7:AA71,TRUE),0))</f>
        <v>0</v>
      </c>
      <c r="AC71" s="212">
        <f>IFERROR(VLOOKUP("七種競技",J71:L74,3,0),0)</f>
        <v>0</v>
      </c>
      <c r="AD71" s="212">
        <f>IFERROR(VLOOKUP(J71,競技会設定!$T$2:$W$22,2,0),0)</f>
        <v>0</v>
      </c>
      <c r="AE71" s="212">
        <f t="shared" ref="AE71" si="720">IF(E71="",0,IF(AD71=0,0,IF(AD71&lt;3,E71&amp;$AE$6,0)))</f>
        <v>0</v>
      </c>
      <c r="AF71" s="212">
        <f>IF(AE71=0,0,E71&amp;COUNTIF($AE$7:AE71,AE71))</f>
        <v>0</v>
      </c>
      <c r="AG71" s="212">
        <f t="shared" ref="AG71" si="721">IF(E71="",0,IF(AD71=0,0,IF(AD71&gt;=3,E71&amp;$AG$6,0)))</f>
        <v>0</v>
      </c>
      <c r="AH71" s="212">
        <f>IF(AG71=0,0,E71&amp;COUNTIF($AG$7:AG71,AG71))</f>
        <v>0</v>
      </c>
      <c r="AI71" s="212">
        <f t="shared" ref="AI71" si="722">IF($AD71=AI$6,$E71,0)</f>
        <v>0</v>
      </c>
      <c r="AJ71" s="212" t="b">
        <f>IF(AI71=0,FALSE,IF(COUNTIF(AI$7:AI71,AI71)&gt;1,TRUE,FALSE))</f>
        <v>0</v>
      </c>
      <c r="AK71" s="212">
        <f t="shared" ref="AK71" si="723">IF($AD71=AK$6,$E71,0)</f>
        <v>0</v>
      </c>
      <c r="AL71" s="212" t="b">
        <f>IF(AK71=0,FALSE,IF(COUNTIF(AK$7:AK71,AK71)&gt;1,TRUE,FALSE))</f>
        <v>0</v>
      </c>
      <c r="AM71" s="212">
        <f t="shared" ref="AM71" si="724">IF(COUNTIF(Y71,"*七種*")&gt;0,0,IF($AD71=AM$6,$E71,0))</f>
        <v>0</v>
      </c>
      <c r="AN71" s="212" t="b">
        <f>IF(AM71=0,FALSE,IF(COUNTIF(AM$7:AM71,AM71)&gt;1,TRUE,FALSE))</f>
        <v>0</v>
      </c>
      <c r="AO71" s="212">
        <f t="shared" ref="AO71" si="725">IF($AD71=AO$6,$E71,0)</f>
        <v>0</v>
      </c>
      <c r="AP71" s="212" t="b">
        <f>IF(AO71=0,FALSE,IF(COUNTIF(AO$7:AO71,AO71)&gt;1,TRUE,FALSE))</f>
        <v>0</v>
      </c>
      <c r="AQ71" s="212">
        <f t="shared" ref="AQ71" si="726">IF(COUNTIF(Y71,"*七種競技*")&gt;0,E71,0)</f>
        <v>0</v>
      </c>
      <c r="AR71" s="212" t="b">
        <f t="shared" si="6"/>
        <v>0</v>
      </c>
      <c r="AS71" s="212" t="b">
        <f t="shared" ref="AS71" si="727">IF(AND(C71="",E71&lt;&gt;"",F71&lt;&gt;"",E73&lt;&gt;"",G71&lt;&gt;"",G72&lt;&gt;"",G73&lt;&gt;""),TRUE,FALSE)</f>
        <v>0</v>
      </c>
      <c r="AT71" s="212" t="b">
        <f t="shared" si="9"/>
        <v>0</v>
      </c>
      <c r="AU71" s="212" t="b">
        <f>IFERROR(IF(E71&amp;F71&amp;E73&amp;G71&amp;G72&amp;G73&amp;J71&amp;J72&amp;J73&amp;J74&amp;L71&amp;L72&amp;L73&amp;L74&amp;M71&amp;M72&amp;M73&amp;M74&amp;P71&amp;P72&amp;P73&amp;P74&amp;Q71&amp;R71="",FALSE,TRUE),FALSE)</f>
        <v>0</v>
      </c>
      <c r="AV71" s="212" t="b">
        <f t="shared" ref="AV71" si="728">IF(AS71,FALSE,IF(C71="",AU71,FALSE))</f>
        <v>0</v>
      </c>
      <c r="AW71" s="212" t="b">
        <f t="shared" ref="AW71" si="729">IF(C71="",FALSE,IF(C71&lt;=2000,TRUE,FALSE))</f>
        <v>0</v>
      </c>
      <c r="AX71" s="274" t="b">
        <f>IF(H71=0,FALSE,IF(EXACT(基本情報!$E$5,H71)=TRUE,FALSE,TRUE))</f>
        <v>0</v>
      </c>
      <c r="AY71" s="212" t="b">
        <f>IF(C71="",FALSE,IF(ISNA(E71)=TRUE,TRUE,FALSE))</f>
        <v>0</v>
      </c>
      <c r="AZ71" s="274" t="b">
        <f>IFERROR(IF(E71="",FALSE,IF(COUNTIF($E$7:E71,E71)&gt;1,TRUE,FALSE)),FALSE)</f>
        <v>0</v>
      </c>
      <c r="BA71" s="212" t="b">
        <f t="shared" ref="BA71" si="730">IF(OR(J71&amp;J72&amp;J73&amp;J74&amp;Q71&amp;R71="",AT71,AT72,AT73,AT74),AU71,FALSE)</f>
        <v>0</v>
      </c>
      <c r="BB71" s="212" t="b">
        <f>IF(U71&gt;1,TRUE,FALSE)</f>
        <v>0</v>
      </c>
      <c r="BC71" s="212" t="b">
        <f>IF(X71&gt;1,TRUE,FALSE)</f>
        <v>0</v>
      </c>
      <c r="BD71" s="212" t="b">
        <f t="shared" ref="BD71:BD134" si="731">IF(Z71&gt;1,TRUE,FALSE)</f>
        <v>0</v>
      </c>
      <c r="BF71" s="212" t="b">
        <f t="shared" ref="BF71" si="732">IF(J71="",FALSE,IF(OR(AND(AU71,L71=""),AND(AU71,L71="",OR(M71&lt;&gt;"",N71&lt;&gt;"",O71&lt;&gt;"",P71&lt;&gt;""))),TRUE,FALSE))</f>
        <v>0</v>
      </c>
      <c r="BG71" s="212" t="b">
        <f t="shared" ref="BG71:BG134" si="733">IF(J71="",FALSE,IF(ISNUMBER(L71)&lt;&gt;TRUE,TRUE,IFERROR(IF(MOD(L71,1)=0,FALSE,TRUE),FALSE)))</f>
        <v>0</v>
      </c>
      <c r="BH71" s="212" t="b">
        <f t="shared" si="7"/>
        <v>0</v>
      </c>
      <c r="BI71" s="212" t="b">
        <f t="shared" ref="BI71" si="734">IF(J71="",FALSE,IF(L71=0,FALSE,IF(AND(AU71,NOT(BF71),OR(M71="",N71="",O71="")),TRUE,FALSE)))</f>
        <v>0</v>
      </c>
      <c r="BJ71" s="231" t="b">
        <f t="shared" si="8"/>
        <v>0</v>
      </c>
      <c r="BK71" s="231" t="b">
        <f>IF(NOT(BJ71),FALSE,IF(AND(競技会設定!$C$5&lt;=BJ71,BJ71&lt;=競技会設定!$C$6),FALSE,TRUE))</f>
        <v>0</v>
      </c>
      <c r="BL71" s="212" t="b">
        <f>IF(J71="",FALSE,IF(L71=0,FALSE,IF(AND(AU71,NOT(BF71),NOT(BI71),P71=""),TRUE,FALSE)))</f>
        <v>0</v>
      </c>
      <c r="BO71" s="274">
        <f t="shared" ref="BO71" si="735">IF(AND(AU71,SUM(COUNTIF(AV71:BC71,TRUE),COUNTIF(BF71:BL74,TRUE),COUNTIF(BD71:BD74,TRUE))=0,NOT($BE$7)),1,0)</f>
        <v>0</v>
      </c>
    </row>
    <row r="72" spans="1:67" ht="17.399999999999999" customHeight="1">
      <c r="A72" s="471"/>
      <c r="B72" s="402"/>
      <c r="C72" s="404"/>
      <c r="D72" s="11"/>
      <c r="E72" s="474"/>
      <c r="F72" s="474"/>
      <c r="G72" s="11" t="str">
        <f>IF(C71="","",(VLOOKUP(D71,女子登録!$A$2:$N$2001,13,0)))</f>
        <v/>
      </c>
      <c r="H72" s="11"/>
      <c r="I72" s="11" t="s">
        <v>7061</v>
      </c>
      <c r="J72" s="171"/>
      <c r="K72" s="11" t="s">
        <v>7062</v>
      </c>
      <c r="L72" s="171"/>
      <c r="M72" s="255"/>
      <c r="N72" s="256"/>
      <c r="O72" s="257"/>
      <c r="P72" s="171"/>
      <c r="Q72" s="458"/>
      <c r="R72" s="415"/>
      <c r="S72" s="136"/>
      <c r="T72" s="137"/>
      <c r="U72" s="137"/>
      <c r="V72" s="137"/>
      <c r="W72" s="137"/>
      <c r="X72" s="137"/>
      <c r="Y72" s="212">
        <f t="shared" ref="Y72" si="736">IF(OR(E71="",J72=""),0,J72&amp;E71)</f>
        <v>0</v>
      </c>
      <c r="Z72" s="212">
        <f>IF(Y72=0,0,COUNTIF($Y$7:Y72,Y72))</f>
        <v>0</v>
      </c>
      <c r="AD72" s="212">
        <f>IFERROR(VLOOKUP(J72,競技会設定!$T$2:$W$22,2,0),0)</f>
        <v>0</v>
      </c>
      <c r="AE72" s="212">
        <f t="shared" ref="AE72" si="737">IF(E71="",0,IF(AD72=0,0,IF(AD72&lt;3,E71&amp;$AE$6,0)))</f>
        <v>0</v>
      </c>
      <c r="AF72" s="212">
        <f>IF(AE72=0,0,E71&amp;COUNTIF($AE$7:AE72,AE72))</f>
        <v>0</v>
      </c>
      <c r="AG72" s="212">
        <f t="shared" ref="AG72" si="738">IF(E71="",0,IF(AD72=0,0,IF(AD72&gt;=3,E71&amp;$AG$6,0)))</f>
        <v>0</v>
      </c>
      <c r="AH72" s="212">
        <f>IF(AG72=0,0,E71&amp;COUNTIF($AG$7:AG72,AG72))</f>
        <v>0</v>
      </c>
      <c r="AI72" s="212">
        <f t="shared" ref="AI72" si="739">IF($AD72=AI$6,$E71,0)</f>
        <v>0</v>
      </c>
      <c r="AJ72" s="212" t="b">
        <f>IF(AI72=0,FALSE,IF(COUNTIF(AI$7:AI72,AI72)&gt;1,TRUE,FALSE))</f>
        <v>0</v>
      </c>
      <c r="AK72" s="212">
        <f t="shared" ref="AK72" si="740">IF($AD72=AK$6,$E71,0)</f>
        <v>0</v>
      </c>
      <c r="AL72" s="212" t="b">
        <f>IF(AK72=0,FALSE,IF(COUNTIF(AK$7:AK72,AK72)&gt;1,TRUE,FALSE))</f>
        <v>0</v>
      </c>
      <c r="AM72" s="212">
        <f t="shared" ref="AM72" si="741">IF(COUNTIF(Y72,"*七種*")&gt;0,0,IF($AD72=AM$6,$E71,0))</f>
        <v>0</v>
      </c>
      <c r="AN72" s="212" t="b">
        <f>IF(AM72=0,FALSE,IF(COUNTIF(AM$7:AM72,AM72)&gt;1,TRUE,FALSE))</f>
        <v>0</v>
      </c>
      <c r="AO72" s="212">
        <f t="shared" ref="AO72" si="742">IF($AD72=AO$6,$E71,0)</f>
        <v>0</v>
      </c>
      <c r="AP72" s="212" t="b">
        <f>IF(AO72=0,FALSE,IF(COUNTIF(AO$7:AO72,AO72)&gt;1,TRUE,FALSE))</f>
        <v>0</v>
      </c>
      <c r="AQ72" s="212">
        <f t="shared" ref="AQ72" si="743">IF(COUNTIF(Y72,"*七種競技*")&gt;0,E71,0)</f>
        <v>0</v>
      </c>
      <c r="AR72" s="212" t="b">
        <f t="shared" ref="AR72:AR135" si="744">IF(AQ72=0,FALSE,IF(OR(COUNTIF($AM$7:$AM$406,AQ72)+COUNTIF($AQ$7:$AQ$406,AQ72)&gt;1,COUNTIF($AO$7:$AO$406,AQ72)+COUNTIF($AQ$7:$AQ$406,AQ72)&gt;1),TRUE,FALSE))</f>
        <v>0</v>
      </c>
      <c r="AT72" s="212" t="b">
        <f t="shared" si="9"/>
        <v>0</v>
      </c>
      <c r="AX72" s="274"/>
      <c r="BD72" s="212" t="b">
        <f t="shared" si="731"/>
        <v>0</v>
      </c>
      <c r="BF72" s="212" t="b">
        <f t="shared" ref="BF72" si="745">IF(J72="",FALSE,IF(OR(AND(AU71,L72=""),AND(AU71,L72="",OR(M72&lt;&gt;"",N72&lt;&gt;"",O72&lt;&gt;"",P72&lt;&gt;""))),TRUE,FALSE))</f>
        <v>0</v>
      </c>
      <c r="BG72" s="212" t="b">
        <f t="shared" si="733"/>
        <v>0</v>
      </c>
      <c r="BH72" s="212" t="b">
        <f t="shared" ref="BH72:BH135" si="746">IF(COUNTIF(J72,"*m*")=0,FALSE,IF(VALUE(RIGHT(INT(L72/100),2))&gt;59,TRUE,IF(VALUE(RIGHT(INT(L72/10000),2))&gt;59,TRUE,FALSE)))</f>
        <v>0</v>
      </c>
      <c r="BI72" s="212" t="b">
        <f t="shared" ref="BI72" si="747">IF(J72="",FALSE,IF(L72=0,FALSE,IF(AND(AU71,NOT(BF72),OR(M72="",N72="",O72="")),TRUE,FALSE)))</f>
        <v>0</v>
      </c>
      <c r="BJ72" s="231" t="b">
        <f t="shared" ref="BJ72:BJ135" si="748">IF(OR(M72="",N72="",O72=""),FALSE,DATE(M72,N72,O72))</f>
        <v>0</v>
      </c>
      <c r="BK72" s="231" t="b">
        <f>IF(NOT(BJ72),FALSE,IF(AND(競技会設定!$C$5&lt;=BJ72,BJ72&lt;=競技会設定!$C$6),FALSE,TRUE))</f>
        <v>0</v>
      </c>
      <c r="BL72" s="212" t="b">
        <f>IF(J72="",FALSE,IF(L72=0,FALSE,IF(AND(AU71,NOT(BF72),NOT(BI72),P72=""),TRUE,FALSE)))</f>
        <v>0</v>
      </c>
    </row>
    <row r="73" spans="1:67" ht="17.399999999999999" customHeight="1">
      <c r="A73" s="471"/>
      <c r="B73" s="402"/>
      <c r="C73" s="404"/>
      <c r="D73" s="11"/>
      <c r="E73" s="348" t="str">
        <f>IF(C71="","",VLOOKUP(D71,女子登録!$A$2:$O$2001,14,0)&amp;" ("&amp;VLOOKUP(D71,女子登録!$A$2:$O$2001,15,0)&amp;")")</f>
        <v/>
      </c>
      <c r="F73" s="348"/>
      <c r="G73" s="13" t="str">
        <f>IF(C71="","",(VLOOKUP(D71,女子登録!$A$2:$N$2001,9,0)))</f>
        <v/>
      </c>
      <c r="H73" s="13"/>
      <c r="I73" s="13" t="s">
        <v>7063</v>
      </c>
      <c r="J73" s="172"/>
      <c r="K73" s="13" t="s">
        <v>7064</v>
      </c>
      <c r="L73" s="172"/>
      <c r="M73" s="255"/>
      <c r="N73" s="256"/>
      <c r="O73" s="257"/>
      <c r="P73" s="171"/>
      <c r="Q73" s="458"/>
      <c r="R73" s="415"/>
      <c r="S73" s="136"/>
      <c r="T73" s="137"/>
      <c r="U73" s="137"/>
      <c r="V73" s="137"/>
      <c r="W73" s="137"/>
      <c r="X73" s="137"/>
      <c r="Y73" s="212">
        <f t="shared" ref="Y73" si="749">IF(OR(E71="",J73=""),0,J73&amp;E71)</f>
        <v>0</v>
      </c>
      <c r="Z73" s="212">
        <f>IF(Y73=0,0,COUNTIF($Y$7:Y73,Y73))</f>
        <v>0</v>
      </c>
      <c r="AD73" s="212">
        <f>IFERROR(VLOOKUP(J73,競技会設定!$T$2:$W$22,2,0),0)</f>
        <v>0</v>
      </c>
      <c r="AE73" s="212">
        <f t="shared" ref="AE73" si="750">IF(E71="",0,IF(AD73=0,0,IF(AD73&lt;3,E71&amp;$AE$6,0)))</f>
        <v>0</v>
      </c>
      <c r="AF73" s="212">
        <f>IF(AE73=0,0,E71&amp;COUNTIF($AE$7:AE73,AE73))</f>
        <v>0</v>
      </c>
      <c r="AG73" s="212">
        <f t="shared" ref="AG73" si="751">IF(E71="",0,IF(AD73=0,0,IF(AD73&gt;=3,E71&amp;$AG$6,0)))</f>
        <v>0</v>
      </c>
      <c r="AH73" s="212">
        <f>IF(AG73=0,0,E71&amp;COUNTIF($AG$7:AG73,AG73))</f>
        <v>0</v>
      </c>
      <c r="AI73" s="212">
        <f t="shared" ref="AI73" si="752">IF($AD73=AI$6,$E71,0)</f>
        <v>0</v>
      </c>
      <c r="AJ73" s="212" t="b">
        <f>IF(AI73=0,FALSE,IF(COUNTIF(AI$7:AI73,AI73)&gt;1,TRUE,FALSE))</f>
        <v>0</v>
      </c>
      <c r="AK73" s="212">
        <f t="shared" ref="AK73" si="753">IF($AD73=AK$6,$E71,0)</f>
        <v>0</v>
      </c>
      <c r="AL73" s="212" t="b">
        <f>IF(AK73=0,FALSE,IF(COUNTIF(AK$7:AK73,AK73)&gt;1,TRUE,FALSE))</f>
        <v>0</v>
      </c>
      <c r="AM73" s="212">
        <f t="shared" ref="AM73" si="754">IF(COUNTIF(Y73,"*七種*")&gt;0,0,IF($AD73=AM$6,$E71,0))</f>
        <v>0</v>
      </c>
      <c r="AN73" s="212" t="b">
        <f>IF(AM73=0,FALSE,IF(COUNTIF(AM$7:AM73,AM73)&gt;1,TRUE,FALSE))</f>
        <v>0</v>
      </c>
      <c r="AO73" s="212">
        <f t="shared" ref="AO73" si="755">IF($AD73=AO$6,$E71,0)</f>
        <v>0</v>
      </c>
      <c r="AP73" s="212" t="b">
        <f>IF(AO73=0,FALSE,IF(COUNTIF(AO$7:AO73,AO73)&gt;1,TRUE,FALSE))</f>
        <v>0</v>
      </c>
      <c r="AQ73" s="212">
        <f t="shared" ref="AQ73" si="756">IF(COUNTIF(Y73,"*七種競技*")&gt;0,E71,0)</f>
        <v>0</v>
      </c>
      <c r="AR73" s="212" t="b">
        <f t="shared" si="744"/>
        <v>0</v>
      </c>
      <c r="AT73" s="212" t="b">
        <f t="shared" ref="AT73:AT136" si="757">IF(AND(J73="",OR(L73&lt;&gt;"",M73&lt;&gt;"",P73&lt;&gt;"")),TRUE,FALSE)</f>
        <v>0</v>
      </c>
      <c r="AX73" s="274"/>
      <c r="BD73" s="212" t="b">
        <f t="shared" si="731"/>
        <v>0</v>
      </c>
      <c r="BF73" s="212" t="b">
        <f t="shared" ref="BF73" si="758">IF(J73="",FALSE,IF(OR(AND(AU71,L73=""),AND(AU71,L73="",OR(M73&lt;&gt;"",N73&lt;&gt;"",O73&lt;&gt;"",P73&lt;&gt;""))),TRUE,FALSE))</f>
        <v>0</v>
      </c>
      <c r="BG73" s="212" t="b">
        <f t="shared" si="733"/>
        <v>0</v>
      </c>
      <c r="BH73" s="212" t="b">
        <f t="shared" si="746"/>
        <v>0</v>
      </c>
      <c r="BI73" s="212" t="b">
        <f t="shared" ref="BI73" si="759">IF(J73="",FALSE,IF(L73=0,FALSE,IF(AND(AU71,NOT(BF73),OR(M73="",N73="",O73="")),TRUE,FALSE)))</f>
        <v>0</v>
      </c>
      <c r="BJ73" s="231" t="b">
        <f t="shared" si="748"/>
        <v>0</v>
      </c>
      <c r="BK73" s="231" t="b">
        <f>IF(NOT(BJ73),FALSE,IF(AND(競技会設定!$C$5&lt;=BJ73,BJ73&lt;=競技会設定!$C$6),FALSE,TRUE))</f>
        <v>0</v>
      </c>
      <c r="BL73" s="212" t="b">
        <f>IF(J73="",FALSE,IF(L73=0,FALSE,IF(AND(AU71,NOT(BF73),NOT(BI73),P73=""),TRUE,FALSE)))</f>
        <v>0</v>
      </c>
    </row>
    <row r="74" spans="1:67" ht="18" customHeight="1" thickBot="1">
      <c r="A74" s="472"/>
      <c r="B74" s="395" t="s">
        <v>7051</v>
      </c>
      <c r="C74" s="395"/>
      <c r="D74" s="11"/>
      <c r="E74" s="460"/>
      <c r="F74" s="460"/>
      <c r="G74" s="460"/>
      <c r="H74" s="157"/>
      <c r="I74" s="157" t="s">
        <v>7065</v>
      </c>
      <c r="J74" s="173"/>
      <c r="K74" s="157" t="s">
        <v>7066</v>
      </c>
      <c r="L74" s="173"/>
      <c r="M74" s="258"/>
      <c r="N74" s="259"/>
      <c r="O74" s="260"/>
      <c r="P74" s="173"/>
      <c r="Q74" s="459"/>
      <c r="R74" s="416"/>
      <c r="S74" s="136"/>
      <c r="T74" s="137"/>
      <c r="U74" s="137"/>
      <c r="V74" s="137"/>
      <c r="W74" s="137"/>
      <c r="X74" s="137"/>
      <c r="Y74" s="212">
        <f t="shared" ref="Y74" si="760">IF(OR(E71="",J74=""),0,J74&amp;E71)</f>
        <v>0</v>
      </c>
      <c r="Z74" s="212">
        <f>IF(Y74=0,0,COUNTIF($Y$7:Y74,Y74))</f>
        <v>0</v>
      </c>
      <c r="AD74" s="212">
        <f>IFERROR(VLOOKUP(J74,競技会設定!$T$2:$W$22,2,0),0)</f>
        <v>0</v>
      </c>
      <c r="AE74" s="212">
        <f t="shared" ref="AE74" si="761">IF(E71="",0,IF(AD74=0,0,IF(AD74&lt;3,E71&amp;$AE$6,0)))</f>
        <v>0</v>
      </c>
      <c r="AF74" s="212">
        <f>IF(AE74=0,0,E71&amp;COUNTIF($AE$7:AE74,AE74))</f>
        <v>0</v>
      </c>
      <c r="AG74" s="212">
        <f t="shared" ref="AG74" si="762">IF(E71="",0,IF(AD74=0,0,IF(AD74&gt;=3,E71&amp;$AG$6,0)))</f>
        <v>0</v>
      </c>
      <c r="AH74" s="212">
        <f>IF(AG74=0,0,E71&amp;COUNTIF($AG$7:AG74,AG74))</f>
        <v>0</v>
      </c>
      <c r="AI74" s="212">
        <f t="shared" ref="AI74" si="763">IF($AD74=AI$6,$E71,0)</f>
        <v>0</v>
      </c>
      <c r="AJ74" s="212" t="b">
        <f>IF(AI74=0,FALSE,IF(COUNTIF(AI$7:AI74,AI74)&gt;1,TRUE,FALSE))</f>
        <v>0</v>
      </c>
      <c r="AK74" s="212">
        <f t="shared" ref="AK74" si="764">IF($AD74=AK$6,$E71,0)</f>
        <v>0</v>
      </c>
      <c r="AL74" s="212" t="b">
        <f>IF(AK74=0,FALSE,IF(COUNTIF(AK$7:AK74,AK74)&gt;1,TRUE,FALSE))</f>
        <v>0</v>
      </c>
      <c r="AM74" s="212">
        <f t="shared" ref="AM74" si="765">IF(COUNTIF(Y74,"*七種*")&gt;0,0,IF($AD74=AM$6,$E71,0))</f>
        <v>0</v>
      </c>
      <c r="AN74" s="212" t="b">
        <f>IF(AM74=0,FALSE,IF(COUNTIF(AM$7:AM74,AM74)&gt;1,TRUE,FALSE))</f>
        <v>0</v>
      </c>
      <c r="AO74" s="212">
        <f t="shared" ref="AO74" si="766">IF($AD74=AO$6,$E71,0)</f>
        <v>0</v>
      </c>
      <c r="AP74" s="212" t="b">
        <f>IF(AO74=0,FALSE,IF(COUNTIF(AO$7:AO74,AO74)&gt;1,TRUE,FALSE))</f>
        <v>0</v>
      </c>
      <c r="AQ74" s="212">
        <f t="shared" ref="AQ74" si="767">IF(COUNTIF(Y74,"*七種競技*")&gt;0,E71,0)</f>
        <v>0</v>
      </c>
      <c r="AR74" s="212" t="b">
        <f t="shared" si="744"/>
        <v>0</v>
      </c>
      <c r="AT74" s="212" t="b">
        <f t="shared" si="757"/>
        <v>0</v>
      </c>
      <c r="AX74" s="274"/>
      <c r="BD74" s="212" t="b">
        <f t="shared" si="731"/>
        <v>0</v>
      </c>
      <c r="BF74" s="212" t="b">
        <f t="shared" ref="BF74" si="768">IF(J74="",FALSE,IF(OR(AND(AU71,L74=""),AND(AU71,L74="",OR(M74&lt;&gt;"",N74&lt;&gt;"",O74&lt;&gt;"",P74&lt;&gt;""))),TRUE,FALSE))</f>
        <v>0</v>
      </c>
      <c r="BG74" s="212" t="b">
        <f t="shared" si="733"/>
        <v>0</v>
      </c>
      <c r="BH74" s="212" t="b">
        <f t="shared" si="746"/>
        <v>0</v>
      </c>
      <c r="BI74" s="212" t="b">
        <f t="shared" ref="BI74" si="769">IF(J74="",FALSE,IF(L74=0,FALSE,IF(AND(AU71,NOT(BF74),OR(M74="",N74="",O74="")),TRUE,FALSE)))</f>
        <v>0</v>
      </c>
      <c r="BJ74" s="231" t="b">
        <f t="shared" si="748"/>
        <v>0</v>
      </c>
      <c r="BK74" s="231" t="b">
        <f>IF(NOT(BJ74),FALSE,IF(AND(競技会設定!$C$5&lt;=BJ74,BJ74&lt;=競技会設定!$C$6),FALSE,TRUE))</f>
        <v>0</v>
      </c>
      <c r="BL74" s="212" t="b">
        <f>IF(J74="",FALSE,IF(L74=0,FALSE,IF(AND(AU71,NOT(BF74),NOT(BI74),P74=""),TRUE,FALSE)))</f>
        <v>0</v>
      </c>
    </row>
    <row r="75" spans="1:67" ht="18" customHeight="1" thickTop="1">
      <c r="A75" s="461">
        <v>18</v>
      </c>
      <c r="B75" s="373" t="s">
        <v>7050</v>
      </c>
      <c r="C75" s="375"/>
      <c r="D75" s="158" t="str">
        <f t="shared" ref="D75" si="770">IF(C75="","",502&amp;TEXT(C75,"000000"))</f>
        <v/>
      </c>
      <c r="E75" s="464" t="str">
        <f>IF(D75="","",(VLOOKUP(D75,女子登録!$A$2:$N$2001,3,0)))</f>
        <v/>
      </c>
      <c r="F75" s="464" t="str">
        <f>IF(D75="","",(VLOOKUP(D75,女子登録!$A$2:$N$2001,4,0)))</f>
        <v/>
      </c>
      <c r="G75" s="158" t="str">
        <f>IF(C75="","",(VLOOKUP(D75,女子登録!$A$2:$N$2001,8,0)))</f>
        <v/>
      </c>
      <c r="H75" s="158">
        <f>IFERROR(VLOOKUP(D75,女子登録!$A$2:$N$2001,11,0),基本情報!$E$5)</f>
        <v>0</v>
      </c>
      <c r="I75" s="158" t="s">
        <v>7059</v>
      </c>
      <c r="J75" s="174"/>
      <c r="K75" s="158" t="s">
        <v>7060</v>
      </c>
      <c r="L75" s="174"/>
      <c r="M75" s="261"/>
      <c r="N75" s="262"/>
      <c r="O75" s="263"/>
      <c r="P75" s="174"/>
      <c r="Q75" s="448"/>
      <c r="R75" s="408"/>
      <c r="S75" s="136">
        <f t="shared" ref="S75" si="771">IF(OR(E75="",Q75=""),0,E75)</f>
        <v>0</v>
      </c>
      <c r="T75" s="137">
        <f>IF(S75=0,0,COUNTIF($S$7:S75,"*"))</f>
        <v>0</v>
      </c>
      <c r="U75" s="137">
        <f>IF(S75=0,0,COUNTIF($S$7:S75,S75))</f>
        <v>0</v>
      </c>
      <c r="V75" s="137">
        <f t="shared" si="201"/>
        <v>0</v>
      </c>
      <c r="W75" s="137">
        <f>IF(V75=0,0,COUNTIF($V$7:V75,"*"))</f>
        <v>0</v>
      </c>
      <c r="X75" s="137">
        <f>IF(V75=0,0,COUNTIF($V$7:V75,V75))</f>
        <v>0</v>
      </c>
      <c r="Y75" s="212">
        <f t="shared" ref="Y75" si="772">IF(OR(E75="",J75=""),0,J75&amp;E75)</f>
        <v>0</v>
      </c>
      <c r="Z75" s="212">
        <f>IF(Y75=0,0,COUNTIF($Y$7:Y75,Y75))</f>
        <v>0</v>
      </c>
      <c r="AA75" s="212" t="b">
        <f>IF(COUNTIF(J75:J78,"七種競技")&gt;0,TRUE,FALSE)</f>
        <v>0</v>
      </c>
      <c r="AB75" s="212">
        <f>IF(E75="",0,IF(AA75,COUNTIF($AA$7:AA75,TRUE),0))</f>
        <v>0</v>
      </c>
      <c r="AC75" s="212">
        <f>IFERROR(VLOOKUP("七種競技",J75:L78,3,0),0)</f>
        <v>0</v>
      </c>
      <c r="AD75" s="212">
        <f>IFERROR(VLOOKUP(J75,競技会設定!$T$2:$W$22,2,0),0)</f>
        <v>0</v>
      </c>
      <c r="AE75" s="212">
        <f t="shared" ref="AE75" si="773">IF(E75="",0,IF(AD75=0,0,IF(AD75&lt;3,E75&amp;$AE$6,0)))</f>
        <v>0</v>
      </c>
      <c r="AF75" s="212">
        <f>IF(AE75=0,0,E75&amp;COUNTIF($AE$7:AE75,AE75))</f>
        <v>0</v>
      </c>
      <c r="AG75" s="212">
        <f t="shared" ref="AG75" si="774">IF(E75="",0,IF(AD75=0,0,IF(AD75&gt;=3,E75&amp;$AG$6,0)))</f>
        <v>0</v>
      </c>
      <c r="AH75" s="212">
        <f>IF(AG75=0,0,E75&amp;COUNTIF($AG$7:AG75,AG75))</f>
        <v>0</v>
      </c>
      <c r="AI75" s="212">
        <f t="shared" ref="AI75" si="775">IF($AD75=AI$6,$E75,0)</f>
        <v>0</v>
      </c>
      <c r="AJ75" s="212" t="b">
        <f>IF(AI75=0,FALSE,IF(COUNTIF(AI$7:AI75,AI75)&gt;1,TRUE,FALSE))</f>
        <v>0</v>
      </c>
      <c r="AK75" s="212">
        <f t="shared" ref="AK75" si="776">IF($AD75=AK$6,$E75,0)</f>
        <v>0</v>
      </c>
      <c r="AL75" s="212" t="b">
        <f>IF(AK75=0,FALSE,IF(COUNTIF(AK$7:AK75,AK75)&gt;1,TRUE,FALSE))</f>
        <v>0</v>
      </c>
      <c r="AM75" s="212">
        <f t="shared" ref="AM75" si="777">IF(COUNTIF(Y75,"*七種*")&gt;0,0,IF($AD75=AM$6,$E75,0))</f>
        <v>0</v>
      </c>
      <c r="AN75" s="212" t="b">
        <f>IF(AM75=0,FALSE,IF(COUNTIF(AM$7:AM75,AM75)&gt;1,TRUE,FALSE))</f>
        <v>0</v>
      </c>
      <c r="AO75" s="212">
        <f t="shared" ref="AO75" si="778">IF($AD75=AO$6,$E75,0)</f>
        <v>0</v>
      </c>
      <c r="AP75" s="212" t="b">
        <f>IF(AO75=0,FALSE,IF(COUNTIF(AO$7:AO75,AO75)&gt;1,TRUE,FALSE))</f>
        <v>0</v>
      </c>
      <c r="AQ75" s="212">
        <f t="shared" ref="AQ75" si="779">IF(COUNTIF(Y75,"*七種競技*")&gt;0,E75,0)</f>
        <v>0</v>
      </c>
      <c r="AR75" s="212" t="b">
        <f t="shared" si="744"/>
        <v>0</v>
      </c>
      <c r="AS75" s="212" t="b">
        <f t="shared" ref="AS75" si="780">IF(AND(C75="",E75&lt;&gt;"",F75&lt;&gt;"",E77&lt;&gt;"",G75&lt;&gt;"",G76&lt;&gt;"",G77&lt;&gt;""),TRUE,FALSE)</f>
        <v>0</v>
      </c>
      <c r="AT75" s="212" t="b">
        <f t="shared" si="757"/>
        <v>0</v>
      </c>
      <c r="AU75" s="212" t="b">
        <f>IFERROR(IF(E75&amp;F75&amp;E77&amp;G75&amp;G76&amp;G77&amp;J75&amp;J76&amp;J77&amp;J78&amp;L75&amp;L76&amp;L77&amp;L78&amp;M75&amp;M76&amp;M77&amp;M78&amp;P75&amp;P76&amp;P77&amp;P78&amp;Q75&amp;R75="",FALSE,TRUE),FALSE)</f>
        <v>0</v>
      </c>
      <c r="AV75" s="212" t="b">
        <f t="shared" ref="AV75" si="781">IF(AS75,FALSE,IF(C75="",AU75,FALSE))</f>
        <v>0</v>
      </c>
      <c r="AW75" s="212" t="b">
        <f t="shared" ref="AW75" si="782">IF(C75="",FALSE,IF(C75&lt;=2000,TRUE,FALSE))</f>
        <v>0</v>
      </c>
      <c r="AX75" s="274" t="b">
        <f>IF(H75=0,FALSE,IF(EXACT(基本情報!$E$5,H75)=TRUE,FALSE,TRUE))</f>
        <v>0</v>
      </c>
      <c r="AY75" s="212" t="b">
        <f>IF(C75="",FALSE,IF(ISNA(E75)=TRUE,TRUE,FALSE))</f>
        <v>0</v>
      </c>
      <c r="AZ75" s="274" t="b">
        <f>IFERROR(IF(E75="",FALSE,IF(COUNTIF($E$7:E75,E75)&gt;1,TRUE,FALSE)),FALSE)</f>
        <v>0</v>
      </c>
      <c r="BA75" s="212" t="b">
        <f t="shared" ref="BA75" si="783">IF(OR(J75&amp;J76&amp;J77&amp;J78&amp;Q75&amp;R75="",AT75,AT76,AT77,AT78),AU75,FALSE)</f>
        <v>0</v>
      </c>
      <c r="BB75" s="212" t="b">
        <f>IF(U75&gt;1,TRUE,FALSE)</f>
        <v>0</v>
      </c>
      <c r="BC75" s="212" t="b">
        <f>IF(X75&gt;1,TRUE,FALSE)</f>
        <v>0</v>
      </c>
      <c r="BD75" s="212" t="b">
        <f t="shared" si="731"/>
        <v>0</v>
      </c>
      <c r="BF75" s="212" t="b">
        <f t="shared" ref="BF75" si="784">IF(J75="",FALSE,IF(OR(AND(AU75,L75=""),AND(AU75,L75="",OR(M75&lt;&gt;"",N75&lt;&gt;"",O75&lt;&gt;"",P75&lt;&gt;""))),TRUE,FALSE))</f>
        <v>0</v>
      </c>
      <c r="BG75" s="212" t="b">
        <f t="shared" si="733"/>
        <v>0</v>
      </c>
      <c r="BH75" s="212" t="b">
        <f t="shared" si="746"/>
        <v>0</v>
      </c>
      <c r="BI75" s="212" t="b">
        <f t="shared" ref="BI75" si="785">IF(J75="",FALSE,IF(L75=0,FALSE,IF(AND(AU75,NOT(BF75),OR(M75="",N75="",O75="")),TRUE,FALSE)))</f>
        <v>0</v>
      </c>
      <c r="BJ75" s="231" t="b">
        <f t="shared" si="748"/>
        <v>0</v>
      </c>
      <c r="BK75" s="231" t="b">
        <f>IF(NOT(BJ75),FALSE,IF(AND(競技会設定!$C$5&lt;=BJ75,BJ75&lt;=競技会設定!$C$6),FALSE,TRUE))</f>
        <v>0</v>
      </c>
      <c r="BL75" s="212" t="b">
        <f>IF(J75="",FALSE,IF(L75=0,FALSE,IF(AND(AU75,NOT(BF75),NOT(BI75),P75=""),TRUE,FALSE)))</f>
        <v>0</v>
      </c>
      <c r="BO75" s="274">
        <f t="shared" ref="BO75" si="786">IF(AND(AU75,SUM(COUNTIF(AV75:BC75,TRUE),COUNTIF(BF75:BL78,TRUE),COUNTIF(BD75:BD78,TRUE))=0,NOT($BE$7)),1,0)</f>
        <v>0</v>
      </c>
    </row>
    <row r="76" spans="1:67" ht="17.399999999999999" customHeight="1">
      <c r="A76" s="462"/>
      <c r="B76" s="374"/>
      <c r="C76" s="376"/>
      <c r="D76" s="159"/>
      <c r="E76" s="465"/>
      <c r="F76" s="465"/>
      <c r="G76" s="159" t="str">
        <f>IF(C75="","",(VLOOKUP(D75,女子登録!$A$2:$N$2001,13,0)))</f>
        <v/>
      </c>
      <c r="H76" s="159"/>
      <c r="I76" s="159" t="s">
        <v>7061</v>
      </c>
      <c r="J76" s="175"/>
      <c r="K76" s="159" t="s">
        <v>7062</v>
      </c>
      <c r="L76" s="175"/>
      <c r="M76" s="264"/>
      <c r="N76" s="265"/>
      <c r="O76" s="266"/>
      <c r="P76" s="175"/>
      <c r="Q76" s="449"/>
      <c r="R76" s="409"/>
      <c r="S76" s="136"/>
      <c r="T76" s="137"/>
      <c r="U76" s="137"/>
      <c r="V76" s="137"/>
      <c r="W76" s="137"/>
      <c r="X76" s="137"/>
      <c r="Y76" s="212">
        <f t="shared" ref="Y76" si="787">IF(OR(E75="",J76=""),0,J76&amp;E75)</f>
        <v>0</v>
      </c>
      <c r="Z76" s="212">
        <f>IF(Y76=0,0,COUNTIF($Y$7:Y76,Y76))</f>
        <v>0</v>
      </c>
      <c r="AD76" s="212">
        <f>IFERROR(VLOOKUP(J76,競技会設定!$T$2:$W$22,2,0),0)</f>
        <v>0</v>
      </c>
      <c r="AE76" s="212">
        <f t="shared" ref="AE76" si="788">IF(E75="",0,IF(AD76=0,0,IF(AD76&lt;3,E75&amp;$AE$6,0)))</f>
        <v>0</v>
      </c>
      <c r="AF76" s="212">
        <f>IF(AE76=0,0,E75&amp;COUNTIF($AE$7:AE76,AE76))</f>
        <v>0</v>
      </c>
      <c r="AG76" s="212">
        <f t="shared" ref="AG76" si="789">IF(E75="",0,IF(AD76=0,0,IF(AD76&gt;=3,E75&amp;$AG$6,0)))</f>
        <v>0</v>
      </c>
      <c r="AH76" s="212">
        <f>IF(AG76=0,0,E75&amp;COUNTIF($AG$7:AG76,AG76))</f>
        <v>0</v>
      </c>
      <c r="AI76" s="212">
        <f t="shared" ref="AI76" si="790">IF($AD76=AI$6,$E75,0)</f>
        <v>0</v>
      </c>
      <c r="AJ76" s="212" t="b">
        <f>IF(AI76=0,FALSE,IF(COUNTIF(AI$7:AI76,AI76)&gt;1,TRUE,FALSE))</f>
        <v>0</v>
      </c>
      <c r="AK76" s="212">
        <f t="shared" ref="AK76" si="791">IF($AD76=AK$6,$E75,0)</f>
        <v>0</v>
      </c>
      <c r="AL76" s="212" t="b">
        <f>IF(AK76=0,FALSE,IF(COUNTIF(AK$7:AK76,AK76)&gt;1,TRUE,FALSE))</f>
        <v>0</v>
      </c>
      <c r="AM76" s="212">
        <f t="shared" ref="AM76" si="792">IF(COUNTIF(Y76,"*七種*")&gt;0,0,IF($AD76=AM$6,$E75,0))</f>
        <v>0</v>
      </c>
      <c r="AN76" s="212" t="b">
        <f>IF(AM76=0,FALSE,IF(COUNTIF(AM$7:AM76,AM76)&gt;1,TRUE,FALSE))</f>
        <v>0</v>
      </c>
      <c r="AO76" s="212">
        <f t="shared" ref="AO76" si="793">IF($AD76=AO$6,$E75,0)</f>
        <v>0</v>
      </c>
      <c r="AP76" s="212" t="b">
        <f>IF(AO76=0,FALSE,IF(COUNTIF(AO$7:AO76,AO76)&gt;1,TRUE,FALSE))</f>
        <v>0</v>
      </c>
      <c r="AQ76" s="212">
        <f t="shared" ref="AQ76" si="794">IF(COUNTIF(Y76,"*七種競技*")&gt;0,E75,0)</f>
        <v>0</v>
      </c>
      <c r="AR76" s="212" t="b">
        <f t="shared" si="744"/>
        <v>0</v>
      </c>
      <c r="AT76" s="212" t="b">
        <f t="shared" si="757"/>
        <v>0</v>
      </c>
      <c r="AX76" s="274"/>
      <c r="BD76" s="212" t="b">
        <f t="shared" si="731"/>
        <v>0</v>
      </c>
      <c r="BF76" s="212" t="b">
        <f t="shared" ref="BF76" si="795">IF(J76="",FALSE,IF(OR(AND(AU75,L76=""),AND(AU75,L76="",OR(M76&lt;&gt;"",N76&lt;&gt;"",O76&lt;&gt;"",P76&lt;&gt;""))),TRUE,FALSE))</f>
        <v>0</v>
      </c>
      <c r="BG76" s="212" t="b">
        <f t="shared" si="733"/>
        <v>0</v>
      </c>
      <c r="BH76" s="212" t="b">
        <f t="shared" si="746"/>
        <v>0</v>
      </c>
      <c r="BI76" s="212" t="b">
        <f t="shared" ref="BI76" si="796">IF(J76="",FALSE,IF(L76=0,FALSE,IF(AND(AU75,NOT(BF76),OR(M76="",N76="",O76="")),TRUE,FALSE)))</f>
        <v>0</v>
      </c>
      <c r="BJ76" s="231" t="b">
        <f t="shared" si="748"/>
        <v>0</v>
      </c>
      <c r="BK76" s="231" t="b">
        <f>IF(NOT(BJ76),FALSE,IF(AND(競技会設定!$C$5&lt;=BJ76,BJ76&lt;=競技会設定!$C$6),FALSE,TRUE))</f>
        <v>0</v>
      </c>
      <c r="BL76" s="212" t="b">
        <f>IF(J76="",FALSE,IF(L76=0,FALSE,IF(AND(AU75,NOT(BF76),NOT(BI76),P76=""),TRUE,FALSE)))</f>
        <v>0</v>
      </c>
    </row>
    <row r="77" spans="1:67" ht="17.399999999999999" customHeight="1">
      <c r="A77" s="462"/>
      <c r="B77" s="374"/>
      <c r="C77" s="376"/>
      <c r="D77" s="160"/>
      <c r="E77" s="452" t="str">
        <f>IF(C75="","",VLOOKUP(D75,女子登録!$A$2:$O$2001,14,0)&amp;" ("&amp;VLOOKUP(D75,女子登録!$A$2:$O$2001,15,0)&amp;")")</f>
        <v/>
      </c>
      <c r="F77" s="453"/>
      <c r="G77" s="160" t="str">
        <f>IF(C75="","",(VLOOKUP(D75,女子登録!$A$2:$N$2001,9,0)))</f>
        <v/>
      </c>
      <c r="H77" s="160"/>
      <c r="I77" s="160" t="s">
        <v>7063</v>
      </c>
      <c r="J77" s="176"/>
      <c r="K77" s="160" t="s">
        <v>7064</v>
      </c>
      <c r="L77" s="176"/>
      <c r="M77" s="264"/>
      <c r="N77" s="265"/>
      <c r="O77" s="266"/>
      <c r="P77" s="175"/>
      <c r="Q77" s="449"/>
      <c r="R77" s="409"/>
      <c r="S77" s="136"/>
      <c r="T77" s="137"/>
      <c r="U77" s="137"/>
      <c r="V77" s="137"/>
      <c r="W77" s="137"/>
      <c r="X77" s="137"/>
      <c r="Y77" s="212">
        <f t="shared" ref="Y77" si="797">IF(OR(E75="",J77=""),0,J77&amp;E75)</f>
        <v>0</v>
      </c>
      <c r="Z77" s="212">
        <f>IF(Y77=0,0,COUNTIF($Y$7:Y77,Y77))</f>
        <v>0</v>
      </c>
      <c r="AD77" s="212">
        <f>IFERROR(VLOOKUP(J77,競技会設定!$T$2:$W$22,2,0),0)</f>
        <v>0</v>
      </c>
      <c r="AE77" s="212">
        <f t="shared" ref="AE77" si="798">IF(E75="",0,IF(AD77=0,0,IF(AD77&lt;3,E75&amp;$AE$6,0)))</f>
        <v>0</v>
      </c>
      <c r="AF77" s="212">
        <f>IF(AE77=0,0,E75&amp;COUNTIF($AE$7:AE77,AE77))</f>
        <v>0</v>
      </c>
      <c r="AG77" s="212">
        <f t="shared" ref="AG77" si="799">IF(E75="",0,IF(AD77=0,0,IF(AD77&gt;=3,E75&amp;$AG$6,0)))</f>
        <v>0</v>
      </c>
      <c r="AH77" s="212">
        <f>IF(AG77=0,0,E75&amp;COUNTIF($AG$7:AG77,AG77))</f>
        <v>0</v>
      </c>
      <c r="AI77" s="212">
        <f t="shared" ref="AI77" si="800">IF($AD77=AI$6,$E75,0)</f>
        <v>0</v>
      </c>
      <c r="AJ77" s="212" t="b">
        <f>IF(AI77=0,FALSE,IF(COUNTIF(AI$7:AI77,AI77)&gt;1,TRUE,FALSE))</f>
        <v>0</v>
      </c>
      <c r="AK77" s="212">
        <f t="shared" ref="AK77" si="801">IF($AD77=AK$6,$E75,0)</f>
        <v>0</v>
      </c>
      <c r="AL77" s="212" t="b">
        <f>IF(AK77=0,FALSE,IF(COUNTIF(AK$7:AK77,AK77)&gt;1,TRUE,FALSE))</f>
        <v>0</v>
      </c>
      <c r="AM77" s="212">
        <f t="shared" ref="AM77" si="802">IF(COUNTIF(Y77,"*七種*")&gt;0,0,IF($AD77=AM$6,$E75,0))</f>
        <v>0</v>
      </c>
      <c r="AN77" s="212" t="b">
        <f>IF(AM77=0,FALSE,IF(COUNTIF(AM$7:AM77,AM77)&gt;1,TRUE,FALSE))</f>
        <v>0</v>
      </c>
      <c r="AO77" s="212">
        <f t="shared" ref="AO77" si="803">IF($AD77=AO$6,$E75,0)</f>
        <v>0</v>
      </c>
      <c r="AP77" s="212" t="b">
        <f>IF(AO77=0,FALSE,IF(COUNTIF(AO$7:AO77,AO77)&gt;1,TRUE,FALSE))</f>
        <v>0</v>
      </c>
      <c r="AQ77" s="212">
        <f t="shared" ref="AQ77" si="804">IF(COUNTIF(Y77,"*七種競技*")&gt;0,E75,0)</f>
        <v>0</v>
      </c>
      <c r="AR77" s="212" t="b">
        <f t="shared" si="744"/>
        <v>0</v>
      </c>
      <c r="AT77" s="212" t="b">
        <f t="shared" si="757"/>
        <v>0</v>
      </c>
      <c r="AX77" s="274"/>
      <c r="BD77" s="212" t="b">
        <f t="shared" si="731"/>
        <v>0</v>
      </c>
      <c r="BF77" s="212" t="b">
        <f t="shared" ref="BF77" si="805">IF(J77="",FALSE,IF(OR(AND(AU75,L77=""),AND(AU75,L77="",OR(M77&lt;&gt;"",N77&lt;&gt;"",O77&lt;&gt;"",P77&lt;&gt;""))),TRUE,FALSE))</f>
        <v>0</v>
      </c>
      <c r="BG77" s="212" t="b">
        <f t="shared" si="733"/>
        <v>0</v>
      </c>
      <c r="BH77" s="212" t="b">
        <f t="shared" si="746"/>
        <v>0</v>
      </c>
      <c r="BI77" s="212" t="b">
        <f t="shared" ref="BI77" si="806">IF(J77="",FALSE,IF(L77=0,FALSE,IF(AND(AU75,NOT(BF77),OR(M77="",N77="",O77="")),TRUE,FALSE)))</f>
        <v>0</v>
      </c>
      <c r="BJ77" s="231" t="b">
        <f t="shared" si="748"/>
        <v>0</v>
      </c>
      <c r="BK77" s="231" t="b">
        <f>IF(NOT(BJ77),FALSE,IF(AND(競技会設定!$C$5&lt;=BJ77,BJ77&lt;=競技会設定!$C$6),FALSE,TRUE))</f>
        <v>0</v>
      </c>
      <c r="BL77" s="212" t="b">
        <f>IF(J77="",FALSE,IF(L77=0,FALSE,IF(AND(AU75,NOT(BF77),NOT(BI77),P77=""),TRUE,FALSE)))</f>
        <v>0</v>
      </c>
    </row>
    <row r="78" spans="1:67" ht="18" customHeight="1" thickBot="1">
      <c r="A78" s="475"/>
      <c r="B78" s="387" t="s">
        <v>7051</v>
      </c>
      <c r="C78" s="387"/>
      <c r="D78" s="161"/>
      <c r="E78" s="467"/>
      <c r="F78" s="468"/>
      <c r="G78" s="469"/>
      <c r="H78" s="162"/>
      <c r="I78" s="161" t="s">
        <v>7065</v>
      </c>
      <c r="J78" s="177"/>
      <c r="K78" s="161" t="s">
        <v>7066</v>
      </c>
      <c r="L78" s="177"/>
      <c r="M78" s="267"/>
      <c r="N78" s="268"/>
      <c r="O78" s="269"/>
      <c r="P78" s="177"/>
      <c r="Q78" s="466"/>
      <c r="R78" s="410"/>
      <c r="S78" s="136"/>
      <c r="T78" s="137"/>
      <c r="U78" s="137"/>
      <c r="V78" s="137"/>
      <c r="W78" s="137"/>
      <c r="X78" s="137"/>
      <c r="Y78" s="212">
        <f t="shared" ref="Y78" si="807">IF(OR(E75="",J78=""),0,J78&amp;E75)</f>
        <v>0</v>
      </c>
      <c r="Z78" s="212">
        <f>IF(Y78=0,0,COUNTIF($Y$7:Y78,Y78))</f>
        <v>0</v>
      </c>
      <c r="AD78" s="212">
        <f>IFERROR(VLOOKUP(J78,競技会設定!$T$2:$W$22,2,0),0)</f>
        <v>0</v>
      </c>
      <c r="AE78" s="212">
        <f t="shared" ref="AE78" si="808">IF(E75="",0,IF(AD78=0,0,IF(AD78&lt;3,E75&amp;$AE$6,0)))</f>
        <v>0</v>
      </c>
      <c r="AF78" s="212">
        <f>IF(AE78=0,0,E75&amp;COUNTIF($AE$7:AE78,AE78))</f>
        <v>0</v>
      </c>
      <c r="AG78" s="212">
        <f t="shared" ref="AG78" si="809">IF(E75="",0,IF(AD78=0,0,IF(AD78&gt;=3,E75&amp;$AG$6,0)))</f>
        <v>0</v>
      </c>
      <c r="AH78" s="212">
        <f>IF(AG78=0,0,E75&amp;COUNTIF($AG$7:AG78,AG78))</f>
        <v>0</v>
      </c>
      <c r="AI78" s="212">
        <f t="shared" ref="AI78" si="810">IF($AD78=AI$6,$E75,0)</f>
        <v>0</v>
      </c>
      <c r="AJ78" s="212" t="b">
        <f>IF(AI78=0,FALSE,IF(COUNTIF(AI$7:AI78,AI78)&gt;1,TRUE,FALSE))</f>
        <v>0</v>
      </c>
      <c r="AK78" s="212">
        <f t="shared" ref="AK78" si="811">IF($AD78=AK$6,$E75,0)</f>
        <v>0</v>
      </c>
      <c r="AL78" s="212" t="b">
        <f>IF(AK78=0,FALSE,IF(COUNTIF(AK$7:AK78,AK78)&gt;1,TRUE,FALSE))</f>
        <v>0</v>
      </c>
      <c r="AM78" s="212">
        <f t="shared" ref="AM78" si="812">IF(COUNTIF(Y78,"*七種*")&gt;0,0,IF($AD78=AM$6,$E75,0))</f>
        <v>0</v>
      </c>
      <c r="AN78" s="212" t="b">
        <f>IF(AM78=0,FALSE,IF(COUNTIF(AM$7:AM78,AM78)&gt;1,TRUE,FALSE))</f>
        <v>0</v>
      </c>
      <c r="AO78" s="212">
        <f t="shared" ref="AO78" si="813">IF($AD78=AO$6,$E75,0)</f>
        <v>0</v>
      </c>
      <c r="AP78" s="212" t="b">
        <f>IF(AO78=0,FALSE,IF(COUNTIF(AO$7:AO78,AO78)&gt;1,TRUE,FALSE))</f>
        <v>0</v>
      </c>
      <c r="AQ78" s="212">
        <f t="shared" ref="AQ78" si="814">IF(COUNTIF(Y78,"*七種競技*")&gt;0,E75,0)</f>
        <v>0</v>
      </c>
      <c r="AR78" s="212" t="b">
        <f t="shared" si="744"/>
        <v>0</v>
      </c>
      <c r="AT78" s="212" t="b">
        <f t="shared" si="757"/>
        <v>0</v>
      </c>
      <c r="AX78" s="274"/>
      <c r="BD78" s="212" t="b">
        <f t="shared" si="731"/>
        <v>0</v>
      </c>
      <c r="BF78" s="212" t="b">
        <f t="shared" ref="BF78" si="815">IF(J78="",FALSE,IF(OR(AND(AU75,L78=""),AND(AU75,L78="",OR(M78&lt;&gt;"",N78&lt;&gt;"",O78&lt;&gt;"",P78&lt;&gt;""))),TRUE,FALSE))</f>
        <v>0</v>
      </c>
      <c r="BG78" s="212" t="b">
        <f t="shared" si="733"/>
        <v>0</v>
      </c>
      <c r="BH78" s="212" t="b">
        <f t="shared" si="746"/>
        <v>0</v>
      </c>
      <c r="BI78" s="212" t="b">
        <f t="shared" ref="BI78" si="816">IF(J78="",FALSE,IF(L78=0,FALSE,IF(AND(AU75,NOT(BF78),OR(M78="",N78="",O78="")),TRUE,FALSE)))</f>
        <v>0</v>
      </c>
      <c r="BJ78" s="231" t="b">
        <f t="shared" si="748"/>
        <v>0</v>
      </c>
      <c r="BK78" s="231" t="b">
        <f>IF(NOT(BJ78),FALSE,IF(AND(競技会設定!$C$5&lt;=BJ78,BJ78&lt;=競技会設定!$C$6),FALSE,TRUE))</f>
        <v>0</v>
      </c>
      <c r="BL78" s="212" t="b">
        <f>IF(J78="",FALSE,IF(L78=0,FALSE,IF(AND(AU75,NOT(BF78),NOT(BI78),P78=""),TRUE,FALSE)))</f>
        <v>0</v>
      </c>
    </row>
    <row r="79" spans="1:67" ht="18" customHeight="1" thickTop="1">
      <c r="A79" s="470">
        <v>19</v>
      </c>
      <c r="B79" s="401" t="s">
        <v>7050</v>
      </c>
      <c r="C79" s="403"/>
      <c r="D79" s="156" t="str">
        <f t="shared" ref="D79" si="817">IF(C79="","",502&amp;TEXT(C79,"000000"))</f>
        <v/>
      </c>
      <c r="E79" s="473" t="str">
        <f>IF(D79="","",(VLOOKUP(D79,女子登録!$A$2:$N$2001,3,0)))</f>
        <v/>
      </c>
      <c r="F79" s="473" t="str">
        <f>IF(D79="","",(VLOOKUP(D79,女子登録!$A$2:$N$2001,4,0)))</f>
        <v/>
      </c>
      <c r="G79" s="156" t="str">
        <f>IF(C79="","",(VLOOKUP(D79,女子登録!$A$2:$N$2001,8,0)))</f>
        <v/>
      </c>
      <c r="H79" s="156">
        <f>IFERROR(VLOOKUP(D79,女子登録!$A$2:$N$2001,11,0),基本情報!$E$5)</f>
        <v>0</v>
      </c>
      <c r="I79" s="156" t="s">
        <v>7059</v>
      </c>
      <c r="J79" s="170"/>
      <c r="K79" s="156" t="s">
        <v>7060</v>
      </c>
      <c r="L79" s="170"/>
      <c r="M79" s="252"/>
      <c r="N79" s="253"/>
      <c r="O79" s="254"/>
      <c r="P79" s="170"/>
      <c r="Q79" s="457"/>
      <c r="R79" s="414"/>
      <c r="S79" s="136">
        <f t="shared" ref="S79" si="818">IF(OR(E79="",Q79=""),0,E79)</f>
        <v>0</v>
      </c>
      <c r="T79" s="137">
        <f>IF(S79=0,0,COUNTIF($S$7:S79,"*"))</f>
        <v>0</v>
      </c>
      <c r="U79" s="137">
        <f>IF(S79=0,0,COUNTIF($S$7:S79,S79))</f>
        <v>0</v>
      </c>
      <c r="V79" s="137">
        <f t="shared" si="201"/>
        <v>0</v>
      </c>
      <c r="W79" s="137">
        <f>IF(V79=0,0,COUNTIF($V$7:V79,"*"))</f>
        <v>0</v>
      </c>
      <c r="X79" s="137">
        <f>IF(V79=0,0,COUNTIF($V$7:V79,V79))</f>
        <v>0</v>
      </c>
      <c r="Y79" s="212">
        <f t="shared" ref="Y79" si="819">IF(OR(E79="",J79=""),0,J79&amp;E79)</f>
        <v>0</v>
      </c>
      <c r="Z79" s="212">
        <f>IF(Y79=0,0,COUNTIF($Y$7:Y79,Y79))</f>
        <v>0</v>
      </c>
      <c r="AA79" s="212" t="b">
        <f>IF(COUNTIF(J79:J82,"七種競技")&gt;0,TRUE,FALSE)</f>
        <v>0</v>
      </c>
      <c r="AB79" s="212">
        <f>IF(E79="",0,IF(AA79,COUNTIF($AA$7:AA79,TRUE),0))</f>
        <v>0</v>
      </c>
      <c r="AC79" s="212">
        <f>IFERROR(VLOOKUP("七種競技",J79:L82,3,0),0)</f>
        <v>0</v>
      </c>
      <c r="AD79" s="212">
        <f>IFERROR(VLOOKUP(J79,競技会設定!$T$2:$W$22,2,0),0)</f>
        <v>0</v>
      </c>
      <c r="AE79" s="212">
        <f t="shared" ref="AE79" si="820">IF(E79="",0,IF(AD79=0,0,IF(AD79&lt;3,E79&amp;$AE$6,0)))</f>
        <v>0</v>
      </c>
      <c r="AF79" s="212">
        <f>IF(AE79=0,0,E79&amp;COUNTIF($AE$7:AE79,AE79))</f>
        <v>0</v>
      </c>
      <c r="AG79" s="212">
        <f t="shared" ref="AG79" si="821">IF(E79="",0,IF(AD79=0,0,IF(AD79&gt;=3,E79&amp;$AG$6,0)))</f>
        <v>0</v>
      </c>
      <c r="AH79" s="212">
        <f>IF(AG79=0,0,E79&amp;COUNTIF($AG$7:AG79,AG79))</f>
        <v>0</v>
      </c>
      <c r="AI79" s="212">
        <f t="shared" ref="AI79" si="822">IF($AD79=AI$6,$E79,0)</f>
        <v>0</v>
      </c>
      <c r="AJ79" s="212" t="b">
        <f>IF(AI79=0,FALSE,IF(COUNTIF(AI$7:AI79,AI79)&gt;1,TRUE,FALSE))</f>
        <v>0</v>
      </c>
      <c r="AK79" s="212">
        <f t="shared" ref="AK79" si="823">IF($AD79=AK$6,$E79,0)</f>
        <v>0</v>
      </c>
      <c r="AL79" s="212" t="b">
        <f>IF(AK79=0,FALSE,IF(COUNTIF(AK$7:AK79,AK79)&gt;1,TRUE,FALSE))</f>
        <v>0</v>
      </c>
      <c r="AM79" s="212">
        <f t="shared" ref="AM79" si="824">IF(COUNTIF(Y79,"*七種*")&gt;0,0,IF($AD79=AM$6,$E79,0))</f>
        <v>0</v>
      </c>
      <c r="AN79" s="212" t="b">
        <f>IF(AM79=0,FALSE,IF(COUNTIF(AM$7:AM79,AM79)&gt;1,TRUE,FALSE))</f>
        <v>0</v>
      </c>
      <c r="AO79" s="212">
        <f t="shared" ref="AO79" si="825">IF($AD79=AO$6,$E79,0)</f>
        <v>0</v>
      </c>
      <c r="AP79" s="212" t="b">
        <f>IF(AO79=0,FALSE,IF(COUNTIF(AO$7:AO79,AO79)&gt;1,TRUE,FALSE))</f>
        <v>0</v>
      </c>
      <c r="AQ79" s="212">
        <f t="shared" ref="AQ79" si="826">IF(COUNTIF(Y79,"*七種競技*")&gt;0,E79,0)</f>
        <v>0</v>
      </c>
      <c r="AR79" s="212" t="b">
        <f t="shared" si="744"/>
        <v>0</v>
      </c>
      <c r="AS79" s="212" t="b">
        <f t="shared" ref="AS79" si="827">IF(AND(C79="",E79&lt;&gt;"",F79&lt;&gt;"",E81&lt;&gt;"",G79&lt;&gt;"",G80&lt;&gt;"",G81&lt;&gt;""),TRUE,FALSE)</f>
        <v>0</v>
      </c>
      <c r="AT79" s="212" t="b">
        <f t="shared" si="757"/>
        <v>0</v>
      </c>
      <c r="AU79" s="212" t="b">
        <f>IFERROR(IF(E79&amp;F79&amp;E81&amp;G79&amp;G80&amp;G81&amp;J79&amp;J80&amp;J81&amp;J82&amp;L79&amp;L80&amp;L81&amp;L82&amp;M79&amp;M80&amp;M81&amp;M82&amp;P79&amp;P80&amp;P81&amp;P82&amp;Q79&amp;R79="",FALSE,TRUE),FALSE)</f>
        <v>0</v>
      </c>
      <c r="AV79" s="212" t="b">
        <f t="shared" ref="AV79" si="828">IF(AS79,FALSE,IF(C79="",AU79,FALSE))</f>
        <v>0</v>
      </c>
      <c r="AW79" s="212" t="b">
        <f t="shared" ref="AW79" si="829">IF(C79="",FALSE,IF(C79&lt;=2000,TRUE,FALSE))</f>
        <v>0</v>
      </c>
      <c r="AX79" s="274" t="b">
        <f>IF(H79=0,FALSE,IF(EXACT(基本情報!$E$5,H79)=TRUE,FALSE,TRUE))</f>
        <v>0</v>
      </c>
      <c r="AY79" s="212" t="b">
        <f>IF(C79="",FALSE,IF(ISNA(E79)=TRUE,TRUE,FALSE))</f>
        <v>0</v>
      </c>
      <c r="AZ79" s="274" t="b">
        <f>IFERROR(IF(E79="",FALSE,IF(COUNTIF($E$7:E79,E79)&gt;1,TRUE,FALSE)),FALSE)</f>
        <v>0</v>
      </c>
      <c r="BA79" s="212" t="b">
        <f t="shared" ref="BA79" si="830">IF(OR(J79&amp;J80&amp;J81&amp;J82&amp;Q79&amp;R79="",AT79,AT80,AT81,AT82),AU79,FALSE)</f>
        <v>0</v>
      </c>
      <c r="BB79" s="212" t="b">
        <f>IF(U79&gt;1,TRUE,FALSE)</f>
        <v>0</v>
      </c>
      <c r="BC79" s="212" t="b">
        <f>IF(X79&gt;1,TRUE,FALSE)</f>
        <v>0</v>
      </c>
      <c r="BD79" s="212" t="b">
        <f t="shared" si="731"/>
        <v>0</v>
      </c>
      <c r="BF79" s="212" t="b">
        <f t="shared" ref="BF79" si="831">IF(J79="",FALSE,IF(OR(AND(AU79,L79=""),AND(AU79,L79="",OR(M79&lt;&gt;"",N79&lt;&gt;"",O79&lt;&gt;"",P79&lt;&gt;""))),TRUE,FALSE))</f>
        <v>0</v>
      </c>
      <c r="BG79" s="212" t="b">
        <f t="shared" si="733"/>
        <v>0</v>
      </c>
      <c r="BH79" s="212" t="b">
        <f t="shared" si="746"/>
        <v>0</v>
      </c>
      <c r="BI79" s="212" t="b">
        <f t="shared" ref="BI79" si="832">IF(J79="",FALSE,IF(L79=0,FALSE,IF(AND(AU79,NOT(BF79),OR(M79="",N79="",O79="")),TRUE,FALSE)))</f>
        <v>0</v>
      </c>
      <c r="BJ79" s="231" t="b">
        <f t="shared" si="748"/>
        <v>0</v>
      </c>
      <c r="BK79" s="231" t="b">
        <f>IF(NOT(BJ79),FALSE,IF(AND(競技会設定!$C$5&lt;=BJ79,BJ79&lt;=競技会設定!$C$6),FALSE,TRUE))</f>
        <v>0</v>
      </c>
      <c r="BL79" s="212" t="b">
        <f>IF(J79="",FALSE,IF(L79=0,FALSE,IF(AND(AU79,NOT(BF79),NOT(BI79),P79=""),TRUE,FALSE)))</f>
        <v>0</v>
      </c>
      <c r="BO79" s="274">
        <f t="shared" ref="BO79" si="833">IF(AND(AU79,SUM(COUNTIF(AV79:BC79,TRUE),COUNTIF(BF79:BL82,TRUE),COUNTIF(BD79:BD82,TRUE))=0,NOT($BE$7)),1,0)</f>
        <v>0</v>
      </c>
    </row>
    <row r="80" spans="1:67" ht="17.399999999999999" customHeight="1">
      <c r="A80" s="471"/>
      <c r="B80" s="402"/>
      <c r="C80" s="404"/>
      <c r="D80" s="11"/>
      <c r="E80" s="474"/>
      <c r="F80" s="474"/>
      <c r="G80" s="11" t="str">
        <f>IF(C79="","",(VLOOKUP(D79,女子登録!$A$2:$N$2001,13,0)))</f>
        <v/>
      </c>
      <c r="H80" s="11"/>
      <c r="I80" s="11" t="s">
        <v>7061</v>
      </c>
      <c r="J80" s="171"/>
      <c r="K80" s="11" t="s">
        <v>7062</v>
      </c>
      <c r="L80" s="171"/>
      <c r="M80" s="255"/>
      <c r="N80" s="256"/>
      <c r="O80" s="257"/>
      <c r="P80" s="171"/>
      <c r="Q80" s="458"/>
      <c r="R80" s="415"/>
      <c r="S80" s="136"/>
      <c r="T80" s="137"/>
      <c r="U80" s="137"/>
      <c r="V80" s="137"/>
      <c r="W80" s="137"/>
      <c r="X80" s="137"/>
      <c r="Y80" s="212">
        <f t="shared" ref="Y80" si="834">IF(OR(E79="",J80=""),0,J80&amp;E79)</f>
        <v>0</v>
      </c>
      <c r="Z80" s="212">
        <f>IF(Y80=0,0,COUNTIF($Y$7:Y80,Y80))</f>
        <v>0</v>
      </c>
      <c r="AD80" s="212">
        <f>IFERROR(VLOOKUP(J80,競技会設定!$T$2:$W$22,2,0),0)</f>
        <v>0</v>
      </c>
      <c r="AE80" s="212">
        <f t="shared" ref="AE80" si="835">IF(E79="",0,IF(AD80=0,0,IF(AD80&lt;3,E79&amp;$AE$6,0)))</f>
        <v>0</v>
      </c>
      <c r="AF80" s="212">
        <f>IF(AE80=0,0,E79&amp;COUNTIF($AE$7:AE80,AE80))</f>
        <v>0</v>
      </c>
      <c r="AG80" s="212">
        <f t="shared" ref="AG80" si="836">IF(E79="",0,IF(AD80=0,0,IF(AD80&gt;=3,E79&amp;$AG$6,0)))</f>
        <v>0</v>
      </c>
      <c r="AH80" s="212">
        <f>IF(AG80=0,0,E79&amp;COUNTIF($AG$7:AG80,AG80))</f>
        <v>0</v>
      </c>
      <c r="AI80" s="212">
        <f t="shared" ref="AI80" si="837">IF($AD80=AI$6,$E79,0)</f>
        <v>0</v>
      </c>
      <c r="AJ80" s="212" t="b">
        <f>IF(AI80=0,FALSE,IF(COUNTIF(AI$7:AI80,AI80)&gt;1,TRUE,FALSE))</f>
        <v>0</v>
      </c>
      <c r="AK80" s="212">
        <f t="shared" ref="AK80" si="838">IF($AD80=AK$6,$E79,0)</f>
        <v>0</v>
      </c>
      <c r="AL80" s="212" t="b">
        <f>IF(AK80=0,FALSE,IF(COUNTIF(AK$7:AK80,AK80)&gt;1,TRUE,FALSE))</f>
        <v>0</v>
      </c>
      <c r="AM80" s="212">
        <f t="shared" ref="AM80" si="839">IF(COUNTIF(Y80,"*七種*")&gt;0,0,IF($AD80=AM$6,$E79,0))</f>
        <v>0</v>
      </c>
      <c r="AN80" s="212" t="b">
        <f>IF(AM80=0,FALSE,IF(COUNTIF(AM$7:AM80,AM80)&gt;1,TRUE,FALSE))</f>
        <v>0</v>
      </c>
      <c r="AO80" s="212">
        <f t="shared" ref="AO80" si="840">IF($AD80=AO$6,$E79,0)</f>
        <v>0</v>
      </c>
      <c r="AP80" s="212" t="b">
        <f>IF(AO80=0,FALSE,IF(COUNTIF(AO$7:AO80,AO80)&gt;1,TRUE,FALSE))</f>
        <v>0</v>
      </c>
      <c r="AQ80" s="212">
        <f t="shared" ref="AQ80" si="841">IF(COUNTIF(Y80,"*七種競技*")&gt;0,E79,0)</f>
        <v>0</v>
      </c>
      <c r="AR80" s="212" t="b">
        <f t="shared" si="744"/>
        <v>0</v>
      </c>
      <c r="AT80" s="212" t="b">
        <f t="shared" si="757"/>
        <v>0</v>
      </c>
      <c r="AX80" s="274"/>
      <c r="BD80" s="212" t="b">
        <f t="shared" si="731"/>
        <v>0</v>
      </c>
      <c r="BF80" s="212" t="b">
        <f t="shared" ref="BF80" si="842">IF(J80="",FALSE,IF(OR(AND(AU79,L80=""),AND(AU79,L80="",OR(M80&lt;&gt;"",N80&lt;&gt;"",O80&lt;&gt;"",P80&lt;&gt;""))),TRUE,FALSE))</f>
        <v>0</v>
      </c>
      <c r="BG80" s="212" t="b">
        <f t="shared" si="733"/>
        <v>0</v>
      </c>
      <c r="BH80" s="212" t="b">
        <f t="shared" si="746"/>
        <v>0</v>
      </c>
      <c r="BI80" s="212" t="b">
        <f t="shared" ref="BI80" si="843">IF(J80="",FALSE,IF(L80=0,FALSE,IF(AND(AU79,NOT(BF80),OR(M80="",N80="",O80="")),TRUE,FALSE)))</f>
        <v>0</v>
      </c>
      <c r="BJ80" s="231" t="b">
        <f t="shared" si="748"/>
        <v>0</v>
      </c>
      <c r="BK80" s="231" t="b">
        <f>IF(NOT(BJ80),FALSE,IF(AND(競技会設定!$C$5&lt;=BJ80,BJ80&lt;=競技会設定!$C$6),FALSE,TRUE))</f>
        <v>0</v>
      </c>
      <c r="BL80" s="212" t="b">
        <f>IF(J80="",FALSE,IF(L80=0,FALSE,IF(AND(AU79,NOT(BF80),NOT(BI80),P80=""),TRUE,FALSE)))</f>
        <v>0</v>
      </c>
    </row>
    <row r="81" spans="1:67" ht="17.399999999999999" customHeight="1">
      <c r="A81" s="471"/>
      <c r="B81" s="402"/>
      <c r="C81" s="404"/>
      <c r="D81" s="11"/>
      <c r="E81" s="348" t="str">
        <f>IF(C79="","",VLOOKUP(D79,女子登録!$A$2:$O$2001,14,0)&amp;" ("&amp;VLOOKUP(D79,女子登録!$A$2:$O$2001,15,0)&amp;")")</f>
        <v/>
      </c>
      <c r="F81" s="348"/>
      <c r="G81" s="13" t="str">
        <f>IF(C79="","",(VLOOKUP(D79,女子登録!$A$2:$N$2001,9,0)))</f>
        <v/>
      </c>
      <c r="H81" s="13"/>
      <c r="I81" s="13" t="s">
        <v>7063</v>
      </c>
      <c r="J81" s="172"/>
      <c r="K81" s="13" t="s">
        <v>7064</v>
      </c>
      <c r="L81" s="172"/>
      <c r="M81" s="255"/>
      <c r="N81" s="256"/>
      <c r="O81" s="257"/>
      <c r="P81" s="171"/>
      <c r="Q81" s="458"/>
      <c r="R81" s="415"/>
      <c r="S81" s="136"/>
      <c r="T81" s="137"/>
      <c r="U81" s="137"/>
      <c r="V81" s="137"/>
      <c r="W81" s="137"/>
      <c r="X81" s="137"/>
      <c r="Y81" s="212">
        <f t="shared" ref="Y81" si="844">IF(OR(E79="",J81=""),0,J81&amp;E79)</f>
        <v>0</v>
      </c>
      <c r="Z81" s="212">
        <f>IF(Y81=0,0,COUNTIF($Y$7:Y81,Y81))</f>
        <v>0</v>
      </c>
      <c r="AD81" s="212">
        <f>IFERROR(VLOOKUP(J81,競技会設定!$T$2:$W$22,2,0),0)</f>
        <v>0</v>
      </c>
      <c r="AE81" s="212">
        <f t="shared" ref="AE81" si="845">IF(E79="",0,IF(AD81=0,0,IF(AD81&lt;3,E79&amp;$AE$6,0)))</f>
        <v>0</v>
      </c>
      <c r="AF81" s="212">
        <f>IF(AE81=0,0,E79&amp;COUNTIF($AE$7:AE81,AE81))</f>
        <v>0</v>
      </c>
      <c r="AG81" s="212">
        <f t="shared" ref="AG81" si="846">IF(E79="",0,IF(AD81=0,0,IF(AD81&gt;=3,E79&amp;$AG$6,0)))</f>
        <v>0</v>
      </c>
      <c r="AH81" s="212">
        <f>IF(AG81=0,0,E79&amp;COUNTIF($AG$7:AG81,AG81))</f>
        <v>0</v>
      </c>
      <c r="AI81" s="212">
        <f t="shared" ref="AI81" si="847">IF($AD81=AI$6,$E79,0)</f>
        <v>0</v>
      </c>
      <c r="AJ81" s="212" t="b">
        <f>IF(AI81=0,FALSE,IF(COUNTIF(AI$7:AI81,AI81)&gt;1,TRUE,FALSE))</f>
        <v>0</v>
      </c>
      <c r="AK81" s="212">
        <f t="shared" ref="AK81" si="848">IF($AD81=AK$6,$E79,0)</f>
        <v>0</v>
      </c>
      <c r="AL81" s="212" t="b">
        <f>IF(AK81=0,FALSE,IF(COUNTIF(AK$7:AK81,AK81)&gt;1,TRUE,FALSE))</f>
        <v>0</v>
      </c>
      <c r="AM81" s="212">
        <f t="shared" ref="AM81" si="849">IF(COUNTIF(Y81,"*七種*")&gt;0,0,IF($AD81=AM$6,$E79,0))</f>
        <v>0</v>
      </c>
      <c r="AN81" s="212" t="b">
        <f>IF(AM81=0,FALSE,IF(COUNTIF(AM$7:AM81,AM81)&gt;1,TRUE,FALSE))</f>
        <v>0</v>
      </c>
      <c r="AO81" s="212">
        <f t="shared" ref="AO81" si="850">IF($AD81=AO$6,$E79,0)</f>
        <v>0</v>
      </c>
      <c r="AP81" s="212" t="b">
        <f>IF(AO81=0,FALSE,IF(COUNTIF(AO$7:AO81,AO81)&gt;1,TRUE,FALSE))</f>
        <v>0</v>
      </c>
      <c r="AQ81" s="212">
        <f t="shared" ref="AQ81" si="851">IF(COUNTIF(Y81,"*七種競技*")&gt;0,E79,0)</f>
        <v>0</v>
      </c>
      <c r="AR81" s="212" t="b">
        <f t="shared" si="744"/>
        <v>0</v>
      </c>
      <c r="AT81" s="212" t="b">
        <f t="shared" si="757"/>
        <v>0</v>
      </c>
      <c r="AX81" s="274"/>
      <c r="BD81" s="212" t="b">
        <f t="shared" si="731"/>
        <v>0</v>
      </c>
      <c r="BF81" s="212" t="b">
        <f t="shared" ref="BF81" si="852">IF(J81="",FALSE,IF(OR(AND(AU79,L81=""),AND(AU79,L81="",OR(M81&lt;&gt;"",N81&lt;&gt;"",O81&lt;&gt;"",P81&lt;&gt;""))),TRUE,FALSE))</f>
        <v>0</v>
      </c>
      <c r="BG81" s="212" t="b">
        <f t="shared" si="733"/>
        <v>0</v>
      </c>
      <c r="BH81" s="212" t="b">
        <f t="shared" si="746"/>
        <v>0</v>
      </c>
      <c r="BI81" s="212" t="b">
        <f t="shared" ref="BI81" si="853">IF(J81="",FALSE,IF(L81=0,FALSE,IF(AND(AU79,NOT(BF81),OR(M81="",N81="",O81="")),TRUE,FALSE)))</f>
        <v>0</v>
      </c>
      <c r="BJ81" s="231" t="b">
        <f t="shared" si="748"/>
        <v>0</v>
      </c>
      <c r="BK81" s="231" t="b">
        <f>IF(NOT(BJ81),FALSE,IF(AND(競技会設定!$C$5&lt;=BJ81,BJ81&lt;=競技会設定!$C$6),FALSE,TRUE))</f>
        <v>0</v>
      </c>
      <c r="BL81" s="212" t="b">
        <f>IF(J81="",FALSE,IF(L81=0,FALSE,IF(AND(AU79,NOT(BF81),NOT(BI81),P81=""),TRUE,FALSE)))</f>
        <v>0</v>
      </c>
    </row>
    <row r="82" spans="1:67" ht="18" customHeight="1" thickBot="1">
      <c r="A82" s="472"/>
      <c r="B82" s="395" t="s">
        <v>7051</v>
      </c>
      <c r="C82" s="395"/>
      <c r="D82" s="11"/>
      <c r="E82" s="460"/>
      <c r="F82" s="460"/>
      <c r="G82" s="460"/>
      <c r="H82" s="157"/>
      <c r="I82" s="157" t="s">
        <v>7065</v>
      </c>
      <c r="J82" s="173"/>
      <c r="K82" s="157" t="s">
        <v>7066</v>
      </c>
      <c r="L82" s="173"/>
      <c r="M82" s="258"/>
      <c r="N82" s="259"/>
      <c r="O82" s="260"/>
      <c r="P82" s="173"/>
      <c r="Q82" s="459"/>
      <c r="R82" s="416"/>
      <c r="S82" s="136"/>
      <c r="T82" s="137"/>
      <c r="U82" s="137"/>
      <c r="V82" s="137"/>
      <c r="W82" s="137"/>
      <c r="X82" s="137"/>
      <c r="Y82" s="212">
        <f t="shared" ref="Y82" si="854">IF(OR(E79="",J82=""),0,J82&amp;E79)</f>
        <v>0</v>
      </c>
      <c r="Z82" s="212">
        <f>IF(Y82=0,0,COUNTIF($Y$7:Y82,Y82))</f>
        <v>0</v>
      </c>
      <c r="AD82" s="212">
        <f>IFERROR(VLOOKUP(J82,競技会設定!$T$2:$W$22,2,0),0)</f>
        <v>0</v>
      </c>
      <c r="AE82" s="212">
        <f t="shared" ref="AE82" si="855">IF(E79="",0,IF(AD82=0,0,IF(AD82&lt;3,E79&amp;$AE$6,0)))</f>
        <v>0</v>
      </c>
      <c r="AF82" s="212">
        <f>IF(AE82=0,0,E79&amp;COUNTIF($AE$7:AE82,AE82))</f>
        <v>0</v>
      </c>
      <c r="AG82" s="212">
        <f t="shared" ref="AG82" si="856">IF(E79="",0,IF(AD82=0,0,IF(AD82&gt;=3,E79&amp;$AG$6,0)))</f>
        <v>0</v>
      </c>
      <c r="AH82" s="212">
        <f>IF(AG82=0,0,E79&amp;COUNTIF($AG$7:AG82,AG82))</f>
        <v>0</v>
      </c>
      <c r="AI82" s="212">
        <f t="shared" ref="AI82" si="857">IF($AD82=AI$6,$E79,0)</f>
        <v>0</v>
      </c>
      <c r="AJ82" s="212" t="b">
        <f>IF(AI82=0,FALSE,IF(COUNTIF(AI$7:AI82,AI82)&gt;1,TRUE,FALSE))</f>
        <v>0</v>
      </c>
      <c r="AK82" s="212">
        <f t="shared" ref="AK82" si="858">IF($AD82=AK$6,$E79,0)</f>
        <v>0</v>
      </c>
      <c r="AL82" s="212" t="b">
        <f>IF(AK82=0,FALSE,IF(COUNTIF(AK$7:AK82,AK82)&gt;1,TRUE,FALSE))</f>
        <v>0</v>
      </c>
      <c r="AM82" s="212">
        <f t="shared" ref="AM82" si="859">IF(COUNTIF(Y82,"*七種*")&gt;0,0,IF($AD82=AM$6,$E79,0))</f>
        <v>0</v>
      </c>
      <c r="AN82" s="212" t="b">
        <f>IF(AM82=0,FALSE,IF(COUNTIF(AM$7:AM82,AM82)&gt;1,TRUE,FALSE))</f>
        <v>0</v>
      </c>
      <c r="AO82" s="212">
        <f t="shared" ref="AO82" si="860">IF($AD82=AO$6,$E79,0)</f>
        <v>0</v>
      </c>
      <c r="AP82" s="212" t="b">
        <f>IF(AO82=0,FALSE,IF(COUNTIF(AO$7:AO82,AO82)&gt;1,TRUE,FALSE))</f>
        <v>0</v>
      </c>
      <c r="AQ82" s="212">
        <f t="shared" ref="AQ82" si="861">IF(COUNTIF(Y82,"*七種競技*")&gt;0,E79,0)</f>
        <v>0</v>
      </c>
      <c r="AR82" s="212" t="b">
        <f t="shared" si="744"/>
        <v>0</v>
      </c>
      <c r="AT82" s="212" t="b">
        <f t="shared" si="757"/>
        <v>0</v>
      </c>
      <c r="AX82" s="274"/>
      <c r="BD82" s="212" t="b">
        <f t="shared" si="731"/>
        <v>0</v>
      </c>
      <c r="BF82" s="212" t="b">
        <f t="shared" ref="BF82" si="862">IF(J82="",FALSE,IF(OR(AND(AU79,L82=""),AND(AU79,L82="",OR(M82&lt;&gt;"",N82&lt;&gt;"",O82&lt;&gt;"",P82&lt;&gt;""))),TRUE,FALSE))</f>
        <v>0</v>
      </c>
      <c r="BG82" s="212" t="b">
        <f t="shared" si="733"/>
        <v>0</v>
      </c>
      <c r="BH82" s="212" t="b">
        <f t="shared" si="746"/>
        <v>0</v>
      </c>
      <c r="BI82" s="212" t="b">
        <f t="shared" ref="BI82" si="863">IF(J82="",FALSE,IF(L82=0,FALSE,IF(AND(AU79,NOT(BF82),OR(M82="",N82="",O82="")),TRUE,FALSE)))</f>
        <v>0</v>
      </c>
      <c r="BJ82" s="231" t="b">
        <f t="shared" si="748"/>
        <v>0</v>
      </c>
      <c r="BK82" s="231" t="b">
        <f>IF(NOT(BJ82),FALSE,IF(AND(競技会設定!$C$5&lt;=BJ82,BJ82&lt;=競技会設定!$C$6),FALSE,TRUE))</f>
        <v>0</v>
      </c>
      <c r="BL82" s="212" t="b">
        <f>IF(J82="",FALSE,IF(L82=0,FALSE,IF(AND(AU79,NOT(BF82),NOT(BI82),P82=""),TRUE,FALSE)))</f>
        <v>0</v>
      </c>
    </row>
    <row r="83" spans="1:67" ht="18" customHeight="1" thickTop="1">
      <c r="A83" s="461">
        <v>20</v>
      </c>
      <c r="B83" s="373" t="s">
        <v>4018</v>
      </c>
      <c r="C83" s="375"/>
      <c r="D83" s="158" t="str">
        <f t="shared" ref="D83" si="864">IF(C83="","",502&amp;TEXT(C83,"000000"))</f>
        <v/>
      </c>
      <c r="E83" s="464" t="str">
        <f>IF(D83="","",(VLOOKUP(D83,女子登録!$A$2:$N$2001,3,0)))</f>
        <v/>
      </c>
      <c r="F83" s="464" t="str">
        <f>IF(D83="","",(VLOOKUP(D83,女子登録!$A$2:$N$2001,4,0)))</f>
        <v/>
      </c>
      <c r="G83" s="158" t="str">
        <f>IF(C83="","",(VLOOKUP(D83,女子登録!$A$2:$N$2001,8,0)))</f>
        <v/>
      </c>
      <c r="H83" s="158">
        <f>IFERROR(VLOOKUP(D83,女子登録!$A$2:$N$2001,11,0),基本情報!$E$5)</f>
        <v>0</v>
      </c>
      <c r="I83" s="158" t="s">
        <v>4019</v>
      </c>
      <c r="J83" s="174"/>
      <c r="K83" s="158" t="s">
        <v>4022</v>
      </c>
      <c r="L83" s="174"/>
      <c r="M83" s="261"/>
      <c r="N83" s="262"/>
      <c r="O83" s="263"/>
      <c r="P83" s="174"/>
      <c r="Q83" s="448"/>
      <c r="R83" s="408"/>
      <c r="S83" s="136">
        <f t="shared" ref="S83" si="865">IF(OR(E83="",Q83=""),0,E83)</f>
        <v>0</v>
      </c>
      <c r="T83" s="137">
        <f>IF(S83=0,0,COUNTIF($S$7:S83,"*"))</f>
        <v>0</v>
      </c>
      <c r="U83" s="137">
        <f>IF(S83=0,0,COUNTIF($S$7:S83,S83))</f>
        <v>0</v>
      </c>
      <c r="V83" s="137">
        <f t="shared" si="201"/>
        <v>0</v>
      </c>
      <c r="W83" s="137">
        <f>IF(V83=0,0,COUNTIF($V$7:V83,"*"))</f>
        <v>0</v>
      </c>
      <c r="X83" s="137">
        <f>IF(V83=0,0,COUNTIF($V$7:V83,V83))</f>
        <v>0</v>
      </c>
      <c r="Y83" s="212">
        <f t="shared" ref="Y83" si="866">IF(OR(E83="",J83=""),0,J83&amp;E83)</f>
        <v>0</v>
      </c>
      <c r="Z83" s="212">
        <f>IF(Y83=0,0,COUNTIF($Y$7:Y83,Y83))</f>
        <v>0</v>
      </c>
      <c r="AA83" s="212" t="b">
        <f>IF(COUNTIF(J83:J86,"七種競技")&gt;0,TRUE,FALSE)</f>
        <v>0</v>
      </c>
      <c r="AB83" s="212">
        <f>IF(E83="",0,IF(AA83,COUNTIF($AA$7:AA83,TRUE),0))</f>
        <v>0</v>
      </c>
      <c r="AC83" s="212">
        <f>IFERROR(VLOOKUP("七種競技",J83:L86,3,0),0)</f>
        <v>0</v>
      </c>
      <c r="AD83" s="212">
        <f>IFERROR(VLOOKUP(J83,競技会設定!$T$2:$W$22,2,0),0)</f>
        <v>0</v>
      </c>
      <c r="AE83" s="212">
        <f t="shared" ref="AE83" si="867">IF(E83="",0,IF(AD83=0,0,IF(AD83&lt;3,E83&amp;$AE$6,0)))</f>
        <v>0</v>
      </c>
      <c r="AF83" s="212">
        <f>IF(AE83=0,0,E83&amp;COUNTIF($AE$7:AE83,AE83))</f>
        <v>0</v>
      </c>
      <c r="AG83" s="212">
        <f t="shared" ref="AG83" si="868">IF(E83="",0,IF(AD83=0,0,IF(AD83&gt;=3,E83&amp;$AG$6,0)))</f>
        <v>0</v>
      </c>
      <c r="AH83" s="212">
        <f>IF(AG83=0,0,E83&amp;COUNTIF($AG$7:AG83,AG83))</f>
        <v>0</v>
      </c>
      <c r="AI83" s="212">
        <f t="shared" ref="AI83" si="869">IF($AD83=AI$6,$E83,0)</f>
        <v>0</v>
      </c>
      <c r="AJ83" s="212" t="b">
        <f>IF(AI83=0,FALSE,IF(COUNTIF(AI$7:AI83,AI83)&gt;1,TRUE,FALSE))</f>
        <v>0</v>
      </c>
      <c r="AK83" s="212">
        <f t="shared" ref="AK83" si="870">IF($AD83=AK$6,$E83,0)</f>
        <v>0</v>
      </c>
      <c r="AL83" s="212" t="b">
        <f>IF(AK83=0,FALSE,IF(COUNTIF(AK$7:AK83,AK83)&gt;1,TRUE,FALSE))</f>
        <v>0</v>
      </c>
      <c r="AM83" s="212">
        <f t="shared" ref="AM83" si="871">IF(COUNTIF(Y83,"*七種*")&gt;0,0,IF($AD83=AM$6,$E83,0))</f>
        <v>0</v>
      </c>
      <c r="AN83" s="212" t="b">
        <f>IF(AM83=0,FALSE,IF(COUNTIF(AM$7:AM83,AM83)&gt;1,TRUE,FALSE))</f>
        <v>0</v>
      </c>
      <c r="AO83" s="212">
        <f t="shared" ref="AO83" si="872">IF($AD83=AO$6,$E83,0)</f>
        <v>0</v>
      </c>
      <c r="AP83" s="212" t="b">
        <f>IF(AO83=0,FALSE,IF(COUNTIF(AO$7:AO83,AO83)&gt;1,TRUE,FALSE))</f>
        <v>0</v>
      </c>
      <c r="AQ83" s="212">
        <f t="shared" ref="AQ83" si="873">IF(COUNTIF(Y83,"*七種競技*")&gt;0,E83,0)</f>
        <v>0</v>
      </c>
      <c r="AR83" s="212" t="b">
        <f t="shared" si="744"/>
        <v>0</v>
      </c>
      <c r="AS83" s="212" t="b">
        <f t="shared" ref="AS83" si="874">IF(AND(C83="",E83&lt;&gt;"",F83&lt;&gt;"",E85&lt;&gt;"",G83&lt;&gt;"",G84&lt;&gt;"",G85&lt;&gt;""),TRUE,FALSE)</f>
        <v>0</v>
      </c>
      <c r="AT83" s="212" t="b">
        <f t="shared" si="757"/>
        <v>0</v>
      </c>
      <c r="AU83" s="212" t="b">
        <f>IFERROR(IF(E83&amp;F83&amp;E85&amp;G83&amp;G84&amp;G85&amp;J83&amp;J84&amp;J85&amp;J86&amp;L83&amp;L84&amp;L85&amp;L86&amp;M83&amp;M84&amp;M85&amp;M86&amp;P83&amp;P84&amp;P85&amp;P86&amp;Q83&amp;R83="",FALSE,TRUE),FALSE)</f>
        <v>0</v>
      </c>
      <c r="AV83" s="212" t="b">
        <f t="shared" ref="AV83" si="875">IF(AS83,FALSE,IF(C83="",AU83,FALSE))</f>
        <v>0</v>
      </c>
      <c r="AW83" s="212" t="b">
        <f t="shared" ref="AW83" si="876">IF(C83="",FALSE,IF(C83&lt;=2000,TRUE,FALSE))</f>
        <v>0</v>
      </c>
      <c r="AX83" s="274" t="b">
        <f>IF(H83=0,FALSE,IF(EXACT(基本情報!$E$5,H83)=TRUE,FALSE,TRUE))</f>
        <v>0</v>
      </c>
      <c r="AY83" s="212" t="b">
        <f>IF(C83="",FALSE,IF(ISNA(E83)=TRUE,TRUE,FALSE))</f>
        <v>0</v>
      </c>
      <c r="AZ83" s="274" t="b">
        <f>IFERROR(IF(E83="",FALSE,IF(COUNTIF($E$7:E83,E83)&gt;1,TRUE,FALSE)),FALSE)</f>
        <v>0</v>
      </c>
      <c r="BA83" s="212" t="b">
        <f t="shared" ref="BA83" si="877">IF(OR(J83&amp;J84&amp;J85&amp;J86&amp;Q83&amp;R83="",AT83,AT84,AT85,AT86),AU83,FALSE)</f>
        <v>0</v>
      </c>
      <c r="BB83" s="212" t="b">
        <f>IF(U83&gt;1,TRUE,FALSE)</f>
        <v>0</v>
      </c>
      <c r="BC83" s="212" t="b">
        <f>IF(X83&gt;1,TRUE,FALSE)</f>
        <v>0</v>
      </c>
      <c r="BD83" s="212" t="b">
        <f t="shared" si="731"/>
        <v>0</v>
      </c>
      <c r="BF83" s="212" t="b">
        <f t="shared" ref="BF83" si="878">IF(J83="",FALSE,IF(OR(AND(AU83,L83=""),AND(AU83,L83="",OR(M83&lt;&gt;"",N83&lt;&gt;"",O83&lt;&gt;"",P83&lt;&gt;""))),TRUE,FALSE))</f>
        <v>0</v>
      </c>
      <c r="BG83" s="212" t="b">
        <f t="shared" si="733"/>
        <v>0</v>
      </c>
      <c r="BH83" s="212" t="b">
        <f t="shared" si="746"/>
        <v>0</v>
      </c>
      <c r="BI83" s="212" t="b">
        <f t="shared" ref="BI83" si="879">IF(J83="",FALSE,IF(L83=0,FALSE,IF(AND(AU83,NOT(BF83),OR(M83="",N83="",O83="")),TRUE,FALSE)))</f>
        <v>0</v>
      </c>
      <c r="BJ83" s="231" t="b">
        <f t="shared" si="748"/>
        <v>0</v>
      </c>
      <c r="BK83" s="231" t="b">
        <f>IF(NOT(BJ83),FALSE,IF(AND(競技会設定!$C$5&lt;=BJ83,BJ83&lt;=競技会設定!$C$6),FALSE,TRUE))</f>
        <v>0</v>
      </c>
      <c r="BL83" s="212" t="b">
        <f>IF(J83="",FALSE,IF(L83=0,FALSE,IF(AND(AU83,NOT(BF83),NOT(BI83),P83=""),TRUE,FALSE)))</f>
        <v>0</v>
      </c>
      <c r="BO83" s="274">
        <f t="shared" ref="BO83" si="880">IF(AND(AU83,SUM(COUNTIF(AV83:BC83,TRUE),COUNTIF(BF83:BL86,TRUE),COUNTIF(BD83:BD86,TRUE))=0,NOT($BE$7)),1,0)</f>
        <v>0</v>
      </c>
    </row>
    <row r="84" spans="1:67" ht="17.399999999999999" customHeight="1">
      <c r="A84" s="462"/>
      <c r="B84" s="374"/>
      <c r="C84" s="376"/>
      <c r="D84" s="159"/>
      <c r="E84" s="465"/>
      <c r="F84" s="465"/>
      <c r="G84" s="159" t="str">
        <f>IF(C83="","",(VLOOKUP(D83,女子登録!$A$2:$N$2001,13,0)))</f>
        <v/>
      </c>
      <c r="H84" s="159"/>
      <c r="I84" s="159" t="s">
        <v>4020</v>
      </c>
      <c r="J84" s="175"/>
      <c r="K84" s="159" t="s">
        <v>4023</v>
      </c>
      <c r="L84" s="175"/>
      <c r="M84" s="264"/>
      <c r="N84" s="265"/>
      <c r="O84" s="266"/>
      <c r="P84" s="175"/>
      <c r="Q84" s="449"/>
      <c r="R84" s="409"/>
      <c r="S84" s="136"/>
      <c r="T84" s="137"/>
      <c r="U84" s="137"/>
      <c r="V84" s="137"/>
      <c r="W84" s="137"/>
      <c r="X84" s="137"/>
      <c r="Y84" s="212">
        <f t="shared" ref="Y84" si="881">IF(OR(E83="",J84=""),0,J84&amp;E83)</f>
        <v>0</v>
      </c>
      <c r="Z84" s="212">
        <f>IF(Y84=0,0,COUNTIF($Y$7:Y84,Y84))</f>
        <v>0</v>
      </c>
      <c r="AD84" s="212">
        <f>IFERROR(VLOOKUP(J84,競技会設定!$T$2:$W$22,2,0),0)</f>
        <v>0</v>
      </c>
      <c r="AE84" s="212">
        <f t="shared" ref="AE84" si="882">IF(E83="",0,IF(AD84=0,0,IF(AD84&lt;3,E83&amp;$AE$6,0)))</f>
        <v>0</v>
      </c>
      <c r="AF84" s="212">
        <f>IF(AE84=0,0,E83&amp;COUNTIF($AE$7:AE84,AE84))</f>
        <v>0</v>
      </c>
      <c r="AG84" s="212">
        <f t="shared" ref="AG84" si="883">IF(E83="",0,IF(AD84=0,0,IF(AD84&gt;=3,E83&amp;$AG$6,0)))</f>
        <v>0</v>
      </c>
      <c r="AH84" s="212">
        <f>IF(AG84=0,0,E83&amp;COUNTIF($AG$7:AG84,AG84))</f>
        <v>0</v>
      </c>
      <c r="AI84" s="212">
        <f t="shared" ref="AI84" si="884">IF($AD84=AI$6,$E83,0)</f>
        <v>0</v>
      </c>
      <c r="AJ84" s="212" t="b">
        <f>IF(AI84=0,FALSE,IF(COUNTIF(AI$7:AI84,AI84)&gt;1,TRUE,FALSE))</f>
        <v>0</v>
      </c>
      <c r="AK84" s="212">
        <f t="shared" ref="AK84" si="885">IF($AD84=AK$6,$E83,0)</f>
        <v>0</v>
      </c>
      <c r="AL84" s="212" t="b">
        <f>IF(AK84=0,FALSE,IF(COUNTIF(AK$7:AK84,AK84)&gt;1,TRUE,FALSE))</f>
        <v>0</v>
      </c>
      <c r="AM84" s="212">
        <f t="shared" ref="AM84" si="886">IF(COUNTIF(Y84,"*七種*")&gt;0,0,IF($AD84=AM$6,$E83,0))</f>
        <v>0</v>
      </c>
      <c r="AN84" s="212" t="b">
        <f>IF(AM84=0,FALSE,IF(COUNTIF(AM$7:AM84,AM84)&gt;1,TRUE,FALSE))</f>
        <v>0</v>
      </c>
      <c r="AO84" s="212">
        <f t="shared" ref="AO84" si="887">IF($AD84=AO$6,$E83,0)</f>
        <v>0</v>
      </c>
      <c r="AP84" s="212" t="b">
        <f>IF(AO84=0,FALSE,IF(COUNTIF(AO$7:AO84,AO84)&gt;1,TRUE,FALSE))</f>
        <v>0</v>
      </c>
      <c r="AQ84" s="212">
        <f t="shared" ref="AQ84" si="888">IF(COUNTIF(Y84,"*七種競技*")&gt;0,E83,0)</f>
        <v>0</v>
      </c>
      <c r="AR84" s="212" t="b">
        <f t="shared" si="744"/>
        <v>0</v>
      </c>
      <c r="AT84" s="212" t="b">
        <f t="shared" si="757"/>
        <v>0</v>
      </c>
      <c r="AX84" s="274"/>
      <c r="BD84" s="212" t="b">
        <f t="shared" si="731"/>
        <v>0</v>
      </c>
      <c r="BF84" s="212" t="b">
        <f t="shared" ref="BF84" si="889">IF(J84="",FALSE,IF(OR(AND(AU83,L84=""),AND(AU83,L84="",OR(M84&lt;&gt;"",N84&lt;&gt;"",O84&lt;&gt;"",P84&lt;&gt;""))),TRUE,FALSE))</f>
        <v>0</v>
      </c>
      <c r="BG84" s="212" t="b">
        <f t="shared" si="733"/>
        <v>0</v>
      </c>
      <c r="BH84" s="212" t="b">
        <f t="shared" si="746"/>
        <v>0</v>
      </c>
      <c r="BI84" s="212" t="b">
        <f t="shared" ref="BI84" si="890">IF(J84="",FALSE,IF(L84=0,FALSE,IF(AND(AU83,NOT(BF84),OR(M84="",N84="",O84="")),TRUE,FALSE)))</f>
        <v>0</v>
      </c>
      <c r="BJ84" s="231" t="b">
        <f t="shared" si="748"/>
        <v>0</v>
      </c>
      <c r="BK84" s="231" t="b">
        <f>IF(NOT(BJ84),FALSE,IF(AND(競技会設定!$C$5&lt;=BJ84,BJ84&lt;=競技会設定!$C$6),FALSE,TRUE))</f>
        <v>0</v>
      </c>
      <c r="BL84" s="212" t="b">
        <f>IF(J84="",FALSE,IF(L84=0,FALSE,IF(AND(AU83,NOT(BF84),NOT(BI84),P84=""),TRUE,FALSE)))</f>
        <v>0</v>
      </c>
    </row>
    <row r="85" spans="1:67" ht="17.399999999999999" customHeight="1">
      <c r="A85" s="462"/>
      <c r="B85" s="374"/>
      <c r="C85" s="376"/>
      <c r="D85" s="160"/>
      <c r="E85" s="452" t="str">
        <f>IF(C83="","",VLOOKUP(D83,女子登録!$A$2:$O$2001,14,0)&amp;" ("&amp;VLOOKUP(D83,女子登録!$A$2:$O$2001,15,0)&amp;")")</f>
        <v/>
      </c>
      <c r="F85" s="453"/>
      <c r="G85" s="160" t="str">
        <f>IF(C83="","",(VLOOKUP(D83,女子登録!$A$2:$N$2001,9,0)))</f>
        <v/>
      </c>
      <c r="H85" s="160"/>
      <c r="I85" s="160" t="s">
        <v>4021</v>
      </c>
      <c r="J85" s="176"/>
      <c r="K85" s="160" t="s">
        <v>6760</v>
      </c>
      <c r="L85" s="176"/>
      <c r="M85" s="264"/>
      <c r="N85" s="265"/>
      <c r="O85" s="266"/>
      <c r="P85" s="175"/>
      <c r="Q85" s="449"/>
      <c r="R85" s="409"/>
      <c r="S85" s="136"/>
      <c r="T85" s="137"/>
      <c r="U85" s="137"/>
      <c r="V85" s="137"/>
      <c r="W85" s="137"/>
      <c r="X85" s="137"/>
      <c r="Y85" s="212">
        <f t="shared" ref="Y85" si="891">IF(OR(E83="",J85=""),0,J85&amp;E83)</f>
        <v>0</v>
      </c>
      <c r="Z85" s="212">
        <f>IF(Y85=0,0,COUNTIF($Y$7:Y85,Y85))</f>
        <v>0</v>
      </c>
      <c r="AD85" s="212">
        <f>IFERROR(VLOOKUP(J85,競技会設定!$T$2:$W$22,2,0),0)</f>
        <v>0</v>
      </c>
      <c r="AE85" s="212">
        <f t="shared" ref="AE85" si="892">IF(E83="",0,IF(AD85=0,0,IF(AD85&lt;3,E83&amp;$AE$6,0)))</f>
        <v>0</v>
      </c>
      <c r="AF85" s="212">
        <f>IF(AE85=0,0,E83&amp;COUNTIF($AE$7:AE85,AE85))</f>
        <v>0</v>
      </c>
      <c r="AG85" s="212">
        <f t="shared" ref="AG85" si="893">IF(E83="",0,IF(AD85=0,0,IF(AD85&gt;=3,E83&amp;$AG$6,0)))</f>
        <v>0</v>
      </c>
      <c r="AH85" s="212">
        <f>IF(AG85=0,0,E83&amp;COUNTIF($AG$7:AG85,AG85))</f>
        <v>0</v>
      </c>
      <c r="AI85" s="212">
        <f t="shared" ref="AI85" si="894">IF($AD85=AI$6,$E83,0)</f>
        <v>0</v>
      </c>
      <c r="AJ85" s="212" t="b">
        <f>IF(AI85=0,FALSE,IF(COUNTIF(AI$7:AI85,AI85)&gt;1,TRUE,FALSE))</f>
        <v>0</v>
      </c>
      <c r="AK85" s="212">
        <f t="shared" ref="AK85" si="895">IF($AD85=AK$6,$E83,0)</f>
        <v>0</v>
      </c>
      <c r="AL85" s="212" t="b">
        <f>IF(AK85=0,FALSE,IF(COUNTIF(AK$7:AK85,AK85)&gt;1,TRUE,FALSE))</f>
        <v>0</v>
      </c>
      <c r="AM85" s="212">
        <f t="shared" ref="AM85" si="896">IF(COUNTIF(Y85,"*七種*")&gt;0,0,IF($AD85=AM$6,$E83,0))</f>
        <v>0</v>
      </c>
      <c r="AN85" s="212" t="b">
        <f>IF(AM85=0,FALSE,IF(COUNTIF(AM$7:AM85,AM85)&gt;1,TRUE,FALSE))</f>
        <v>0</v>
      </c>
      <c r="AO85" s="212">
        <f t="shared" ref="AO85" si="897">IF($AD85=AO$6,$E83,0)</f>
        <v>0</v>
      </c>
      <c r="AP85" s="212" t="b">
        <f>IF(AO85=0,FALSE,IF(COUNTIF(AO$7:AO85,AO85)&gt;1,TRUE,FALSE))</f>
        <v>0</v>
      </c>
      <c r="AQ85" s="212">
        <f t="shared" ref="AQ85" si="898">IF(COUNTIF(Y85,"*七種競技*")&gt;0,E83,0)</f>
        <v>0</v>
      </c>
      <c r="AR85" s="212" t="b">
        <f t="shared" si="744"/>
        <v>0</v>
      </c>
      <c r="AT85" s="212" t="b">
        <f t="shared" si="757"/>
        <v>0</v>
      </c>
      <c r="AX85" s="274"/>
      <c r="BD85" s="212" t="b">
        <f t="shared" si="731"/>
        <v>0</v>
      </c>
      <c r="BF85" s="212" t="b">
        <f t="shared" ref="BF85" si="899">IF(J85="",FALSE,IF(OR(AND(AU83,L85=""),AND(AU83,L85="",OR(M85&lt;&gt;"",N85&lt;&gt;"",O85&lt;&gt;"",P85&lt;&gt;""))),TRUE,FALSE))</f>
        <v>0</v>
      </c>
      <c r="BG85" s="212" t="b">
        <f t="shared" si="733"/>
        <v>0</v>
      </c>
      <c r="BH85" s="212" t="b">
        <f t="shared" si="746"/>
        <v>0</v>
      </c>
      <c r="BI85" s="212" t="b">
        <f t="shared" ref="BI85" si="900">IF(J85="",FALSE,IF(L85=0,FALSE,IF(AND(AU83,NOT(BF85),OR(M85="",N85="",O85="")),TRUE,FALSE)))</f>
        <v>0</v>
      </c>
      <c r="BJ85" s="231" t="b">
        <f t="shared" si="748"/>
        <v>0</v>
      </c>
      <c r="BK85" s="231" t="b">
        <f>IF(NOT(BJ85),FALSE,IF(AND(競技会設定!$C$5&lt;=BJ85,BJ85&lt;=競技会設定!$C$6),FALSE,TRUE))</f>
        <v>0</v>
      </c>
      <c r="BL85" s="212" t="b">
        <f>IF(J85="",FALSE,IF(L85=0,FALSE,IF(AND(AU83,NOT(BF85),NOT(BI85),P85=""),TRUE,FALSE)))</f>
        <v>0</v>
      </c>
    </row>
    <row r="86" spans="1:67" ht="18" customHeight="1" thickBot="1">
      <c r="A86" s="475"/>
      <c r="B86" s="387" t="s">
        <v>6764</v>
      </c>
      <c r="C86" s="387"/>
      <c r="D86" s="161"/>
      <c r="E86" s="467"/>
      <c r="F86" s="468"/>
      <c r="G86" s="469"/>
      <c r="H86" s="162"/>
      <c r="I86" s="161" t="s">
        <v>6759</v>
      </c>
      <c r="J86" s="177"/>
      <c r="K86" s="161" t="s">
        <v>6761</v>
      </c>
      <c r="L86" s="177"/>
      <c r="M86" s="267"/>
      <c r="N86" s="268"/>
      <c r="O86" s="269"/>
      <c r="P86" s="177"/>
      <c r="Q86" s="466"/>
      <c r="R86" s="410"/>
      <c r="S86" s="136"/>
      <c r="T86" s="137"/>
      <c r="U86" s="137"/>
      <c r="V86" s="137"/>
      <c r="W86" s="137"/>
      <c r="X86" s="137"/>
      <c r="Y86" s="212">
        <f t="shared" ref="Y86" si="901">IF(OR(E83="",J86=""),0,J86&amp;E83)</f>
        <v>0</v>
      </c>
      <c r="Z86" s="212">
        <f>IF(Y86=0,0,COUNTIF($Y$7:Y86,Y86))</f>
        <v>0</v>
      </c>
      <c r="AD86" s="212">
        <f>IFERROR(VLOOKUP(J86,競技会設定!$T$2:$W$22,2,0),0)</f>
        <v>0</v>
      </c>
      <c r="AE86" s="212">
        <f t="shared" ref="AE86" si="902">IF(E83="",0,IF(AD86=0,0,IF(AD86&lt;3,E83&amp;$AE$6,0)))</f>
        <v>0</v>
      </c>
      <c r="AF86" s="212">
        <f>IF(AE86=0,0,E83&amp;COUNTIF($AE$7:AE86,AE86))</f>
        <v>0</v>
      </c>
      <c r="AG86" s="212">
        <f t="shared" ref="AG86" si="903">IF(E83="",0,IF(AD86=0,0,IF(AD86&gt;=3,E83&amp;$AG$6,0)))</f>
        <v>0</v>
      </c>
      <c r="AH86" s="212">
        <f>IF(AG86=0,0,E83&amp;COUNTIF($AG$7:AG86,AG86))</f>
        <v>0</v>
      </c>
      <c r="AI86" s="212">
        <f t="shared" ref="AI86" si="904">IF($AD86=AI$6,$E83,0)</f>
        <v>0</v>
      </c>
      <c r="AJ86" s="212" t="b">
        <f>IF(AI86=0,FALSE,IF(COUNTIF(AI$7:AI86,AI86)&gt;1,TRUE,FALSE))</f>
        <v>0</v>
      </c>
      <c r="AK86" s="212">
        <f t="shared" ref="AK86" si="905">IF($AD86=AK$6,$E83,0)</f>
        <v>0</v>
      </c>
      <c r="AL86" s="212" t="b">
        <f>IF(AK86=0,FALSE,IF(COUNTIF(AK$7:AK86,AK86)&gt;1,TRUE,FALSE))</f>
        <v>0</v>
      </c>
      <c r="AM86" s="212">
        <f t="shared" ref="AM86" si="906">IF(COUNTIF(Y86,"*七種*")&gt;0,0,IF($AD86=AM$6,$E83,0))</f>
        <v>0</v>
      </c>
      <c r="AN86" s="212" t="b">
        <f>IF(AM86=0,FALSE,IF(COUNTIF(AM$7:AM86,AM86)&gt;1,TRUE,FALSE))</f>
        <v>0</v>
      </c>
      <c r="AO86" s="212">
        <f t="shared" ref="AO86" si="907">IF($AD86=AO$6,$E83,0)</f>
        <v>0</v>
      </c>
      <c r="AP86" s="212" t="b">
        <f>IF(AO86=0,FALSE,IF(COUNTIF(AO$7:AO86,AO86)&gt;1,TRUE,FALSE))</f>
        <v>0</v>
      </c>
      <c r="AQ86" s="212">
        <f t="shared" ref="AQ86" si="908">IF(COUNTIF(Y86,"*七種競技*")&gt;0,E83,0)</f>
        <v>0</v>
      </c>
      <c r="AR86" s="212" t="b">
        <f t="shared" si="744"/>
        <v>0</v>
      </c>
      <c r="AT86" s="212" t="b">
        <f t="shared" si="757"/>
        <v>0</v>
      </c>
      <c r="AX86" s="274"/>
      <c r="BD86" s="212" t="b">
        <f t="shared" si="731"/>
        <v>0</v>
      </c>
      <c r="BF86" s="212" t="b">
        <f t="shared" ref="BF86" si="909">IF(J86="",FALSE,IF(OR(AND(AU83,L86=""),AND(AU83,L86="",OR(M86&lt;&gt;"",N86&lt;&gt;"",O86&lt;&gt;"",P86&lt;&gt;""))),TRUE,FALSE))</f>
        <v>0</v>
      </c>
      <c r="BG86" s="212" t="b">
        <f t="shared" si="733"/>
        <v>0</v>
      </c>
      <c r="BH86" s="212" t="b">
        <f t="shared" si="746"/>
        <v>0</v>
      </c>
      <c r="BI86" s="212" t="b">
        <f t="shared" ref="BI86" si="910">IF(J86="",FALSE,IF(L86=0,FALSE,IF(AND(AU83,NOT(BF86),OR(M86="",N86="",O86="")),TRUE,FALSE)))</f>
        <v>0</v>
      </c>
      <c r="BJ86" s="231" t="b">
        <f t="shared" si="748"/>
        <v>0</v>
      </c>
      <c r="BK86" s="231" t="b">
        <f>IF(NOT(BJ86),FALSE,IF(AND(競技会設定!$C$5&lt;=BJ86,BJ86&lt;=競技会設定!$C$6),FALSE,TRUE))</f>
        <v>0</v>
      </c>
      <c r="BL86" s="212" t="b">
        <f>IF(J86="",FALSE,IF(L86=0,FALSE,IF(AND(AU83,NOT(BF86),NOT(BI86),P86=""),TRUE,FALSE)))</f>
        <v>0</v>
      </c>
    </row>
    <row r="87" spans="1:67" ht="18" customHeight="1" thickTop="1">
      <c r="A87" s="470">
        <v>21</v>
      </c>
      <c r="B87" s="401" t="s">
        <v>4018</v>
      </c>
      <c r="C87" s="403"/>
      <c r="D87" s="156" t="str">
        <f t="shared" ref="D87" si="911">IF(C87="","",502&amp;TEXT(C87,"000000"))</f>
        <v/>
      </c>
      <c r="E87" s="473" t="str">
        <f>IF(D87="","",(VLOOKUP(D87,女子登録!$A$2:$N$2001,3,0)))</f>
        <v/>
      </c>
      <c r="F87" s="473" t="str">
        <f>IF(D87="","",(VLOOKUP(D87,女子登録!$A$2:$N$2001,4,0)))</f>
        <v/>
      </c>
      <c r="G87" s="156" t="str">
        <f>IF(C87="","",(VLOOKUP(D87,女子登録!$A$2:$N$2001,8,0)))</f>
        <v/>
      </c>
      <c r="H87" s="156">
        <f>IFERROR(VLOOKUP(D87,女子登録!$A$2:$N$2001,11,0),基本情報!$E$5)</f>
        <v>0</v>
      </c>
      <c r="I87" s="156" t="s">
        <v>4019</v>
      </c>
      <c r="J87" s="170"/>
      <c r="K87" s="156" t="s">
        <v>4022</v>
      </c>
      <c r="L87" s="170"/>
      <c r="M87" s="252"/>
      <c r="N87" s="253"/>
      <c r="O87" s="254"/>
      <c r="P87" s="170"/>
      <c r="Q87" s="457"/>
      <c r="R87" s="414"/>
      <c r="S87" s="136">
        <f t="shared" ref="S87" si="912">IF(OR(E87="",Q87=""),0,E87)</f>
        <v>0</v>
      </c>
      <c r="T87" s="137">
        <f>IF(S87=0,0,COUNTIF($S$7:S87,"*"))</f>
        <v>0</v>
      </c>
      <c r="U87" s="137">
        <f>IF(S87=0,0,COUNTIF($S$7:S87,S87))</f>
        <v>0</v>
      </c>
      <c r="V87" s="137">
        <f t="shared" si="201"/>
        <v>0</v>
      </c>
      <c r="W87" s="137">
        <f>IF(V87=0,0,COUNTIF($V$7:V87,"*"))</f>
        <v>0</v>
      </c>
      <c r="X87" s="137">
        <f>IF(V87=0,0,COUNTIF($V$7:V87,V87))</f>
        <v>0</v>
      </c>
      <c r="Y87" s="212">
        <f t="shared" ref="Y87" si="913">IF(OR(E87="",J87=""),0,J87&amp;E87)</f>
        <v>0</v>
      </c>
      <c r="Z87" s="212">
        <f>IF(Y87=0,0,COUNTIF($Y$7:Y87,Y87))</f>
        <v>0</v>
      </c>
      <c r="AA87" s="212" t="b">
        <f>IF(COUNTIF(J87:J90,"七種競技")&gt;0,TRUE,FALSE)</f>
        <v>0</v>
      </c>
      <c r="AB87" s="212">
        <f>IF(E87="",0,IF(AA87,COUNTIF($AA$7:AA87,TRUE),0))</f>
        <v>0</v>
      </c>
      <c r="AC87" s="212">
        <f>IFERROR(VLOOKUP("七種競技",J87:L90,3,0),0)</f>
        <v>0</v>
      </c>
      <c r="AD87" s="212">
        <f>IFERROR(VLOOKUP(J87,競技会設定!$T$2:$W$22,2,0),0)</f>
        <v>0</v>
      </c>
      <c r="AE87" s="212">
        <f t="shared" ref="AE87" si="914">IF(E87="",0,IF(AD87=0,0,IF(AD87&lt;3,E87&amp;$AE$6,0)))</f>
        <v>0</v>
      </c>
      <c r="AF87" s="212">
        <f>IF(AE87=0,0,E87&amp;COUNTIF($AE$7:AE87,AE87))</f>
        <v>0</v>
      </c>
      <c r="AG87" s="212">
        <f t="shared" ref="AG87" si="915">IF(E87="",0,IF(AD87=0,0,IF(AD87&gt;=3,E87&amp;$AG$6,0)))</f>
        <v>0</v>
      </c>
      <c r="AH87" s="212">
        <f>IF(AG87=0,0,E87&amp;COUNTIF($AG$7:AG87,AG87))</f>
        <v>0</v>
      </c>
      <c r="AI87" s="212">
        <f t="shared" ref="AI87" si="916">IF($AD87=AI$6,$E87,0)</f>
        <v>0</v>
      </c>
      <c r="AJ87" s="212" t="b">
        <f>IF(AI87=0,FALSE,IF(COUNTIF(AI$7:AI87,AI87)&gt;1,TRUE,FALSE))</f>
        <v>0</v>
      </c>
      <c r="AK87" s="212">
        <f t="shared" ref="AK87" si="917">IF($AD87=AK$6,$E87,0)</f>
        <v>0</v>
      </c>
      <c r="AL87" s="212" t="b">
        <f>IF(AK87=0,FALSE,IF(COUNTIF(AK$7:AK87,AK87)&gt;1,TRUE,FALSE))</f>
        <v>0</v>
      </c>
      <c r="AM87" s="212">
        <f t="shared" ref="AM87" si="918">IF(COUNTIF(Y87,"*七種*")&gt;0,0,IF($AD87=AM$6,$E87,0))</f>
        <v>0</v>
      </c>
      <c r="AN87" s="212" t="b">
        <f>IF(AM87=0,FALSE,IF(COUNTIF(AM$7:AM87,AM87)&gt;1,TRUE,FALSE))</f>
        <v>0</v>
      </c>
      <c r="AO87" s="212">
        <f t="shared" ref="AO87" si="919">IF($AD87=AO$6,$E87,0)</f>
        <v>0</v>
      </c>
      <c r="AP87" s="212" t="b">
        <f>IF(AO87=0,FALSE,IF(COUNTIF(AO$7:AO87,AO87)&gt;1,TRUE,FALSE))</f>
        <v>0</v>
      </c>
      <c r="AQ87" s="212">
        <f t="shared" ref="AQ87" si="920">IF(COUNTIF(Y87,"*七種競技*")&gt;0,E87,0)</f>
        <v>0</v>
      </c>
      <c r="AR87" s="212" t="b">
        <f t="shared" si="744"/>
        <v>0</v>
      </c>
      <c r="AS87" s="212" t="b">
        <f t="shared" ref="AS87" si="921">IF(AND(C87="",E87&lt;&gt;"",F87&lt;&gt;"",E89&lt;&gt;"",G87&lt;&gt;"",G88&lt;&gt;"",G89&lt;&gt;""),TRUE,FALSE)</f>
        <v>0</v>
      </c>
      <c r="AT87" s="212" t="b">
        <f t="shared" si="757"/>
        <v>0</v>
      </c>
      <c r="AU87" s="212" t="b">
        <f>IFERROR(IF(E87&amp;F87&amp;E89&amp;G87&amp;G88&amp;G89&amp;J87&amp;J88&amp;J89&amp;J90&amp;L87&amp;L88&amp;L89&amp;L90&amp;M87&amp;M88&amp;M89&amp;M90&amp;P87&amp;P88&amp;P89&amp;P90&amp;Q87&amp;R87="",FALSE,TRUE),FALSE)</f>
        <v>0</v>
      </c>
      <c r="AV87" s="212" t="b">
        <f t="shared" ref="AV87" si="922">IF(AS87,FALSE,IF(C87="",AU87,FALSE))</f>
        <v>0</v>
      </c>
      <c r="AW87" s="212" t="b">
        <f t="shared" ref="AW87" si="923">IF(C87="",FALSE,IF(C87&lt;=2000,TRUE,FALSE))</f>
        <v>0</v>
      </c>
      <c r="AX87" s="274" t="b">
        <f>IF(H87=0,FALSE,IF(EXACT(基本情報!$E$5,H87)=TRUE,FALSE,TRUE))</f>
        <v>0</v>
      </c>
      <c r="AY87" s="212" t="b">
        <f>IF(C87="",FALSE,IF(ISNA(E87)=TRUE,TRUE,FALSE))</f>
        <v>0</v>
      </c>
      <c r="AZ87" s="274" t="b">
        <f>IFERROR(IF(E87="",FALSE,IF(COUNTIF($E$7:E87,E87)&gt;1,TRUE,FALSE)),FALSE)</f>
        <v>0</v>
      </c>
      <c r="BA87" s="212" t="b">
        <f t="shared" ref="BA87" si="924">IF(OR(J87&amp;J88&amp;J89&amp;J90&amp;Q87&amp;R87="",AT87,AT88,AT89,AT90),AU87,FALSE)</f>
        <v>0</v>
      </c>
      <c r="BB87" s="212" t="b">
        <f>IF(U87&gt;1,TRUE,FALSE)</f>
        <v>0</v>
      </c>
      <c r="BC87" s="212" t="b">
        <f>IF(X87&gt;1,TRUE,FALSE)</f>
        <v>0</v>
      </c>
      <c r="BD87" s="212" t="b">
        <f t="shared" si="731"/>
        <v>0</v>
      </c>
      <c r="BF87" s="212" t="b">
        <f t="shared" ref="BF87" si="925">IF(J87="",FALSE,IF(OR(AND(AU87,L87=""),AND(AU87,L87="",OR(M87&lt;&gt;"",N87&lt;&gt;"",O87&lt;&gt;"",P87&lt;&gt;""))),TRUE,FALSE))</f>
        <v>0</v>
      </c>
      <c r="BG87" s="212" t="b">
        <f t="shared" si="733"/>
        <v>0</v>
      </c>
      <c r="BH87" s="212" t="b">
        <f t="shared" si="746"/>
        <v>0</v>
      </c>
      <c r="BI87" s="212" t="b">
        <f t="shared" ref="BI87" si="926">IF(J87="",FALSE,IF(L87=0,FALSE,IF(AND(AU87,NOT(BF87),OR(M87="",N87="",O87="")),TRUE,FALSE)))</f>
        <v>0</v>
      </c>
      <c r="BJ87" s="231" t="b">
        <f t="shared" si="748"/>
        <v>0</v>
      </c>
      <c r="BK87" s="231" t="b">
        <f>IF(NOT(BJ87),FALSE,IF(AND(競技会設定!$C$5&lt;=BJ87,BJ87&lt;=競技会設定!$C$6),FALSE,TRUE))</f>
        <v>0</v>
      </c>
      <c r="BL87" s="212" t="b">
        <f>IF(J87="",FALSE,IF(L87=0,FALSE,IF(AND(AU87,NOT(BF87),NOT(BI87),P87=""),TRUE,FALSE)))</f>
        <v>0</v>
      </c>
      <c r="BO87" s="274">
        <f t="shared" ref="BO87" si="927">IF(AND(AU87,SUM(COUNTIF(AV87:BC87,TRUE),COUNTIF(BF87:BL90,TRUE),COUNTIF(BD87:BD90,TRUE))=0,NOT($BE$7)),1,0)</f>
        <v>0</v>
      </c>
    </row>
    <row r="88" spans="1:67" ht="17.399999999999999" customHeight="1">
      <c r="A88" s="471"/>
      <c r="B88" s="402"/>
      <c r="C88" s="404"/>
      <c r="D88" s="11"/>
      <c r="E88" s="474"/>
      <c r="F88" s="474"/>
      <c r="G88" s="11" t="str">
        <f>IF(C87="","",(VLOOKUP(D87,女子登録!$A$2:$N$2001,13,0)))</f>
        <v/>
      </c>
      <c r="H88" s="11"/>
      <c r="I88" s="11" t="s">
        <v>4020</v>
      </c>
      <c r="J88" s="171"/>
      <c r="K88" s="11" t="s">
        <v>4023</v>
      </c>
      <c r="L88" s="171"/>
      <c r="M88" s="255"/>
      <c r="N88" s="256"/>
      <c r="O88" s="257"/>
      <c r="P88" s="171"/>
      <c r="Q88" s="458"/>
      <c r="R88" s="415"/>
      <c r="S88" s="136"/>
      <c r="T88" s="137"/>
      <c r="U88" s="137"/>
      <c r="V88" s="137"/>
      <c r="W88" s="137"/>
      <c r="X88" s="137"/>
      <c r="Y88" s="212">
        <f t="shared" ref="Y88" si="928">IF(OR(E87="",J88=""),0,J88&amp;E87)</f>
        <v>0</v>
      </c>
      <c r="Z88" s="212">
        <f>IF(Y88=0,0,COUNTIF($Y$7:Y88,Y88))</f>
        <v>0</v>
      </c>
      <c r="AD88" s="212">
        <f>IFERROR(VLOOKUP(J88,競技会設定!$T$2:$W$22,2,0),0)</f>
        <v>0</v>
      </c>
      <c r="AE88" s="212">
        <f t="shared" ref="AE88" si="929">IF(E87="",0,IF(AD88=0,0,IF(AD88&lt;3,E87&amp;$AE$6,0)))</f>
        <v>0</v>
      </c>
      <c r="AF88" s="212">
        <f>IF(AE88=0,0,E87&amp;COUNTIF($AE$7:AE88,AE88))</f>
        <v>0</v>
      </c>
      <c r="AG88" s="212">
        <f t="shared" ref="AG88" si="930">IF(E87="",0,IF(AD88=0,0,IF(AD88&gt;=3,E87&amp;$AG$6,0)))</f>
        <v>0</v>
      </c>
      <c r="AH88" s="212">
        <f>IF(AG88=0,0,E87&amp;COUNTIF($AG$7:AG88,AG88))</f>
        <v>0</v>
      </c>
      <c r="AI88" s="212">
        <f t="shared" ref="AI88" si="931">IF($AD88=AI$6,$E87,0)</f>
        <v>0</v>
      </c>
      <c r="AJ88" s="212" t="b">
        <f>IF(AI88=0,FALSE,IF(COUNTIF(AI$7:AI88,AI88)&gt;1,TRUE,FALSE))</f>
        <v>0</v>
      </c>
      <c r="AK88" s="212">
        <f t="shared" ref="AK88" si="932">IF($AD88=AK$6,$E87,0)</f>
        <v>0</v>
      </c>
      <c r="AL88" s="212" t="b">
        <f>IF(AK88=0,FALSE,IF(COUNTIF(AK$7:AK88,AK88)&gt;1,TRUE,FALSE))</f>
        <v>0</v>
      </c>
      <c r="AM88" s="212">
        <f t="shared" ref="AM88" si="933">IF(COUNTIF(Y88,"*七種*")&gt;0,0,IF($AD88=AM$6,$E87,0))</f>
        <v>0</v>
      </c>
      <c r="AN88" s="212" t="b">
        <f>IF(AM88=0,FALSE,IF(COUNTIF(AM$7:AM88,AM88)&gt;1,TRUE,FALSE))</f>
        <v>0</v>
      </c>
      <c r="AO88" s="212">
        <f t="shared" ref="AO88" si="934">IF($AD88=AO$6,$E87,0)</f>
        <v>0</v>
      </c>
      <c r="AP88" s="212" t="b">
        <f>IF(AO88=0,FALSE,IF(COUNTIF(AO$7:AO88,AO88)&gt;1,TRUE,FALSE))</f>
        <v>0</v>
      </c>
      <c r="AQ88" s="212">
        <f t="shared" ref="AQ88" si="935">IF(COUNTIF(Y88,"*七種競技*")&gt;0,E87,0)</f>
        <v>0</v>
      </c>
      <c r="AR88" s="212" t="b">
        <f t="shared" si="744"/>
        <v>0</v>
      </c>
      <c r="AT88" s="212" t="b">
        <f t="shared" si="757"/>
        <v>0</v>
      </c>
      <c r="AX88" s="274"/>
      <c r="BD88" s="212" t="b">
        <f t="shared" si="731"/>
        <v>0</v>
      </c>
      <c r="BF88" s="212" t="b">
        <f t="shared" ref="BF88" si="936">IF(J88="",FALSE,IF(OR(AND(AU87,L88=""),AND(AU87,L88="",OR(M88&lt;&gt;"",N88&lt;&gt;"",O88&lt;&gt;"",P88&lt;&gt;""))),TRUE,FALSE))</f>
        <v>0</v>
      </c>
      <c r="BG88" s="212" t="b">
        <f t="shared" si="733"/>
        <v>0</v>
      </c>
      <c r="BH88" s="212" t="b">
        <f t="shared" si="746"/>
        <v>0</v>
      </c>
      <c r="BI88" s="212" t="b">
        <f t="shared" ref="BI88" si="937">IF(J88="",FALSE,IF(L88=0,FALSE,IF(AND(AU87,NOT(BF88),OR(M88="",N88="",O88="")),TRUE,FALSE)))</f>
        <v>0</v>
      </c>
      <c r="BJ88" s="231" t="b">
        <f t="shared" si="748"/>
        <v>0</v>
      </c>
      <c r="BK88" s="231" t="b">
        <f>IF(NOT(BJ88),FALSE,IF(AND(競技会設定!$C$5&lt;=BJ88,BJ88&lt;=競技会設定!$C$6),FALSE,TRUE))</f>
        <v>0</v>
      </c>
      <c r="BL88" s="212" t="b">
        <f>IF(J88="",FALSE,IF(L88=0,FALSE,IF(AND(AU87,NOT(BF88),NOT(BI88),P88=""),TRUE,FALSE)))</f>
        <v>0</v>
      </c>
    </row>
    <row r="89" spans="1:67" ht="17.399999999999999" customHeight="1">
      <c r="A89" s="471"/>
      <c r="B89" s="402"/>
      <c r="C89" s="404"/>
      <c r="D89" s="11"/>
      <c r="E89" s="348" t="str">
        <f>IF(C87="","",VLOOKUP(D87,女子登録!$A$2:$O$2001,14,0)&amp;" ("&amp;VLOOKUP(D87,女子登録!$A$2:$O$2001,15,0)&amp;")")</f>
        <v/>
      </c>
      <c r="F89" s="348"/>
      <c r="G89" s="13" t="str">
        <f>IF(C87="","",(VLOOKUP(D87,女子登録!$A$2:$N$2001,9,0)))</f>
        <v/>
      </c>
      <c r="H89" s="13"/>
      <c r="I89" s="13" t="s">
        <v>4021</v>
      </c>
      <c r="J89" s="172"/>
      <c r="K89" s="13" t="s">
        <v>6760</v>
      </c>
      <c r="L89" s="172"/>
      <c r="M89" s="255"/>
      <c r="N89" s="256"/>
      <c r="O89" s="257"/>
      <c r="P89" s="171"/>
      <c r="Q89" s="458"/>
      <c r="R89" s="415"/>
      <c r="S89" s="136"/>
      <c r="T89" s="137"/>
      <c r="U89" s="137"/>
      <c r="V89" s="137"/>
      <c r="W89" s="137"/>
      <c r="X89" s="137"/>
      <c r="Y89" s="212">
        <f t="shared" ref="Y89" si="938">IF(OR(E87="",J89=""),0,J89&amp;E87)</f>
        <v>0</v>
      </c>
      <c r="Z89" s="212">
        <f>IF(Y89=0,0,COUNTIF($Y$7:Y89,Y89))</f>
        <v>0</v>
      </c>
      <c r="AD89" s="212">
        <f>IFERROR(VLOOKUP(J89,競技会設定!$T$2:$W$22,2,0),0)</f>
        <v>0</v>
      </c>
      <c r="AE89" s="212">
        <f t="shared" ref="AE89" si="939">IF(E87="",0,IF(AD89=0,0,IF(AD89&lt;3,E87&amp;$AE$6,0)))</f>
        <v>0</v>
      </c>
      <c r="AF89" s="212">
        <f>IF(AE89=0,0,E87&amp;COUNTIF($AE$7:AE89,AE89))</f>
        <v>0</v>
      </c>
      <c r="AG89" s="212">
        <f t="shared" ref="AG89" si="940">IF(E87="",0,IF(AD89=0,0,IF(AD89&gt;=3,E87&amp;$AG$6,0)))</f>
        <v>0</v>
      </c>
      <c r="AH89" s="212">
        <f>IF(AG89=0,0,E87&amp;COUNTIF($AG$7:AG89,AG89))</f>
        <v>0</v>
      </c>
      <c r="AI89" s="212">
        <f t="shared" ref="AI89" si="941">IF($AD89=AI$6,$E87,0)</f>
        <v>0</v>
      </c>
      <c r="AJ89" s="212" t="b">
        <f>IF(AI89=0,FALSE,IF(COUNTIF(AI$7:AI89,AI89)&gt;1,TRUE,FALSE))</f>
        <v>0</v>
      </c>
      <c r="AK89" s="212">
        <f t="shared" ref="AK89" si="942">IF($AD89=AK$6,$E87,0)</f>
        <v>0</v>
      </c>
      <c r="AL89" s="212" t="b">
        <f>IF(AK89=0,FALSE,IF(COUNTIF(AK$7:AK89,AK89)&gt;1,TRUE,FALSE))</f>
        <v>0</v>
      </c>
      <c r="AM89" s="212">
        <f t="shared" ref="AM89" si="943">IF(COUNTIF(Y89,"*七種*")&gt;0,0,IF($AD89=AM$6,$E87,0))</f>
        <v>0</v>
      </c>
      <c r="AN89" s="212" t="b">
        <f>IF(AM89=0,FALSE,IF(COUNTIF(AM$7:AM89,AM89)&gt;1,TRUE,FALSE))</f>
        <v>0</v>
      </c>
      <c r="AO89" s="212">
        <f t="shared" ref="AO89" si="944">IF($AD89=AO$6,$E87,0)</f>
        <v>0</v>
      </c>
      <c r="AP89" s="212" t="b">
        <f>IF(AO89=0,FALSE,IF(COUNTIF(AO$7:AO89,AO89)&gt;1,TRUE,FALSE))</f>
        <v>0</v>
      </c>
      <c r="AQ89" s="212">
        <f t="shared" ref="AQ89" si="945">IF(COUNTIF(Y89,"*七種競技*")&gt;0,E87,0)</f>
        <v>0</v>
      </c>
      <c r="AR89" s="212" t="b">
        <f t="shared" si="744"/>
        <v>0</v>
      </c>
      <c r="AT89" s="212" t="b">
        <f t="shared" si="757"/>
        <v>0</v>
      </c>
      <c r="AX89" s="274"/>
      <c r="BD89" s="212" t="b">
        <f t="shared" si="731"/>
        <v>0</v>
      </c>
      <c r="BF89" s="212" t="b">
        <f t="shared" ref="BF89" si="946">IF(J89="",FALSE,IF(OR(AND(AU87,L89=""),AND(AU87,L89="",OR(M89&lt;&gt;"",N89&lt;&gt;"",O89&lt;&gt;"",P89&lt;&gt;""))),TRUE,FALSE))</f>
        <v>0</v>
      </c>
      <c r="BG89" s="212" t="b">
        <f t="shared" si="733"/>
        <v>0</v>
      </c>
      <c r="BH89" s="212" t="b">
        <f t="shared" si="746"/>
        <v>0</v>
      </c>
      <c r="BI89" s="212" t="b">
        <f t="shared" ref="BI89" si="947">IF(J89="",FALSE,IF(L89=0,FALSE,IF(AND(AU87,NOT(BF89),OR(M89="",N89="",O89="")),TRUE,FALSE)))</f>
        <v>0</v>
      </c>
      <c r="BJ89" s="231" t="b">
        <f t="shared" si="748"/>
        <v>0</v>
      </c>
      <c r="BK89" s="231" t="b">
        <f>IF(NOT(BJ89),FALSE,IF(AND(競技会設定!$C$5&lt;=BJ89,BJ89&lt;=競技会設定!$C$6),FALSE,TRUE))</f>
        <v>0</v>
      </c>
      <c r="BL89" s="212" t="b">
        <f>IF(J89="",FALSE,IF(L89=0,FALSE,IF(AND(AU87,NOT(BF89),NOT(BI89),P89=""),TRUE,FALSE)))</f>
        <v>0</v>
      </c>
    </row>
    <row r="90" spans="1:67" ht="18" customHeight="1" thickBot="1">
      <c r="A90" s="472"/>
      <c r="B90" s="395" t="s">
        <v>6764</v>
      </c>
      <c r="C90" s="395"/>
      <c r="D90" s="11"/>
      <c r="E90" s="460"/>
      <c r="F90" s="460"/>
      <c r="G90" s="460"/>
      <c r="H90" s="157"/>
      <c r="I90" s="157" t="s">
        <v>6759</v>
      </c>
      <c r="J90" s="173"/>
      <c r="K90" s="157" t="s">
        <v>6761</v>
      </c>
      <c r="L90" s="173"/>
      <c r="M90" s="258"/>
      <c r="N90" s="259"/>
      <c r="O90" s="260"/>
      <c r="P90" s="173"/>
      <c r="Q90" s="459"/>
      <c r="R90" s="416"/>
      <c r="S90" s="136"/>
      <c r="T90" s="137"/>
      <c r="U90" s="137"/>
      <c r="V90" s="137"/>
      <c r="W90" s="137"/>
      <c r="X90" s="137"/>
      <c r="Y90" s="212">
        <f t="shared" ref="Y90" si="948">IF(OR(E87="",J90=""),0,J90&amp;E87)</f>
        <v>0</v>
      </c>
      <c r="Z90" s="212">
        <f>IF(Y90=0,0,COUNTIF($Y$7:Y90,Y90))</f>
        <v>0</v>
      </c>
      <c r="AD90" s="212">
        <f>IFERROR(VLOOKUP(J90,競技会設定!$T$2:$W$22,2,0),0)</f>
        <v>0</v>
      </c>
      <c r="AE90" s="212">
        <f t="shared" ref="AE90" si="949">IF(E87="",0,IF(AD90=0,0,IF(AD90&lt;3,E87&amp;$AE$6,0)))</f>
        <v>0</v>
      </c>
      <c r="AF90" s="212">
        <f>IF(AE90=0,0,E87&amp;COUNTIF($AE$7:AE90,AE90))</f>
        <v>0</v>
      </c>
      <c r="AG90" s="212">
        <f t="shared" ref="AG90" si="950">IF(E87="",0,IF(AD90=0,0,IF(AD90&gt;=3,E87&amp;$AG$6,0)))</f>
        <v>0</v>
      </c>
      <c r="AH90" s="212">
        <f>IF(AG90=0,0,E87&amp;COUNTIF($AG$7:AG90,AG90))</f>
        <v>0</v>
      </c>
      <c r="AI90" s="212">
        <f t="shared" ref="AI90" si="951">IF($AD90=AI$6,$E87,0)</f>
        <v>0</v>
      </c>
      <c r="AJ90" s="212" t="b">
        <f>IF(AI90=0,FALSE,IF(COUNTIF(AI$7:AI90,AI90)&gt;1,TRUE,FALSE))</f>
        <v>0</v>
      </c>
      <c r="AK90" s="212">
        <f t="shared" ref="AK90" si="952">IF($AD90=AK$6,$E87,0)</f>
        <v>0</v>
      </c>
      <c r="AL90" s="212" t="b">
        <f>IF(AK90=0,FALSE,IF(COUNTIF(AK$7:AK90,AK90)&gt;1,TRUE,FALSE))</f>
        <v>0</v>
      </c>
      <c r="AM90" s="212">
        <f t="shared" ref="AM90" si="953">IF(COUNTIF(Y90,"*七種*")&gt;0,0,IF($AD90=AM$6,$E87,0))</f>
        <v>0</v>
      </c>
      <c r="AN90" s="212" t="b">
        <f>IF(AM90=0,FALSE,IF(COUNTIF(AM$7:AM90,AM90)&gt;1,TRUE,FALSE))</f>
        <v>0</v>
      </c>
      <c r="AO90" s="212">
        <f t="shared" ref="AO90" si="954">IF($AD90=AO$6,$E87,0)</f>
        <v>0</v>
      </c>
      <c r="AP90" s="212" t="b">
        <f>IF(AO90=0,FALSE,IF(COUNTIF(AO$7:AO90,AO90)&gt;1,TRUE,FALSE))</f>
        <v>0</v>
      </c>
      <c r="AQ90" s="212">
        <f t="shared" ref="AQ90" si="955">IF(COUNTIF(Y90,"*七種競技*")&gt;0,E87,0)</f>
        <v>0</v>
      </c>
      <c r="AR90" s="212" t="b">
        <f t="shared" si="744"/>
        <v>0</v>
      </c>
      <c r="AT90" s="212" t="b">
        <f t="shared" si="757"/>
        <v>0</v>
      </c>
      <c r="AX90" s="274"/>
      <c r="BD90" s="212" t="b">
        <f t="shared" si="731"/>
        <v>0</v>
      </c>
      <c r="BF90" s="212" t="b">
        <f t="shared" ref="BF90" si="956">IF(J90="",FALSE,IF(OR(AND(AU87,L90=""),AND(AU87,L90="",OR(M90&lt;&gt;"",N90&lt;&gt;"",O90&lt;&gt;"",P90&lt;&gt;""))),TRUE,FALSE))</f>
        <v>0</v>
      </c>
      <c r="BG90" s="212" t="b">
        <f t="shared" si="733"/>
        <v>0</v>
      </c>
      <c r="BH90" s="212" t="b">
        <f t="shared" si="746"/>
        <v>0</v>
      </c>
      <c r="BI90" s="212" t="b">
        <f t="shared" ref="BI90" si="957">IF(J90="",FALSE,IF(L90=0,FALSE,IF(AND(AU87,NOT(BF90),OR(M90="",N90="",O90="")),TRUE,FALSE)))</f>
        <v>0</v>
      </c>
      <c r="BJ90" s="231" t="b">
        <f t="shared" si="748"/>
        <v>0</v>
      </c>
      <c r="BK90" s="231" t="b">
        <f>IF(NOT(BJ90),FALSE,IF(AND(競技会設定!$C$5&lt;=BJ90,BJ90&lt;=競技会設定!$C$6),FALSE,TRUE))</f>
        <v>0</v>
      </c>
      <c r="BL90" s="212" t="b">
        <f>IF(J90="",FALSE,IF(L90=0,FALSE,IF(AND(AU87,NOT(BF90),NOT(BI90),P90=""),TRUE,FALSE)))</f>
        <v>0</v>
      </c>
    </row>
    <row r="91" spans="1:67" ht="18" customHeight="1" thickTop="1">
      <c r="A91" s="461">
        <v>22</v>
      </c>
      <c r="B91" s="373" t="s">
        <v>4018</v>
      </c>
      <c r="C91" s="375"/>
      <c r="D91" s="158" t="str">
        <f t="shared" ref="D91" si="958">IF(C91="","",502&amp;TEXT(C91,"000000"))</f>
        <v/>
      </c>
      <c r="E91" s="464" t="str">
        <f>IF(D91="","",(VLOOKUP(D91,女子登録!$A$2:$N$2001,3,0)))</f>
        <v/>
      </c>
      <c r="F91" s="464" t="str">
        <f>IF(D91="","",(VLOOKUP(D91,女子登録!$A$2:$N$2001,4,0)))</f>
        <v/>
      </c>
      <c r="G91" s="158" t="str">
        <f>IF(C91="","",(VLOOKUP(D91,女子登録!$A$2:$N$2001,8,0)))</f>
        <v/>
      </c>
      <c r="H91" s="158">
        <f>IFERROR(VLOOKUP(D91,女子登録!$A$2:$N$2001,11,0),基本情報!$E$5)</f>
        <v>0</v>
      </c>
      <c r="I91" s="158" t="s">
        <v>4019</v>
      </c>
      <c r="J91" s="174"/>
      <c r="K91" s="158" t="s">
        <v>4022</v>
      </c>
      <c r="L91" s="174"/>
      <c r="M91" s="261"/>
      <c r="N91" s="262"/>
      <c r="O91" s="263"/>
      <c r="P91" s="174"/>
      <c r="Q91" s="448"/>
      <c r="R91" s="408"/>
      <c r="S91" s="136">
        <f t="shared" ref="S91" si="959">IF(OR(E91="",Q91=""),0,E91)</f>
        <v>0</v>
      </c>
      <c r="T91" s="137">
        <f>IF(S91=0,0,COUNTIF($S$7:S91,"*"))</f>
        <v>0</v>
      </c>
      <c r="U91" s="137">
        <f>IF(S91=0,0,COUNTIF($S$7:S91,S91))</f>
        <v>0</v>
      </c>
      <c r="V91" s="137">
        <f t="shared" ref="V91:V151" si="960">IF(OR(E91="",R91=""),0,E91&amp;MAX(COUNTIF($AG$7:$AG$406,E91&amp;"nans21v"))+1)</f>
        <v>0</v>
      </c>
      <c r="W91" s="137">
        <f>IF(V91=0,0,COUNTIF($V$7:V91,"*"))</f>
        <v>0</v>
      </c>
      <c r="X91" s="137">
        <f>IF(V91=0,0,COUNTIF($V$7:V91,V91))</f>
        <v>0</v>
      </c>
      <c r="Y91" s="212">
        <f t="shared" ref="Y91" si="961">IF(OR(E91="",J91=""),0,J91&amp;E91)</f>
        <v>0</v>
      </c>
      <c r="Z91" s="212">
        <f>IF(Y91=0,0,COUNTIF($Y$7:Y91,Y91))</f>
        <v>0</v>
      </c>
      <c r="AA91" s="212" t="b">
        <f>IF(COUNTIF(J91:J94,"七種競技")&gt;0,TRUE,FALSE)</f>
        <v>0</v>
      </c>
      <c r="AB91" s="212">
        <f>IF(E91="",0,IF(AA91,COUNTIF($AA$7:AA91,TRUE),0))</f>
        <v>0</v>
      </c>
      <c r="AC91" s="212">
        <f>IFERROR(VLOOKUP("七種競技",J91:L94,3,0),0)</f>
        <v>0</v>
      </c>
      <c r="AD91" s="212">
        <f>IFERROR(VLOOKUP(J91,競技会設定!$T$2:$W$22,2,0),0)</f>
        <v>0</v>
      </c>
      <c r="AE91" s="212">
        <f t="shared" ref="AE91" si="962">IF(E91="",0,IF(AD91=0,0,IF(AD91&lt;3,E91&amp;$AE$6,0)))</f>
        <v>0</v>
      </c>
      <c r="AF91" s="212">
        <f>IF(AE91=0,0,E91&amp;COUNTIF($AE$7:AE91,AE91))</f>
        <v>0</v>
      </c>
      <c r="AG91" s="212">
        <f t="shared" ref="AG91" si="963">IF(E91="",0,IF(AD91=0,0,IF(AD91&gt;=3,E91&amp;$AG$6,0)))</f>
        <v>0</v>
      </c>
      <c r="AH91" s="212">
        <f>IF(AG91=0,0,E91&amp;COUNTIF($AG$7:AG91,AG91))</f>
        <v>0</v>
      </c>
      <c r="AI91" s="212">
        <f t="shared" ref="AI91" si="964">IF($AD91=AI$6,$E91,0)</f>
        <v>0</v>
      </c>
      <c r="AJ91" s="212" t="b">
        <f>IF(AI91=0,FALSE,IF(COUNTIF(AI$7:AI91,AI91)&gt;1,TRUE,FALSE))</f>
        <v>0</v>
      </c>
      <c r="AK91" s="212">
        <f t="shared" ref="AK91" si="965">IF($AD91=AK$6,$E91,0)</f>
        <v>0</v>
      </c>
      <c r="AL91" s="212" t="b">
        <f>IF(AK91=0,FALSE,IF(COUNTIF(AK$7:AK91,AK91)&gt;1,TRUE,FALSE))</f>
        <v>0</v>
      </c>
      <c r="AM91" s="212">
        <f t="shared" ref="AM91" si="966">IF(COUNTIF(Y91,"*七種*")&gt;0,0,IF($AD91=AM$6,$E91,0))</f>
        <v>0</v>
      </c>
      <c r="AN91" s="212" t="b">
        <f>IF(AM91=0,FALSE,IF(COUNTIF(AM$7:AM91,AM91)&gt;1,TRUE,FALSE))</f>
        <v>0</v>
      </c>
      <c r="AO91" s="212">
        <f t="shared" ref="AO91" si="967">IF($AD91=AO$6,$E91,0)</f>
        <v>0</v>
      </c>
      <c r="AP91" s="212" t="b">
        <f>IF(AO91=0,FALSE,IF(COUNTIF(AO$7:AO91,AO91)&gt;1,TRUE,FALSE))</f>
        <v>0</v>
      </c>
      <c r="AQ91" s="212">
        <f t="shared" ref="AQ91" si="968">IF(COUNTIF(Y91,"*七種競技*")&gt;0,E91,0)</f>
        <v>0</v>
      </c>
      <c r="AR91" s="212" t="b">
        <f t="shared" si="744"/>
        <v>0</v>
      </c>
      <c r="AS91" s="212" t="b">
        <f t="shared" ref="AS91" si="969">IF(AND(C91="",E91&lt;&gt;"",F91&lt;&gt;"",E93&lt;&gt;"",G91&lt;&gt;"",G92&lt;&gt;"",G93&lt;&gt;""),TRUE,FALSE)</f>
        <v>0</v>
      </c>
      <c r="AT91" s="212" t="b">
        <f t="shared" si="757"/>
        <v>0</v>
      </c>
      <c r="AU91" s="212" t="b">
        <f>IFERROR(IF(E91&amp;F91&amp;E93&amp;G91&amp;G92&amp;G93&amp;J91&amp;J92&amp;J93&amp;J94&amp;L91&amp;L92&amp;L93&amp;L94&amp;M91&amp;M92&amp;M93&amp;M94&amp;P91&amp;P92&amp;P93&amp;P94&amp;Q91&amp;R91="",FALSE,TRUE),FALSE)</f>
        <v>0</v>
      </c>
      <c r="AV91" s="212" t="b">
        <f t="shared" ref="AV91" si="970">IF(AS91,FALSE,IF(C91="",AU91,FALSE))</f>
        <v>0</v>
      </c>
      <c r="AW91" s="212" t="b">
        <f t="shared" ref="AW91" si="971">IF(C91="",FALSE,IF(C91&lt;=2000,TRUE,FALSE))</f>
        <v>0</v>
      </c>
      <c r="AX91" s="274" t="b">
        <f>IF(H91=0,FALSE,IF(EXACT(基本情報!$E$5,H91)=TRUE,FALSE,TRUE))</f>
        <v>0</v>
      </c>
      <c r="AY91" s="212" t="b">
        <f>IF(C91="",FALSE,IF(ISNA(E91)=TRUE,TRUE,FALSE))</f>
        <v>0</v>
      </c>
      <c r="AZ91" s="274" t="b">
        <f>IFERROR(IF(E91="",FALSE,IF(COUNTIF($E$7:E91,E91)&gt;1,TRUE,FALSE)),FALSE)</f>
        <v>0</v>
      </c>
      <c r="BA91" s="212" t="b">
        <f t="shared" ref="BA91" si="972">IF(OR(J91&amp;J92&amp;J93&amp;J94&amp;Q91&amp;R91="",AT91,AT92,AT93,AT94),AU91,FALSE)</f>
        <v>0</v>
      </c>
      <c r="BB91" s="212" t="b">
        <f>IF(U91&gt;1,TRUE,FALSE)</f>
        <v>0</v>
      </c>
      <c r="BC91" s="212" t="b">
        <f>IF(X91&gt;1,TRUE,FALSE)</f>
        <v>0</v>
      </c>
      <c r="BD91" s="212" t="b">
        <f t="shared" si="731"/>
        <v>0</v>
      </c>
      <c r="BF91" s="212" t="b">
        <f t="shared" ref="BF91" si="973">IF(J91="",FALSE,IF(OR(AND(AU91,L91=""),AND(AU91,L91="",OR(M91&lt;&gt;"",N91&lt;&gt;"",O91&lt;&gt;"",P91&lt;&gt;""))),TRUE,FALSE))</f>
        <v>0</v>
      </c>
      <c r="BG91" s="212" t="b">
        <f t="shared" si="733"/>
        <v>0</v>
      </c>
      <c r="BH91" s="212" t="b">
        <f t="shared" si="746"/>
        <v>0</v>
      </c>
      <c r="BI91" s="212" t="b">
        <f t="shared" ref="BI91" si="974">IF(J91="",FALSE,IF(L91=0,FALSE,IF(AND(AU91,NOT(BF91),OR(M91="",N91="",O91="")),TRUE,FALSE)))</f>
        <v>0</v>
      </c>
      <c r="BJ91" s="231" t="b">
        <f t="shared" si="748"/>
        <v>0</v>
      </c>
      <c r="BK91" s="231" t="b">
        <f>IF(NOT(BJ91),FALSE,IF(AND(競技会設定!$C$5&lt;=BJ91,BJ91&lt;=競技会設定!$C$6),FALSE,TRUE))</f>
        <v>0</v>
      </c>
      <c r="BL91" s="212" t="b">
        <f>IF(J91="",FALSE,IF(L91=0,FALSE,IF(AND(AU91,NOT(BF91),NOT(BI91),P91=""),TRUE,FALSE)))</f>
        <v>0</v>
      </c>
      <c r="BO91" s="274">
        <f t="shared" ref="BO91" si="975">IF(AND(AU91,SUM(COUNTIF(AV91:BC91,TRUE),COUNTIF(BF91:BL94,TRUE),COUNTIF(BD91:BD94,TRUE))=0,NOT($BE$7)),1,0)</f>
        <v>0</v>
      </c>
    </row>
    <row r="92" spans="1:67" ht="17.399999999999999" customHeight="1">
      <c r="A92" s="462"/>
      <c r="B92" s="374"/>
      <c r="C92" s="376"/>
      <c r="D92" s="159"/>
      <c r="E92" s="465"/>
      <c r="F92" s="465"/>
      <c r="G92" s="159" t="str">
        <f>IF(C91="","",(VLOOKUP(D91,女子登録!$A$2:$N$2001,13,0)))</f>
        <v/>
      </c>
      <c r="H92" s="159"/>
      <c r="I92" s="159" t="s">
        <v>4020</v>
      </c>
      <c r="J92" s="175"/>
      <c r="K92" s="159" t="s">
        <v>4023</v>
      </c>
      <c r="L92" s="175"/>
      <c r="M92" s="264"/>
      <c r="N92" s="265"/>
      <c r="O92" s="266"/>
      <c r="P92" s="175"/>
      <c r="Q92" s="449"/>
      <c r="R92" s="409"/>
      <c r="S92" s="136"/>
      <c r="T92" s="137"/>
      <c r="U92" s="137"/>
      <c r="V92" s="137"/>
      <c r="W92" s="137"/>
      <c r="X92" s="137"/>
      <c r="Y92" s="212">
        <f t="shared" ref="Y92" si="976">IF(OR(E91="",J92=""),0,J92&amp;E91)</f>
        <v>0</v>
      </c>
      <c r="Z92" s="212">
        <f>IF(Y92=0,0,COUNTIF($Y$7:Y92,Y92))</f>
        <v>0</v>
      </c>
      <c r="AD92" s="212">
        <f>IFERROR(VLOOKUP(J92,競技会設定!$T$2:$W$22,2,0),0)</f>
        <v>0</v>
      </c>
      <c r="AE92" s="212">
        <f t="shared" ref="AE92" si="977">IF(E91="",0,IF(AD92=0,0,IF(AD92&lt;3,E91&amp;$AE$6,0)))</f>
        <v>0</v>
      </c>
      <c r="AF92" s="212">
        <f>IF(AE92=0,0,E91&amp;COUNTIF($AE$7:AE92,AE92))</f>
        <v>0</v>
      </c>
      <c r="AG92" s="212">
        <f t="shared" ref="AG92" si="978">IF(E91="",0,IF(AD92=0,0,IF(AD92&gt;=3,E91&amp;$AG$6,0)))</f>
        <v>0</v>
      </c>
      <c r="AH92" s="212">
        <f>IF(AG92=0,0,E91&amp;COUNTIF($AG$7:AG92,AG92))</f>
        <v>0</v>
      </c>
      <c r="AI92" s="212">
        <f t="shared" ref="AI92" si="979">IF($AD92=AI$6,$E91,0)</f>
        <v>0</v>
      </c>
      <c r="AJ92" s="212" t="b">
        <f>IF(AI92=0,FALSE,IF(COUNTIF(AI$7:AI92,AI92)&gt;1,TRUE,FALSE))</f>
        <v>0</v>
      </c>
      <c r="AK92" s="212">
        <f t="shared" ref="AK92" si="980">IF($AD92=AK$6,$E91,0)</f>
        <v>0</v>
      </c>
      <c r="AL92" s="212" t="b">
        <f>IF(AK92=0,FALSE,IF(COUNTIF(AK$7:AK92,AK92)&gt;1,TRUE,FALSE))</f>
        <v>0</v>
      </c>
      <c r="AM92" s="212">
        <f t="shared" ref="AM92" si="981">IF(COUNTIF(Y92,"*七種*")&gt;0,0,IF($AD92=AM$6,$E91,0))</f>
        <v>0</v>
      </c>
      <c r="AN92" s="212" t="b">
        <f>IF(AM92=0,FALSE,IF(COUNTIF(AM$7:AM92,AM92)&gt;1,TRUE,FALSE))</f>
        <v>0</v>
      </c>
      <c r="AO92" s="212">
        <f t="shared" ref="AO92" si="982">IF($AD92=AO$6,$E91,0)</f>
        <v>0</v>
      </c>
      <c r="AP92" s="212" t="b">
        <f>IF(AO92=0,FALSE,IF(COUNTIF(AO$7:AO92,AO92)&gt;1,TRUE,FALSE))</f>
        <v>0</v>
      </c>
      <c r="AQ92" s="212">
        <f t="shared" ref="AQ92" si="983">IF(COUNTIF(Y92,"*七種競技*")&gt;0,E91,0)</f>
        <v>0</v>
      </c>
      <c r="AR92" s="212" t="b">
        <f t="shared" si="744"/>
        <v>0</v>
      </c>
      <c r="AT92" s="212" t="b">
        <f t="shared" si="757"/>
        <v>0</v>
      </c>
      <c r="AX92" s="274"/>
      <c r="BD92" s="212" t="b">
        <f t="shared" si="731"/>
        <v>0</v>
      </c>
      <c r="BF92" s="212" t="b">
        <f t="shared" ref="BF92" si="984">IF(J92="",FALSE,IF(OR(AND(AU91,L92=""),AND(AU91,L92="",OR(M92&lt;&gt;"",N92&lt;&gt;"",O92&lt;&gt;"",P92&lt;&gt;""))),TRUE,FALSE))</f>
        <v>0</v>
      </c>
      <c r="BG92" s="212" t="b">
        <f t="shared" si="733"/>
        <v>0</v>
      </c>
      <c r="BH92" s="212" t="b">
        <f t="shared" si="746"/>
        <v>0</v>
      </c>
      <c r="BI92" s="212" t="b">
        <f t="shared" ref="BI92" si="985">IF(J92="",FALSE,IF(L92=0,FALSE,IF(AND(AU91,NOT(BF92),OR(M92="",N92="",O92="")),TRUE,FALSE)))</f>
        <v>0</v>
      </c>
      <c r="BJ92" s="231" t="b">
        <f t="shared" si="748"/>
        <v>0</v>
      </c>
      <c r="BK92" s="231" t="b">
        <f>IF(NOT(BJ92),FALSE,IF(AND(競技会設定!$C$5&lt;=BJ92,BJ92&lt;=競技会設定!$C$6),FALSE,TRUE))</f>
        <v>0</v>
      </c>
      <c r="BL92" s="212" t="b">
        <f>IF(J92="",FALSE,IF(L92=0,FALSE,IF(AND(AU91,NOT(BF92),NOT(BI92),P92=""),TRUE,FALSE)))</f>
        <v>0</v>
      </c>
    </row>
    <row r="93" spans="1:67" ht="17.399999999999999" customHeight="1">
      <c r="A93" s="462"/>
      <c r="B93" s="374"/>
      <c r="C93" s="376"/>
      <c r="D93" s="160"/>
      <c r="E93" s="452" t="str">
        <f>IF(C91="","",VLOOKUP(D91,女子登録!$A$2:$O$2001,14,0)&amp;" ("&amp;VLOOKUP(D91,女子登録!$A$2:$O$2001,15,0)&amp;")")</f>
        <v/>
      </c>
      <c r="F93" s="453"/>
      <c r="G93" s="160" t="str">
        <f>IF(C91="","",(VLOOKUP(D91,女子登録!$A$2:$N$2001,9,0)))</f>
        <v/>
      </c>
      <c r="H93" s="160"/>
      <c r="I93" s="160" t="s">
        <v>4021</v>
      </c>
      <c r="J93" s="176"/>
      <c r="K93" s="160" t="s">
        <v>6760</v>
      </c>
      <c r="L93" s="176"/>
      <c r="M93" s="264"/>
      <c r="N93" s="265"/>
      <c r="O93" s="266"/>
      <c r="P93" s="175"/>
      <c r="Q93" s="449"/>
      <c r="R93" s="409"/>
      <c r="S93" s="136"/>
      <c r="T93" s="137"/>
      <c r="U93" s="137"/>
      <c r="V93" s="137"/>
      <c r="W93" s="137"/>
      <c r="X93" s="137"/>
      <c r="Y93" s="212">
        <f t="shared" ref="Y93" si="986">IF(OR(E91="",J93=""),0,J93&amp;E91)</f>
        <v>0</v>
      </c>
      <c r="Z93" s="212">
        <f>IF(Y93=0,0,COUNTIF($Y$7:Y93,Y93))</f>
        <v>0</v>
      </c>
      <c r="AD93" s="212">
        <f>IFERROR(VLOOKUP(J93,競技会設定!$T$2:$W$22,2,0),0)</f>
        <v>0</v>
      </c>
      <c r="AE93" s="212">
        <f t="shared" ref="AE93" si="987">IF(E91="",0,IF(AD93=0,0,IF(AD93&lt;3,E91&amp;$AE$6,0)))</f>
        <v>0</v>
      </c>
      <c r="AF93" s="212">
        <f>IF(AE93=0,0,E91&amp;COUNTIF($AE$7:AE93,AE93))</f>
        <v>0</v>
      </c>
      <c r="AG93" s="212">
        <f t="shared" ref="AG93" si="988">IF(E91="",0,IF(AD93=0,0,IF(AD93&gt;=3,E91&amp;$AG$6,0)))</f>
        <v>0</v>
      </c>
      <c r="AH93" s="212">
        <f>IF(AG93=0,0,E91&amp;COUNTIF($AG$7:AG93,AG93))</f>
        <v>0</v>
      </c>
      <c r="AI93" s="212">
        <f t="shared" ref="AI93" si="989">IF($AD93=AI$6,$E91,0)</f>
        <v>0</v>
      </c>
      <c r="AJ93" s="212" t="b">
        <f>IF(AI93=0,FALSE,IF(COUNTIF(AI$7:AI93,AI93)&gt;1,TRUE,FALSE))</f>
        <v>0</v>
      </c>
      <c r="AK93" s="212">
        <f t="shared" ref="AK93" si="990">IF($AD93=AK$6,$E91,0)</f>
        <v>0</v>
      </c>
      <c r="AL93" s="212" t="b">
        <f>IF(AK93=0,FALSE,IF(COUNTIF(AK$7:AK93,AK93)&gt;1,TRUE,FALSE))</f>
        <v>0</v>
      </c>
      <c r="AM93" s="212">
        <f t="shared" ref="AM93" si="991">IF(COUNTIF(Y93,"*七種*")&gt;0,0,IF($AD93=AM$6,$E91,0))</f>
        <v>0</v>
      </c>
      <c r="AN93" s="212" t="b">
        <f>IF(AM93=0,FALSE,IF(COUNTIF(AM$7:AM93,AM93)&gt;1,TRUE,FALSE))</f>
        <v>0</v>
      </c>
      <c r="AO93" s="212">
        <f t="shared" ref="AO93" si="992">IF($AD93=AO$6,$E91,0)</f>
        <v>0</v>
      </c>
      <c r="AP93" s="212" t="b">
        <f>IF(AO93=0,FALSE,IF(COUNTIF(AO$7:AO93,AO93)&gt;1,TRUE,FALSE))</f>
        <v>0</v>
      </c>
      <c r="AQ93" s="212">
        <f t="shared" ref="AQ93" si="993">IF(COUNTIF(Y93,"*七種競技*")&gt;0,E91,0)</f>
        <v>0</v>
      </c>
      <c r="AR93" s="212" t="b">
        <f t="shared" si="744"/>
        <v>0</v>
      </c>
      <c r="AT93" s="212" t="b">
        <f t="shared" si="757"/>
        <v>0</v>
      </c>
      <c r="AX93" s="274"/>
      <c r="BD93" s="212" t="b">
        <f t="shared" si="731"/>
        <v>0</v>
      </c>
      <c r="BF93" s="212" t="b">
        <f t="shared" ref="BF93" si="994">IF(J93="",FALSE,IF(OR(AND(AU91,L93=""),AND(AU91,L93="",OR(M93&lt;&gt;"",N93&lt;&gt;"",O93&lt;&gt;"",P93&lt;&gt;""))),TRUE,FALSE))</f>
        <v>0</v>
      </c>
      <c r="BG93" s="212" t="b">
        <f t="shared" si="733"/>
        <v>0</v>
      </c>
      <c r="BH93" s="212" t="b">
        <f t="shared" si="746"/>
        <v>0</v>
      </c>
      <c r="BI93" s="212" t="b">
        <f t="shared" ref="BI93" si="995">IF(J93="",FALSE,IF(L93=0,FALSE,IF(AND(AU91,NOT(BF93),OR(M93="",N93="",O93="")),TRUE,FALSE)))</f>
        <v>0</v>
      </c>
      <c r="BJ93" s="231" t="b">
        <f t="shared" si="748"/>
        <v>0</v>
      </c>
      <c r="BK93" s="231" t="b">
        <f>IF(NOT(BJ93),FALSE,IF(AND(競技会設定!$C$5&lt;=BJ93,BJ93&lt;=競技会設定!$C$6),FALSE,TRUE))</f>
        <v>0</v>
      </c>
      <c r="BL93" s="212" t="b">
        <f>IF(J93="",FALSE,IF(L93=0,FALSE,IF(AND(AU91,NOT(BF93),NOT(BI93),P93=""),TRUE,FALSE)))</f>
        <v>0</v>
      </c>
    </row>
    <row r="94" spans="1:67" ht="18" customHeight="1" thickBot="1">
      <c r="A94" s="475"/>
      <c r="B94" s="387" t="s">
        <v>6764</v>
      </c>
      <c r="C94" s="387"/>
      <c r="D94" s="161"/>
      <c r="E94" s="467"/>
      <c r="F94" s="468"/>
      <c r="G94" s="469"/>
      <c r="H94" s="162"/>
      <c r="I94" s="161" t="s">
        <v>6759</v>
      </c>
      <c r="J94" s="177"/>
      <c r="K94" s="161" t="s">
        <v>6761</v>
      </c>
      <c r="L94" s="177"/>
      <c r="M94" s="267"/>
      <c r="N94" s="268"/>
      <c r="O94" s="269"/>
      <c r="P94" s="177"/>
      <c r="Q94" s="466"/>
      <c r="R94" s="410"/>
      <c r="S94" s="136"/>
      <c r="T94" s="137"/>
      <c r="U94" s="137"/>
      <c r="V94" s="137"/>
      <c r="W94" s="137"/>
      <c r="X94" s="137"/>
      <c r="Y94" s="212">
        <f t="shared" ref="Y94" si="996">IF(OR(E91="",J94=""),0,J94&amp;E91)</f>
        <v>0</v>
      </c>
      <c r="Z94" s="212">
        <f>IF(Y94=0,0,COUNTIF($Y$7:Y94,Y94))</f>
        <v>0</v>
      </c>
      <c r="AD94" s="212">
        <f>IFERROR(VLOOKUP(J94,競技会設定!$T$2:$W$22,2,0),0)</f>
        <v>0</v>
      </c>
      <c r="AE94" s="212">
        <f t="shared" ref="AE94" si="997">IF(E91="",0,IF(AD94=0,0,IF(AD94&lt;3,E91&amp;$AE$6,0)))</f>
        <v>0</v>
      </c>
      <c r="AF94" s="212">
        <f>IF(AE94=0,0,E91&amp;COUNTIF($AE$7:AE94,AE94))</f>
        <v>0</v>
      </c>
      <c r="AG94" s="212">
        <f t="shared" ref="AG94" si="998">IF(E91="",0,IF(AD94=0,0,IF(AD94&gt;=3,E91&amp;$AG$6,0)))</f>
        <v>0</v>
      </c>
      <c r="AH94" s="212">
        <f>IF(AG94=0,0,E91&amp;COUNTIF($AG$7:AG94,AG94))</f>
        <v>0</v>
      </c>
      <c r="AI94" s="212">
        <f t="shared" ref="AI94" si="999">IF($AD94=AI$6,$E91,0)</f>
        <v>0</v>
      </c>
      <c r="AJ94" s="212" t="b">
        <f>IF(AI94=0,FALSE,IF(COUNTIF(AI$7:AI94,AI94)&gt;1,TRUE,FALSE))</f>
        <v>0</v>
      </c>
      <c r="AK94" s="212">
        <f t="shared" ref="AK94" si="1000">IF($AD94=AK$6,$E91,0)</f>
        <v>0</v>
      </c>
      <c r="AL94" s="212" t="b">
        <f>IF(AK94=0,FALSE,IF(COUNTIF(AK$7:AK94,AK94)&gt;1,TRUE,FALSE))</f>
        <v>0</v>
      </c>
      <c r="AM94" s="212">
        <f t="shared" ref="AM94" si="1001">IF(COUNTIF(Y94,"*七種*")&gt;0,0,IF($AD94=AM$6,$E91,0))</f>
        <v>0</v>
      </c>
      <c r="AN94" s="212" t="b">
        <f>IF(AM94=0,FALSE,IF(COUNTIF(AM$7:AM94,AM94)&gt;1,TRUE,FALSE))</f>
        <v>0</v>
      </c>
      <c r="AO94" s="212">
        <f t="shared" ref="AO94" si="1002">IF($AD94=AO$6,$E91,0)</f>
        <v>0</v>
      </c>
      <c r="AP94" s="212" t="b">
        <f>IF(AO94=0,FALSE,IF(COUNTIF(AO$7:AO94,AO94)&gt;1,TRUE,FALSE))</f>
        <v>0</v>
      </c>
      <c r="AQ94" s="212">
        <f t="shared" ref="AQ94" si="1003">IF(COUNTIF(Y94,"*七種競技*")&gt;0,E91,0)</f>
        <v>0</v>
      </c>
      <c r="AR94" s="212" t="b">
        <f t="shared" si="744"/>
        <v>0</v>
      </c>
      <c r="AT94" s="212" t="b">
        <f t="shared" si="757"/>
        <v>0</v>
      </c>
      <c r="AX94" s="274"/>
      <c r="BD94" s="212" t="b">
        <f t="shared" si="731"/>
        <v>0</v>
      </c>
      <c r="BF94" s="212" t="b">
        <f t="shared" ref="BF94" si="1004">IF(J94="",FALSE,IF(OR(AND(AU91,L94=""),AND(AU91,L94="",OR(M94&lt;&gt;"",N94&lt;&gt;"",O94&lt;&gt;"",P94&lt;&gt;""))),TRUE,FALSE))</f>
        <v>0</v>
      </c>
      <c r="BG94" s="212" t="b">
        <f t="shared" si="733"/>
        <v>0</v>
      </c>
      <c r="BH94" s="212" t="b">
        <f t="shared" si="746"/>
        <v>0</v>
      </c>
      <c r="BI94" s="212" t="b">
        <f t="shared" ref="BI94" si="1005">IF(J94="",FALSE,IF(L94=0,FALSE,IF(AND(AU91,NOT(BF94),OR(M94="",N94="",O94="")),TRUE,FALSE)))</f>
        <v>0</v>
      </c>
      <c r="BJ94" s="231" t="b">
        <f t="shared" si="748"/>
        <v>0</v>
      </c>
      <c r="BK94" s="231" t="b">
        <f>IF(NOT(BJ94),FALSE,IF(AND(競技会設定!$C$5&lt;=BJ94,BJ94&lt;=競技会設定!$C$6),FALSE,TRUE))</f>
        <v>0</v>
      </c>
      <c r="BL94" s="212" t="b">
        <f>IF(J94="",FALSE,IF(L94=0,FALSE,IF(AND(AU91,NOT(BF94),NOT(BI94),P94=""),TRUE,FALSE)))</f>
        <v>0</v>
      </c>
    </row>
    <row r="95" spans="1:67" ht="18" customHeight="1" thickTop="1">
      <c r="A95" s="470">
        <v>23</v>
      </c>
      <c r="B95" s="401" t="s">
        <v>4018</v>
      </c>
      <c r="C95" s="403"/>
      <c r="D95" s="156" t="str">
        <f t="shared" ref="D95" si="1006">IF(C95="","",502&amp;TEXT(C95,"000000"))</f>
        <v/>
      </c>
      <c r="E95" s="473" t="str">
        <f>IF(D95="","",(VLOOKUP(D95,女子登録!$A$2:$N$2001,3,0)))</f>
        <v/>
      </c>
      <c r="F95" s="473" t="str">
        <f>IF(D95="","",(VLOOKUP(D95,女子登録!$A$2:$N$2001,4,0)))</f>
        <v/>
      </c>
      <c r="G95" s="156" t="str">
        <f>IF(C95="","",(VLOOKUP(D95,女子登録!$A$2:$N$2001,8,0)))</f>
        <v/>
      </c>
      <c r="H95" s="156">
        <f>IFERROR(VLOOKUP(D95,女子登録!$A$2:$N$2001,11,0),基本情報!$E$5)</f>
        <v>0</v>
      </c>
      <c r="I95" s="156" t="s">
        <v>4019</v>
      </c>
      <c r="J95" s="170"/>
      <c r="K95" s="156" t="s">
        <v>4022</v>
      </c>
      <c r="L95" s="170"/>
      <c r="M95" s="252"/>
      <c r="N95" s="253"/>
      <c r="O95" s="254"/>
      <c r="P95" s="170"/>
      <c r="Q95" s="457"/>
      <c r="R95" s="414"/>
      <c r="S95" s="136">
        <f t="shared" ref="S95" si="1007">IF(OR(E95="",Q95=""),0,E95)</f>
        <v>0</v>
      </c>
      <c r="T95" s="137">
        <f>IF(S95=0,0,COUNTIF($S$7:S95,"*"))</f>
        <v>0</v>
      </c>
      <c r="U95" s="137">
        <f>IF(S95=0,0,COUNTIF($S$7:S95,S95))</f>
        <v>0</v>
      </c>
      <c r="V95" s="137">
        <f t="shared" si="960"/>
        <v>0</v>
      </c>
      <c r="W95" s="137">
        <f>IF(V95=0,0,COUNTIF($V$7:V95,"*"))</f>
        <v>0</v>
      </c>
      <c r="X95" s="137">
        <f>IF(V95=0,0,COUNTIF($V$7:V95,V95))</f>
        <v>0</v>
      </c>
      <c r="Y95" s="212">
        <f t="shared" ref="Y95" si="1008">IF(OR(E95="",J95=""),0,J95&amp;E95)</f>
        <v>0</v>
      </c>
      <c r="Z95" s="212">
        <f>IF(Y95=0,0,COUNTIF($Y$7:Y95,Y95))</f>
        <v>0</v>
      </c>
      <c r="AA95" s="212" t="b">
        <f>IF(COUNTIF(J95:J98,"七種競技")&gt;0,TRUE,FALSE)</f>
        <v>0</v>
      </c>
      <c r="AB95" s="212">
        <f>IF(E95="",0,IF(AA95,COUNTIF($AA$7:AA95,TRUE),0))</f>
        <v>0</v>
      </c>
      <c r="AC95" s="212">
        <f>IFERROR(VLOOKUP("七種競技",J95:L98,3,0),0)</f>
        <v>0</v>
      </c>
      <c r="AD95" s="212">
        <f>IFERROR(VLOOKUP(J95,競技会設定!$T$2:$W$22,2,0),0)</f>
        <v>0</v>
      </c>
      <c r="AE95" s="212">
        <f t="shared" ref="AE95" si="1009">IF(E95="",0,IF(AD95=0,0,IF(AD95&lt;3,E95&amp;$AE$6,0)))</f>
        <v>0</v>
      </c>
      <c r="AF95" s="212">
        <f>IF(AE95=0,0,E95&amp;COUNTIF($AE$7:AE95,AE95))</f>
        <v>0</v>
      </c>
      <c r="AG95" s="212">
        <f t="shared" ref="AG95" si="1010">IF(E95="",0,IF(AD95=0,0,IF(AD95&gt;=3,E95&amp;$AG$6,0)))</f>
        <v>0</v>
      </c>
      <c r="AH95" s="212">
        <f>IF(AG95=0,0,E95&amp;COUNTIF($AG$7:AG95,AG95))</f>
        <v>0</v>
      </c>
      <c r="AI95" s="212">
        <f t="shared" ref="AI95" si="1011">IF($AD95=AI$6,$E95,0)</f>
        <v>0</v>
      </c>
      <c r="AJ95" s="212" t="b">
        <f>IF(AI95=0,FALSE,IF(COUNTIF(AI$7:AI95,AI95)&gt;1,TRUE,FALSE))</f>
        <v>0</v>
      </c>
      <c r="AK95" s="212">
        <f t="shared" ref="AK95" si="1012">IF($AD95=AK$6,$E95,0)</f>
        <v>0</v>
      </c>
      <c r="AL95" s="212" t="b">
        <f>IF(AK95=0,FALSE,IF(COUNTIF(AK$7:AK95,AK95)&gt;1,TRUE,FALSE))</f>
        <v>0</v>
      </c>
      <c r="AM95" s="212">
        <f t="shared" ref="AM95" si="1013">IF(COUNTIF(Y95,"*七種*")&gt;0,0,IF($AD95=AM$6,$E95,0))</f>
        <v>0</v>
      </c>
      <c r="AN95" s="212" t="b">
        <f>IF(AM95=0,FALSE,IF(COUNTIF(AM$7:AM95,AM95)&gt;1,TRUE,FALSE))</f>
        <v>0</v>
      </c>
      <c r="AO95" s="212">
        <f t="shared" ref="AO95" si="1014">IF($AD95=AO$6,$E95,0)</f>
        <v>0</v>
      </c>
      <c r="AP95" s="212" t="b">
        <f>IF(AO95=0,FALSE,IF(COUNTIF(AO$7:AO95,AO95)&gt;1,TRUE,FALSE))</f>
        <v>0</v>
      </c>
      <c r="AQ95" s="212">
        <f t="shared" ref="AQ95" si="1015">IF(COUNTIF(Y95,"*七種競技*")&gt;0,E95,0)</f>
        <v>0</v>
      </c>
      <c r="AR95" s="212" t="b">
        <f t="shared" si="744"/>
        <v>0</v>
      </c>
      <c r="AS95" s="212" t="b">
        <f t="shared" ref="AS95" si="1016">IF(AND(C95="",E95&lt;&gt;"",F95&lt;&gt;"",E97&lt;&gt;"",G95&lt;&gt;"",G96&lt;&gt;"",G97&lt;&gt;""),TRUE,FALSE)</f>
        <v>0</v>
      </c>
      <c r="AT95" s="212" t="b">
        <f t="shared" si="757"/>
        <v>0</v>
      </c>
      <c r="AU95" s="212" t="b">
        <f>IFERROR(IF(E95&amp;F95&amp;E97&amp;G95&amp;G96&amp;G97&amp;J95&amp;J96&amp;J97&amp;J98&amp;L95&amp;L96&amp;L97&amp;L98&amp;M95&amp;M96&amp;M97&amp;M98&amp;P95&amp;P96&amp;P97&amp;P98&amp;Q95&amp;R95="",FALSE,TRUE),FALSE)</f>
        <v>0</v>
      </c>
      <c r="AV95" s="212" t="b">
        <f t="shared" ref="AV95" si="1017">IF(AS95,FALSE,IF(C95="",AU95,FALSE))</f>
        <v>0</v>
      </c>
      <c r="AW95" s="212" t="b">
        <f t="shared" ref="AW95" si="1018">IF(C95="",FALSE,IF(C95&lt;=2000,TRUE,FALSE))</f>
        <v>0</v>
      </c>
      <c r="AX95" s="274" t="b">
        <f>IF(H95=0,FALSE,IF(EXACT(基本情報!$E$5,H95)=TRUE,FALSE,TRUE))</f>
        <v>0</v>
      </c>
      <c r="AY95" s="212" t="b">
        <f>IF(C95="",FALSE,IF(ISNA(E95)=TRUE,TRUE,FALSE))</f>
        <v>0</v>
      </c>
      <c r="AZ95" s="274" t="b">
        <f>IFERROR(IF(E95="",FALSE,IF(COUNTIF($E$7:E95,E95)&gt;1,TRUE,FALSE)),FALSE)</f>
        <v>0</v>
      </c>
      <c r="BA95" s="212" t="b">
        <f t="shared" ref="BA95" si="1019">IF(OR(J95&amp;J96&amp;J97&amp;J98&amp;Q95&amp;R95="",AT95,AT96,AT97,AT98),AU95,FALSE)</f>
        <v>0</v>
      </c>
      <c r="BB95" s="212" t="b">
        <f>IF(U95&gt;1,TRUE,FALSE)</f>
        <v>0</v>
      </c>
      <c r="BC95" s="212" t="b">
        <f>IF(X95&gt;1,TRUE,FALSE)</f>
        <v>0</v>
      </c>
      <c r="BD95" s="212" t="b">
        <f t="shared" si="731"/>
        <v>0</v>
      </c>
      <c r="BF95" s="212" t="b">
        <f t="shared" ref="BF95" si="1020">IF(J95="",FALSE,IF(OR(AND(AU95,L95=""),AND(AU95,L95="",OR(M95&lt;&gt;"",N95&lt;&gt;"",O95&lt;&gt;"",P95&lt;&gt;""))),TRUE,FALSE))</f>
        <v>0</v>
      </c>
      <c r="BG95" s="212" t="b">
        <f t="shared" si="733"/>
        <v>0</v>
      </c>
      <c r="BH95" s="212" t="b">
        <f t="shared" si="746"/>
        <v>0</v>
      </c>
      <c r="BI95" s="212" t="b">
        <f t="shared" ref="BI95" si="1021">IF(J95="",FALSE,IF(L95=0,FALSE,IF(AND(AU95,NOT(BF95),OR(M95="",N95="",O95="")),TRUE,FALSE)))</f>
        <v>0</v>
      </c>
      <c r="BJ95" s="231" t="b">
        <f t="shared" si="748"/>
        <v>0</v>
      </c>
      <c r="BK95" s="231" t="b">
        <f>IF(NOT(BJ95),FALSE,IF(AND(競技会設定!$C$5&lt;=BJ95,BJ95&lt;=競技会設定!$C$6),FALSE,TRUE))</f>
        <v>0</v>
      </c>
      <c r="BL95" s="212" t="b">
        <f>IF(J95="",FALSE,IF(L95=0,FALSE,IF(AND(AU95,NOT(BF95),NOT(BI95),P95=""),TRUE,FALSE)))</f>
        <v>0</v>
      </c>
      <c r="BO95" s="274">
        <f t="shared" ref="BO95" si="1022">IF(AND(AU95,SUM(COUNTIF(AV95:BC95,TRUE),COUNTIF(BF95:BL98,TRUE),COUNTIF(BD95:BD98,TRUE))=0,NOT($BE$7)),1,0)</f>
        <v>0</v>
      </c>
    </row>
    <row r="96" spans="1:67" ht="17.399999999999999" customHeight="1">
      <c r="A96" s="471"/>
      <c r="B96" s="402"/>
      <c r="C96" s="404"/>
      <c r="D96" s="11"/>
      <c r="E96" s="474"/>
      <c r="F96" s="474"/>
      <c r="G96" s="11" t="str">
        <f>IF(C95="","",(VLOOKUP(D95,女子登録!$A$2:$N$2001,13,0)))</f>
        <v/>
      </c>
      <c r="H96" s="11"/>
      <c r="I96" s="11" t="s">
        <v>4020</v>
      </c>
      <c r="J96" s="171"/>
      <c r="K96" s="11" t="s">
        <v>4023</v>
      </c>
      <c r="L96" s="171"/>
      <c r="M96" s="255"/>
      <c r="N96" s="256"/>
      <c r="O96" s="257"/>
      <c r="P96" s="171"/>
      <c r="Q96" s="458"/>
      <c r="R96" s="415"/>
      <c r="S96" s="136"/>
      <c r="T96" s="137"/>
      <c r="U96" s="137"/>
      <c r="V96" s="137"/>
      <c r="W96" s="137"/>
      <c r="X96" s="137"/>
      <c r="Y96" s="212">
        <f t="shared" ref="Y96" si="1023">IF(OR(E95="",J96=""),0,J96&amp;E95)</f>
        <v>0</v>
      </c>
      <c r="Z96" s="212">
        <f>IF(Y96=0,0,COUNTIF($Y$7:Y96,Y96))</f>
        <v>0</v>
      </c>
      <c r="AD96" s="212">
        <f>IFERROR(VLOOKUP(J96,競技会設定!$T$2:$W$22,2,0),0)</f>
        <v>0</v>
      </c>
      <c r="AE96" s="212">
        <f t="shared" ref="AE96" si="1024">IF(E95="",0,IF(AD96=0,0,IF(AD96&lt;3,E95&amp;$AE$6,0)))</f>
        <v>0</v>
      </c>
      <c r="AF96" s="212">
        <f>IF(AE96=0,0,E95&amp;COUNTIF($AE$7:AE96,AE96))</f>
        <v>0</v>
      </c>
      <c r="AG96" s="212">
        <f t="shared" ref="AG96" si="1025">IF(E95="",0,IF(AD96=0,0,IF(AD96&gt;=3,E95&amp;$AG$6,0)))</f>
        <v>0</v>
      </c>
      <c r="AH96" s="212">
        <f>IF(AG96=0,0,E95&amp;COUNTIF($AG$7:AG96,AG96))</f>
        <v>0</v>
      </c>
      <c r="AI96" s="212">
        <f t="shared" ref="AI96" si="1026">IF($AD96=AI$6,$E95,0)</f>
        <v>0</v>
      </c>
      <c r="AJ96" s="212" t="b">
        <f>IF(AI96=0,FALSE,IF(COUNTIF(AI$7:AI96,AI96)&gt;1,TRUE,FALSE))</f>
        <v>0</v>
      </c>
      <c r="AK96" s="212">
        <f t="shared" ref="AK96" si="1027">IF($AD96=AK$6,$E95,0)</f>
        <v>0</v>
      </c>
      <c r="AL96" s="212" t="b">
        <f>IF(AK96=0,FALSE,IF(COUNTIF(AK$7:AK96,AK96)&gt;1,TRUE,FALSE))</f>
        <v>0</v>
      </c>
      <c r="AM96" s="212">
        <f t="shared" ref="AM96" si="1028">IF(COUNTIF(Y96,"*七種*")&gt;0,0,IF($AD96=AM$6,$E95,0))</f>
        <v>0</v>
      </c>
      <c r="AN96" s="212" t="b">
        <f>IF(AM96=0,FALSE,IF(COUNTIF(AM$7:AM96,AM96)&gt;1,TRUE,FALSE))</f>
        <v>0</v>
      </c>
      <c r="AO96" s="212">
        <f t="shared" ref="AO96" si="1029">IF($AD96=AO$6,$E95,0)</f>
        <v>0</v>
      </c>
      <c r="AP96" s="212" t="b">
        <f>IF(AO96=0,FALSE,IF(COUNTIF(AO$7:AO96,AO96)&gt;1,TRUE,FALSE))</f>
        <v>0</v>
      </c>
      <c r="AQ96" s="212">
        <f t="shared" ref="AQ96" si="1030">IF(COUNTIF(Y96,"*七種競技*")&gt;0,E95,0)</f>
        <v>0</v>
      </c>
      <c r="AR96" s="212" t="b">
        <f t="shared" si="744"/>
        <v>0</v>
      </c>
      <c r="AT96" s="212" t="b">
        <f t="shared" si="757"/>
        <v>0</v>
      </c>
      <c r="AX96" s="274"/>
      <c r="BD96" s="212" t="b">
        <f t="shared" si="731"/>
        <v>0</v>
      </c>
      <c r="BF96" s="212" t="b">
        <f t="shared" ref="BF96" si="1031">IF(J96="",FALSE,IF(OR(AND(AU95,L96=""),AND(AU95,L96="",OR(M96&lt;&gt;"",N96&lt;&gt;"",O96&lt;&gt;"",P96&lt;&gt;""))),TRUE,FALSE))</f>
        <v>0</v>
      </c>
      <c r="BG96" s="212" t="b">
        <f t="shared" si="733"/>
        <v>0</v>
      </c>
      <c r="BH96" s="212" t="b">
        <f t="shared" si="746"/>
        <v>0</v>
      </c>
      <c r="BI96" s="212" t="b">
        <f t="shared" ref="BI96" si="1032">IF(J96="",FALSE,IF(L96=0,FALSE,IF(AND(AU95,NOT(BF96),OR(M96="",N96="",O96="")),TRUE,FALSE)))</f>
        <v>0</v>
      </c>
      <c r="BJ96" s="231" t="b">
        <f t="shared" si="748"/>
        <v>0</v>
      </c>
      <c r="BK96" s="231" t="b">
        <f>IF(NOT(BJ96),FALSE,IF(AND(競技会設定!$C$5&lt;=BJ96,BJ96&lt;=競技会設定!$C$6),FALSE,TRUE))</f>
        <v>0</v>
      </c>
      <c r="BL96" s="212" t="b">
        <f>IF(J96="",FALSE,IF(L96=0,FALSE,IF(AND(AU95,NOT(BF96),NOT(BI96),P96=""),TRUE,FALSE)))</f>
        <v>0</v>
      </c>
    </row>
    <row r="97" spans="1:67" ht="17.399999999999999" customHeight="1">
      <c r="A97" s="471"/>
      <c r="B97" s="402"/>
      <c r="C97" s="404"/>
      <c r="D97" s="11"/>
      <c r="E97" s="348" t="str">
        <f>IF(C95="","",VLOOKUP(D95,女子登録!$A$2:$O$2001,14,0)&amp;" ("&amp;VLOOKUP(D95,女子登録!$A$2:$O$2001,15,0)&amp;")")</f>
        <v/>
      </c>
      <c r="F97" s="348"/>
      <c r="G97" s="13" t="str">
        <f>IF(C95="","",(VLOOKUP(D95,女子登録!$A$2:$N$2001,9,0)))</f>
        <v/>
      </c>
      <c r="H97" s="13"/>
      <c r="I97" s="13" t="s">
        <v>4021</v>
      </c>
      <c r="J97" s="172"/>
      <c r="K97" s="13" t="s">
        <v>6760</v>
      </c>
      <c r="L97" s="172"/>
      <c r="M97" s="255"/>
      <c r="N97" s="256"/>
      <c r="O97" s="257"/>
      <c r="P97" s="171"/>
      <c r="Q97" s="458"/>
      <c r="R97" s="415"/>
      <c r="S97" s="136"/>
      <c r="T97" s="137"/>
      <c r="U97" s="137"/>
      <c r="V97" s="137"/>
      <c r="W97" s="137"/>
      <c r="X97" s="137"/>
      <c r="Y97" s="212">
        <f t="shared" ref="Y97" si="1033">IF(OR(E95="",J97=""),0,J97&amp;E95)</f>
        <v>0</v>
      </c>
      <c r="Z97" s="212">
        <f>IF(Y97=0,0,COUNTIF($Y$7:Y97,Y97))</f>
        <v>0</v>
      </c>
      <c r="AD97" s="212">
        <f>IFERROR(VLOOKUP(J97,競技会設定!$T$2:$W$22,2,0),0)</f>
        <v>0</v>
      </c>
      <c r="AE97" s="212">
        <f t="shared" ref="AE97" si="1034">IF(E95="",0,IF(AD97=0,0,IF(AD97&lt;3,E95&amp;$AE$6,0)))</f>
        <v>0</v>
      </c>
      <c r="AF97" s="212">
        <f>IF(AE97=0,0,E95&amp;COUNTIF($AE$7:AE97,AE97))</f>
        <v>0</v>
      </c>
      <c r="AG97" s="212">
        <f t="shared" ref="AG97" si="1035">IF(E95="",0,IF(AD97=0,0,IF(AD97&gt;=3,E95&amp;$AG$6,0)))</f>
        <v>0</v>
      </c>
      <c r="AH97" s="212">
        <f>IF(AG97=0,0,E95&amp;COUNTIF($AG$7:AG97,AG97))</f>
        <v>0</v>
      </c>
      <c r="AI97" s="212">
        <f t="shared" ref="AI97" si="1036">IF($AD97=AI$6,$E95,0)</f>
        <v>0</v>
      </c>
      <c r="AJ97" s="212" t="b">
        <f>IF(AI97=0,FALSE,IF(COUNTIF(AI$7:AI97,AI97)&gt;1,TRUE,FALSE))</f>
        <v>0</v>
      </c>
      <c r="AK97" s="212">
        <f t="shared" ref="AK97" si="1037">IF($AD97=AK$6,$E95,0)</f>
        <v>0</v>
      </c>
      <c r="AL97" s="212" t="b">
        <f>IF(AK97=0,FALSE,IF(COUNTIF(AK$7:AK97,AK97)&gt;1,TRUE,FALSE))</f>
        <v>0</v>
      </c>
      <c r="AM97" s="212">
        <f t="shared" ref="AM97" si="1038">IF(COUNTIF(Y97,"*七種*")&gt;0,0,IF($AD97=AM$6,$E95,0))</f>
        <v>0</v>
      </c>
      <c r="AN97" s="212" t="b">
        <f>IF(AM97=0,FALSE,IF(COUNTIF(AM$7:AM97,AM97)&gt;1,TRUE,FALSE))</f>
        <v>0</v>
      </c>
      <c r="AO97" s="212">
        <f t="shared" ref="AO97" si="1039">IF($AD97=AO$6,$E95,0)</f>
        <v>0</v>
      </c>
      <c r="AP97" s="212" t="b">
        <f>IF(AO97=0,FALSE,IF(COUNTIF(AO$7:AO97,AO97)&gt;1,TRUE,FALSE))</f>
        <v>0</v>
      </c>
      <c r="AQ97" s="212">
        <f t="shared" ref="AQ97" si="1040">IF(COUNTIF(Y97,"*七種競技*")&gt;0,E95,0)</f>
        <v>0</v>
      </c>
      <c r="AR97" s="212" t="b">
        <f t="shared" si="744"/>
        <v>0</v>
      </c>
      <c r="AT97" s="212" t="b">
        <f t="shared" si="757"/>
        <v>0</v>
      </c>
      <c r="AX97" s="274"/>
      <c r="BD97" s="212" t="b">
        <f t="shared" si="731"/>
        <v>0</v>
      </c>
      <c r="BF97" s="212" t="b">
        <f t="shared" ref="BF97" si="1041">IF(J97="",FALSE,IF(OR(AND(AU95,L97=""),AND(AU95,L97="",OR(M97&lt;&gt;"",N97&lt;&gt;"",O97&lt;&gt;"",P97&lt;&gt;""))),TRUE,FALSE))</f>
        <v>0</v>
      </c>
      <c r="BG97" s="212" t="b">
        <f t="shared" si="733"/>
        <v>0</v>
      </c>
      <c r="BH97" s="212" t="b">
        <f t="shared" si="746"/>
        <v>0</v>
      </c>
      <c r="BI97" s="212" t="b">
        <f t="shared" ref="BI97" si="1042">IF(J97="",FALSE,IF(L97=0,FALSE,IF(AND(AU95,NOT(BF97),OR(M97="",N97="",O97="")),TRUE,FALSE)))</f>
        <v>0</v>
      </c>
      <c r="BJ97" s="231" t="b">
        <f t="shared" si="748"/>
        <v>0</v>
      </c>
      <c r="BK97" s="231" t="b">
        <f>IF(NOT(BJ97),FALSE,IF(AND(競技会設定!$C$5&lt;=BJ97,BJ97&lt;=競技会設定!$C$6),FALSE,TRUE))</f>
        <v>0</v>
      </c>
      <c r="BL97" s="212" t="b">
        <f>IF(J97="",FALSE,IF(L97=0,FALSE,IF(AND(AU95,NOT(BF97),NOT(BI97),P97=""),TRUE,FALSE)))</f>
        <v>0</v>
      </c>
    </row>
    <row r="98" spans="1:67" ht="18" customHeight="1" thickBot="1">
      <c r="A98" s="472"/>
      <c r="B98" s="395" t="s">
        <v>6764</v>
      </c>
      <c r="C98" s="395"/>
      <c r="D98" s="11"/>
      <c r="E98" s="460"/>
      <c r="F98" s="460"/>
      <c r="G98" s="460"/>
      <c r="H98" s="157"/>
      <c r="I98" s="157" t="s">
        <v>6759</v>
      </c>
      <c r="J98" s="173"/>
      <c r="K98" s="157" t="s">
        <v>6761</v>
      </c>
      <c r="L98" s="173"/>
      <c r="M98" s="258"/>
      <c r="N98" s="259"/>
      <c r="O98" s="260"/>
      <c r="P98" s="173"/>
      <c r="Q98" s="459"/>
      <c r="R98" s="416"/>
      <c r="S98" s="136"/>
      <c r="T98" s="137"/>
      <c r="U98" s="137"/>
      <c r="V98" s="137"/>
      <c r="W98" s="137"/>
      <c r="X98" s="137"/>
      <c r="Y98" s="212">
        <f t="shared" ref="Y98" si="1043">IF(OR(E95="",J98=""),0,J98&amp;E95)</f>
        <v>0</v>
      </c>
      <c r="Z98" s="212">
        <f>IF(Y98=0,0,COUNTIF($Y$7:Y98,Y98))</f>
        <v>0</v>
      </c>
      <c r="AD98" s="212">
        <f>IFERROR(VLOOKUP(J98,競技会設定!$T$2:$W$22,2,0),0)</f>
        <v>0</v>
      </c>
      <c r="AE98" s="212">
        <f t="shared" ref="AE98" si="1044">IF(E95="",0,IF(AD98=0,0,IF(AD98&lt;3,E95&amp;$AE$6,0)))</f>
        <v>0</v>
      </c>
      <c r="AF98" s="212">
        <f>IF(AE98=0,0,E95&amp;COUNTIF($AE$7:AE98,AE98))</f>
        <v>0</v>
      </c>
      <c r="AG98" s="212">
        <f t="shared" ref="AG98" si="1045">IF(E95="",0,IF(AD98=0,0,IF(AD98&gt;=3,E95&amp;$AG$6,0)))</f>
        <v>0</v>
      </c>
      <c r="AH98" s="212">
        <f>IF(AG98=0,0,E95&amp;COUNTIF($AG$7:AG98,AG98))</f>
        <v>0</v>
      </c>
      <c r="AI98" s="212">
        <f t="shared" ref="AI98" si="1046">IF($AD98=AI$6,$E95,0)</f>
        <v>0</v>
      </c>
      <c r="AJ98" s="212" t="b">
        <f>IF(AI98=0,FALSE,IF(COUNTIF(AI$7:AI98,AI98)&gt;1,TRUE,FALSE))</f>
        <v>0</v>
      </c>
      <c r="AK98" s="212">
        <f t="shared" ref="AK98" si="1047">IF($AD98=AK$6,$E95,0)</f>
        <v>0</v>
      </c>
      <c r="AL98" s="212" t="b">
        <f>IF(AK98=0,FALSE,IF(COUNTIF(AK$7:AK98,AK98)&gt;1,TRUE,FALSE))</f>
        <v>0</v>
      </c>
      <c r="AM98" s="212">
        <f t="shared" ref="AM98" si="1048">IF(COUNTIF(Y98,"*七種*")&gt;0,0,IF($AD98=AM$6,$E95,0))</f>
        <v>0</v>
      </c>
      <c r="AN98" s="212" t="b">
        <f>IF(AM98=0,FALSE,IF(COUNTIF(AM$7:AM98,AM98)&gt;1,TRUE,FALSE))</f>
        <v>0</v>
      </c>
      <c r="AO98" s="212">
        <f t="shared" ref="AO98" si="1049">IF($AD98=AO$6,$E95,0)</f>
        <v>0</v>
      </c>
      <c r="AP98" s="212" t="b">
        <f>IF(AO98=0,FALSE,IF(COUNTIF(AO$7:AO98,AO98)&gt;1,TRUE,FALSE))</f>
        <v>0</v>
      </c>
      <c r="AQ98" s="212">
        <f t="shared" ref="AQ98" si="1050">IF(COUNTIF(Y98,"*七種競技*")&gt;0,E95,0)</f>
        <v>0</v>
      </c>
      <c r="AR98" s="212" t="b">
        <f t="shared" si="744"/>
        <v>0</v>
      </c>
      <c r="AT98" s="212" t="b">
        <f t="shared" si="757"/>
        <v>0</v>
      </c>
      <c r="AX98" s="274"/>
      <c r="BD98" s="212" t="b">
        <f t="shared" si="731"/>
        <v>0</v>
      </c>
      <c r="BF98" s="212" t="b">
        <f t="shared" ref="BF98" si="1051">IF(J98="",FALSE,IF(OR(AND(AU95,L98=""),AND(AU95,L98="",OR(M98&lt;&gt;"",N98&lt;&gt;"",O98&lt;&gt;"",P98&lt;&gt;""))),TRUE,FALSE))</f>
        <v>0</v>
      </c>
      <c r="BG98" s="212" t="b">
        <f t="shared" si="733"/>
        <v>0</v>
      </c>
      <c r="BH98" s="212" t="b">
        <f t="shared" si="746"/>
        <v>0</v>
      </c>
      <c r="BI98" s="212" t="b">
        <f t="shared" ref="BI98" si="1052">IF(J98="",FALSE,IF(L98=0,FALSE,IF(AND(AU95,NOT(BF98),OR(M98="",N98="",O98="")),TRUE,FALSE)))</f>
        <v>0</v>
      </c>
      <c r="BJ98" s="231" t="b">
        <f t="shared" si="748"/>
        <v>0</v>
      </c>
      <c r="BK98" s="231" t="b">
        <f>IF(NOT(BJ98),FALSE,IF(AND(競技会設定!$C$5&lt;=BJ98,BJ98&lt;=競技会設定!$C$6),FALSE,TRUE))</f>
        <v>0</v>
      </c>
      <c r="BL98" s="212" t="b">
        <f>IF(J98="",FALSE,IF(L98=0,FALSE,IF(AND(AU95,NOT(BF98),NOT(BI98),P98=""),TRUE,FALSE)))</f>
        <v>0</v>
      </c>
    </row>
    <row r="99" spans="1:67" ht="18" customHeight="1" thickTop="1">
      <c r="A99" s="461">
        <v>24</v>
      </c>
      <c r="B99" s="373" t="s">
        <v>4018</v>
      </c>
      <c r="C99" s="375"/>
      <c r="D99" s="158" t="str">
        <f t="shared" ref="D99" si="1053">IF(C99="","",502&amp;TEXT(C99,"000000"))</f>
        <v/>
      </c>
      <c r="E99" s="464" t="str">
        <f>IF(D99="","",(VLOOKUP(D99,女子登録!$A$2:$N$2001,3,0)))</f>
        <v/>
      </c>
      <c r="F99" s="464" t="str">
        <f>IF(D99="","",(VLOOKUP(D99,女子登録!$A$2:$N$2001,4,0)))</f>
        <v/>
      </c>
      <c r="G99" s="158" t="str">
        <f>IF(C99="","",(VLOOKUP(D99,女子登録!$A$2:$N$2001,8,0)))</f>
        <v/>
      </c>
      <c r="H99" s="158">
        <f>IFERROR(VLOOKUP(D99,女子登録!$A$2:$N$2001,11,0),基本情報!$E$5)</f>
        <v>0</v>
      </c>
      <c r="I99" s="158" t="s">
        <v>4019</v>
      </c>
      <c r="J99" s="174"/>
      <c r="K99" s="158" t="s">
        <v>4022</v>
      </c>
      <c r="L99" s="174"/>
      <c r="M99" s="261"/>
      <c r="N99" s="262"/>
      <c r="O99" s="263"/>
      <c r="P99" s="174"/>
      <c r="Q99" s="448"/>
      <c r="R99" s="408"/>
      <c r="S99" s="136">
        <f t="shared" ref="S99" si="1054">IF(OR(E99="",Q99=""),0,E99)</f>
        <v>0</v>
      </c>
      <c r="T99" s="137">
        <f>IF(S99=0,0,COUNTIF($S$7:S99,"*"))</f>
        <v>0</v>
      </c>
      <c r="U99" s="137">
        <f>IF(S99=0,0,COUNTIF($S$7:S99,S99))</f>
        <v>0</v>
      </c>
      <c r="V99" s="137">
        <f t="shared" si="960"/>
        <v>0</v>
      </c>
      <c r="W99" s="137">
        <f>IF(V99=0,0,COUNTIF($V$7:V99,"*"))</f>
        <v>0</v>
      </c>
      <c r="X99" s="137">
        <f>IF(V99=0,0,COUNTIF($V$7:V99,V99))</f>
        <v>0</v>
      </c>
      <c r="Y99" s="212">
        <f t="shared" ref="Y99" si="1055">IF(OR(E99="",J99=""),0,J99&amp;E99)</f>
        <v>0</v>
      </c>
      <c r="Z99" s="212">
        <f>IF(Y99=0,0,COUNTIF($Y$7:Y99,Y99))</f>
        <v>0</v>
      </c>
      <c r="AA99" s="212" t="b">
        <f>IF(COUNTIF(J99:J102,"七種競技")&gt;0,TRUE,FALSE)</f>
        <v>0</v>
      </c>
      <c r="AB99" s="212">
        <f>IF(E99="",0,IF(AA99,COUNTIF($AA$7:AA99,TRUE),0))</f>
        <v>0</v>
      </c>
      <c r="AC99" s="212">
        <f>IFERROR(VLOOKUP("七種競技",J99:L102,3,0),0)</f>
        <v>0</v>
      </c>
      <c r="AD99" s="212">
        <f>IFERROR(VLOOKUP(J99,競技会設定!$T$2:$W$22,2,0),0)</f>
        <v>0</v>
      </c>
      <c r="AE99" s="212">
        <f t="shared" ref="AE99" si="1056">IF(E99="",0,IF(AD99=0,0,IF(AD99&lt;3,E99&amp;$AE$6,0)))</f>
        <v>0</v>
      </c>
      <c r="AF99" s="212">
        <f>IF(AE99=0,0,E99&amp;COUNTIF($AE$7:AE99,AE99))</f>
        <v>0</v>
      </c>
      <c r="AG99" s="212">
        <f t="shared" ref="AG99" si="1057">IF(E99="",0,IF(AD99=0,0,IF(AD99&gt;=3,E99&amp;$AG$6,0)))</f>
        <v>0</v>
      </c>
      <c r="AH99" s="212">
        <f>IF(AG99=0,0,E99&amp;COUNTIF($AG$7:AG99,AG99))</f>
        <v>0</v>
      </c>
      <c r="AI99" s="212">
        <f t="shared" ref="AI99" si="1058">IF($AD99=AI$6,$E99,0)</f>
        <v>0</v>
      </c>
      <c r="AJ99" s="212" t="b">
        <f>IF(AI99=0,FALSE,IF(COUNTIF(AI$7:AI99,AI99)&gt;1,TRUE,FALSE))</f>
        <v>0</v>
      </c>
      <c r="AK99" s="212">
        <f t="shared" ref="AK99" si="1059">IF($AD99=AK$6,$E99,0)</f>
        <v>0</v>
      </c>
      <c r="AL99" s="212" t="b">
        <f>IF(AK99=0,FALSE,IF(COUNTIF(AK$7:AK99,AK99)&gt;1,TRUE,FALSE))</f>
        <v>0</v>
      </c>
      <c r="AM99" s="212">
        <f t="shared" ref="AM99" si="1060">IF(COUNTIF(Y99,"*七種*")&gt;0,0,IF($AD99=AM$6,$E99,0))</f>
        <v>0</v>
      </c>
      <c r="AN99" s="212" t="b">
        <f>IF(AM99=0,FALSE,IF(COUNTIF(AM$7:AM99,AM99)&gt;1,TRUE,FALSE))</f>
        <v>0</v>
      </c>
      <c r="AO99" s="212">
        <f t="shared" ref="AO99" si="1061">IF($AD99=AO$6,$E99,0)</f>
        <v>0</v>
      </c>
      <c r="AP99" s="212" t="b">
        <f>IF(AO99=0,FALSE,IF(COUNTIF(AO$7:AO99,AO99)&gt;1,TRUE,FALSE))</f>
        <v>0</v>
      </c>
      <c r="AQ99" s="212">
        <f t="shared" ref="AQ99" si="1062">IF(COUNTIF(Y99,"*七種競技*")&gt;0,E99,0)</f>
        <v>0</v>
      </c>
      <c r="AR99" s="212" t="b">
        <f t="shared" si="744"/>
        <v>0</v>
      </c>
      <c r="AS99" s="212" t="b">
        <f t="shared" ref="AS99" si="1063">IF(AND(C99="",E99&lt;&gt;"",F99&lt;&gt;"",E101&lt;&gt;"",G99&lt;&gt;"",G100&lt;&gt;"",G101&lt;&gt;""),TRUE,FALSE)</f>
        <v>0</v>
      </c>
      <c r="AT99" s="212" t="b">
        <f t="shared" si="757"/>
        <v>0</v>
      </c>
      <c r="AU99" s="212" t="b">
        <f>IFERROR(IF(E99&amp;F99&amp;E101&amp;G99&amp;G100&amp;G101&amp;J99&amp;J100&amp;J101&amp;J102&amp;L99&amp;L100&amp;L101&amp;L102&amp;M99&amp;M100&amp;M101&amp;M102&amp;P99&amp;P100&amp;P101&amp;P102&amp;Q99&amp;R99="",FALSE,TRUE),FALSE)</f>
        <v>0</v>
      </c>
      <c r="AV99" s="212" t="b">
        <f t="shared" ref="AV99" si="1064">IF(AS99,FALSE,IF(C99="",AU99,FALSE))</f>
        <v>0</v>
      </c>
      <c r="AW99" s="212" t="b">
        <f t="shared" ref="AW99" si="1065">IF(C99="",FALSE,IF(C99&lt;=2000,TRUE,FALSE))</f>
        <v>0</v>
      </c>
      <c r="AX99" s="274" t="b">
        <f>IF(H99=0,FALSE,IF(EXACT(基本情報!$E$5,H99)=TRUE,FALSE,TRUE))</f>
        <v>0</v>
      </c>
      <c r="AY99" s="212" t="b">
        <f>IF(C99="",FALSE,IF(ISNA(E99)=TRUE,TRUE,FALSE))</f>
        <v>0</v>
      </c>
      <c r="AZ99" s="274" t="b">
        <f>IFERROR(IF(E99="",FALSE,IF(COUNTIF($E$7:E99,E99)&gt;1,TRUE,FALSE)),FALSE)</f>
        <v>0</v>
      </c>
      <c r="BA99" s="212" t="b">
        <f t="shared" ref="BA99" si="1066">IF(OR(J99&amp;J100&amp;J101&amp;J102&amp;Q99&amp;R99="",AT99,AT100,AT101,AT102),AU99,FALSE)</f>
        <v>0</v>
      </c>
      <c r="BB99" s="212" t="b">
        <f>IF(U99&gt;1,TRUE,FALSE)</f>
        <v>0</v>
      </c>
      <c r="BC99" s="212" t="b">
        <f>IF(X99&gt;1,TRUE,FALSE)</f>
        <v>0</v>
      </c>
      <c r="BD99" s="212" t="b">
        <f t="shared" si="731"/>
        <v>0</v>
      </c>
      <c r="BF99" s="212" t="b">
        <f t="shared" ref="BF99" si="1067">IF(J99="",FALSE,IF(OR(AND(AU99,L99=""),AND(AU99,L99="",OR(M99&lt;&gt;"",N99&lt;&gt;"",O99&lt;&gt;"",P99&lt;&gt;""))),TRUE,FALSE))</f>
        <v>0</v>
      </c>
      <c r="BG99" s="212" t="b">
        <f t="shared" si="733"/>
        <v>0</v>
      </c>
      <c r="BH99" s="212" t="b">
        <f t="shared" si="746"/>
        <v>0</v>
      </c>
      <c r="BI99" s="212" t="b">
        <f t="shared" ref="BI99" si="1068">IF(J99="",FALSE,IF(L99=0,FALSE,IF(AND(AU99,NOT(BF99),OR(M99="",N99="",O99="")),TRUE,FALSE)))</f>
        <v>0</v>
      </c>
      <c r="BJ99" s="231" t="b">
        <f t="shared" si="748"/>
        <v>0</v>
      </c>
      <c r="BK99" s="231" t="b">
        <f>IF(NOT(BJ99),FALSE,IF(AND(競技会設定!$C$5&lt;=BJ99,BJ99&lt;=競技会設定!$C$6),FALSE,TRUE))</f>
        <v>0</v>
      </c>
      <c r="BL99" s="212" t="b">
        <f>IF(J99="",FALSE,IF(L99=0,FALSE,IF(AND(AU99,NOT(BF99),NOT(BI99),P99=""),TRUE,FALSE)))</f>
        <v>0</v>
      </c>
      <c r="BO99" s="274">
        <f t="shared" ref="BO99" si="1069">IF(AND(AU99,SUM(COUNTIF(AV99:BC99,TRUE),COUNTIF(BF99:BL102,TRUE),COUNTIF(BD99:BD102,TRUE))=0,NOT($BE$7)),1,0)</f>
        <v>0</v>
      </c>
    </row>
    <row r="100" spans="1:67" ht="17.399999999999999" customHeight="1">
      <c r="A100" s="462"/>
      <c r="B100" s="374"/>
      <c r="C100" s="376"/>
      <c r="D100" s="159"/>
      <c r="E100" s="465"/>
      <c r="F100" s="465"/>
      <c r="G100" s="159" t="str">
        <f>IF(C99="","",(VLOOKUP(D99,女子登録!$A$2:$N$2001,13,0)))</f>
        <v/>
      </c>
      <c r="H100" s="159"/>
      <c r="I100" s="159" t="s">
        <v>4020</v>
      </c>
      <c r="J100" s="175"/>
      <c r="K100" s="159" t="s">
        <v>4023</v>
      </c>
      <c r="L100" s="175"/>
      <c r="M100" s="264"/>
      <c r="N100" s="265"/>
      <c r="O100" s="266"/>
      <c r="P100" s="175"/>
      <c r="Q100" s="449"/>
      <c r="R100" s="409"/>
      <c r="S100" s="136"/>
      <c r="T100" s="137"/>
      <c r="U100" s="137"/>
      <c r="V100" s="137"/>
      <c r="W100" s="137"/>
      <c r="X100" s="137"/>
      <c r="Y100" s="212">
        <f t="shared" ref="Y100" si="1070">IF(OR(E99="",J100=""),0,J100&amp;E99)</f>
        <v>0</v>
      </c>
      <c r="Z100" s="212">
        <f>IF(Y100=0,0,COUNTIF($Y$7:Y100,Y100))</f>
        <v>0</v>
      </c>
      <c r="AD100" s="212">
        <f>IFERROR(VLOOKUP(J100,競技会設定!$T$2:$W$22,2,0),0)</f>
        <v>0</v>
      </c>
      <c r="AE100" s="212">
        <f t="shared" ref="AE100" si="1071">IF(E99="",0,IF(AD100=0,0,IF(AD100&lt;3,E99&amp;$AE$6,0)))</f>
        <v>0</v>
      </c>
      <c r="AF100" s="212">
        <f>IF(AE100=0,0,E99&amp;COUNTIF($AE$7:AE100,AE100))</f>
        <v>0</v>
      </c>
      <c r="AG100" s="212">
        <f t="shared" ref="AG100" si="1072">IF(E99="",0,IF(AD100=0,0,IF(AD100&gt;=3,E99&amp;$AG$6,0)))</f>
        <v>0</v>
      </c>
      <c r="AH100" s="212">
        <f>IF(AG100=0,0,E99&amp;COUNTIF($AG$7:AG100,AG100))</f>
        <v>0</v>
      </c>
      <c r="AI100" s="212">
        <f t="shared" ref="AI100" si="1073">IF($AD100=AI$6,$E99,0)</f>
        <v>0</v>
      </c>
      <c r="AJ100" s="212" t="b">
        <f>IF(AI100=0,FALSE,IF(COUNTIF(AI$7:AI100,AI100)&gt;1,TRUE,FALSE))</f>
        <v>0</v>
      </c>
      <c r="AK100" s="212">
        <f t="shared" ref="AK100" si="1074">IF($AD100=AK$6,$E99,0)</f>
        <v>0</v>
      </c>
      <c r="AL100" s="212" t="b">
        <f>IF(AK100=0,FALSE,IF(COUNTIF(AK$7:AK100,AK100)&gt;1,TRUE,FALSE))</f>
        <v>0</v>
      </c>
      <c r="AM100" s="212">
        <f t="shared" ref="AM100" si="1075">IF(COUNTIF(Y100,"*七種*")&gt;0,0,IF($AD100=AM$6,$E99,0))</f>
        <v>0</v>
      </c>
      <c r="AN100" s="212" t="b">
        <f>IF(AM100=0,FALSE,IF(COUNTIF(AM$7:AM100,AM100)&gt;1,TRUE,FALSE))</f>
        <v>0</v>
      </c>
      <c r="AO100" s="212">
        <f t="shared" ref="AO100" si="1076">IF($AD100=AO$6,$E99,0)</f>
        <v>0</v>
      </c>
      <c r="AP100" s="212" t="b">
        <f>IF(AO100=0,FALSE,IF(COUNTIF(AO$7:AO100,AO100)&gt;1,TRUE,FALSE))</f>
        <v>0</v>
      </c>
      <c r="AQ100" s="212">
        <f t="shared" ref="AQ100" si="1077">IF(COUNTIF(Y100,"*七種競技*")&gt;0,E99,0)</f>
        <v>0</v>
      </c>
      <c r="AR100" s="212" t="b">
        <f t="shared" si="744"/>
        <v>0</v>
      </c>
      <c r="AT100" s="212" t="b">
        <f t="shared" si="757"/>
        <v>0</v>
      </c>
      <c r="AX100" s="274"/>
      <c r="BD100" s="212" t="b">
        <f t="shared" si="731"/>
        <v>0</v>
      </c>
      <c r="BF100" s="212" t="b">
        <f t="shared" ref="BF100" si="1078">IF(J100="",FALSE,IF(OR(AND(AU99,L100=""),AND(AU99,L100="",OR(M100&lt;&gt;"",N100&lt;&gt;"",O100&lt;&gt;"",P100&lt;&gt;""))),TRUE,FALSE))</f>
        <v>0</v>
      </c>
      <c r="BG100" s="212" t="b">
        <f t="shared" si="733"/>
        <v>0</v>
      </c>
      <c r="BH100" s="212" t="b">
        <f t="shared" si="746"/>
        <v>0</v>
      </c>
      <c r="BI100" s="212" t="b">
        <f t="shared" ref="BI100" si="1079">IF(J100="",FALSE,IF(L100=0,FALSE,IF(AND(AU99,NOT(BF100),OR(M100="",N100="",O100="")),TRUE,FALSE)))</f>
        <v>0</v>
      </c>
      <c r="BJ100" s="231" t="b">
        <f t="shared" si="748"/>
        <v>0</v>
      </c>
      <c r="BK100" s="231" t="b">
        <f>IF(NOT(BJ100),FALSE,IF(AND(競技会設定!$C$5&lt;=BJ100,BJ100&lt;=競技会設定!$C$6),FALSE,TRUE))</f>
        <v>0</v>
      </c>
      <c r="BL100" s="212" t="b">
        <f>IF(J100="",FALSE,IF(L100=0,FALSE,IF(AND(AU99,NOT(BF100),NOT(BI100),P100=""),TRUE,FALSE)))</f>
        <v>0</v>
      </c>
    </row>
    <row r="101" spans="1:67" ht="17.399999999999999" customHeight="1">
      <c r="A101" s="462"/>
      <c r="B101" s="374"/>
      <c r="C101" s="376"/>
      <c r="D101" s="160"/>
      <c r="E101" s="452" t="str">
        <f>IF(C99="","",VLOOKUP(D99,女子登録!$A$2:$O$2001,14,0)&amp;" ("&amp;VLOOKUP(D99,女子登録!$A$2:$O$2001,15,0)&amp;")")</f>
        <v/>
      </c>
      <c r="F101" s="453"/>
      <c r="G101" s="160" t="str">
        <f>IF(C99="","",(VLOOKUP(D99,女子登録!$A$2:$N$2001,9,0)))</f>
        <v/>
      </c>
      <c r="H101" s="160"/>
      <c r="I101" s="160" t="s">
        <v>4021</v>
      </c>
      <c r="J101" s="176"/>
      <c r="K101" s="160" t="s">
        <v>6760</v>
      </c>
      <c r="L101" s="176"/>
      <c r="M101" s="264"/>
      <c r="N101" s="265"/>
      <c r="O101" s="266"/>
      <c r="P101" s="175"/>
      <c r="Q101" s="449"/>
      <c r="R101" s="409"/>
      <c r="S101" s="136"/>
      <c r="T101" s="137"/>
      <c r="U101" s="137"/>
      <c r="V101" s="137"/>
      <c r="W101" s="137"/>
      <c r="X101" s="137"/>
      <c r="Y101" s="212">
        <f t="shared" ref="Y101" si="1080">IF(OR(E99="",J101=""),0,J101&amp;E99)</f>
        <v>0</v>
      </c>
      <c r="Z101" s="212">
        <f>IF(Y101=0,0,COUNTIF($Y$7:Y101,Y101))</f>
        <v>0</v>
      </c>
      <c r="AD101" s="212">
        <f>IFERROR(VLOOKUP(J101,競技会設定!$T$2:$W$22,2,0),0)</f>
        <v>0</v>
      </c>
      <c r="AE101" s="212">
        <f t="shared" ref="AE101" si="1081">IF(E99="",0,IF(AD101=0,0,IF(AD101&lt;3,E99&amp;$AE$6,0)))</f>
        <v>0</v>
      </c>
      <c r="AF101" s="212">
        <f>IF(AE101=0,0,E99&amp;COUNTIF($AE$7:AE101,AE101))</f>
        <v>0</v>
      </c>
      <c r="AG101" s="212">
        <f t="shared" ref="AG101" si="1082">IF(E99="",0,IF(AD101=0,0,IF(AD101&gt;=3,E99&amp;$AG$6,0)))</f>
        <v>0</v>
      </c>
      <c r="AH101" s="212">
        <f>IF(AG101=0,0,E99&amp;COUNTIF($AG$7:AG101,AG101))</f>
        <v>0</v>
      </c>
      <c r="AI101" s="212">
        <f t="shared" ref="AI101" si="1083">IF($AD101=AI$6,$E99,0)</f>
        <v>0</v>
      </c>
      <c r="AJ101" s="212" t="b">
        <f>IF(AI101=0,FALSE,IF(COUNTIF(AI$7:AI101,AI101)&gt;1,TRUE,FALSE))</f>
        <v>0</v>
      </c>
      <c r="AK101" s="212">
        <f t="shared" ref="AK101" si="1084">IF($AD101=AK$6,$E99,0)</f>
        <v>0</v>
      </c>
      <c r="AL101" s="212" t="b">
        <f>IF(AK101=0,FALSE,IF(COUNTIF(AK$7:AK101,AK101)&gt;1,TRUE,FALSE))</f>
        <v>0</v>
      </c>
      <c r="AM101" s="212">
        <f t="shared" ref="AM101" si="1085">IF(COUNTIF(Y101,"*七種*")&gt;0,0,IF($AD101=AM$6,$E99,0))</f>
        <v>0</v>
      </c>
      <c r="AN101" s="212" t="b">
        <f>IF(AM101=0,FALSE,IF(COUNTIF(AM$7:AM101,AM101)&gt;1,TRUE,FALSE))</f>
        <v>0</v>
      </c>
      <c r="AO101" s="212">
        <f t="shared" ref="AO101" si="1086">IF($AD101=AO$6,$E99,0)</f>
        <v>0</v>
      </c>
      <c r="AP101" s="212" t="b">
        <f>IF(AO101=0,FALSE,IF(COUNTIF(AO$7:AO101,AO101)&gt;1,TRUE,FALSE))</f>
        <v>0</v>
      </c>
      <c r="AQ101" s="212">
        <f t="shared" ref="AQ101" si="1087">IF(COUNTIF(Y101,"*七種競技*")&gt;0,E99,0)</f>
        <v>0</v>
      </c>
      <c r="AR101" s="212" t="b">
        <f t="shared" si="744"/>
        <v>0</v>
      </c>
      <c r="AT101" s="212" t="b">
        <f t="shared" si="757"/>
        <v>0</v>
      </c>
      <c r="AX101" s="274"/>
      <c r="BD101" s="212" t="b">
        <f t="shared" si="731"/>
        <v>0</v>
      </c>
      <c r="BF101" s="212" t="b">
        <f t="shared" ref="BF101" si="1088">IF(J101="",FALSE,IF(OR(AND(AU99,L101=""),AND(AU99,L101="",OR(M101&lt;&gt;"",N101&lt;&gt;"",O101&lt;&gt;"",P101&lt;&gt;""))),TRUE,FALSE))</f>
        <v>0</v>
      </c>
      <c r="BG101" s="212" t="b">
        <f t="shared" si="733"/>
        <v>0</v>
      </c>
      <c r="BH101" s="212" t="b">
        <f t="shared" si="746"/>
        <v>0</v>
      </c>
      <c r="BI101" s="212" t="b">
        <f t="shared" ref="BI101" si="1089">IF(J101="",FALSE,IF(L101=0,FALSE,IF(AND(AU99,NOT(BF101),OR(M101="",N101="",O101="")),TRUE,FALSE)))</f>
        <v>0</v>
      </c>
      <c r="BJ101" s="231" t="b">
        <f t="shared" si="748"/>
        <v>0</v>
      </c>
      <c r="BK101" s="231" t="b">
        <f>IF(NOT(BJ101),FALSE,IF(AND(競技会設定!$C$5&lt;=BJ101,BJ101&lt;=競技会設定!$C$6),FALSE,TRUE))</f>
        <v>0</v>
      </c>
      <c r="BL101" s="212" t="b">
        <f>IF(J101="",FALSE,IF(L101=0,FALSE,IF(AND(AU99,NOT(BF101),NOT(BI101),P101=""),TRUE,FALSE)))</f>
        <v>0</v>
      </c>
    </row>
    <row r="102" spans="1:67" ht="18" customHeight="1" thickBot="1">
      <c r="A102" s="475"/>
      <c r="B102" s="387" t="s">
        <v>6764</v>
      </c>
      <c r="C102" s="387"/>
      <c r="D102" s="161"/>
      <c r="E102" s="467"/>
      <c r="F102" s="468"/>
      <c r="G102" s="469"/>
      <c r="H102" s="162"/>
      <c r="I102" s="161" t="s">
        <v>6759</v>
      </c>
      <c r="J102" s="177"/>
      <c r="K102" s="161" t="s">
        <v>6761</v>
      </c>
      <c r="L102" s="177"/>
      <c r="M102" s="267"/>
      <c r="N102" s="268"/>
      <c r="O102" s="269"/>
      <c r="P102" s="177"/>
      <c r="Q102" s="466"/>
      <c r="R102" s="410"/>
      <c r="S102" s="136"/>
      <c r="T102" s="137"/>
      <c r="U102" s="137"/>
      <c r="V102" s="137"/>
      <c r="W102" s="137"/>
      <c r="X102" s="137"/>
      <c r="Y102" s="212">
        <f t="shared" ref="Y102" si="1090">IF(OR(E99="",J102=""),0,J102&amp;E99)</f>
        <v>0</v>
      </c>
      <c r="Z102" s="212">
        <f>IF(Y102=0,0,COUNTIF($Y$7:Y102,Y102))</f>
        <v>0</v>
      </c>
      <c r="AD102" s="212">
        <f>IFERROR(VLOOKUP(J102,競技会設定!$T$2:$W$22,2,0),0)</f>
        <v>0</v>
      </c>
      <c r="AE102" s="212">
        <f t="shared" ref="AE102" si="1091">IF(E99="",0,IF(AD102=0,0,IF(AD102&lt;3,E99&amp;$AE$6,0)))</f>
        <v>0</v>
      </c>
      <c r="AF102" s="212">
        <f>IF(AE102=0,0,E99&amp;COUNTIF($AE$7:AE102,AE102))</f>
        <v>0</v>
      </c>
      <c r="AG102" s="212">
        <f t="shared" ref="AG102" si="1092">IF(E99="",0,IF(AD102=0,0,IF(AD102&gt;=3,E99&amp;$AG$6,0)))</f>
        <v>0</v>
      </c>
      <c r="AH102" s="212">
        <f>IF(AG102=0,0,E99&amp;COUNTIF($AG$7:AG102,AG102))</f>
        <v>0</v>
      </c>
      <c r="AI102" s="212">
        <f t="shared" ref="AI102" si="1093">IF($AD102=AI$6,$E99,0)</f>
        <v>0</v>
      </c>
      <c r="AJ102" s="212" t="b">
        <f>IF(AI102=0,FALSE,IF(COUNTIF(AI$7:AI102,AI102)&gt;1,TRUE,FALSE))</f>
        <v>0</v>
      </c>
      <c r="AK102" s="212">
        <f t="shared" ref="AK102" si="1094">IF($AD102=AK$6,$E99,0)</f>
        <v>0</v>
      </c>
      <c r="AL102" s="212" t="b">
        <f>IF(AK102=0,FALSE,IF(COUNTIF(AK$7:AK102,AK102)&gt;1,TRUE,FALSE))</f>
        <v>0</v>
      </c>
      <c r="AM102" s="212">
        <f t="shared" ref="AM102" si="1095">IF(COUNTIF(Y102,"*七種*")&gt;0,0,IF($AD102=AM$6,$E99,0))</f>
        <v>0</v>
      </c>
      <c r="AN102" s="212" t="b">
        <f>IF(AM102=0,FALSE,IF(COUNTIF(AM$7:AM102,AM102)&gt;1,TRUE,FALSE))</f>
        <v>0</v>
      </c>
      <c r="AO102" s="212">
        <f t="shared" ref="AO102" si="1096">IF($AD102=AO$6,$E99,0)</f>
        <v>0</v>
      </c>
      <c r="AP102" s="212" t="b">
        <f>IF(AO102=0,FALSE,IF(COUNTIF(AO$7:AO102,AO102)&gt;1,TRUE,FALSE))</f>
        <v>0</v>
      </c>
      <c r="AQ102" s="212">
        <f t="shared" ref="AQ102" si="1097">IF(COUNTIF(Y102,"*七種競技*")&gt;0,E99,0)</f>
        <v>0</v>
      </c>
      <c r="AR102" s="212" t="b">
        <f t="shared" si="744"/>
        <v>0</v>
      </c>
      <c r="AT102" s="212" t="b">
        <f t="shared" si="757"/>
        <v>0</v>
      </c>
      <c r="AX102" s="274"/>
      <c r="BD102" s="212" t="b">
        <f t="shared" si="731"/>
        <v>0</v>
      </c>
      <c r="BF102" s="212" t="b">
        <f t="shared" ref="BF102" si="1098">IF(J102="",FALSE,IF(OR(AND(AU99,L102=""),AND(AU99,L102="",OR(M102&lt;&gt;"",N102&lt;&gt;"",O102&lt;&gt;"",P102&lt;&gt;""))),TRUE,FALSE))</f>
        <v>0</v>
      </c>
      <c r="BG102" s="212" t="b">
        <f t="shared" si="733"/>
        <v>0</v>
      </c>
      <c r="BH102" s="212" t="b">
        <f t="shared" si="746"/>
        <v>0</v>
      </c>
      <c r="BI102" s="212" t="b">
        <f t="shared" ref="BI102" si="1099">IF(J102="",FALSE,IF(L102=0,FALSE,IF(AND(AU99,NOT(BF102),OR(M102="",N102="",O102="")),TRUE,FALSE)))</f>
        <v>0</v>
      </c>
      <c r="BJ102" s="231" t="b">
        <f t="shared" si="748"/>
        <v>0</v>
      </c>
      <c r="BK102" s="231" t="b">
        <f>IF(NOT(BJ102),FALSE,IF(AND(競技会設定!$C$5&lt;=BJ102,BJ102&lt;=競技会設定!$C$6),FALSE,TRUE))</f>
        <v>0</v>
      </c>
      <c r="BL102" s="212" t="b">
        <f>IF(J102="",FALSE,IF(L102=0,FALSE,IF(AND(AU99,NOT(BF102),NOT(BI102),P102=""),TRUE,FALSE)))</f>
        <v>0</v>
      </c>
    </row>
    <row r="103" spans="1:67" ht="18" customHeight="1" thickTop="1">
      <c r="A103" s="470">
        <v>25</v>
      </c>
      <c r="B103" s="401" t="s">
        <v>4018</v>
      </c>
      <c r="C103" s="403"/>
      <c r="D103" s="156" t="str">
        <f t="shared" ref="D103" si="1100">IF(C103="","",502&amp;TEXT(C103,"000000"))</f>
        <v/>
      </c>
      <c r="E103" s="473" t="str">
        <f>IF(D103="","",(VLOOKUP(D103,女子登録!$A$2:$N$2001,3,0)))</f>
        <v/>
      </c>
      <c r="F103" s="473" t="str">
        <f>IF(D103="","",(VLOOKUP(D103,女子登録!$A$2:$N$2001,4,0)))</f>
        <v/>
      </c>
      <c r="G103" s="156" t="str">
        <f>IF(C103="","",(VLOOKUP(D103,女子登録!$A$2:$N$2001,8,0)))</f>
        <v/>
      </c>
      <c r="H103" s="156">
        <f>IFERROR(VLOOKUP(D103,女子登録!$A$2:$N$2001,11,0),基本情報!$E$5)</f>
        <v>0</v>
      </c>
      <c r="I103" s="156" t="s">
        <v>4019</v>
      </c>
      <c r="J103" s="170"/>
      <c r="K103" s="156" t="s">
        <v>4022</v>
      </c>
      <c r="L103" s="170"/>
      <c r="M103" s="252"/>
      <c r="N103" s="253"/>
      <c r="O103" s="254"/>
      <c r="P103" s="170"/>
      <c r="Q103" s="457"/>
      <c r="R103" s="414"/>
      <c r="S103" s="136">
        <f t="shared" ref="S103" si="1101">IF(OR(E103="",Q103=""),0,E103)</f>
        <v>0</v>
      </c>
      <c r="T103" s="137">
        <f>IF(S103=0,0,COUNTIF($S$7:S103,"*"))</f>
        <v>0</v>
      </c>
      <c r="U103" s="137">
        <f>IF(S103=0,0,COUNTIF($S$7:S103,S103))</f>
        <v>0</v>
      </c>
      <c r="V103" s="137">
        <f t="shared" si="960"/>
        <v>0</v>
      </c>
      <c r="W103" s="137">
        <f>IF(V103=0,0,COUNTIF($V$7:V103,"*"))</f>
        <v>0</v>
      </c>
      <c r="X103" s="137">
        <f>IF(V103=0,0,COUNTIF($V$7:V103,V103))</f>
        <v>0</v>
      </c>
      <c r="Y103" s="212">
        <f t="shared" ref="Y103" si="1102">IF(OR(E103="",J103=""),0,J103&amp;E103)</f>
        <v>0</v>
      </c>
      <c r="Z103" s="212">
        <f>IF(Y103=0,0,COUNTIF($Y$7:Y103,Y103))</f>
        <v>0</v>
      </c>
      <c r="AA103" s="212" t="b">
        <f>IF(COUNTIF(J103:J106,"七種競技")&gt;0,TRUE,FALSE)</f>
        <v>0</v>
      </c>
      <c r="AB103" s="212">
        <f>IF(E103="",0,IF(AA103,COUNTIF($AA$7:AA103,TRUE),0))</f>
        <v>0</v>
      </c>
      <c r="AC103" s="212">
        <f>IFERROR(VLOOKUP("七種競技",J103:L106,3,0),0)</f>
        <v>0</v>
      </c>
      <c r="AD103" s="212">
        <f>IFERROR(VLOOKUP(J103,競技会設定!$T$2:$W$22,2,0),0)</f>
        <v>0</v>
      </c>
      <c r="AE103" s="212">
        <f t="shared" ref="AE103" si="1103">IF(E103="",0,IF(AD103=0,0,IF(AD103&lt;3,E103&amp;$AE$6,0)))</f>
        <v>0</v>
      </c>
      <c r="AF103" s="212">
        <f>IF(AE103=0,0,E103&amp;COUNTIF($AE$7:AE103,AE103))</f>
        <v>0</v>
      </c>
      <c r="AG103" s="212">
        <f t="shared" ref="AG103" si="1104">IF(E103="",0,IF(AD103=0,0,IF(AD103&gt;=3,E103&amp;$AG$6,0)))</f>
        <v>0</v>
      </c>
      <c r="AH103" s="212">
        <f>IF(AG103=0,0,E103&amp;COUNTIF($AG$7:AG103,AG103))</f>
        <v>0</v>
      </c>
      <c r="AI103" s="212">
        <f t="shared" ref="AI103" si="1105">IF($AD103=AI$6,$E103,0)</f>
        <v>0</v>
      </c>
      <c r="AJ103" s="212" t="b">
        <f>IF(AI103=0,FALSE,IF(COUNTIF(AI$7:AI103,AI103)&gt;1,TRUE,FALSE))</f>
        <v>0</v>
      </c>
      <c r="AK103" s="212">
        <f t="shared" ref="AK103" si="1106">IF($AD103=AK$6,$E103,0)</f>
        <v>0</v>
      </c>
      <c r="AL103" s="212" t="b">
        <f>IF(AK103=0,FALSE,IF(COUNTIF(AK$7:AK103,AK103)&gt;1,TRUE,FALSE))</f>
        <v>0</v>
      </c>
      <c r="AM103" s="212">
        <f t="shared" ref="AM103" si="1107">IF(COUNTIF(Y103,"*七種*")&gt;0,0,IF($AD103=AM$6,$E103,0))</f>
        <v>0</v>
      </c>
      <c r="AN103" s="212" t="b">
        <f>IF(AM103=0,FALSE,IF(COUNTIF(AM$7:AM103,AM103)&gt;1,TRUE,FALSE))</f>
        <v>0</v>
      </c>
      <c r="AO103" s="212">
        <f t="shared" ref="AO103" si="1108">IF($AD103=AO$6,$E103,0)</f>
        <v>0</v>
      </c>
      <c r="AP103" s="212" t="b">
        <f>IF(AO103=0,FALSE,IF(COUNTIF(AO$7:AO103,AO103)&gt;1,TRUE,FALSE))</f>
        <v>0</v>
      </c>
      <c r="AQ103" s="212">
        <f t="shared" ref="AQ103" si="1109">IF(COUNTIF(Y103,"*七種競技*")&gt;0,E103,0)</f>
        <v>0</v>
      </c>
      <c r="AR103" s="212" t="b">
        <f t="shared" si="744"/>
        <v>0</v>
      </c>
      <c r="AS103" s="212" t="b">
        <f t="shared" ref="AS103" si="1110">IF(AND(C103="",E103&lt;&gt;"",F103&lt;&gt;"",E105&lt;&gt;"",G103&lt;&gt;"",G104&lt;&gt;"",G105&lt;&gt;""),TRUE,FALSE)</f>
        <v>0</v>
      </c>
      <c r="AT103" s="212" t="b">
        <f t="shared" si="757"/>
        <v>0</v>
      </c>
      <c r="AU103" s="212" t="b">
        <f>IFERROR(IF(E103&amp;F103&amp;E105&amp;G103&amp;G104&amp;G105&amp;J103&amp;J104&amp;J105&amp;J106&amp;L103&amp;L104&amp;L105&amp;L106&amp;M103&amp;M104&amp;M105&amp;M106&amp;P103&amp;P104&amp;P105&amp;P106&amp;Q103&amp;R103="",FALSE,TRUE),FALSE)</f>
        <v>0</v>
      </c>
      <c r="AV103" s="212" t="b">
        <f t="shared" ref="AV103" si="1111">IF(AS103,FALSE,IF(C103="",AU103,FALSE))</f>
        <v>0</v>
      </c>
      <c r="AW103" s="212" t="b">
        <f t="shared" ref="AW103" si="1112">IF(C103="",FALSE,IF(C103&lt;=2000,TRUE,FALSE))</f>
        <v>0</v>
      </c>
      <c r="AX103" s="274" t="b">
        <f>IF(H103=0,FALSE,IF(EXACT(基本情報!$E$5,H103)=TRUE,FALSE,TRUE))</f>
        <v>0</v>
      </c>
      <c r="AY103" s="212" t="b">
        <f>IF(C103="",FALSE,IF(ISNA(E103)=TRUE,TRUE,FALSE))</f>
        <v>0</v>
      </c>
      <c r="AZ103" s="274" t="b">
        <f>IFERROR(IF(E103="",FALSE,IF(COUNTIF($E$7:E103,E103)&gt;1,TRUE,FALSE)),FALSE)</f>
        <v>0</v>
      </c>
      <c r="BA103" s="212" t="b">
        <f t="shared" ref="BA103" si="1113">IF(OR(J103&amp;J104&amp;J105&amp;J106&amp;Q103&amp;R103="",AT103,AT104,AT105,AT106),AU103,FALSE)</f>
        <v>0</v>
      </c>
      <c r="BB103" s="212" t="b">
        <f>IF(U103&gt;1,TRUE,FALSE)</f>
        <v>0</v>
      </c>
      <c r="BC103" s="212" t="b">
        <f>IF(X103&gt;1,TRUE,FALSE)</f>
        <v>0</v>
      </c>
      <c r="BD103" s="212" t="b">
        <f t="shared" si="731"/>
        <v>0</v>
      </c>
      <c r="BF103" s="212" t="b">
        <f t="shared" ref="BF103" si="1114">IF(J103="",FALSE,IF(OR(AND(AU103,L103=""),AND(AU103,L103="",OR(M103&lt;&gt;"",N103&lt;&gt;"",O103&lt;&gt;"",P103&lt;&gt;""))),TRUE,FALSE))</f>
        <v>0</v>
      </c>
      <c r="BG103" s="212" t="b">
        <f t="shared" si="733"/>
        <v>0</v>
      </c>
      <c r="BH103" s="212" t="b">
        <f t="shared" si="746"/>
        <v>0</v>
      </c>
      <c r="BI103" s="212" t="b">
        <f t="shared" ref="BI103" si="1115">IF(J103="",FALSE,IF(L103=0,FALSE,IF(AND(AU103,NOT(BF103),OR(M103="",N103="",O103="")),TRUE,FALSE)))</f>
        <v>0</v>
      </c>
      <c r="BJ103" s="231" t="b">
        <f t="shared" si="748"/>
        <v>0</v>
      </c>
      <c r="BK103" s="231" t="b">
        <f>IF(NOT(BJ103),FALSE,IF(AND(競技会設定!$C$5&lt;=BJ103,BJ103&lt;=競技会設定!$C$6),FALSE,TRUE))</f>
        <v>0</v>
      </c>
      <c r="BL103" s="212" t="b">
        <f>IF(J103="",FALSE,IF(L103=0,FALSE,IF(AND(AU103,NOT(BF103),NOT(BI103),P103=""),TRUE,FALSE)))</f>
        <v>0</v>
      </c>
      <c r="BO103" s="274">
        <f t="shared" ref="BO103" si="1116">IF(AND(AU103,SUM(COUNTIF(AV103:BC103,TRUE),COUNTIF(BF103:BL106,TRUE),COUNTIF(BD103:BD106,TRUE))=0,NOT($BE$7)),1,0)</f>
        <v>0</v>
      </c>
    </row>
    <row r="104" spans="1:67" ht="17.399999999999999" customHeight="1">
      <c r="A104" s="471"/>
      <c r="B104" s="402"/>
      <c r="C104" s="404"/>
      <c r="D104" s="11"/>
      <c r="E104" s="474"/>
      <c r="F104" s="474"/>
      <c r="G104" s="11" t="str">
        <f>IF(C103="","",(VLOOKUP(D103,女子登録!$A$2:$N$2001,13,0)))</f>
        <v/>
      </c>
      <c r="H104" s="11"/>
      <c r="I104" s="11" t="s">
        <v>4020</v>
      </c>
      <c r="J104" s="171"/>
      <c r="K104" s="11" t="s">
        <v>4023</v>
      </c>
      <c r="L104" s="171"/>
      <c r="M104" s="255"/>
      <c r="N104" s="256"/>
      <c r="O104" s="257"/>
      <c r="P104" s="171"/>
      <c r="Q104" s="458"/>
      <c r="R104" s="415"/>
      <c r="S104" s="136"/>
      <c r="T104" s="137"/>
      <c r="U104" s="137"/>
      <c r="V104" s="137"/>
      <c r="W104" s="137"/>
      <c r="X104" s="137"/>
      <c r="Y104" s="212">
        <f t="shared" ref="Y104" si="1117">IF(OR(E103="",J104=""),0,J104&amp;E103)</f>
        <v>0</v>
      </c>
      <c r="Z104" s="212">
        <f>IF(Y104=0,0,COUNTIF($Y$7:Y104,Y104))</f>
        <v>0</v>
      </c>
      <c r="AD104" s="212">
        <f>IFERROR(VLOOKUP(J104,競技会設定!$T$2:$W$22,2,0),0)</f>
        <v>0</v>
      </c>
      <c r="AE104" s="212">
        <f t="shared" ref="AE104" si="1118">IF(E103="",0,IF(AD104=0,0,IF(AD104&lt;3,E103&amp;$AE$6,0)))</f>
        <v>0</v>
      </c>
      <c r="AF104" s="212">
        <f>IF(AE104=0,0,E103&amp;COUNTIF($AE$7:AE104,AE104))</f>
        <v>0</v>
      </c>
      <c r="AG104" s="212">
        <f t="shared" ref="AG104" si="1119">IF(E103="",0,IF(AD104=0,0,IF(AD104&gt;=3,E103&amp;$AG$6,0)))</f>
        <v>0</v>
      </c>
      <c r="AH104" s="212">
        <f>IF(AG104=0,0,E103&amp;COUNTIF($AG$7:AG104,AG104))</f>
        <v>0</v>
      </c>
      <c r="AI104" s="212">
        <f t="shared" ref="AI104" si="1120">IF($AD104=AI$6,$E103,0)</f>
        <v>0</v>
      </c>
      <c r="AJ104" s="212" t="b">
        <f>IF(AI104=0,FALSE,IF(COUNTIF(AI$7:AI104,AI104)&gt;1,TRUE,FALSE))</f>
        <v>0</v>
      </c>
      <c r="AK104" s="212">
        <f t="shared" ref="AK104" si="1121">IF($AD104=AK$6,$E103,0)</f>
        <v>0</v>
      </c>
      <c r="AL104" s="212" t="b">
        <f>IF(AK104=0,FALSE,IF(COUNTIF(AK$7:AK104,AK104)&gt;1,TRUE,FALSE))</f>
        <v>0</v>
      </c>
      <c r="AM104" s="212">
        <f t="shared" ref="AM104" si="1122">IF(COUNTIF(Y104,"*七種*")&gt;0,0,IF($AD104=AM$6,$E103,0))</f>
        <v>0</v>
      </c>
      <c r="AN104" s="212" t="b">
        <f>IF(AM104=0,FALSE,IF(COUNTIF(AM$7:AM104,AM104)&gt;1,TRUE,FALSE))</f>
        <v>0</v>
      </c>
      <c r="AO104" s="212">
        <f t="shared" ref="AO104" si="1123">IF($AD104=AO$6,$E103,0)</f>
        <v>0</v>
      </c>
      <c r="AP104" s="212" t="b">
        <f>IF(AO104=0,FALSE,IF(COUNTIF(AO$7:AO104,AO104)&gt;1,TRUE,FALSE))</f>
        <v>0</v>
      </c>
      <c r="AQ104" s="212">
        <f t="shared" ref="AQ104" si="1124">IF(COUNTIF(Y104,"*七種競技*")&gt;0,E103,0)</f>
        <v>0</v>
      </c>
      <c r="AR104" s="212" t="b">
        <f t="shared" si="744"/>
        <v>0</v>
      </c>
      <c r="AT104" s="212" t="b">
        <f t="shared" si="757"/>
        <v>0</v>
      </c>
      <c r="AX104" s="274"/>
      <c r="BD104" s="212" t="b">
        <f t="shared" si="731"/>
        <v>0</v>
      </c>
      <c r="BF104" s="212" t="b">
        <f t="shared" ref="BF104" si="1125">IF(J104="",FALSE,IF(OR(AND(AU103,L104=""),AND(AU103,L104="",OR(M104&lt;&gt;"",N104&lt;&gt;"",O104&lt;&gt;"",P104&lt;&gt;""))),TRUE,FALSE))</f>
        <v>0</v>
      </c>
      <c r="BG104" s="212" t="b">
        <f t="shared" si="733"/>
        <v>0</v>
      </c>
      <c r="BH104" s="212" t="b">
        <f t="shared" si="746"/>
        <v>0</v>
      </c>
      <c r="BI104" s="212" t="b">
        <f t="shared" ref="BI104" si="1126">IF(J104="",FALSE,IF(L104=0,FALSE,IF(AND(AU103,NOT(BF104),OR(M104="",N104="",O104="")),TRUE,FALSE)))</f>
        <v>0</v>
      </c>
      <c r="BJ104" s="231" t="b">
        <f t="shared" si="748"/>
        <v>0</v>
      </c>
      <c r="BK104" s="231" t="b">
        <f>IF(NOT(BJ104),FALSE,IF(AND(競技会設定!$C$5&lt;=BJ104,BJ104&lt;=競技会設定!$C$6),FALSE,TRUE))</f>
        <v>0</v>
      </c>
      <c r="BL104" s="212" t="b">
        <f>IF(J104="",FALSE,IF(L104=0,FALSE,IF(AND(AU103,NOT(BF104),NOT(BI104),P104=""),TRUE,FALSE)))</f>
        <v>0</v>
      </c>
    </row>
    <row r="105" spans="1:67" ht="17.399999999999999" customHeight="1">
      <c r="A105" s="471"/>
      <c r="B105" s="402"/>
      <c r="C105" s="404"/>
      <c r="D105" s="11"/>
      <c r="E105" s="348" t="str">
        <f>IF(C103="","",VLOOKUP(D103,女子登録!$A$2:$O$2001,14,0)&amp;" ("&amp;VLOOKUP(D103,女子登録!$A$2:$O$2001,15,0)&amp;")")</f>
        <v/>
      </c>
      <c r="F105" s="348"/>
      <c r="G105" s="13" t="str">
        <f>IF(C103="","",(VLOOKUP(D103,女子登録!$A$2:$N$2001,9,0)))</f>
        <v/>
      </c>
      <c r="H105" s="13"/>
      <c r="I105" s="13" t="s">
        <v>4021</v>
      </c>
      <c r="J105" s="172"/>
      <c r="K105" s="13" t="s">
        <v>6760</v>
      </c>
      <c r="L105" s="172"/>
      <c r="M105" s="255"/>
      <c r="N105" s="256"/>
      <c r="O105" s="257"/>
      <c r="P105" s="171"/>
      <c r="Q105" s="458"/>
      <c r="R105" s="415"/>
      <c r="S105" s="136"/>
      <c r="T105" s="137"/>
      <c r="U105" s="137"/>
      <c r="V105" s="137"/>
      <c r="W105" s="137"/>
      <c r="X105" s="137"/>
      <c r="Y105" s="212">
        <f t="shared" ref="Y105" si="1127">IF(OR(E103="",J105=""),0,J105&amp;E103)</f>
        <v>0</v>
      </c>
      <c r="Z105" s="212">
        <f>IF(Y105=0,0,COUNTIF($Y$7:Y105,Y105))</f>
        <v>0</v>
      </c>
      <c r="AD105" s="212">
        <f>IFERROR(VLOOKUP(J105,競技会設定!$T$2:$W$22,2,0),0)</f>
        <v>0</v>
      </c>
      <c r="AE105" s="212">
        <f t="shared" ref="AE105" si="1128">IF(E103="",0,IF(AD105=0,0,IF(AD105&lt;3,E103&amp;$AE$6,0)))</f>
        <v>0</v>
      </c>
      <c r="AF105" s="212">
        <f>IF(AE105=0,0,E103&amp;COUNTIF($AE$7:AE105,AE105))</f>
        <v>0</v>
      </c>
      <c r="AG105" s="212">
        <f t="shared" ref="AG105" si="1129">IF(E103="",0,IF(AD105=0,0,IF(AD105&gt;=3,E103&amp;$AG$6,0)))</f>
        <v>0</v>
      </c>
      <c r="AH105" s="212">
        <f>IF(AG105=0,0,E103&amp;COUNTIF($AG$7:AG105,AG105))</f>
        <v>0</v>
      </c>
      <c r="AI105" s="212">
        <f t="shared" ref="AI105" si="1130">IF($AD105=AI$6,$E103,0)</f>
        <v>0</v>
      </c>
      <c r="AJ105" s="212" t="b">
        <f>IF(AI105=0,FALSE,IF(COUNTIF(AI$7:AI105,AI105)&gt;1,TRUE,FALSE))</f>
        <v>0</v>
      </c>
      <c r="AK105" s="212">
        <f t="shared" ref="AK105" si="1131">IF($AD105=AK$6,$E103,0)</f>
        <v>0</v>
      </c>
      <c r="AL105" s="212" t="b">
        <f>IF(AK105=0,FALSE,IF(COUNTIF(AK$7:AK105,AK105)&gt;1,TRUE,FALSE))</f>
        <v>0</v>
      </c>
      <c r="AM105" s="212">
        <f t="shared" ref="AM105" si="1132">IF(COUNTIF(Y105,"*七種*")&gt;0,0,IF($AD105=AM$6,$E103,0))</f>
        <v>0</v>
      </c>
      <c r="AN105" s="212" t="b">
        <f>IF(AM105=0,FALSE,IF(COUNTIF(AM$7:AM105,AM105)&gt;1,TRUE,FALSE))</f>
        <v>0</v>
      </c>
      <c r="AO105" s="212">
        <f t="shared" ref="AO105" si="1133">IF($AD105=AO$6,$E103,0)</f>
        <v>0</v>
      </c>
      <c r="AP105" s="212" t="b">
        <f>IF(AO105=0,FALSE,IF(COUNTIF(AO$7:AO105,AO105)&gt;1,TRUE,FALSE))</f>
        <v>0</v>
      </c>
      <c r="AQ105" s="212">
        <f t="shared" ref="AQ105" si="1134">IF(COUNTIF(Y105,"*七種競技*")&gt;0,E103,0)</f>
        <v>0</v>
      </c>
      <c r="AR105" s="212" t="b">
        <f t="shared" si="744"/>
        <v>0</v>
      </c>
      <c r="AT105" s="212" t="b">
        <f t="shared" si="757"/>
        <v>0</v>
      </c>
      <c r="AX105" s="274"/>
      <c r="BD105" s="212" t="b">
        <f t="shared" si="731"/>
        <v>0</v>
      </c>
      <c r="BF105" s="212" t="b">
        <f t="shared" ref="BF105" si="1135">IF(J105="",FALSE,IF(OR(AND(AU103,L105=""),AND(AU103,L105="",OR(M105&lt;&gt;"",N105&lt;&gt;"",O105&lt;&gt;"",P105&lt;&gt;""))),TRUE,FALSE))</f>
        <v>0</v>
      </c>
      <c r="BG105" s="212" t="b">
        <f t="shared" si="733"/>
        <v>0</v>
      </c>
      <c r="BH105" s="212" t="b">
        <f t="shared" si="746"/>
        <v>0</v>
      </c>
      <c r="BI105" s="212" t="b">
        <f t="shared" ref="BI105" si="1136">IF(J105="",FALSE,IF(L105=0,FALSE,IF(AND(AU103,NOT(BF105),OR(M105="",N105="",O105="")),TRUE,FALSE)))</f>
        <v>0</v>
      </c>
      <c r="BJ105" s="231" t="b">
        <f t="shared" si="748"/>
        <v>0</v>
      </c>
      <c r="BK105" s="231" t="b">
        <f>IF(NOT(BJ105),FALSE,IF(AND(競技会設定!$C$5&lt;=BJ105,BJ105&lt;=競技会設定!$C$6),FALSE,TRUE))</f>
        <v>0</v>
      </c>
      <c r="BL105" s="212" t="b">
        <f>IF(J105="",FALSE,IF(L105=0,FALSE,IF(AND(AU103,NOT(BF105),NOT(BI105),P105=""),TRUE,FALSE)))</f>
        <v>0</v>
      </c>
    </row>
    <row r="106" spans="1:67" ht="18" customHeight="1" thickBot="1">
      <c r="A106" s="472"/>
      <c r="B106" s="395" t="s">
        <v>6764</v>
      </c>
      <c r="C106" s="395"/>
      <c r="D106" s="11"/>
      <c r="E106" s="460"/>
      <c r="F106" s="460"/>
      <c r="G106" s="460"/>
      <c r="H106" s="157"/>
      <c r="I106" s="157" t="s">
        <v>6759</v>
      </c>
      <c r="J106" s="173"/>
      <c r="K106" s="157" t="s">
        <v>6761</v>
      </c>
      <c r="L106" s="173"/>
      <c r="M106" s="258"/>
      <c r="N106" s="259"/>
      <c r="O106" s="260"/>
      <c r="P106" s="173"/>
      <c r="Q106" s="459"/>
      <c r="R106" s="416"/>
      <c r="S106" s="136"/>
      <c r="T106" s="137"/>
      <c r="U106" s="137"/>
      <c r="V106" s="137"/>
      <c r="W106" s="137"/>
      <c r="X106" s="137"/>
      <c r="Y106" s="212">
        <f t="shared" ref="Y106" si="1137">IF(OR(E103="",J106=""),0,J106&amp;E103)</f>
        <v>0</v>
      </c>
      <c r="Z106" s="212">
        <f>IF(Y106=0,0,COUNTIF($Y$7:Y106,Y106))</f>
        <v>0</v>
      </c>
      <c r="AD106" s="212">
        <f>IFERROR(VLOOKUP(J106,競技会設定!$T$2:$W$22,2,0),0)</f>
        <v>0</v>
      </c>
      <c r="AE106" s="212">
        <f t="shared" ref="AE106" si="1138">IF(E103="",0,IF(AD106=0,0,IF(AD106&lt;3,E103&amp;$AE$6,0)))</f>
        <v>0</v>
      </c>
      <c r="AF106" s="212">
        <f>IF(AE106=0,0,E103&amp;COUNTIF($AE$7:AE106,AE106))</f>
        <v>0</v>
      </c>
      <c r="AG106" s="212">
        <f t="shared" ref="AG106" si="1139">IF(E103="",0,IF(AD106=0,0,IF(AD106&gt;=3,E103&amp;$AG$6,0)))</f>
        <v>0</v>
      </c>
      <c r="AH106" s="212">
        <f>IF(AG106=0,0,E103&amp;COUNTIF($AG$7:AG106,AG106))</f>
        <v>0</v>
      </c>
      <c r="AI106" s="212">
        <f t="shared" ref="AI106" si="1140">IF($AD106=AI$6,$E103,0)</f>
        <v>0</v>
      </c>
      <c r="AJ106" s="212" t="b">
        <f>IF(AI106=0,FALSE,IF(COUNTIF(AI$7:AI106,AI106)&gt;1,TRUE,FALSE))</f>
        <v>0</v>
      </c>
      <c r="AK106" s="212">
        <f t="shared" ref="AK106" si="1141">IF($AD106=AK$6,$E103,0)</f>
        <v>0</v>
      </c>
      <c r="AL106" s="212" t="b">
        <f>IF(AK106=0,FALSE,IF(COUNTIF(AK$7:AK106,AK106)&gt;1,TRUE,FALSE))</f>
        <v>0</v>
      </c>
      <c r="AM106" s="212">
        <f t="shared" ref="AM106" si="1142">IF(COUNTIF(Y106,"*七種*")&gt;0,0,IF($AD106=AM$6,$E103,0))</f>
        <v>0</v>
      </c>
      <c r="AN106" s="212" t="b">
        <f>IF(AM106=0,FALSE,IF(COUNTIF(AM$7:AM106,AM106)&gt;1,TRUE,FALSE))</f>
        <v>0</v>
      </c>
      <c r="AO106" s="212">
        <f t="shared" ref="AO106" si="1143">IF($AD106=AO$6,$E103,0)</f>
        <v>0</v>
      </c>
      <c r="AP106" s="212" t="b">
        <f>IF(AO106=0,FALSE,IF(COUNTIF(AO$7:AO106,AO106)&gt;1,TRUE,FALSE))</f>
        <v>0</v>
      </c>
      <c r="AQ106" s="212">
        <f t="shared" ref="AQ106" si="1144">IF(COUNTIF(Y106,"*七種競技*")&gt;0,E103,0)</f>
        <v>0</v>
      </c>
      <c r="AR106" s="212" t="b">
        <f t="shared" si="744"/>
        <v>0</v>
      </c>
      <c r="AT106" s="212" t="b">
        <f t="shared" si="757"/>
        <v>0</v>
      </c>
      <c r="AX106" s="274"/>
      <c r="BD106" s="212" t="b">
        <f t="shared" si="731"/>
        <v>0</v>
      </c>
      <c r="BF106" s="212" t="b">
        <f t="shared" ref="BF106" si="1145">IF(J106="",FALSE,IF(OR(AND(AU103,L106=""),AND(AU103,L106="",OR(M106&lt;&gt;"",N106&lt;&gt;"",O106&lt;&gt;"",P106&lt;&gt;""))),TRUE,FALSE))</f>
        <v>0</v>
      </c>
      <c r="BG106" s="212" t="b">
        <f t="shared" si="733"/>
        <v>0</v>
      </c>
      <c r="BH106" s="212" t="b">
        <f t="shared" si="746"/>
        <v>0</v>
      </c>
      <c r="BI106" s="212" t="b">
        <f t="shared" ref="BI106" si="1146">IF(J106="",FALSE,IF(L106=0,FALSE,IF(AND(AU103,NOT(BF106),OR(M106="",N106="",O106="")),TRUE,FALSE)))</f>
        <v>0</v>
      </c>
      <c r="BJ106" s="231" t="b">
        <f t="shared" si="748"/>
        <v>0</v>
      </c>
      <c r="BK106" s="231" t="b">
        <f>IF(NOT(BJ106),FALSE,IF(AND(競技会設定!$C$5&lt;=BJ106,BJ106&lt;=競技会設定!$C$6),FALSE,TRUE))</f>
        <v>0</v>
      </c>
      <c r="BL106" s="212" t="b">
        <f>IF(J106="",FALSE,IF(L106=0,FALSE,IF(AND(AU103,NOT(BF106),NOT(BI106),P106=""),TRUE,FALSE)))</f>
        <v>0</v>
      </c>
    </row>
    <row r="107" spans="1:67" ht="18" customHeight="1" thickTop="1">
      <c r="A107" s="461">
        <v>26</v>
      </c>
      <c r="B107" s="373" t="s">
        <v>4018</v>
      </c>
      <c r="C107" s="375"/>
      <c r="D107" s="158" t="str">
        <f t="shared" ref="D107" si="1147">IF(C107="","",502&amp;TEXT(C107,"000000"))</f>
        <v/>
      </c>
      <c r="E107" s="464" t="str">
        <f>IF(D107="","",(VLOOKUP(D107,女子登録!$A$2:$N$2001,3,0)))</f>
        <v/>
      </c>
      <c r="F107" s="464" t="str">
        <f>IF(D107="","",(VLOOKUP(D107,女子登録!$A$2:$N$2001,4,0)))</f>
        <v/>
      </c>
      <c r="G107" s="158" t="str">
        <f>IF(C107="","",(VLOOKUP(D107,女子登録!$A$2:$N$2001,8,0)))</f>
        <v/>
      </c>
      <c r="H107" s="158">
        <f>IFERROR(VLOOKUP(D107,女子登録!$A$2:$N$2001,11,0),基本情報!$E$5)</f>
        <v>0</v>
      </c>
      <c r="I107" s="158" t="s">
        <v>4019</v>
      </c>
      <c r="J107" s="174"/>
      <c r="K107" s="158" t="s">
        <v>4022</v>
      </c>
      <c r="L107" s="174"/>
      <c r="M107" s="261"/>
      <c r="N107" s="262"/>
      <c r="O107" s="263"/>
      <c r="P107" s="174"/>
      <c r="Q107" s="448"/>
      <c r="R107" s="408"/>
      <c r="S107" s="136">
        <f t="shared" ref="S107" si="1148">IF(OR(E107="",Q107=""),0,E107)</f>
        <v>0</v>
      </c>
      <c r="T107" s="137">
        <f>IF(S107=0,0,COUNTIF($S$7:S107,"*"))</f>
        <v>0</v>
      </c>
      <c r="U107" s="137">
        <f>IF(S107=0,0,COUNTIF($S$7:S107,S107))</f>
        <v>0</v>
      </c>
      <c r="V107" s="137">
        <f t="shared" si="960"/>
        <v>0</v>
      </c>
      <c r="W107" s="137">
        <f>IF(V107=0,0,COUNTIF($V$7:V107,"*"))</f>
        <v>0</v>
      </c>
      <c r="X107" s="137">
        <f>IF(V107=0,0,COUNTIF($V$7:V107,V107))</f>
        <v>0</v>
      </c>
      <c r="Y107" s="212">
        <f t="shared" ref="Y107" si="1149">IF(OR(E107="",J107=""),0,J107&amp;E107)</f>
        <v>0</v>
      </c>
      <c r="Z107" s="212">
        <f>IF(Y107=0,0,COUNTIF($Y$7:Y107,Y107))</f>
        <v>0</v>
      </c>
      <c r="AA107" s="212" t="b">
        <f>IF(COUNTIF(J107:J110,"七種競技")&gt;0,TRUE,FALSE)</f>
        <v>0</v>
      </c>
      <c r="AB107" s="212">
        <f>IF(E107="",0,IF(AA107,COUNTIF($AA$7:AA107,TRUE),0))</f>
        <v>0</v>
      </c>
      <c r="AC107" s="212">
        <f>IFERROR(VLOOKUP("七種競技",J107:L110,3,0),0)</f>
        <v>0</v>
      </c>
      <c r="AD107" s="212">
        <f>IFERROR(VLOOKUP(J107,競技会設定!$T$2:$W$22,2,0),0)</f>
        <v>0</v>
      </c>
      <c r="AE107" s="212">
        <f t="shared" ref="AE107" si="1150">IF(E107="",0,IF(AD107=0,0,IF(AD107&lt;3,E107&amp;$AE$6,0)))</f>
        <v>0</v>
      </c>
      <c r="AF107" s="212">
        <f>IF(AE107=0,0,E107&amp;COUNTIF($AE$7:AE107,AE107))</f>
        <v>0</v>
      </c>
      <c r="AG107" s="212">
        <f t="shared" ref="AG107" si="1151">IF(E107="",0,IF(AD107=0,0,IF(AD107&gt;=3,E107&amp;$AG$6,0)))</f>
        <v>0</v>
      </c>
      <c r="AH107" s="212">
        <f>IF(AG107=0,0,E107&amp;COUNTIF($AG$7:AG107,AG107))</f>
        <v>0</v>
      </c>
      <c r="AI107" s="212">
        <f t="shared" ref="AI107" si="1152">IF($AD107=AI$6,$E107,0)</f>
        <v>0</v>
      </c>
      <c r="AJ107" s="212" t="b">
        <f>IF(AI107=0,FALSE,IF(COUNTIF(AI$7:AI107,AI107)&gt;1,TRUE,FALSE))</f>
        <v>0</v>
      </c>
      <c r="AK107" s="212">
        <f t="shared" ref="AK107" si="1153">IF($AD107=AK$6,$E107,0)</f>
        <v>0</v>
      </c>
      <c r="AL107" s="212" t="b">
        <f>IF(AK107=0,FALSE,IF(COUNTIF(AK$7:AK107,AK107)&gt;1,TRUE,FALSE))</f>
        <v>0</v>
      </c>
      <c r="AM107" s="212">
        <f t="shared" ref="AM107" si="1154">IF(COUNTIF(Y107,"*七種*")&gt;0,0,IF($AD107=AM$6,$E107,0))</f>
        <v>0</v>
      </c>
      <c r="AN107" s="212" t="b">
        <f>IF(AM107=0,FALSE,IF(COUNTIF(AM$7:AM107,AM107)&gt;1,TRUE,FALSE))</f>
        <v>0</v>
      </c>
      <c r="AO107" s="212">
        <f t="shared" ref="AO107" si="1155">IF($AD107=AO$6,$E107,0)</f>
        <v>0</v>
      </c>
      <c r="AP107" s="212" t="b">
        <f>IF(AO107=0,FALSE,IF(COUNTIF(AO$7:AO107,AO107)&gt;1,TRUE,FALSE))</f>
        <v>0</v>
      </c>
      <c r="AQ107" s="212">
        <f t="shared" ref="AQ107" si="1156">IF(COUNTIF(Y107,"*七種競技*")&gt;0,E107,0)</f>
        <v>0</v>
      </c>
      <c r="AR107" s="212" t="b">
        <f t="shared" si="744"/>
        <v>0</v>
      </c>
      <c r="AS107" s="212" t="b">
        <f t="shared" ref="AS107" si="1157">IF(AND(C107="",E107&lt;&gt;"",F107&lt;&gt;"",E109&lt;&gt;"",G107&lt;&gt;"",G108&lt;&gt;"",G109&lt;&gt;""),TRUE,FALSE)</f>
        <v>0</v>
      </c>
      <c r="AT107" s="212" t="b">
        <f t="shared" si="757"/>
        <v>0</v>
      </c>
      <c r="AU107" s="212" t="b">
        <f>IFERROR(IF(E107&amp;F107&amp;E109&amp;G107&amp;G108&amp;G109&amp;J107&amp;J108&amp;J109&amp;J110&amp;L107&amp;L108&amp;L109&amp;L110&amp;M107&amp;M108&amp;M109&amp;M110&amp;P107&amp;P108&amp;P109&amp;P110&amp;Q107&amp;R107="",FALSE,TRUE),FALSE)</f>
        <v>0</v>
      </c>
      <c r="AV107" s="212" t="b">
        <f t="shared" ref="AV107" si="1158">IF(AS107,FALSE,IF(C107="",AU107,FALSE))</f>
        <v>0</v>
      </c>
      <c r="AW107" s="212" t="b">
        <f t="shared" ref="AW107" si="1159">IF(C107="",FALSE,IF(C107&lt;=2000,TRUE,FALSE))</f>
        <v>0</v>
      </c>
      <c r="AX107" s="274" t="b">
        <f>IF(H107=0,FALSE,IF(EXACT(基本情報!$E$5,H107)=TRUE,FALSE,TRUE))</f>
        <v>0</v>
      </c>
      <c r="AY107" s="212" t="b">
        <f>IF(C107="",FALSE,IF(ISNA(E107)=TRUE,TRUE,FALSE))</f>
        <v>0</v>
      </c>
      <c r="AZ107" s="274" t="b">
        <f>IFERROR(IF(E107="",FALSE,IF(COUNTIF($E$7:E107,E107)&gt;1,TRUE,FALSE)),FALSE)</f>
        <v>0</v>
      </c>
      <c r="BA107" s="212" t="b">
        <f t="shared" ref="BA107" si="1160">IF(OR(J107&amp;J108&amp;J109&amp;J110&amp;Q107&amp;R107="",AT107,AT108,AT109,AT110),AU107,FALSE)</f>
        <v>0</v>
      </c>
      <c r="BB107" s="212" t="b">
        <f>IF(U107&gt;1,TRUE,FALSE)</f>
        <v>0</v>
      </c>
      <c r="BC107" s="212" t="b">
        <f>IF(X107&gt;1,TRUE,FALSE)</f>
        <v>0</v>
      </c>
      <c r="BD107" s="212" t="b">
        <f t="shared" si="731"/>
        <v>0</v>
      </c>
      <c r="BF107" s="212" t="b">
        <f t="shared" ref="BF107" si="1161">IF(J107="",FALSE,IF(OR(AND(AU107,L107=""),AND(AU107,L107="",OR(M107&lt;&gt;"",N107&lt;&gt;"",O107&lt;&gt;"",P107&lt;&gt;""))),TRUE,FALSE))</f>
        <v>0</v>
      </c>
      <c r="BG107" s="212" t="b">
        <f t="shared" si="733"/>
        <v>0</v>
      </c>
      <c r="BH107" s="212" t="b">
        <f t="shared" si="746"/>
        <v>0</v>
      </c>
      <c r="BI107" s="212" t="b">
        <f t="shared" ref="BI107" si="1162">IF(J107="",FALSE,IF(L107=0,FALSE,IF(AND(AU107,NOT(BF107),OR(M107="",N107="",O107="")),TRUE,FALSE)))</f>
        <v>0</v>
      </c>
      <c r="BJ107" s="231" t="b">
        <f t="shared" si="748"/>
        <v>0</v>
      </c>
      <c r="BK107" s="231" t="b">
        <f>IF(NOT(BJ107),FALSE,IF(AND(競技会設定!$C$5&lt;=BJ107,BJ107&lt;=競技会設定!$C$6),FALSE,TRUE))</f>
        <v>0</v>
      </c>
      <c r="BL107" s="212" t="b">
        <f>IF(J107="",FALSE,IF(L107=0,FALSE,IF(AND(AU107,NOT(BF107),NOT(BI107),P107=""),TRUE,FALSE)))</f>
        <v>0</v>
      </c>
      <c r="BO107" s="274">
        <f t="shared" ref="BO107" si="1163">IF(AND(AU107,SUM(COUNTIF(AV107:BC107,TRUE),COUNTIF(BF107:BL110,TRUE),COUNTIF(BD107:BD110,TRUE))=0,NOT($BE$7)),1,0)</f>
        <v>0</v>
      </c>
    </row>
    <row r="108" spans="1:67" ht="17.399999999999999" customHeight="1">
      <c r="A108" s="462"/>
      <c r="B108" s="374"/>
      <c r="C108" s="376"/>
      <c r="D108" s="159"/>
      <c r="E108" s="465"/>
      <c r="F108" s="465"/>
      <c r="G108" s="159" t="str">
        <f>IF(C107="","",(VLOOKUP(D107,女子登録!$A$2:$N$2001,13,0)))</f>
        <v/>
      </c>
      <c r="H108" s="159"/>
      <c r="I108" s="159" t="s">
        <v>4020</v>
      </c>
      <c r="J108" s="175"/>
      <c r="K108" s="159" t="s">
        <v>4023</v>
      </c>
      <c r="L108" s="175"/>
      <c r="M108" s="264"/>
      <c r="N108" s="265"/>
      <c r="O108" s="266"/>
      <c r="P108" s="175"/>
      <c r="Q108" s="449"/>
      <c r="R108" s="409"/>
      <c r="S108" s="136"/>
      <c r="T108" s="137"/>
      <c r="U108" s="137"/>
      <c r="V108" s="137"/>
      <c r="W108" s="137"/>
      <c r="X108" s="137"/>
      <c r="Y108" s="212">
        <f t="shared" ref="Y108" si="1164">IF(OR(E107="",J108=""),0,J108&amp;E107)</f>
        <v>0</v>
      </c>
      <c r="Z108" s="212">
        <f>IF(Y108=0,0,COUNTIF($Y$7:Y108,Y108))</f>
        <v>0</v>
      </c>
      <c r="AD108" s="212">
        <f>IFERROR(VLOOKUP(J108,競技会設定!$T$2:$W$22,2,0),0)</f>
        <v>0</v>
      </c>
      <c r="AE108" s="212">
        <f t="shared" ref="AE108" si="1165">IF(E107="",0,IF(AD108=0,0,IF(AD108&lt;3,E107&amp;$AE$6,0)))</f>
        <v>0</v>
      </c>
      <c r="AF108" s="212">
        <f>IF(AE108=0,0,E107&amp;COUNTIF($AE$7:AE108,AE108))</f>
        <v>0</v>
      </c>
      <c r="AG108" s="212">
        <f t="shared" ref="AG108" si="1166">IF(E107="",0,IF(AD108=0,0,IF(AD108&gt;=3,E107&amp;$AG$6,0)))</f>
        <v>0</v>
      </c>
      <c r="AH108" s="212">
        <f>IF(AG108=0,0,E107&amp;COUNTIF($AG$7:AG108,AG108))</f>
        <v>0</v>
      </c>
      <c r="AI108" s="212">
        <f t="shared" ref="AI108" si="1167">IF($AD108=AI$6,$E107,0)</f>
        <v>0</v>
      </c>
      <c r="AJ108" s="212" t="b">
        <f>IF(AI108=0,FALSE,IF(COUNTIF(AI$7:AI108,AI108)&gt;1,TRUE,FALSE))</f>
        <v>0</v>
      </c>
      <c r="AK108" s="212">
        <f t="shared" ref="AK108" si="1168">IF($AD108=AK$6,$E107,0)</f>
        <v>0</v>
      </c>
      <c r="AL108" s="212" t="b">
        <f>IF(AK108=0,FALSE,IF(COUNTIF(AK$7:AK108,AK108)&gt;1,TRUE,FALSE))</f>
        <v>0</v>
      </c>
      <c r="AM108" s="212">
        <f t="shared" ref="AM108" si="1169">IF(COUNTIF(Y108,"*七種*")&gt;0,0,IF($AD108=AM$6,$E107,0))</f>
        <v>0</v>
      </c>
      <c r="AN108" s="212" t="b">
        <f>IF(AM108=0,FALSE,IF(COUNTIF(AM$7:AM108,AM108)&gt;1,TRUE,FALSE))</f>
        <v>0</v>
      </c>
      <c r="AO108" s="212">
        <f t="shared" ref="AO108" si="1170">IF($AD108=AO$6,$E107,0)</f>
        <v>0</v>
      </c>
      <c r="AP108" s="212" t="b">
        <f>IF(AO108=0,FALSE,IF(COUNTIF(AO$7:AO108,AO108)&gt;1,TRUE,FALSE))</f>
        <v>0</v>
      </c>
      <c r="AQ108" s="212">
        <f t="shared" ref="AQ108" si="1171">IF(COUNTIF(Y108,"*七種競技*")&gt;0,E107,0)</f>
        <v>0</v>
      </c>
      <c r="AR108" s="212" t="b">
        <f t="shared" si="744"/>
        <v>0</v>
      </c>
      <c r="AT108" s="212" t="b">
        <f t="shared" si="757"/>
        <v>0</v>
      </c>
      <c r="AX108" s="274"/>
      <c r="BD108" s="212" t="b">
        <f t="shared" si="731"/>
        <v>0</v>
      </c>
      <c r="BF108" s="212" t="b">
        <f t="shared" ref="BF108" si="1172">IF(J108="",FALSE,IF(OR(AND(AU107,L108=""),AND(AU107,L108="",OR(M108&lt;&gt;"",N108&lt;&gt;"",O108&lt;&gt;"",P108&lt;&gt;""))),TRUE,FALSE))</f>
        <v>0</v>
      </c>
      <c r="BG108" s="212" t="b">
        <f t="shared" si="733"/>
        <v>0</v>
      </c>
      <c r="BH108" s="212" t="b">
        <f t="shared" si="746"/>
        <v>0</v>
      </c>
      <c r="BI108" s="212" t="b">
        <f t="shared" ref="BI108" si="1173">IF(J108="",FALSE,IF(L108=0,FALSE,IF(AND(AU107,NOT(BF108),OR(M108="",N108="",O108="")),TRUE,FALSE)))</f>
        <v>0</v>
      </c>
      <c r="BJ108" s="231" t="b">
        <f t="shared" si="748"/>
        <v>0</v>
      </c>
      <c r="BK108" s="231" t="b">
        <f>IF(NOT(BJ108),FALSE,IF(AND(競技会設定!$C$5&lt;=BJ108,BJ108&lt;=競技会設定!$C$6),FALSE,TRUE))</f>
        <v>0</v>
      </c>
      <c r="BL108" s="212" t="b">
        <f>IF(J108="",FALSE,IF(L108=0,FALSE,IF(AND(AU107,NOT(BF108),NOT(BI108),P108=""),TRUE,FALSE)))</f>
        <v>0</v>
      </c>
    </row>
    <row r="109" spans="1:67" ht="17.399999999999999" customHeight="1">
      <c r="A109" s="462"/>
      <c r="B109" s="374"/>
      <c r="C109" s="376"/>
      <c r="D109" s="160"/>
      <c r="E109" s="452" t="str">
        <f>IF(C107="","",VLOOKUP(D107,女子登録!$A$2:$O$2001,14,0)&amp;" ("&amp;VLOOKUP(D107,女子登録!$A$2:$O$2001,15,0)&amp;")")</f>
        <v/>
      </c>
      <c r="F109" s="453"/>
      <c r="G109" s="160" t="str">
        <f>IF(C107="","",(VLOOKUP(D107,女子登録!$A$2:$N$2001,9,0)))</f>
        <v/>
      </c>
      <c r="H109" s="160"/>
      <c r="I109" s="160" t="s">
        <v>4021</v>
      </c>
      <c r="J109" s="176"/>
      <c r="K109" s="160" t="s">
        <v>6760</v>
      </c>
      <c r="L109" s="176"/>
      <c r="M109" s="264"/>
      <c r="N109" s="265"/>
      <c r="O109" s="266"/>
      <c r="P109" s="175"/>
      <c r="Q109" s="449"/>
      <c r="R109" s="409"/>
      <c r="S109" s="136"/>
      <c r="T109" s="137"/>
      <c r="U109" s="137"/>
      <c r="V109" s="137"/>
      <c r="W109" s="137"/>
      <c r="X109" s="137"/>
      <c r="Y109" s="212">
        <f t="shared" ref="Y109" si="1174">IF(OR(E107="",J109=""),0,J109&amp;E107)</f>
        <v>0</v>
      </c>
      <c r="Z109" s="212">
        <f>IF(Y109=0,0,COUNTIF($Y$7:Y109,Y109))</f>
        <v>0</v>
      </c>
      <c r="AD109" s="212">
        <f>IFERROR(VLOOKUP(J109,競技会設定!$T$2:$W$22,2,0),0)</f>
        <v>0</v>
      </c>
      <c r="AE109" s="212">
        <f t="shared" ref="AE109" si="1175">IF(E107="",0,IF(AD109=0,0,IF(AD109&lt;3,E107&amp;$AE$6,0)))</f>
        <v>0</v>
      </c>
      <c r="AF109" s="212">
        <f>IF(AE109=0,0,E107&amp;COUNTIF($AE$7:AE109,AE109))</f>
        <v>0</v>
      </c>
      <c r="AG109" s="212">
        <f t="shared" ref="AG109" si="1176">IF(E107="",0,IF(AD109=0,0,IF(AD109&gt;=3,E107&amp;$AG$6,0)))</f>
        <v>0</v>
      </c>
      <c r="AH109" s="212">
        <f>IF(AG109=0,0,E107&amp;COUNTIF($AG$7:AG109,AG109))</f>
        <v>0</v>
      </c>
      <c r="AI109" s="212">
        <f t="shared" ref="AI109" si="1177">IF($AD109=AI$6,$E107,0)</f>
        <v>0</v>
      </c>
      <c r="AJ109" s="212" t="b">
        <f>IF(AI109=0,FALSE,IF(COUNTIF(AI$7:AI109,AI109)&gt;1,TRUE,FALSE))</f>
        <v>0</v>
      </c>
      <c r="AK109" s="212">
        <f t="shared" ref="AK109" si="1178">IF($AD109=AK$6,$E107,0)</f>
        <v>0</v>
      </c>
      <c r="AL109" s="212" t="b">
        <f>IF(AK109=0,FALSE,IF(COUNTIF(AK$7:AK109,AK109)&gt;1,TRUE,FALSE))</f>
        <v>0</v>
      </c>
      <c r="AM109" s="212">
        <f t="shared" ref="AM109" si="1179">IF(COUNTIF(Y109,"*七種*")&gt;0,0,IF($AD109=AM$6,$E107,0))</f>
        <v>0</v>
      </c>
      <c r="AN109" s="212" t="b">
        <f>IF(AM109=0,FALSE,IF(COUNTIF(AM$7:AM109,AM109)&gt;1,TRUE,FALSE))</f>
        <v>0</v>
      </c>
      <c r="AO109" s="212">
        <f t="shared" ref="AO109" si="1180">IF($AD109=AO$6,$E107,0)</f>
        <v>0</v>
      </c>
      <c r="AP109" s="212" t="b">
        <f>IF(AO109=0,FALSE,IF(COUNTIF(AO$7:AO109,AO109)&gt;1,TRUE,FALSE))</f>
        <v>0</v>
      </c>
      <c r="AQ109" s="212">
        <f t="shared" ref="AQ109" si="1181">IF(COUNTIF(Y109,"*七種競技*")&gt;0,E107,0)</f>
        <v>0</v>
      </c>
      <c r="AR109" s="212" t="b">
        <f t="shared" si="744"/>
        <v>0</v>
      </c>
      <c r="AT109" s="212" t="b">
        <f t="shared" si="757"/>
        <v>0</v>
      </c>
      <c r="AX109" s="274"/>
      <c r="BD109" s="212" t="b">
        <f t="shared" si="731"/>
        <v>0</v>
      </c>
      <c r="BF109" s="212" t="b">
        <f t="shared" ref="BF109" si="1182">IF(J109="",FALSE,IF(OR(AND(AU107,L109=""),AND(AU107,L109="",OR(M109&lt;&gt;"",N109&lt;&gt;"",O109&lt;&gt;"",P109&lt;&gt;""))),TRUE,FALSE))</f>
        <v>0</v>
      </c>
      <c r="BG109" s="212" t="b">
        <f t="shared" si="733"/>
        <v>0</v>
      </c>
      <c r="BH109" s="212" t="b">
        <f t="shared" si="746"/>
        <v>0</v>
      </c>
      <c r="BI109" s="212" t="b">
        <f t="shared" ref="BI109" si="1183">IF(J109="",FALSE,IF(L109=0,FALSE,IF(AND(AU107,NOT(BF109),OR(M109="",N109="",O109="")),TRUE,FALSE)))</f>
        <v>0</v>
      </c>
      <c r="BJ109" s="231" t="b">
        <f t="shared" si="748"/>
        <v>0</v>
      </c>
      <c r="BK109" s="231" t="b">
        <f>IF(NOT(BJ109),FALSE,IF(AND(競技会設定!$C$5&lt;=BJ109,BJ109&lt;=競技会設定!$C$6),FALSE,TRUE))</f>
        <v>0</v>
      </c>
      <c r="BL109" s="212" t="b">
        <f>IF(J109="",FALSE,IF(L109=0,FALSE,IF(AND(AU107,NOT(BF109),NOT(BI109),P109=""),TRUE,FALSE)))</f>
        <v>0</v>
      </c>
    </row>
    <row r="110" spans="1:67" ht="18" customHeight="1" thickBot="1">
      <c r="A110" s="475"/>
      <c r="B110" s="387" t="s">
        <v>6764</v>
      </c>
      <c r="C110" s="387"/>
      <c r="D110" s="161"/>
      <c r="E110" s="467"/>
      <c r="F110" s="468"/>
      <c r="G110" s="469"/>
      <c r="H110" s="162"/>
      <c r="I110" s="161" t="s">
        <v>6759</v>
      </c>
      <c r="J110" s="177"/>
      <c r="K110" s="161" t="s">
        <v>6761</v>
      </c>
      <c r="L110" s="177"/>
      <c r="M110" s="267"/>
      <c r="N110" s="268"/>
      <c r="O110" s="269"/>
      <c r="P110" s="177"/>
      <c r="Q110" s="466"/>
      <c r="R110" s="410"/>
      <c r="S110" s="136"/>
      <c r="T110" s="137"/>
      <c r="U110" s="137"/>
      <c r="V110" s="137"/>
      <c r="W110" s="137"/>
      <c r="X110" s="137"/>
      <c r="Y110" s="212">
        <f t="shared" ref="Y110" si="1184">IF(OR(E107="",J110=""),0,J110&amp;E107)</f>
        <v>0</v>
      </c>
      <c r="Z110" s="212">
        <f>IF(Y110=0,0,COUNTIF($Y$7:Y110,Y110))</f>
        <v>0</v>
      </c>
      <c r="AD110" s="212">
        <f>IFERROR(VLOOKUP(J110,競技会設定!$T$2:$W$22,2,0),0)</f>
        <v>0</v>
      </c>
      <c r="AE110" s="212">
        <f t="shared" ref="AE110" si="1185">IF(E107="",0,IF(AD110=0,0,IF(AD110&lt;3,E107&amp;$AE$6,0)))</f>
        <v>0</v>
      </c>
      <c r="AF110" s="212">
        <f>IF(AE110=0,0,E107&amp;COUNTIF($AE$7:AE110,AE110))</f>
        <v>0</v>
      </c>
      <c r="AG110" s="212">
        <f t="shared" ref="AG110" si="1186">IF(E107="",0,IF(AD110=0,0,IF(AD110&gt;=3,E107&amp;$AG$6,0)))</f>
        <v>0</v>
      </c>
      <c r="AH110" s="212">
        <f>IF(AG110=0,0,E107&amp;COUNTIF($AG$7:AG110,AG110))</f>
        <v>0</v>
      </c>
      <c r="AI110" s="212">
        <f t="shared" ref="AI110" si="1187">IF($AD110=AI$6,$E107,0)</f>
        <v>0</v>
      </c>
      <c r="AJ110" s="212" t="b">
        <f>IF(AI110=0,FALSE,IF(COUNTIF(AI$7:AI110,AI110)&gt;1,TRUE,FALSE))</f>
        <v>0</v>
      </c>
      <c r="AK110" s="212">
        <f t="shared" ref="AK110" si="1188">IF($AD110=AK$6,$E107,0)</f>
        <v>0</v>
      </c>
      <c r="AL110" s="212" t="b">
        <f>IF(AK110=0,FALSE,IF(COUNTIF(AK$7:AK110,AK110)&gt;1,TRUE,FALSE))</f>
        <v>0</v>
      </c>
      <c r="AM110" s="212">
        <f t="shared" ref="AM110" si="1189">IF(COUNTIF(Y110,"*七種*")&gt;0,0,IF($AD110=AM$6,$E107,0))</f>
        <v>0</v>
      </c>
      <c r="AN110" s="212" t="b">
        <f>IF(AM110=0,FALSE,IF(COUNTIF(AM$7:AM110,AM110)&gt;1,TRUE,FALSE))</f>
        <v>0</v>
      </c>
      <c r="AO110" s="212">
        <f t="shared" ref="AO110" si="1190">IF($AD110=AO$6,$E107,0)</f>
        <v>0</v>
      </c>
      <c r="AP110" s="212" t="b">
        <f>IF(AO110=0,FALSE,IF(COUNTIF(AO$7:AO110,AO110)&gt;1,TRUE,FALSE))</f>
        <v>0</v>
      </c>
      <c r="AQ110" s="212">
        <f t="shared" ref="AQ110" si="1191">IF(COUNTIF(Y110,"*七種競技*")&gt;0,E107,0)</f>
        <v>0</v>
      </c>
      <c r="AR110" s="212" t="b">
        <f t="shared" si="744"/>
        <v>0</v>
      </c>
      <c r="AT110" s="212" t="b">
        <f t="shared" si="757"/>
        <v>0</v>
      </c>
      <c r="AX110" s="274"/>
      <c r="BD110" s="212" t="b">
        <f t="shared" si="731"/>
        <v>0</v>
      </c>
      <c r="BF110" s="212" t="b">
        <f t="shared" ref="BF110" si="1192">IF(J110="",FALSE,IF(OR(AND(AU107,L110=""),AND(AU107,L110="",OR(M110&lt;&gt;"",N110&lt;&gt;"",O110&lt;&gt;"",P110&lt;&gt;""))),TRUE,FALSE))</f>
        <v>0</v>
      </c>
      <c r="BG110" s="212" t="b">
        <f t="shared" si="733"/>
        <v>0</v>
      </c>
      <c r="BH110" s="212" t="b">
        <f t="shared" si="746"/>
        <v>0</v>
      </c>
      <c r="BI110" s="212" t="b">
        <f t="shared" ref="BI110" si="1193">IF(J110="",FALSE,IF(L110=0,FALSE,IF(AND(AU107,NOT(BF110),OR(M110="",N110="",O110="")),TRUE,FALSE)))</f>
        <v>0</v>
      </c>
      <c r="BJ110" s="231" t="b">
        <f t="shared" si="748"/>
        <v>0</v>
      </c>
      <c r="BK110" s="231" t="b">
        <f>IF(NOT(BJ110),FALSE,IF(AND(競技会設定!$C$5&lt;=BJ110,BJ110&lt;=競技会設定!$C$6),FALSE,TRUE))</f>
        <v>0</v>
      </c>
      <c r="BL110" s="212" t="b">
        <f>IF(J110="",FALSE,IF(L110=0,FALSE,IF(AND(AU107,NOT(BF110),NOT(BI110),P110=""),TRUE,FALSE)))</f>
        <v>0</v>
      </c>
    </row>
    <row r="111" spans="1:67" ht="18" customHeight="1" thickTop="1">
      <c r="A111" s="470">
        <v>27</v>
      </c>
      <c r="B111" s="401" t="s">
        <v>4018</v>
      </c>
      <c r="C111" s="403"/>
      <c r="D111" s="156" t="str">
        <f t="shared" ref="D111" si="1194">IF(C111="","",502&amp;TEXT(C111,"000000"))</f>
        <v/>
      </c>
      <c r="E111" s="473" t="str">
        <f>IF(D111="","",(VLOOKUP(D111,女子登録!$A$2:$N$2001,3,0)))</f>
        <v/>
      </c>
      <c r="F111" s="473" t="str">
        <f>IF(D111="","",(VLOOKUP(D111,女子登録!$A$2:$N$2001,4,0)))</f>
        <v/>
      </c>
      <c r="G111" s="156" t="str">
        <f>IF(C111="","",(VLOOKUP(D111,女子登録!$A$2:$N$2001,8,0)))</f>
        <v/>
      </c>
      <c r="H111" s="156">
        <f>IFERROR(VLOOKUP(D111,女子登録!$A$2:$N$2001,11,0),基本情報!$E$5)</f>
        <v>0</v>
      </c>
      <c r="I111" s="156" t="s">
        <v>4019</v>
      </c>
      <c r="J111" s="170"/>
      <c r="K111" s="156" t="s">
        <v>4022</v>
      </c>
      <c r="L111" s="170"/>
      <c r="M111" s="252"/>
      <c r="N111" s="253"/>
      <c r="O111" s="254"/>
      <c r="P111" s="170"/>
      <c r="Q111" s="457"/>
      <c r="R111" s="414"/>
      <c r="S111" s="136">
        <f t="shared" ref="S111" si="1195">IF(OR(E111="",Q111=""),0,E111)</f>
        <v>0</v>
      </c>
      <c r="T111" s="137">
        <f>IF(S111=0,0,COUNTIF($S$7:S111,"*"))</f>
        <v>0</v>
      </c>
      <c r="U111" s="137">
        <f>IF(S111=0,0,COUNTIF($S$7:S111,S111))</f>
        <v>0</v>
      </c>
      <c r="V111" s="137">
        <f t="shared" si="960"/>
        <v>0</v>
      </c>
      <c r="W111" s="137">
        <f>IF(V111=0,0,COUNTIF($V$7:V111,"*"))</f>
        <v>0</v>
      </c>
      <c r="X111" s="137">
        <f>IF(V111=0,0,COUNTIF($V$7:V111,V111))</f>
        <v>0</v>
      </c>
      <c r="Y111" s="212">
        <f t="shared" ref="Y111" si="1196">IF(OR(E111="",J111=""),0,J111&amp;E111)</f>
        <v>0</v>
      </c>
      <c r="Z111" s="212">
        <f>IF(Y111=0,0,COUNTIF($Y$7:Y111,Y111))</f>
        <v>0</v>
      </c>
      <c r="AA111" s="212" t="b">
        <f>IF(COUNTIF(J111:J114,"七種競技")&gt;0,TRUE,FALSE)</f>
        <v>0</v>
      </c>
      <c r="AB111" s="212">
        <f>IF(E111="",0,IF(AA111,COUNTIF($AA$7:AA111,TRUE),0))</f>
        <v>0</v>
      </c>
      <c r="AC111" s="212">
        <f>IFERROR(VLOOKUP("七種競技",J111:L114,3,0),0)</f>
        <v>0</v>
      </c>
      <c r="AD111" s="212">
        <f>IFERROR(VLOOKUP(J111,競技会設定!$T$2:$W$22,2,0),0)</f>
        <v>0</v>
      </c>
      <c r="AE111" s="212">
        <f t="shared" ref="AE111" si="1197">IF(E111="",0,IF(AD111=0,0,IF(AD111&lt;3,E111&amp;$AE$6,0)))</f>
        <v>0</v>
      </c>
      <c r="AF111" s="212">
        <f>IF(AE111=0,0,E111&amp;COUNTIF($AE$7:AE111,AE111))</f>
        <v>0</v>
      </c>
      <c r="AG111" s="212">
        <f t="shared" ref="AG111" si="1198">IF(E111="",0,IF(AD111=0,0,IF(AD111&gt;=3,E111&amp;$AG$6,0)))</f>
        <v>0</v>
      </c>
      <c r="AH111" s="212">
        <f>IF(AG111=0,0,E111&amp;COUNTIF($AG$7:AG111,AG111))</f>
        <v>0</v>
      </c>
      <c r="AI111" s="212">
        <f t="shared" ref="AI111" si="1199">IF($AD111=AI$6,$E111,0)</f>
        <v>0</v>
      </c>
      <c r="AJ111" s="212" t="b">
        <f>IF(AI111=0,FALSE,IF(COUNTIF(AI$7:AI111,AI111)&gt;1,TRUE,FALSE))</f>
        <v>0</v>
      </c>
      <c r="AK111" s="212">
        <f t="shared" ref="AK111" si="1200">IF($AD111=AK$6,$E111,0)</f>
        <v>0</v>
      </c>
      <c r="AL111" s="212" t="b">
        <f>IF(AK111=0,FALSE,IF(COUNTIF(AK$7:AK111,AK111)&gt;1,TRUE,FALSE))</f>
        <v>0</v>
      </c>
      <c r="AM111" s="212">
        <f t="shared" ref="AM111" si="1201">IF(COUNTIF(Y111,"*七種*")&gt;0,0,IF($AD111=AM$6,$E111,0))</f>
        <v>0</v>
      </c>
      <c r="AN111" s="212" t="b">
        <f>IF(AM111=0,FALSE,IF(COUNTIF(AM$7:AM111,AM111)&gt;1,TRUE,FALSE))</f>
        <v>0</v>
      </c>
      <c r="AO111" s="212">
        <f t="shared" ref="AO111" si="1202">IF($AD111=AO$6,$E111,0)</f>
        <v>0</v>
      </c>
      <c r="AP111" s="212" t="b">
        <f>IF(AO111=0,FALSE,IF(COUNTIF(AO$7:AO111,AO111)&gt;1,TRUE,FALSE))</f>
        <v>0</v>
      </c>
      <c r="AQ111" s="212">
        <f t="shared" ref="AQ111" si="1203">IF(COUNTIF(Y111,"*七種競技*")&gt;0,E111,0)</f>
        <v>0</v>
      </c>
      <c r="AR111" s="212" t="b">
        <f t="shared" si="744"/>
        <v>0</v>
      </c>
      <c r="AS111" s="212" t="b">
        <f t="shared" ref="AS111" si="1204">IF(AND(C111="",E111&lt;&gt;"",F111&lt;&gt;"",E113&lt;&gt;"",G111&lt;&gt;"",G112&lt;&gt;"",G113&lt;&gt;""),TRUE,FALSE)</f>
        <v>0</v>
      </c>
      <c r="AT111" s="212" t="b">
        <f t="shared" si="757"/>
        <v>0</v>
      </c>
      <c r="AU111" s="212" t="b">
        <f>IFERROR(IF(E111&amp;F111&amp;E113&amp;G111&amp;G112&amp;G113&amp;J111&amp;J112&amp;J113&amp;J114&amp;L111&amp;L112&amp;L113&amp;L114&amp;M111&amp;M112&amp;M113&amp;M114&amp;P111&amp;P112&amp;P113&amp;P114&amp;Q111&amp;R111="",FALSE,TRUE),FALSE)</f>
        <v>0</v>
      </c>
      <c r="AV111" s="212" t="b">
        <f t="shared" ref="AV111" si="1205">IF(AS111,FALSE,IF(C111="",AU111,FALSE))</f>
        <v>0</v>
      </c>
      <c r="AW111" s="212" t="b">
        <f t="shared" ref="AW111" si="1206">IF(C111="",FALSE,IF(C111&lt;=2000,TRUE,FALSE))</f>
        <v>0</v>
      </c>
      <c r="AX111" s="274" t="b">
        <f>IF(H111=0,FALSE,IF(EXACT(基本情報!$E$5,H111)=TRUE,FALSE,TRUE))</f>
        <v>0</v>
      </c>
      <c r="AY111" s="212" t="b">
        <f>IF(C111="",FALSE,IF(ISNA(E111)=TRUE,TRUE,FALSE))</f>
        <v>0</v>
      </c>
      <c r="AZ111" s="274" t="b">
        <f>IFERROR(IF(E111="",FALSE,IF(COUNTIF($E$7:E111,E111)&gt;1,TRUE,FALSE)),FALSE)</f>
        <v>0</v>
      </c>
      <c r="BA111" s="212" t="b">
        <f t="shared" ref="BA111" si="1207">IF(OR(J111&amp;J112&amp;J113&amp;J114&amp;Q111&amp;R111="",AT111,AT112,AT113,AT114),AU111,FALSE)</f>
        <v>0</v>
      </c>
      <c r="BB111" s="212" t="b">
        <f>IF(U111&gt;1,TRUE,FALSE)</f>
        <v>0</v>
      </c>
      <c r="BC111" s="212" t="b">
        <f>IF(X111&gt;1,TRUE,FALSE)</f>
        <v>0</v>
      </c>
      <c r="BD111" s="212" t="b">
        <f t="shared" si="731"/>
        <v>0</v>
      </c>
      <c r="BF111" s="212" t="b">
        <f t="shared" ref="BF111" si="1208">IF(J111="",FALSE,IF(OR(AND(AU111,L111=""),AND(AU111,L111="",OR(M111&lt;&gt;"",N111&lt;&gt;"",O111&lt;&gt;"",P111&lt;&gt;""))),TRUE,FALSE))</f>
        <v>0</v>
      </c>
      <c r="BG111" s="212" t="b">
        <f t="shared" si="733"/>
        <v>0</v>
      </c>
      <c r="BH111" s="212" t="b">
        <f t="shared" si="746"/>
        <v>0</v>
      </c>
      <c r="BI111" s="212" t="b">
        <f t="shared" ref="BI111" si="1209">IF(J111="",FALSE,IF(L111=0,FALSE,IF(AND(AU111,NOT(BF111),OR(M111="",N111="",O111="")),TRUE,FALSE)))</f>
        <v>0</v>
      </c>
      <c r="BJ111" s="231" t="b">
        <f t="shared" si="748"/>
        <v>0</v>
      </c>
      <c r="BK111" s="231" t="b">
        <f>IF(NOT(BJ111),FALSE,IF(AND(競技会設定!$C$5&lt;=BJ111,BJ111&lt;=競技会設定!$C$6),FALSE,TRUE))</f>
        <v>0</v>
      </c>
      <c r="BL111" s="212" t="b">
        <f>IF(J111="",FALSE,IF(L111=0,FALSE,IF(AND(AU111,NOT(BF111),NOT(BI111),P111=""),TRUE,FALSE)))</f>
        <v>0</v>
      </c>
      <c r="BO111" s="274">
        <f t="shared" ref="BO111" si="1210">IF(AND(AU111,SUM(COUNTIF(AV111:BC111,TRUE),COUNTIF(BF111:BL114,TRUE),COUNTIF(BD111:BD114,TRUE))=0,NOT($BE$7)),1,0)</f>
        <v>0</v>
      </c>
    </row>
    <row r="112" spans="1:67" ht="17.399999999999999" customHeight="1">
      <c r="A112" s="471"/>
      <c r="B112" s="402"/>
      <c r="C112" s="404"/>
      <c r="D112" s="11"/>
      <c r="E112" s="474"/>
      <c r="F112" s="474"/>
      <c r="G112" s="11" t="str">
        <f>IF(C111="","",(VLOOKUP(D111,女子登録!$A$2:$N$2001,13,0)))</f>
        <v/>
      </c>
      <c r="H112" s="11"/>
      <c r="I112" s="11" t="s">
        <v>4020</v>
      </c>
      <c r="J112" s="171"/>
      <c r="K112" s="11" t="s">
        <v>4023</v>
      </c>
      <c r="L112" s="171"/>
      <c r="M112" s="255"/>
      <c r="N112" s="256"/>
      <c r="O112" s="257"/>
      <c r="P112" s="171"/>
      <c r="Q112" s="458"/>
      <c r="R112" s="415"/>
      <c r="S112" s="136"/>
      <c r="T112" s="137"/>
      <c r="U112" s="137"/>
      <c r="V112" s="137"/>
      <c r="W112" s="137"/>
      <c r="X112" s="137"/>
      <c r="Y112" s="212">
        <f t="shared" ref="Y112" si="1211">IF(OR(E111="",J112=""),0,J112&amp;E111)</f>
        <v>0</v>
      </c>
      <c r="Z112" s="212">
        <f>IF(Y112=0,0,COUNTIF($Y$7:Y112,Y112))</f>
        <v>0</v>
      </c>
      <c r="AD112" s="212">
        <f>IFERROR(VLOOKUP(J112,競技会設定!$T$2:$W$22,2,0),0)</f>
        <v>0</v>
      </c>
      <c r="AE112" s="212">
        <f t="shared" ref="AE112" si="1212">IF(E111="",0,IF(AD112=0,0,IF(AD112&lt;3,E111&amp;$AE$6,0)))</f>
        <v>0</v>
      </c>
      <c r="AF112" s="212">
        <f>IF(AE112=0,0,E111&amp;COUNTIF($AE$7:AE112,AE112))</f>
        <v>0</v>
      </c>
      <c r="AG112" s="212">
        <f t="shared" ref="AG112" si="1213">IF(E111="",0,IF(AD112=0,0,IF(AD112&gt;=3,E111&amp;$AG$6,0)))</f>
        <v>0</v>
      </c>
      <c r="AH112" s="212">
        <f>IF(AG112=0,0,E111&amp;COUNTIF($AG$7:AG112,AG112))</f>
        <v>0</v>
      </c>
      <c r="AI112" s="212">
        <f t="shared" ref="AI112" si="1214">IF($AD112=AI$6,$E111,0)</f>
        <v>0</v>
      </c>
      <c r="AJ112" s="212" t="b">
        <f>IF(AI112=0,FALSE,IF(COUNTIF(AI$7:AI112,AI112)&gt;1,TRUE,FALSE))</f>
        <v>0</v>
      </c>
      <c r="AK112" s="212">
        <f t="shared" ref="AK112" si="1215">IF($AD112=AK$6,$E111,0)</f>
        <v>0</v>
      </c>
      <c r="AL112" s="212" t="b">
        <f>IF(AK112=0,FALSE,IF(COUNTIF(AK$7:AK112,AK112)&gt;1,TRUE,FALSE))</f>
        <v>0</v>
      </c>
      <c r="AM112" s="212">
        <f t="shared" ref="AM112" si="1216">IF(COUNTIF(Y112,"*七種*")&gt;0,0,IF($AD112=AM$6,$E111,0))</f>
        <v>0</v>
      </c>
      <c r="AN112" s="212" t="b">
        <f>IF(AM112=0,FALSE,IF(COUNTIF(AM$7:AM112,AM112)&gt;1,TRUE,FALSE))</f>
        <v>0</v>
      </c>
      <c r="AO112" s="212">
        <f t="shared" ref="AO112" si="1217">IF($AD112=AO$6,$E111,0)</f>
        <v>0</v>
      </c>
      <c r="AP112" s="212" t="b">
        <f>IF(AO112=0,FALSE,IF(COUNTIF(AO$7:AO112,AO112)&gt;1,TRUE,FALSE))</f>
        <v>0</v>
      </c>
      <c r="AQ112" s="212">
        <f t="shared" ref="AQ112" si="1218">IF(COUNTIF(Y112,"*七種競技*")&gt;0,E111,0)</f>
        <v>0</v>
      </c>
      <c r="AR112" s="212" t="b">
        <f t="shared" si="744"/>
        <v>0</v>
      </c>
      <c r="AT112" s="212" t="b">
        <f t="shared" si="757"/>
        <v>0</v>
      </c>
      <c r="AX112" s="274"/>
      <c r="BD112" s="212" t="b">
        <f t="shared" si="731"/>
        <v>0</v>
      </c>
      <c r="BF112" s="212" t="b">
        <f t="shared" ref="BF112" si="1219">IF(J112="",FALSE,IF(OR(AND(AU111,L112=""),AND(AU111,L112="",OR(M112&lt;&gt;"",N112&lt;&gt;"",O112&lt;&gt;"",P112&lt;&gt;""))),TRUE,FALSE))</f>
        <v>0</v>
      </c>
      <c r="BG112" s="212" t="b">
        <f t="shared" si="733"/>
        <v>0</v>
      </c>
      <c r="BH112" s="212" t="b">
        <f t="shared" si="746"/>
        <v>0</v>
      </c>
      <c r="BI112" s="212" t="b">
        <f t="shared" ref="BI112" si="1220">IF(J112="",FALSE,IF(L112=0,FALSE,IF(AND(AU111,NOT(BF112),OR(M112="",N112="",O112="")),TRUE,FALSE)))</f>
        <v>0</v>
      </c>
      <c r="BJ112" s="231" t="b">
        <f t="shared" si="748"/>
        <v>0</v>
      </c>
      <c r="BK112" s="231" t="b">
        <f>IF(NOT(BJ112),FALSE,IF(AND(競技会設定!$C$5&lt;=BJ112,BJ112&lt;=競技会設定!$C$6),FALSE,TRUE))</f>
        <v>0</v>
      </c>
      <c r="BL112" s="212" t="b">
        <f>IF(J112="",FALSE,IF(L112=0,FALSE,IF(AND(AU111,NOT(BF112),NOT(BI112),P112=""),TRUE,FALSE)))</f>
        <v>0</v>
      </c>
    </row>
    <row r="113" spans="1:67" ht="17.399999999999999" customHeight="1">
      <c r="A113" s="471"/>
      <c r="B113" s="402"/>
      <c r="C113" s="404"/>
      <c r="D113" s="11"/>
      <c r="E113" s="348" t="str">
        <f>IF(C111="","",VLOOKUP(D111,女子登録!$A$2:$O$2001,14,0)&amp;" ("&amp;VLOOKUP(D111,女子登録!$A$2:$O$2001,15,0)&amp;")")</f>
        <v/>
      </c>
      <c r="F113" s="348"/>
      <c r="G113" s="13" t="str">
        <f>IF(C111="","",(VLOOKUP(D111,女子登録!$A$2:$N$2001,9,0)))</f>
        <v/>
      </c>
      <c r="H113" s="13"/>
      <c r="I113" s="13" t="s">
        <v>4021</v>
      </c>
      <c r="J113" s="172"/>
      <c r="K113" s="13" t="s">
        <v>6760</v>
      </c>
      <c r="L113" s="172"/>
      <c r="M113" s="255"/>
      <c r="N113" s="256"/>
      <c r="O113" s="257"/>
      <c r="P113" s="171"/>
      <c r="Q113" s="458"/>
      <c r="R113" s="415"/>
      <c r="S113" s="136"/>
      <c r="T113" s="137"/>
      <c r="U113" s="137"/>
      <c r="V113" s="137"/>
      <c r="W113" s="137"/>
      <c r="X113" s="137"/>
      <c r="Y113" s="212">
        <f t="shared" ref="Y113" si="1221">IF(OR(E111="",J113=""),0,J113&amp;E111)</f>
        <v>0</v>
      </c>
      <c r="Z113" s="212">
        <f>IF(Y113=0,0,COUNTIF($Y$7:Y113,Y113))</f>
        <v>0</v>
      </c>
      <c r="AD113" s="212">
        <f>IFERROR(VLOOKUP(J113,競技会設定!$T$2:$W$22,2,0),0)</f>
        <v>0</v>
      </c>
      <c r="AE113" s="212">
        <f t="shared" ref="AE113" si="1222">IF(E111="",0,IF(AD113=0,0,IF(AD113&lt;3,E111&amp;$AE$6,0)))</f>
        <v>0</v>
      </c>
      <c r="AF113" s="212">
        <f>IF(AE113=0,0,E111&amp;COUNTIF($AE$7:AE113,AE113))</f>
        <v>0</v>
      </c>
      <c r="AG113" s="212">
        <f t="shared" ref="AG113" si="1223">IF(E111="",0,IF(AD113=0,0,IF(AD113&gt;=3,E111&amp;$AG$6,0)))</f>
        <v>0</v>
      </c>
      <c r="AH113" s="212">
        <f>IF(AG113=0,0,E111&amp;COUNTIF($AG$7:AG113,AG113))</f>
        <v>0</v>
      </c>
      <c r="AI113" s="212">
        <f t="shared" ref="AI113" si="1224">IF($AD113=AI$6,$E111,0)</f>
        <v>0</v>
      </c>
      <c r="AJ113" s="212" t="b">
        <f>IF(AI113=0,FALSE,IF(COUNTIF(AI$7:AI113,AI113)&gt;1,TRUE,FALSE))</f>
        <v>0</v>
      </c>
      <c r="AK113" s="212">
        <f t="shared" ref="AK113" si="1225">IF($AD113=AK$6,$E111,0)</f>
        <v>0</v>
      </c>
      <c r="AL113" s="212" t="b">
        <f>IF(AK113=0,FALSE,IF(COUNTIF(AK$7:AK113,AK113)&gt;1,TRUE,FALSE))</f>
        <v>0</v>
      </c>
      <c r="AM113" s="212">
        <f t="shared" ref="AM113" si="1226">IF(COUNTIF(Y113,"*七種*")&gt;0,0,IF($AD113=AM$6,$E111,0))</f>
        <v>0</v>
      </c>
      <c r="AN113" s="212" t="b">
        <f>IF(AM113=0,FALSE,IF(COUNTIF(AM$7:AM113,AM113)&gt;1,TRUE,FALSE))</f>
        <v>0</v>
      </c>
      <c r="AO113" s="212">
        <f t="shared" ref="AO113" si="1227">IF($AD113=AO$6,$E111,0)</f>
        <v>0</v>
      </c>
      <c r="AP113" s="212" t="b">
        <f>IF(AO113=0,FALSE,IF(COUNTIF(AO$7:AO113,AO113)&gt;1,TRUE,FALSE))</f>
        <v>0</v>
      </c>
      <c r="AQ113" s="212">
        <f t="shared" ref="AQ113" si="1228">IF(COUNTIF(Y113,"*七種競技*")&gt;0,E111,0)</f>
        <v>0</v>
      </c>
      <c r="AR113" s="212" t="b">
        <f t="shared" si="744"/>
        <v>0</v>
      </c>
      <c r="AT113" s="212" t="b">
        <f t="shared" si="757"/>
        <v>0</v>
      </c>
      <c r="AX113" s="274"/>
      <c r="BD113" s="212" t="b">
        <f t="shared" si="731"/>
        <v>0</v>
      </c>
      <c r="BF113" s="212" t="b">
        <f t="shared" ref="BF113" si="1229">IF(J113="",FALSE,IF(OR(AND(AU111,L113=""),AND(AU111,L113="",OR(M113&lt;&gt;"",N113&lt;&gt;"",O113&lt;&gt;"",P113&lt;&gt;""))),TRUE,FALSE))</f>
        <v>0</v>
      </c>
      <c r="BG113" s="212" t="b">
        <f t="shared" si="733"/>
        <v>0</v>
      </c>
      <c r="BH113" s="212" t="b">
        <f t="shared" si="746"/>
        <v>0</v>
      </c>
      <c r="BI113" s="212" t="b">
        <f t="shared" ref="BI113" si="1230">IF(J113="",FALSE,IF(L113=0,FALSE,IF(AND(AU111,NOT(BF113),OR(M113="",N113="",O113="")),TRUE,FALSE)))</f>
        <v>0</v>
      </c>
      <c r="BJ113" s="231" t="b">
        <f t="shared" si="748"/>
        <v>0</v>
      </c>
      <c r="BK113" s="231" t="b">
        <f>IF(NOT(BJ113),FALSE,IF(AND(競技会設定!$C$5&lt;=BJ113,BJ113&lt;=競技会設定!$C$6),FALSE,TRUE))</f>
        <v>0</v>
      </c>
      <c r="BL113" s="212" t="b">
        <f>IF(J113="",FALSE,IF(L113=0,FALSE,IF(AND(AU111,NOT(BF113),NOT(BI113),P113=""),TRUE,FALSE)))</f>
        <v>0</v>
      </c>
    </row>
    <row r="114" spans="1:67" ht="18" customHeight="1" thickBot="1">
      <c r="A114" s="472"/>
      <c r="B114" s="395" t="s">
        <v>6764</v>
      </c>
      <c r="C114" s="395"/>
      <c r="D114" s="11"/>
      <c r="E114" s="460"/>
      <c r="F114" s="460"/>
      <c r="G114" s="460"/>
      <c r="H114" s="157"/>
      <c r="I114" s="157" t="s">
        <v>6759</v>
      </c>
      <c r="J114" s="173"/>
      <c r="K114" s="157" t="s">
        <v>6761</v>
      </c>
      <c r="L114" s="173"/>
      <c r="M114" s="258"/>
      <c r="N114" s="259"/>
      <c r="O114" s="260"/>
      <c r="P114" s="173"/>
      <c r="Q114" s="459"/>
      <c r="R114" s="416"/>
      <c r="S114" s="136"/>
      <c r="T114" s="137"/>
      <c r="U114" s="137"/>
      <c r="V114" s="137"/>
      <c r="W114" s="137"/>
      <c r="X114" s="137"/>
      <c r="Y114" s="212">
        <f t="shared" ref="Y114" si="1231">IF(OR(E111="",J114=""),0,J114&amp;E111)</f>
        <v>0</v>
      </c>
      <c r="Z114" s="212">
        <f>IF(Y114=0,0,COUNTIF($Y$7:Y114,Y114))</f>
        <v>0</v>
      </c>
      <c r="AD114" s="212">
        <f>IFERROR(VLOOKUP(J114,競技会設定!$T$2:$W$22,2,0),0)</f>
        <v>0</v>
      </c>
      <c r="AE114" s="212">
        <f t="shared" ref="AE114" si="1232">IF(E111="",0,IF(AD114=0,0,IF(AD114&lt;3,E111&amp;$AE$6,0)))</f>
        <v>0</v>
      </c>
      <c r="AF114" s="212">
        <f>IF(AE114=0,0,E111&amp;COUNTIF($AE$7:AE114,AE114))</f>
        <v>0</v>
      </c>
      <c r="AG114" s="212">
        <f t="shared" ref="AG114" si="1233">IF(E111="",0,IF(AD114=0,0,IF(AD114&gt;=3,E111&amp;$AG$6,0)))</f>
        <v>0</v>
      </c>
      <c r="AH114" s="212">
        <f>IF(AG114=0,0,E111&amp;COUNTIF($AG$7:AG114,AG114))</f>
        <v>0</v>
      </c>
      <c r="AI114" s="212">
        <f t="shared" ref="AI114" si="1234">IF($AD114=AI$6,$E111,0)</f>
        <v>0</v>
      </c>
      <c r="AJ114" s="212" t="b">
        <f>IF(AI114=0,FALSE,IF(COUNTIF(AI$7:AI114,AI114)&gt;1,TRUE,FALSE))</f>
        <v>0</v>
      </c>
      <c r="AK114" s="212">
        <f t="shared" ref="AK114" si="1235">IF($AD114=AK$6,$E111,0)</f>
        <v>0</v>
      </c>
      <c r="AL114" s="212" t="b">
        <f>IF(AK114=0,FALSE,IF(COUNTIF(AK$7:AK114,AK114)&gt;1,TRUE,FALSE))</f>
        <v>0</v>
      </c>
      <c r="AM114" s="212">
        <f t="shared" ref="AM114" si="1236">IF(COUNTIF(Y114,"*七種*")&gt;0,0,IF($AD114=AM$6,$E111,0))</f>
        <v>0</v>
      </c>
      <c r="AN114" s="212" t="b">
        <f>IF(AM114=0,FALSE,IF(COUNTIF(AM$7:AM114,AM114)&gt;1,TRUE,FALSE))</f>
        <v>0</v>
      </c>
      <c r="AO114" s="212">
        <f t="shared" ref="AO114" si="1237">IF($AD114=AO$6,$E111,0)</f>
        <v>0</v>
      </c>
      <c r="AP114" s="212" t="b">
        <f>IF(AO114=0,FALSE,IF(COUNTIF(AO$7:AO114,AO114)&gt;1,TRUE,FALSE))</f>
        <v>0</v>
      </c>
      <c r="AQ114" s="212">
        <f t="shared" ref="AQ114" si="1238">IF(COUNTIF(Y114,"*七種競技*")&gt;0,E111,0)</f>
        <v>0</v>
      </c>
      <c r="AR114" s="212" t="b">
        <f t="shared" si="744"/>
        <v>0</v>
      </c>
      <c r="AT114" s="212" t="b">
        <f t="shared" si="757"/>
        <v>0</v>
      </c>
      <c r="AX114" s="274"/>
      <c r="BD114" s="212" t="b">
        <f t="shared" si="731"/>
        <v>0</v>
      </c>
      <c r="BF114" s="212" t="b">
        <f t="shared" ref="BF114" si="1239">IF(J114="",FALSE,IF(OR(AND(AU111,L114=""),AND(AU111,L114="",OR(M114&lt;&gt;"",N114&lt;&gt;"",O114&lt;&gt;"",P114&lt;&gt;""))),TRUE,FALSE))</f>
        <v>0</v>
      </c>
      <c r="BG114" s="212" t="b">
        <f t="shared" si="733"/>
        <v>0</v>
      </c>
      <c r="BH114" s="212" t="b">
        <f t="shared" si="746"/>
        <v>0</v>
      </c>
      <c r="BI114" s="212" t="b">
        <f t="shared" ref="BI114" si="1240">IF(J114="",FALSE,IF(L114=0,FALSE,IF(AND(AU111,NOT(BF114),OR(M114="",N114="",O114="")),TRUE,FALSE)))</f>
        <v>0</v>
      </c>
      <c r="BJ114" s="231" t="b">
        <f t="shared" si="748"/>
        <v>0</v>
      </c>
      <c r="BK114" s="231" t="b">
        <f>IF(NOT(BJ114),FALSE,IF(AND(競技会設定!$C$5&lt;=BJ114,BJ114&lt;=競技会設定!$C$6),FALSE,TRUE))</f>
        <v>0</v>
      </c>
      <c r="BL114" s="212" t="b">
        <f>IF(J114="",FALSE,IF(L114=0,FALSE,IF(AND(AU111,NOT(BF114),NOT(BI114),P114=""),TRUE,FALSE)))</f>
        <v>0</v>
      </c>
    </row>
    <row r="115" spans="1:67" ht="18" customHeight="1" thickTop="1">
      <c r="A115" s="461">
        <v>28</v>
      </c>
      <c r="B115" s="373" t="s">
        <v>4018</v>
      </c>
      <c r="C115" s="375"/>
      <c r="D115" s="158" t="str">
        <f t="shared" ref="D115" si="1241">IF(C115="","",502&amp;TEXT(C115,"000000"))</f>
        <v/>
      </c>
      <c r="E115" s="464" t="str">
        <f>IF(D115="","",(VLOOKUP(D115,女子登録!$A$2:$N$2001,3,0)))</f>
        <v/>
      </c>
      <c r="F115" s="464" t="str">
        <f>IF(D115="","",(VLOOKUP(D115,女子登録!$A$2:$N$2001,4,0)))</f>
        <v/>
      </c>
      <c r="G115" s="158" t="str">
        <f>IF(C115="","",(VLOOKUP(D115,女子登録!$A$2:$N$2001,8,0)))</f>
        <v/>
      </c>
      <c r="H115" s="158">
        <f>IFERROR(VLOOKUP(D115,女子登録!$A$2:$N$2001,11,0),基本情報!$E$5)</f>
        <v>0</v>
      </c>
      <c r="I115" s="158" t="s">
        <v>4019</v>
      </c>
      <c r="J115" s="174"/>
      <c r="K115" s="158" t="s">
        <v>4022</v>
      </c>
      <c r="L115" s="174"/>
      <c r="M115" s="261"/>
      <c r="N115" s="262"/>
      <c r="O115" s="263"/>
      <c r="P115" s="174"/>
      <c r="Q115" s="448"/>
      <c r="R115" s="408"/>
      <c r="S115" s="136">
        <f t="shared" ref="S115" si="1242">IF(OR(E115="",Q115=""),0,E115)</f>
        <v>0</v>
      </c>
      <c r="T115" s="137">
        <f>IF(S115=0,0,COUNTIF($S$7:S115,"*"))</f>
        <v>0</v>
      </c>
      <c r="U115" s="137">
        <f>IF(S115=0,0,COUNTIF($S$7:S115,S115))</f>
        <v>0</v>
      </c>
      <c r="V115" s="137">
        <f t="shared" si="960"/>
        <v>0</v>
      </c>
      <c r="W115" s="137">
        <f>IF(V115=0,0,COUNTIF($V$7:V115,"*"))</f>
        <v>0</v>
      </c>
      <c r="X115" s="137">
        <f>IF(V115=0,0,COUNTIF($V$7:V115,V115))</f>
        <v>0</v>
      </c>
      <c r="Y115" s="212">
        <f t="shared" ref="Y115" si="1243">IF(OR(E115="",J115=""),0,J115&amp;E115)</f>
        <v>0</v>
      </c>
      <c r="Z115" s="212">
        <f>IF(Y115=0,0,COUNTIF($Y$7:Y115,Y115))</f>
        <v>0</v>
      </c>
      <c r="AA115" s="212" t="b">
        <f>IF(COUNTIF(J115:J118,"七種競技")&gt;0,TRUE,FALSE)</f>
        <v>0</v>
      </c>
      <c r="AB115" s="212">
        <f>IF(E115="",0,IF(AA115,COUNTIF($AA$7:AA115,TRUE),0))</f>
        <v>0</v>
      </c>
      <c r="AC115" s="212">
        <f>IFERROR(VLOOKUP("七種競技",J115:L118,3,0),0)</f>
        <v>0</v>
      </c>
      <c r="AD115" s="212">
        <f>IFERROR(VLOOKUP(J115,競技会設定!$T$2:$W$22,2,0),0)</f>
        <v>0</v>
      </c>
      <c r="AE115" s="212">
        <f t="shared" ref="AE115" si="1244">IF(E115="",0,IF(AD115=0,0,IF(AD115&lt;3,E115&amp;$AE$6,0)))</f>
        <v>0</v>
      </c>
      <c r="AF115" s="212">
        <f>IF(AE115=0,0,E115&amp;COUNTIF($AE$7:AE115,AE115))</f>
        <v>0</v>
      </c>
      <c r="AG115" s="212">
        <f t="shared" ref="AG115" si="1245">IF(E115="",0,IF(AD115=0,0,IF(AD115&gt;=3,E115&amp;$AG$6,0)))</f>
        <v>0</v>
      </c>
      <c r="AH115" s="212">
        <f>IF(AG115=0,0,E115&amp;COUNTIF($AG$7:AG115,AG115))</f>
        <v>0</v>
      </c>
      <c r="AI115" s="212">
        <f t="shared" ref="AI115" si="1246">IF($AD115=AI$6,$E115,0)</f>
        <v>0</v>
      </c>
      <c r="AJ115" s="212" t="b">
        <f>IF(AI115=0,FALSE,IF(COUNTIF(AI$7:AI115,AI115)&gt;1,TRUE,FALSE))</f>
        <v>0</v>
      </c>
      <c r="AK115" s="212">
        <f t="shared" ref="AK115" si="1247">IF($AD115=AK$6,$E115,0)</f>
        <v>0</v>
      </c>
      <c r="AL115" s="212" t="b">
        <f>IF(AK115=0,FALSE,IF(COUNTIF(AK$7:AK115,AK115)&gt;1,TRUE,FALSE))</f>
        <v>0</v>
      </c>
      <c r="AM115" s="212">
        <f t="shared" ref="AM115" si="1248">IF(COUNTIF(Y115,"*七種*")&gt;0,0,IF($AD115=AM$6,$E115,0))</f>
        <v>0</v>
      </c>
      <c r="AN115" s="212" t="b">
        <f>IF(AM115=0,FALSE,IF(COUNTIF(AM$7:AM115,AM115)&gt;1,TRUE,FALSE))</f>
        <v>0</v>
      </c>
      <c r="AO115" s="212">
        <f t="shared" ref="AO115" si="1249">IF($AD115=AO$6,$E115,0)</f>
        <v>0</v>
      </c>
      <c r="AP115" s="212" t="b">
        <f>IF(AO115=0,FALSE,IF(COUNTIF(AO$7:AO115,AO115)&gt;1,TRUE,FALSE))</f>
        <v>0</v>
      </c>
      <c r="AQ115" s="212">
        <f t="shared" ref="AQ115" si="1250">IF(COUNTIF(Y115,"*七種競技*")&gt;0,E115,0)</f>
        <v>0</v>
      </c>
      <c r="AR115" s="212" t="b">
        <f t="shared" si="744"/>
        <v>0</v>
      </c>
      <c r="AS115" s="212" t="b">
        <f t="shared" ref="AS115" si="1251">IF(AND(C115="",E115&lt;&gt;"",F115&lt;&gt;"",E117&lt;&gt;"",G115&lt;&gt;"",G116&lt;&gt;"",G117&lt;&gt;""),TRUE,FALSE)</f>
        <v>0</v>
      </c>
      <c r="AT115" s="212" t="b">
        <f t="shared" si="757"/>
        <v>0</v>
      </c>
      <c r="AU115" s="212" t="b">
        <f>IFERROR(IF(E115&amp;F115&amp;E117&amp;G115&amp;G116&amp;G117&amp;J115&amp;J116&amp;J117&amp;J118&amp;L115&amp;L116&amp;L117&amp;L118&amp;M115&amp;M116&amp;M117&amp;M118&amp;P115&amp;P116&amp;P117&amp;P118&amp;Q115&amp;R115="",FALSE,TRUE),FALSE)</f>
        <v>0</v>
      </c>
      <c r="AV115" s="212" t="b">
        <f t="shared" ref="AV115" si="1252">IF(AS115,FALSE,IF(C115="",AU115,FALSE))</f>
        <v>0</v>
      </c>
      <c r="AW115" s="212" t="b">
        <f t="shared" ref="AW115" si="1253">IF(C115="",FALSE,IF(C115&lt;=2000,TRUE,FALSE))</f>
        <v>0</v>
      </c>
      <c r="AX115" s="274" t="b">
        <f>IF(H115=0,FALSE,IF(EXACT(基本情報!$E$5,H115)=TRUE,FALSE,TRUE))</f>
        <v>0</v>
      </c>
      <c r="AY115" s="212" t="b">
        <f>IF(C115="",FALSE,IF(ISNA(E115)=TRUE,TRUE,FALSE))</f>
        <v>0</v>
      </c>
      <c r="AZ115" s="274" t="b">
        <f>IFERROR(IF(E115="",FALSE,IF(COUNTIF($E$7:E115,E115)&gt;1,TRUE,FALSE)),FALSE)</f>
        <v>0</v>
      </c>
      <c r="BA115" s="212" t="b">
        <f t="shared" ref="BA115" si="1254">IF(OR(J115&amp;J116&amp;J117&amp;J118&amp;Q115&amp;R115="",AT115,AT116,AT117,AT118),AU115,FALSE)</f>
        <v>0</v>
      </c>
      <c r="BB115" s="212" t="b">
        <f>IF(U115&gt;1,TRUE,FALSE)</f>
        <v>0</v>
      </c>
      <c r="BC115" s="212" t="b">
        <f>IF(X115&gt;1,TRUE,FALSE)</f>
        <v>0</v>
      </c>
      <c r="BD115" s="212" t="b">
        <f t="shared" si="731"/>
        <v>0</v>
      </c>
      <c r="BF115" s="212" t="b">
        <f t="shared" ref="BF115" si="1255">IF(J115="",FALSE,IF(OR(AND(AU115,L115=""),AND(AU115,L115="",OR(M115&lt;&gt;"",N115&lt;&gt;"",O115&lt;&gt;"",P115&lt;&gt;""))),TRUE,FALSE))</f>
        <v>0</v>
      </c>
      <c r="BG115" s="212" t="b">
        <f t="shared" si="733"/>
        <v>0</v>
      </c>
      <c r="BH115" s="212" t="b">
        <f t="shared" si="746"/>
        <v>0</v>
      </c>
      <c r="BI115" s="212" t="b">
        <f t="shared" ref="BI115" si="1256">IF(J115="",FALSE,IF(L115=0,FALSE,IF(AND(AU115,NOT(BF115),OR(M115="",N115="",O115="")),TRUE,FALSE)))</f>
        <v>0</v>
      </c>
      <c r="BJ115" s="231" t="b">
        <f t="shared" si="748"/>
        <v>0</v>
      </c>
      <c r="BK115" s="231" t="b">
        <f>IF(NOT(BJ115),FALSE,IF(AND(競技会設定!$C$5&lt;=BJ115,BJ115&lt;=競技会設定!$C$6),FALSE,TRUE))</f>
        <v>0</v>
      </c>
      <c r="BL115" s="212" t="b">
        <f>IF(J115="",FALSE,IF(L115=0,FALSE,IF(AND(AU115,NOT(BF115),NOT(BI115),P115=""),TRUE,FALSE)))</f>
        <v>0</v>
      </c>
      <c r="BO115" s="274">
        <f t="shared" ref="BO115" si="1257">IF(AND(AU115,SUM(COUNTIF(AV115:BC115,TRUE),COUNTIF(BF115:BL118,TRUE),COUNTIF(BD115:BD118,TRUE))=0,NOT($BE$7)),1,0)</f>
        <v>0</v>
      </c>
    </row>
    <row r="116" spans="1:67" ht="17.399999999999999" customHeight="1">
      <c r="A116" s="462"/>
      <c r="B116" s="374"/>
      <c r="C116" s="376"/>
      <c r="D116" s="159"/>
      <c r="E116" s="465"/>
      <c r="F116" s="465"/>
      <c r="G116" s="159" t="str">
        <f>IF(C115="","",(VLOOKUP(D115,女子登録!$A$2:$N$2001,13,0)))</f>
        <v/>
      </c>
      <c r="H116" s="159"/>
      <c r="I116" s="159" t="s">
        <v>4020</v>
      </c>
      <c r="J116" s="175"/>
      <c r="K116" s="159" t="s">
        <v>4023</v>
      </c>
      <c r="L116" s="175"/>
      <c r="M116" s="264"/>
      <c r="N116" s="265"/>
      <c r="O116" s="266"/>
      <c r="P116" s="175"/>
      <c r="Q116" s="449"/>
      <c r="R116" s="409"/>
      <c r="S116" s="136"/>
      <c r="T116" s="137"/>
      <c r="U116" s="137"/>
      <c r="V116" s="137"/>
      <c r="W116" s="137"/>
      <c r="X116" s="137"/>
      <c r="Y116" s="212">
        <f t="shared" ref="Y116" si="1258">IF(OR(E115="",J116=""),0,J116&amp;E115)</f>
        <v>0</v>
      </c>
      <c r="Z116" s="212">
        <f>IF(Y116=0,0,COUNTIF($Y$7:Y116,Y116))</f>
        <v>0</v>
      </c>
      <c r="AD116" s="212">
        <f>IFERROR(VLOOKUP(J116,競技会設定!$T$2:$W$22,2,0),0)</f>
        <v>0</v>
      </c>
      <c r="AE116" s="212">
        <f t="shared" ref="AE116" si="1259">IF(E115="",0,IF(AD116=0,0,IF(AD116&lt;3,E115&amp;$AE$6,0)))</f>
        <v>0</v>
      </c>
      <c r="AF116" s="212">
        <f>IF(AE116=0,0,E115&amp;COUNTIF($AE$7:AE116,AE116))</f>
        <v>0</v>
      </c>
      <c r="AG116" s="212">
        <f t="shared" ref="AG116" si="1260">IF(E115="",0,IF(AD116=0,0,IF(AD116&gt;=3,E115&amp;$AG$6,0)))</f>
        <v>0</v>
      </c>
      <c r="AH116" s="212">
        <f>IF(AG116=0,0,E115&amp;COUNTIF($AG$7:AG116,AG116))</f>
        <v>0</v>
      </c>
      <c r="AI116" s="212">
        <f t="shared" ref="AI116" si="1261">IF($AD116=AI$6,$E115,0)</f>
        <v>0</v>
      </c>
      <c r="AJ116" s="212" t="b">
        <f>IF(AI116=0,FALSE,IF(COUNTIF(AI$7:AI116,AI116)&gt;1,TRUE,FALSE))</f>
        <v>0</v>
      </c>
      <c r="AK116" s="212">
        <f t="shared" ref="AK116" si="1262">IF($AD116=AK$6,$E115,0)</f>
        <v>0</v>
      </c>
      <c r="AL116" s="212" t="b">
        <f>IF(AK116=0,FALSE,IF(COUNTIF(AK$7:AK116,AK116)&gt;1,TRUE,FALSE))</f>
        <v>0</v>
      </c>
      <c r="AM116" s="212">
        <f t="shared" ref="AM116" si="1263">IF(COUNTIF(Y116,"*七種*")&gt;0,0,IF($AD116=AM$6,$E115,0))</f>
        <v>0</v>
      </c>
      <c r="AN116" s="212" t="b">
        <f>IF(AM116=0,FALSE,IF(COUNTIF(AM$7:AM116,AM116)&gt;1,TRUE,FALSE))</f>
        <v>0</v>
      </c>
      <c r="AO116" s="212">
        <f t="shared" ref="AO116" si="1264">IF($AD116=AO$6,$E115,0)</f>
        <v>0</v>
      </c>
      <c r="AP116" s="212" t="b">
        <f>IF(AO116=0,FALSE,IF(COUNTIF(AO$7:AO116,AO116)&gt;1,TRUE,FALSE))</f>
        <v>0</v>
      </c>
      <c r="AQ116" s="212">
        <f t="shared" ref="AQ116" si="1265">IF(COUNTIF(Y116,"*七種競技*")&gt;0,E115,0)</f>
        <v>0</v>
      </c>
      <c r="AR116" s="212" t="b">
        <f t="shared" si="744"/>
        <v>0</v>
      </c>
      <c r="AT116" s="212" t="b">
        <f t="shared" si="757"/>
        <v>0</v>
      </c>
      <c r="AX116" s="274"/>
      <c r="BD116" s="212" t="b">
        <f t="shared" si="731"/>
        <v>0</v>
      </c>
      <c r="BF116" s="212" t="b">
        <f t="shared" ref="BF116" si="1266">IF(J116="",FALSE,IF(OR(AND(AU115,L116=""),AND(AU115,L116="",OR(M116&lt;&gt;"",N116&lt;&gt;"",O116&lt;&gt;"",P116&lt;&gt;""))),TRUE,FALSE))</f>
        <v>0</v>
      </c>
      <c r="BG116" s="212" t="b">
        <f t="shared" si="733"/>
        <v>0</v>
      </c>
      <c r="BH116" s="212" t="b">
        <f t="shared" si="746"/>
        <v>0</v>
      </c>
      <c r="BI116" s="212" t="b">
        <f t="shared" ref="BI116" si="1267">IF(J116="",FALSE,IF(L116=0,FALSE,IF(AND(AU115,NOT(BF116),OR(M116="",N116="",O116="")),TRUE,FALSE)))</f>
        <v>0</v>
      </c>
      <c r="BJ116" s="231" t="b">
        <f t="shared" si="748"/>
        <v>0</v>
      </c>
      <c r="BK116" s="231" t="b">
        <f>IF(NOT(BJ116),FALSE,IF(AND(競技会設定!$C$5&lt;=BJ116,BJ116&lt;=競技会設定!$C$6),FALSE,TRUE))</f>
        <v>0</v>
      </c>
      <c r="BL116" s="212" t="b">
        <f>IF(J116="",FALSE,IF(L116=0,FALSE,IF(AND(AU115,NOT(BF116),NOT(BI116),P116=""),TRUE,FALSE)))</f>
        <v>0</v>
      </c>
    </row>
    <row r="117" spans="1:67" ht="17.399999999999999" customHeight="1">
      <c r="A117" s="462"/>
      <c r="B117" s="374"/>
      <c r="C117" s="376"/>
      <c r="D117" s="160"/>
      <c r="E117" s="452" t="str">
        <f>IF(C115="","",VLOOKUP(D115,女子登録!$A$2:$O$2001,14,0)&amp;" ("&amp;VLOOKUP(D115,女子登録!$A$2:$O$2001,15,0)&amp;")")</f>
        <v/>
      </c>
      <c r="F117" s="453"/>
      <c r="G117" s="160" t="str">
        <f>IF(C115="","",(VLOOKUP(D115,女子登録!$A$2:$N$2001,9,0)))</f>
        <v/>
      </c>
      <c r="H117" s="160"/>
      <c r="I117" s="160" t="s">
        <v>4021</v>
      </c>
      <c r="J117" s="176"/>
      <c r="K117" s="160" t="s">
        <v>6760</v>
      </c>
      <c r="L117" s="176"/>
      <c r="M117" s="264"/>
      <c r="N117" s="265"/>
      <c r="O117" s="266"/>
      <c r="P117" s="175"/>
      <c r="Q117" s="449"/>
      <c r="R117" s="409"/>
      <c r="S117" s="136"/>
      <c r="T117" s="137"/>
      <c r="U117" s="137"/>
      <c r="V117" s="137"/>
      <c r="W117" s="137"/>
      <c r="X117" s="137"/>
      <c r="Y117" s="212">
        <f t="shared" ref="Y117" si="1268">IF(OR(E115="",J117=""),0,J117&amp;E115)</f>
        <v>0</v>
      </c>
      <c r="Z117" s="212">
        <f>IF(Y117=0,0,COUNTIF($Y$7:Y117,Y117))</f>
        <v>0</v>
      </c>
      <c r="AD117" s="212">
        <f>IFERROR(VLOOKUP(J117,競技会設定!$T$2:$W$22,2,0),0)</f>
        <v>0</v>
      </c>
      <c r="AE117" s="212">
        <f t="shared" ref="AE117" si="1269">IF(E115="",0,IF(AD117=0,0,IF(AD117&lt;3,E115&amp;$AE$6,0)))</f>
        <v>0</v>
      </c>
      <c r="AF117" s="212">
        <f>IF(AE117=0,0,E115&amp;COUNTIF($AE$7:AE117,AE117))</f>
        <v>0</v>
      </c>
      <c r="AG117" s="212">
        <f t="shared" ref="AG117" si="1270">IF(E115="",0,IF(AD117=0,0,IF(AD117&gt;=3,E115&amp;$AG$6,0)))</f>
        <v>0</v>
      </c>
      <c r="AH117" s="212">
        <f>IF(AG117=0,0,E115&amp;COUNTIF($AG$7:AG117,AG117))</f>
        <v>0</v>
      </c>
      <c r="AI117" s="212">
        <f t="shared" ref="AI117" si="1271">IF($AD117=AI$6,$E115,0)</f>
        <v>0</v>
      </c>
      <c r="AJ117" s="212" t="b">
        <f>IF(AI117=0,FALSE,IF(COUNTIF(AI$7:AI117,AI117)&gt;1,TRUE,FALSE))</f>
        <v>0</v>
      </c>
      <c r="AK117" s="212">
        <f t="shared" ref="AK117" si="1272">IF($AD117=AK$6,$E115,0)</f>
        <v>0</v>
      </c>
      <c r="AL117" s="212" t="b">
        <f>IF(AK117=0,FALSE,IF(COUNTIF(AK$7:AK117,AK117)&gt;1,TRUE,FALSE))</f>
        <v>0</v>
      </c>
      <c r="AM117" s="212">
        <f t="shared" ref="AM117" si="1273">IF(COUNTIF(Y117,"*七種*")&gt;0,0,IF($AD117=AM$6,$E115,0))</f>
        <v>0</v>
      </c>
      <c r="AN117" s="212" t="b">
        <f>IF(AM117=0,FALSE,IF(COUNTIF(AM$7:AM117,AM117)&gt;1,TRUE,FALSE))</f>
        <v>0</v>
      </c>
      <c r="AO117" s="212">
        <f t="shared" ref="AO117" si="1274">IF($AD117=AO$6,$E115,0)</f>
        <v>0</v>
      </c>
      <c r="AP117" s="212" t="b">
        <f>IF(AO117=0,FALSE,IF(COUNTIF(AO$7:AO117,AO117)&gt;1,TRUE,FALSE))</f>
        <v>0</v>
      </c>
      <c r="AQ117" s="212">
        <f t="shared" ref="AQ117" si="1275">IF(COUNTIF(Y117,"*七種競技*")&gt;0,E115,0)</f>
        <v>0</v>
      </c>
      <c r="AR117" s="212" t="b">
        <f t="shared" si="744"/>
        <v>0</v>
      </c>
      <c r="AT117" s="212" t="b">
        <f t="shared" si="757"/>
        <v>0</v>
      </c>
      <c r="AX117" s="274"/>
      <c r="BD117" s="212" t="b">
        <f t="shared" si="731"/>
        <v>0</v>
      </c>
      <c r="BF117" s="212" t="b">
        <f t="shared" ref="BF117" si="1276">IF(J117="",FALSE,IF(OR(AND(AU115,L117=""),AND(AU115,L117="",OR(M117&lt;&gt;"",N117&lt;&gt;"",O117&lt;&gt;"",P117&lt;&gt;""))),TRUE,FALSE))</f>
        <v>0</v>
      </c>
      <c r="BG117" s="212" t="b">
        <f t="shared" si="733"/>
        <v>0</v>
      </c>
      <c r="BH117" s="212" t="b">
        <f t="shared" si="746"/>
        <v>0</v>
      </c>
      <c r="BI117" s="212" t="b">
        <f t="shared" ref="BI117" si="1277">IF(J117="",FALSE,IF(L117=0,FALSE,IF(AND(AU115,NOT(BF117),OR(M117="",N117="",O117="")),TRUE,FALSE)))</f>
        <v>0</v>
      </c>
      <c r="BJ117" s="231" t="b">
        <f t="shared" si="748"/>
        <v>0</v>
      </c>
      <c r="BK117" s="231" t="b">
        <f>IF(NOT(BJ117),FALSE,IF(AND(競技会設定!$C$5&lt;=BJ117,BJ117&lt;=競技会設定!$C$6),FALSE,TRUE))</f>
        <v>0</v>
      </c>
      <c r="BL117" s="212" t="b">
        <f>IF(J117="",FALSE,IF(L117=0,FALSE,IF(AND(AU115,NOT(BF117),NOT(BI117),P117=""),TRUE,FALSE)))</f>
        <v>0</v>
      </c>
    </row>
    <row r="118" spans="1:67" ht="18" customHeight="1" thickBot="1">
      <c r="A118" s="475"/>
      <c r="B118" s="387" t="s">
        <v>6764</v>
      </c>
      <c r="C118" s="387"/>
      <c r="D118" s="161"/>
      <c r="E118" s="467"/>
      <c r="F118" s="468"/>
      <c r="G118" s="469"/>
      <c r="H118" s="162"/>
      <c r="I118" s="161" t="s">
        <v>6759</v>
      </c>
      <c r="J118" s="177"/>
      <c r="K118" s="161" t="s">
        <v>6761</v>
      </c>
      <c r="L118" s="177"/>
      <c r="M118" s="267"/>
      <c r="N118" s="268"/>
      <c r="O118" s="269"/>
      <c r="P118" s="177"/>
      <c r="Q118" s="466"/>
      <c r="R118" s="410"/>
      <c r="S118" s="136"/>
      <c r="T118" s="137"/>
      <c r="U118" s="137"/>
      <c r="V118" s="137"/>
      <c r="W118" s="137"/>
      <c r="X118" s="137"/>
      <c r="Y118" s="212">
        <f t="shared" ref="Y118" si="1278">IF(OR(E115="",J118=""),0,J118&amp;E115)</f>
        <v>0</v>
      </c>
      <c r="Z118" s="212">
        <f>IF(Y118=0,0,COUNTIF($Y$7:Y118,Y118))</f>
        <v>0</v>
      </c>
      <c r="AD118" s="212">
        <f>IFERROR(VLOOKUP(J118,競技会設定!$T$2:$W$22,2,0),0)</f>
        <v>0</v>
      </c>
      <c r="AE118" s="212">
        <f t="shared" ref="AE118" si="1279">IF(E115="",0,IF(AD118=0,0,IF(AD118&lt;3,E115&amp;$AE$6,0)))</f>
        <v>0</v>
      </c>
      <c r="AF118" s="212">
        <f>IF(AE118=0,0,E115&amp;COUNTIF($AE$7:AE118,AE118))</f>
        <v>0</v>
      </c>
      <c r="AG118" s="212">
        <f t="shared" ref="AG118" si="1280">IF(E115="",0,IF(AD118=0,0,IF(AD118&gt;=3,E115&amp;$AG$6,0)))</f>
        <v>0</v>
      </c>
      <c r="AH118" s="212">
        <f>IF(AG118=0,0,E115&amp;COUNTIF($AG$7:AG118,AG118))</f>
        <v>0</v>
      </c>
      <c r="AI118" s="212">
        <f t="shared" ref="AI118" si="1281">IF($AD118=AI$6,$E115,0)</f>
        <v>0</v>
      </c>
      <c r="AJ118" s="212" t="b">
        <f>IF(AI118=0,FALSE,IF(COUNTIF(AI$7:AI118,AI118)&gt;1,TRUE,FALSE))</f>
        <v>0</v>
      </c>
      <c r="AK118" s="212">
        <f t="shared" ref="AK118" si="1282">IF($AD118=AK$6,$E115,0)</f>
        <v>0</v>
      </c>
      <c r="AL118" s="212" t="b">
        <f>IF(AK118=0,FALSE,IF(COUNTIF(AK$7:AK118,AK118)&gt;1,TRUE,FALSE))</f>
        <v>0</v>
      </c>
      <c r="AM118" s="212">
        <f t="shared" ref="AM118" si="1283">IF(COUNTIF(Y118,"*七種*")&gt;0,0,IF($AD118=AM$6,$E115,0))</f>
        <v>0</v>
      </c>
      <c r="AN118" s="212" t="b">
        <f>IF(AM118=0,FALSE,IF(COUNTIF(AM$7:AM118,AM118)&gt;1,TRUE,FALSE))</f>
        <v>0</v>
      </c>
      <c r="AO118" s="212">
        <f t="shared" ref="AO118" si="1284">IF($AD118=AO$6,$E115,0)</f>
        <v>0</v>
      </c>
      <c r="AP118" s="212" t="b">
        <f>IF(AO118=0,FALSE,IF(COUNTIF(AO$7:AO118,AO118)&gt;1,TRUE,FALSE))</f>
        <v>0</v>
      </c>
      <c r="AQ118" s="212">
        <f t="shared" ref="AQ118" si="1285">IF(COUNTIF(Y118,"*七種競技*")&gt;0,E115,0)</f>
        <v>0</v>
      </c>
      <c r="AR118" s="212" t="b">
        <f t="shared" si="744"/>
        <v>0</v>
      </c>
      <c r="AT118" s="212" t="b">
        <f t="shared" si="757"/>
        <v>0</v>
      </c>
      <c r="AX118" s="274"/>
      <c r="BD118" s="212" t="b">
        <f t="shared" si="731"/>
        <v>0</v>
      </c>
      <c r="BF118" s="212" t="b">
        <f t="shared" ref="BF118" si="1286">IF(J118="",FALSE,IF(OR(AND(AU115,L118=""),AND(AU115,L118="",OR(M118&lt;&gt;"",N118&lt;&gt;"",O118&lt;&gt;"",P118&lt;&gt;""))),TRUE,FALSE))</f>
        <v>0</v>
      </c>
      <c r="BG118" s="212" t="b">
        <f t="shared" si="733"/>
        <v>0</v>
      </c>
      <c r="BH118" s="212" t="b">
        <f t="shared" si="746"/>
        <v>0</v>
      </c>
      <c r="BI118" s="212" t="b">
        <f t="shared" ref="BI118" si="1287">IF(J118="",FALSE,IF(L118=0,FALSE,IF(AND(AU115,NOT(BF118),OR(M118="",N118="",O118="")),TRUE,FALSE)))</f>
        <v>0</v>
      </c>
      <c r="BJ118" s="231" t="b">
        <f t="shared" si="748"/>
        <v>0</v>
      </c>
      <c r="BK118" s="231" t="b">
        <f>IF(NOT(BJ118),FALSE,IF(AND(競技会設定!$C$5&lt;=BJ118,BJ118&lt;=競技会設定!$C$6),FALSE,TRUE))</f>
        <v>0</v>
      </c>
      <c r="BL118" s="212" t="b">
        <f>IF(J118="",FALSE,IF(L118=0,FALSE,IF(AND(AU115,NOT(BF118),NOT(BI118),P118=""),TRUE,FALSE)))</f>
        <v>0</v>
      </c>
    </row>
    <row r="119" spans="1:67" ht="18" customHeight="1" thickTop="1">
      <c r="A119" s="470">
        <v>29</v>
      </c>
      <c r="B119" s="401" t="s">
        <v>4018</v>
      </c>
      <c r="C119" s="403"/>
      <c r="D119" s="156" t="str">
        <f t="shared" ref="D119" si="1288">IF(C119="","",502&amp;TEXT(C119,"000000"))</f>
        <v/>
      </c>
      <c r="E119" s="473" t="str">
        <f>IF(D119="","",(VLOOKUP(D119,女子登録!$A$2:$N$2001,3,0)))</f>
        <v/>
      </c>
      <c r="F119" s="473" t="str">
        <f>IF(D119="","",(VLOOKUP(D119,女子登録!$A$2:$N$2001,4,0)))</f>
        <v/>
      </c>
      <c r="G119" s="156" t="str">
        <f>IF(C119="","",(VLOOKUP(D119,女子登録!$A$2:$N$2001,8,0)))</f>
        <v/>
      </c>
      <c r="H119" s="156">
        <f>IFERROR(VLOOKUP(D119,女子登録!$A$2:$N$2001,11,0),基本情報!$E$5)</f>
        <v>0</v>
      </c>
      <c r="I119" s="156" t="s">
        <v>4019</v>
      </c>
      <c r="J119" s="170"/>
      <c r="K119" s="156" t="s">
        <v>4022</v>
      </c>
      <c r="L119" s="170"/>
      <c r="M119" s="252"/>
      <c r="N119" s="253"/>
      <c r="O119" s="254"/>
      <c r="P119" s="170"/>
      <c r="Q119" s="457"/>
      <c r="R119" s="414"/>
      <c r="S119" s="136">
        <f t="shared" ref="S119" si="1289">IF(OR(E119="",Q119=""),0,E119)</f>
        <v>0</v>
      </c>
      <c r="T119" s="137">
        <f>IF(S119=0,0,COUNTIF($S$7:S119,"*"))</f>
        <v>0</v>
      </c>
      <c r="U119" s="137">
        <f>IF(S119=0,0,COUNTIF($S$7:S119,S119))</f>
        <v>0</v>
      </c>
      <c r="V119" s="137">
        <f t="shared" si="960"/>
        <v>0</v>
      </c>
      <c r="W119" s="137">
        <f>IF(V119=0,0,COUNTIF($V$7:V119,"*"))</f>
        <v>0</v>
      </c>
      <c r="X119" s="137">
        <f>IF(V119=0,0,COUNTIF($V$7:V119,V119))</f>
        <v>0</v>
      </c>
      <c r="Y119" s="212">
        <f t="shared" ref="Y119" si="1290">IF(OR(E119="",J119=""),0,J119&amp;E119)</f>
        <v>0</v>
      </c>
      <c r="Z119" s="212">
        <f>IF(Y119=0,0,COUNTIF($Y$7:Y119,Y119))</f>
        <v>0</v>
      </c>
      <c r="AA119" s="212" t="b">
        <f>IF(COUNTIF(J119:J122,"七種競技")&gt;0,TRUE,FALSE)</f>
        <v>0</v>
      </c>
      <c r="AB119" s="212">
        <f>IF(E119="",0,IF(AA119,COUNTIF($AA$7:AA119,TRUE),0))</f>
        <v>0</v>
      </c>
      <c r="AC119" s="212">
        <f>IFERROR(VLOOKUP("七種競技",J119:L122,3,0),0)</f>
        <v>0</v>
      </c>
      <c r="AD119" s="212">
        <f>IFERROR(VLOOKUP(J119,競技会設定!$T$2:$W$22,2,0),0)</f>
        <v>0</v>
      </c>
      <c r="AE119" s="212">
        <f t="shared" ref="AE119" si="1291">IF(E119="",0,IF(AD119=0,0,IF(AD119&lt;3,E119&amp;$AE$6,0)))</f>
        <v>0</v>
      </c>
      <c r="AF119" s="212">
        <f>IF(AE119=0,0,E119&amp;COUNTIF($AE$7:AE119,AE119))</f>
        <v>0</v>
      </c>
      <c r="AG119" s="212">
        <f t="shared" ref="AG119" si="1292">IF(E119="",0,IF(AD119=0,0,IF(AD119&gt;=3,E119&amp;$AG$6,0)))</f>
        <v>0</v>
      </c>
      <c r="AH119" s="212">
        <f>IF(AG119=0,0,E119&amp;COUNTIF($AG$7:AG119,AG119))</f>
        <v>0</v>
      </c>
      <c r="AI119" s="212">
        <f t="shared" ref="AI119" si="1293">IF($AD119=AI$6,$E119,0)</f>
        <v>0</v>
      </c>
      <c r="AJ119" s="212" t="b">
        <f>IF(AI119=0,FALSE,IF(COUNTIF(AI$7:AI119,AI119)&gt;1,TRUE,FALSE))</f>
        <v>0</v>
      </c>
      <c r="AK119" s="212">
        <f t="shared" ref="AK119" si="1294">IF($AD119=AK$6,$E119,0)</f>
        <v>0</v>
      </c>
      <c r="AL119" s="212" t="b">
        <f>IF(AK119=0,FALSE,IF(COUNTIF(AK$7:AK119,AK119)&gt;1,TRUE,FALSE))</f>
        <v>0</v>
      </c>
      <c r="AM119" s="212">
        <f t="shared" ref="AM119" si="1295">IF(COUNTIF(Y119,"*七種*")&gt;0,0,IF($AD119=AM$6,$E119,0))</f>
        <v>0</v>
      </c>
      <c r="AN119" s="212" t="b">
        <f>IF(AM119=0,FALSE,IF(COUNTIF(AM$7:AM119,AM119)&gt;1,TRUE,FALSE))</f>
        <v>0</v>
      </c>
      <c r="AO119" s="212">
        <f t="shared" ref="AO119" si="1296">IF($AD119=AO$6,$E119,0)</f>
        <v>0</v>
      </c>
      <c r="AP119" s="212" t="b">
        <f>IF(AO119=0,FALSE,IF(COUNTIF(AO$7:AO119,AO119)&gt;1,TRUE,FALSE))</f>
        <v>0</v>
      </c>
      <c r="AQ119" s="212">
        <f t="shared" ref="AQ119" si="1297">IF(COUNTIF(Y119,"*七種競技*")&gt;0,E119,0)</f>
        <v>0</v>
      </c>
      <c r="AR119" s="212" t="b">
        <f t="shared" si="744"/>
        <v>0</v>
      </c>
      <c r="AS119" s="212" t="b">
        <f t="shared" ref="AS119" si="1298">IF(AND(C119="",E119&lt;&gt;"",F119&lt;&gt;"",E121&lt;&gt;"",G119&lt;&gt;"",G120&lt;&gt;"",G121&lt;&gt;""),TRUE,FALSE)</f>
        <v>0</v>
      </c>
      <c r="AT119" s="212" t="b">
        <f t="shared" si="757"/>
        <v>0</v>
      </c>
      <c r="AU119" s="212" t="b">
        <f>IFERROR(IF(E119&amp;F119&amp;E121&amp;G119&amp;G120&amp;G121&amp;J119&amp;J120&amp;J121&amp;J122&amp;L119&amp;L120&amp;L121&amp;L122&amp;M119&amp;M120&amp;M121&amp;M122&amp;P119&amp;P120&amp;P121&amp;P122&amp;Q119&amp;R119="",FALSE,TRUE),FALSE)</f>
        <v>0</v>
      </c>
      <c r="AV119" s="212" t="b">
        <f t="shared" ref="AV119" si="1299">IF(AS119,FALSE,IF(C119="",AU119,FALSE))</f>
        <v>0</v>
      </c>
      <c r="AW119" s="212" t="b">
        <f t="shared" ref="AW119" si="1300">IF(C119="",FALSE,IF(C119&lt;=2000,TRUE,FALSE))</f>
        <v>0</v>
      </c>
      <c r="AX119" s="274" t="b">
        <f>IF(H119=0,FALSE,IF(EXACT(基本情報!$E$5,H119)=TRUE,FALSE,TRUE))</f>
        <v>0</v>
      </c>
      <c r="AY119" s="212" t="b">
        <f>IF(C119="",FALSE,IF(ISNA(E119)=TRUE,TRUE,FALSE))</f>
        <v>0</v>
      </c>
      <c r="AZ119" s="274" t="b">
        <f>IFERROR(IF(E119="",FALSE,IF(COUNTIF($E$7:E119,E119)&gt;1,TRUE,FALSE)),FALSE)</f>
        <v>0</v>
      </c>
      <c r="BA119" s="212" t="b">
        <f t="shared" ref="BA119" si="1301">IF(OR(J119&amp;J120&amp;J121&amp;J122&amp;Q119&amp;R119="",AT119,AT120,AT121,AT122),AU119,FALSE)</f>
        <v>0</v>
      </c>
      <c r="BB119" s="212" t="b">
        <f>IF(U119&gt;1,TRUE,FALSE)</f>
        <v>0</v>
      </c>
      <c r="BC119" s="212" t="b">
        <f>IF(X119&gt;1,TRUE,FALSE)</f>
        <v>0</v>
      </c>
      <c r="BD119" s="212" t="b">
        <f t="shared" si="731"/>
        <v>0</v>
      </c>
      <c r="BF119" s="212" t="b">
        <f t="shared" ref="BF119" si="1302">IF(J119="",FALSE,IF(OR(AND(AU119,L119=""),AND(AU119,L119="",OR(M119&lt;&gt;"",N119&lt;&gt;"",O119&lt;&gt;"",P119&lt;&gt;""))),TRUE,FALSE))</f>
        <v>0</v>
      </c>
      <c r="BG119" s="212" t="b">
        <f t="shared" si="733"/>
        <v>0</v>
      </c>
      <c r="BH119" s="212" t="b">
        <f t="shared" si="746"/>
        <v>0</v>
      </c>
      <c r="BI119" s="212" t="b">
        <f t="shared" ref="BI119" si="1303">IF(J119="",FALSE,IF(L119=0,FALSE,IF(AND(AU119,NOT(BF119),OR(M119="",N119="",O119="")),TRUE,FALSE)))</f>
        <v>0</v>
      </c>
      <c r="BJ119" s="231" t="b">
        <f t="shared" si="748"/>
        <v>0</v>
      </c>
      <c r="BK119" s="231" t="b">
        <f>IF(NOT(BJ119),FALSE,IF(AND(競技会設定!$C$5&lt;=BJ119,BJ119&lt;=競技会設定!$C$6),FALSE,TRUE))</f>
        <v>0</v>
      </c>
      <c r="BL119" s="212" t="b">
        <f>IF(J119="",FALSE,IF(L119=0,FALSE,IF(AND(AU119,NOT(BF119),NOT(BI119),P119=""),TRUE,FALSE)))</f>
        <v>0</v>
      </c>
      <c r="BO119" s="274">
        <f t="shared" ref="BO119" si="1304">IF(AND(AU119,SUM(COUNTIF(AV119:BC119,TRUE),COUNTIF(BF119:BL122,TRUE),COUNTIF(BD119:BD122,TRUE))=0,NOT($BE$7)),1,0)</f>
        <v>0</v>
      </c>
    </row>
    <row r="120" spans="1:67" ht="17.399999999999999" customHeight="1">
      <c r="A120" s="471"/>
      <c r="B120" s="402"/>
      <c r="C120" s="404"/>
      <c r="D120" s="11"/>
      <c r="E120" s="474"/>
      <c r="F120" s="474"/>
      <c r="G120" s="11" t="str">
        <f>IF(C119="","",(VLOOKUP(D119,女子登録!$A$2:$N$2001,13,0)))</f>
        <v/>
      </c>
      <c r="H120" s="11"/>
      <c r="I120" s="11" t="s">
        <v>4020</v>
      </c>
      <c r="J120" s="171"/>
      <c r="K120" s="11" t="s">
        <v>4023</v>
      </c>
      <c r="L120" s="171"/>
      <c r="M120" s="255"/>
      <c r="N120" s="256"/>
      <c r="O120" s="257"/>
      <c r="P120" s="171"/>
      <c r="Q120" s="458"/>
      <c r="R120" s="415"/>
      <c r="S120" s="136"/>
      <c r="T120" s="137"/>
      <c r="U120" s="137"/>
      <c r="V120" s="137"/>
      <c r="W120" s="137"/>
      <c r="X120" s="137"/>
      <c r="Y120" s="212">
        <f t="shared" ref="Y120" si="1305">IF(OR(E119="",J120=""),0,J120&amp;E119)</f>
        <v>0</v>
      </c>
      <c r="Z120" s="212">
        <f>IF(Y120=0,0,COUNTIF($Y$7:Y120,Y120))</f>
        <v>0</v>
      </c>
      <c r="AD120" s="212">
        <f>IFERROR(VLOOKUP(J120,競技会設定!$T$2:$W$22,2,0),0)</f>
        <v>0</v>
      </c>
      <c r="AE120" s="212">
        <f t="shared" ref="AE120" si="1306">IF(E119="",0,IF(AD120=0,0,IF(AD120&lt;3,E119&amp;$AE$6,0)))</f>
        <v>0</v>
      </c>
      <c r="AF120" s="212">
        <f>IF(AE120=0,0,E119&amp;COUNTIF($AE$7:AE120,AE120))</f>
        <v>0</v>
      </c>
      <c r="AG120" s="212">
        <f t="shared" ref="AG120" si="1307">IF(E119="",0,IF(AD120=0,0,IF(AD120&gt;=3,E119&amp;$AG$6,0)))</f>
        <v>0</v>
      </c>
      <c r="AH120" s="212">
        <f>IF(AG120=0,0,E119&amp;COUNTIF($AG$7:AG120,AG120))</f>
        <v>0</v>
      </c>
      <c r="AI120" s="212">
        <f t="shared" ref="AI120" si="1308">IF($AD120=AI$6,$E119,0)</f>
        <v>0</v>
      </c>
      <c r="AJ120" s="212" t="b">
        <f>IF(AI120=0,FALSE,IF(COUNTIF(AI$7:AI120,AI120)&gt;1,TRUE,FALSE))</f>
        <v>0</v>
      </c>
      <c r="AK120" s="212">
        <f t="shared" ref="AK120" si="1309">IF($AD120=AK$6,$E119,0)</f>
        <v>0</v>
      </c>
      <c r="AL120" s="212" t="b">
        <f>IF(AK120=0,FALSE,IF(COUNTIF(AK$7:AK120,AK120)&gt;1,TRUE,FALSE))</f>
        <v>0</v>
      </c>
      <c r="AM120" s="212">
        <f t="shared" ref="AM120" si="1310">IF(COUNTIF(Y120,"*七種*")&gt;0,0,IF($AD120=AM$6,$E119,0))</f>
        <v>0</v>
      </c>
      <c r="AN120" s="212" t="b">
        <f>IF(AM120=0,FALSE,IF(COUNTIF(AM$7:AM120,AM120)&gt;1,TRUE,FALSE))</f>
        <v>0</v>
      </c>
      <c r="AO120" s="212">
        <f t="shared" ref="AO120" si="1311">IF($AD120=AO$6,$E119,0)</f>
        <v>0</v>
      </c>
      <c r="AP120" s="212" t="b">
        <f>IF(AO120=0,FALSE,IF(COUNTIF(AO$7:AO120,AO120)&gt;1,TRUE,FALSE))</f>
        <v>0</v>
      </c>
      <c r="AQ120" s="212">
        <f t="shared" ref="AQ120" si="1312">IF(COUNTIF(Y120,"*七種競技*")&gt;0,E119,0)</f>
        <v>0</v>
      </c>
      <c r="AR120" s="212" t="b">
        <f t="shared" si="744"/>
        <v>0</v>
      </c>
      <c r="AT120" s="212" t="b">
        <f t="shared" si="757"/>
        <v>0</v>
      </c>
      <c r="AX120" s="274"/>
      <c r="BD120" s="212" t="b">
        <f t="shared" si="731"/>
        <v>0</v>
      </c>
      <c r="BF120" s="212" t="b">
        <f t="shared" ref="BF120" si="1313">IF(J120="",FALSE,IF(OR(AND(AU119,L120=""),AND(AU119,L120="",OR(M120&lt;&gt;"",N120&lt;&gt;"",O120&lt;&gt;"",P120&lt;&gt;""))),TRUE,FALSE))</f>
        <v>0</v>
      </c>
      <c r="BG120" s="212" t="b">
        <f t="shared" si="733"/>
        <v>0</v>
      </c>
      <c r="BH120" s="212" t="b">
        <f t="shared" si="746"/>
        <v>0</v>
      </c>
      <c r="BI120" s="212" t="b">
        <f t="shared" ref="BI120" si="1314">IF(J120="",FALSE,IF(L120=0,FALSE,IF(AND(AU119,NOT(BF120),OR(M120="",N120="",O120="")),TRUE,FALSE)))</f>
        <v>0</v>
      </c>
      <c r="BJ120" s="231" t="b">
        <f t="shared" si="748"/>
        <v>0</v>
      </c>
      <c r="BK120" s="231" t="b">
        <f>IF(NOT(BJ120),FALSE,IF(AND(競技会設定!$C$5&lt;=BJ120,BJ120&lt;=競技会設定!$C$6),FALSE,TRUE))</f>
        <v>0</v>
      </c>
      <c r="BL120" s="212" t="b">
        <f>IF(J120="",FALSE,IF(L120=0,FALSE,IF(AND(AU119,NOT(BF120),NOT(BI120),P120=""),TRUE,FALSE)))</f>
        <v>0</v>
      </c>
    </row>
    <row r="121" spans="1:67" ht="17.399999999999999" customHeight="1">
      <c r="A121" s="471"/>
      <c r="B121" s="402"/>
      <c r="C121" s="404"/>
      <c r="D121" s="11"/>
      <c r="E121" s="348" t="str">
        <f>IF(C119="","",VLOOKUP(D119,女子登録!$A$2:$O$2001,14,0)&amp;" ("&amp;VLOOKUP(D119,女子登録!$A$2:$O$2001,15,0)&amp;")")</f>
        <v/>
      </c>
      <c r="F121" s="348"/>
      <c r="G121" s="13" t="str">
        <f>IF(C119="","",(VLOOKUP(D119,女子登録!$A$2:$N$2001,9,0)))</f>
        <v/>
      </c>
      <c r="H121" s="13"/>
      <c r="I121" s="13" t="s">
        <v>4021</v>
      </c>
      <c r="J121" s="172"/>
      <c r="K121" s="13" t="s">
        <v>6760</v>
      </c>
      <c r="L121" s="172"/>
      <c r="M121" s="255"/>
      <c r="N121" s="256"/>
      <c r="O121" s="257"/>
      <c r="P121" s="171"/>
      <c r="Q121" s="458"/>
      <c r="R121" s="415"/>
      <c r="S121" s="136"/>
      <c r="T121" s="137"/>
      <c r="U121" s="137"/>
      <c r="V121" s="137"/>
      <c r="W121" s="137"/>
      <c r="X121" s="137"/>
      <c r="Y121" s="212">
        <f t="shared" ref="Y121" si="1315">IF(OR(E119="",J121=""),0,J121&amp;E119)</f>
        <v>0</v>
      </c>
      <c r="Z121" s="212">
        <f>IF(Y121=0,0,COUNTIF($Y$7:Y121,Y121))</f>
        <v>0</v>
      </c>
      <c r="AD121" s="212">
        <f>IFERROR(VLOOKUP(J121,競技会設定!$T$2:$W$22,2,0),0)</f>
        <v>0</v>
      </c>
      <c r="AE121" s="212">
        <f t="shared" ref="AE121" si="1316">IF(E119="",0,IF(AD121=0,0,IF(AD121&lt;3,E119&amp;$AE$6,0)))</f>
        <v>0</v>
      </c>
      <c r="AF121" s="212">
        <f>IF(AE121=0,0,E119&amp;COUNTIF($AE$7:AE121,AE121))</f>
        <v>0</v>
      </c>
      <c r="AG121" s="212">
        <f t="shared" ref="AG121" si="1317">IF(E119="",0,IF(AD121=0,0,IF(AD121&gt;=3,E119&amp;$AG$6,0)))</f>
        <v>0</v>
      </c>
      <c r="AH121" s="212">
        <f>IF(AG121=0,0,E119&amp;COUNTIF($AG$7:AG121,AG121))</f>
        <v>0</v>
      </c>
      <c r="AI121" s="212">
        <f t="shared" ref="AI121" si="1318">IF($AD121=AI$6,$E119,0)</f>
        <v>0</v>
      </c>
      <c r="AJ121" s="212" t="b">
        <f>IF(AI121=0,FALSE,IF(COUNTIF(AI$7:AI121,AI121)&gt;1,TRUE,FALSE))</f>
        <v>0</v>
      </c>
      <c r="AK121" s="212">
        <f t="shared" ref="AK121" si="1319">IF($AD121=AK$6,$E119,0)</f>
        <v>0</v>
      </c>
      <c r="AL121" s="212" t="b">
        <f>IF(AK121=0,FALSE,IF(COUNTIF(AK$7:AK121,AK121)&gt;1,TRUE,FALSE))</f>
        <v>0</v>
      </c>
      <c r="AM121" s="212">
        <f t="shared" ref="AM121" si="1320">IF(COUNTIF(Y121,"*七種*")&gt;0,0,IF($AD121=AM$6,$E119,0))</f>
        <v>0</v>
      </c>
      <c r="AN121" s="212" t="b">
        <f>IF(AM121=0,FALSE,IF(COUNTIF(AM$7:AM121,AM121)&gt;1,TRUE,FALSE))</f>
        <v>0</v>
      </c>
      <c r="AO121" s="212">
        <f t="shared" ref="AO121" si="1321">IF($AD121=AO$6,$E119,0)</f>
        <v>0</v>
      </c>
      <c r="AP121" s="212" t="b">
        <f>IF(AO121=0,FALSE,IF(COUNTIF(AO$7:AO121,AO121)&gt;1,TRUE,FALSE))</f>
        <v>0</v>
      </c>
      <c r="AQ121" s="212">
        <f t="shared" ref="AQ121" si="1322">IF(COUNTIF(Y121,"*七種競技*")&gt;0,E119,0)</f>
        <v>0</v>
      </c>
      <c r="AR121" s="212" t="b">
        <f t="shared" si="744"/>
        <v>0</v>
      </c>
      <c r="AT121" s="212" t="b">
        <f t="shared" si="757"/>
        <v>0</v>
      </c>
      <c r="AX121" s="274"/>
      <c r="BD121" s="212" t="b">
        <f t="shared" si="731"/>
        <v>0</v>
      </c>
      <c r="BF121" s="212" t="b">
        <f t="shared" ref="BF121" si="1323">IF(J121="",FALSE,IF(OR(AND(AU119,L121=""),AND(AU119,L121="",OR(M121&lt;&gt;"",N121&lt;&gt;"",O121&lt;&gt;"",P121&lt;&gt;""))),TRUE,FALSE))</f>
        <v>0</v>
      </c>
      <c r="BG121" s="212" t="b">
        <f t="shared" si="733"/>
        <v>0</v>
      </c>
      <c r="BH121" s="212" t="b">
        <f t="shared" si="746"/>
        <v>0</v>
      </c>
      <c r="BI121" s="212" t="b">
        <f t="shared" ref="BI121" si="1324">IF(J121="",FALSE,IF(L121=0,FALSE,IF(AND(AU119,NOT(BF121),OR(M121="",N121="",O121="")),TRUE,FALSE)))</f>
        <v>0</v>
      </c>
      <c r="BJ121" s="231" t="b">
        <f t="shared" si="748"/>
        <v>0</v>
      </c>
      <c r="BK121" s="231" t="b">
        <f>IF(NOT(BJ121),FALSE,IF(AND(競技会設定!$C$5&lt;=BJ121,BJ121&lt;=競技会設定!$C$6),FALSE,TRUE))</f>
        <v>0</v>
      </c>
      <c r="BL121" s="212" t="b">
        <f>IF(J121="",FALSE,IF(L121=0,FALSE,IF(AND(AU119,NOT(BF121),NOT(BI121),P121=""),TRUE,FALSE)))</f>
        <v>0</v>
      </c>
    </row>
    <row r="122" spans="1:67" ht="18" customHeight="1" thickBot="1">
      <c r="A122" s="472"/>
      <c r="B122" s="395" t="s">
        <v>6764</v>
      </c>
      <c r="C122" s="395"/>
      <c r="D122" s="11"/>
      <c r="E122" s="460"/>
      <c r="F122" s="460"/>
      <c r="G122" s="460"/>
      <c r="H122" s="157"/>
      <c r="I122" s="157" t="s">
        <v>6759</v>
      </c>
      <c r="J122" s="173"/>
      <c r="K122" s="157" t="s">
        <v>6761</v>
      </c>
      <c r="L122" s="173"/>
      <c r="M122" s="258"/>
      <c r="N122" s="259"/>
      <c r="O122" s="260"/>
      <c r="P122" s="173"/>
      <c r="Q122" s="459"/>
      <c r="R122" s="416"/>
      <c r="S122" s="136"/>
      <c r="T122" s="137"/>
      <c r="U122" s="137"/>
      <c r="V122" s="137"/>
      <c r="W122" s="137"/>
      <c r="X122" s="137"/>
      <c r="Y122" s="212">
        <f t="shared" ref="Y122" si="1325">IF(OR(E119="",J122=""),0,J122&amp;E119)</f>
        <v>0</v>
      </c>
      <c r="Z122" s="212">
        <f>IF(Y122=0,0,COUNTIF($Y$7:Y122,Y122))</f>
        <v>0</v>
      </c>
      <c r="AD122" s="212">
        <f>IFERROR(VLOOKUP(J122,競技会設定!$T$2:$W$22,2,0),0)</f>
        <v>0</v>
      </c>
      <c r="AE122" s="212">
        <f t="shared" ref="AE122" si="1326">IF(E119="",0,IF(AD122=0,0,IF(AD122&lt;3,E119&amp;$AE$6,0)))</f>
        <v>0</v>
      </c>
      <c r="AF122" s="212">
        <f>IF(AE122=0,0,E119&amp;COUNTIF($AE$7:AE122,AE122))</f>
        <v>0</v>
      </c>
      <c r="AG122" s="212">
        <f t="shared" ref="AG122" si="1327">IF(E119="",0,IF(AD122=0,0,IF(AD122&gt;=3,E119&amp;$AG$6,0)))</f>
        <v>0</v>
      </c>
      <c r="AH122" s="212">
        <f>IF(AG122=0,0,E119&amp;COUNTIF($AG$7:AG122,AG122))</f>
        <v>0</v>
      </c>
      <c r="AI122" s="212">
        <f t="shared" ref="AI122" si="1328">IF($AD122=AI$6,$E119,0)</f>
        <v>0</v>
      </c>
      <c r="AJ122" s="212" t="b">
        <f>IF(AI122=0,FALSE,IF(COUNTIF(AI$7:AI122,AI122)&gt;1,TRUE,FALSE))</f>
        <v>0</v>
      </c>
      <c r="AK122" s="212">
        <f t="shared" ref="AK122" si="1329">IF($AD122=AK$6,$E119,0)</f>
        <v>0</v>
      </c>
      <c r="AL122" s="212" t="b">
        <f>IF(AK122=0,FALSE,IF(COUNTIF(AK$7:AK122,AK122)&gt;1,TRUE,FALSE))</f>
        <v>0</v>
      </c>
      <c r="AM122" s="212">
        <f t="shared" ref="AM122" si="1330">IF(COUNTIF(Y122,"*七種*")&gt;0,0,IF($AD122=AM$6,$E119,0))</f>
        <v>0</v>
      </c>
      <c r="AN122" s="212" t="b">
        <f>IF(AM122=0,FALSE,IF(COUNTIF(AM$7:AM122,AM122)&gt;1,TRUE,FALSE))</f>
        <v>0</v>
      </c>
      <c r="AO122" s="212">
        <f t="shared" ref="AO122" si="1331">IF($AD122=AO$6,$E119,0)</f>
        <v>0</v>
      </c>
      <c r="AP122" s="212" t="b">
        <f>IF(AO122=0,FALSE,IF(COUNTIF(AO$7:AO122,AO122)&gt;1,TRUE,FALSE))</f>
        <v>0</v>
      </c>
      <c r="AQ122" s="212">
        <f t="shared" ref="AQ122" si="1332">IF(COUNTIF(Y122,"*七種競技*")&gt;0,E119,0)</f>
        <v>0</v>
      </c>
      <c r="AR122" s="212" t="b">
        <f t="shared" si="744"/>
        <v>0</v>
      </c>
      <c r="AT122" s="212" t="b">
        <f t="shared" si="757"/>
        <v>0</v>
      </c>
      <c r="AX122" s="274"/>
      <c r="BD122" s="212" t="b">
        <f t="shared" si="731"/>
        <v>0</v>
      </c>
      <c r="BF122" s="212" t="b">
        <f t="shared" ref="BF122" si="1333">IF(J122="",FALSE,IF(OR(AND(AU119,L122=""),AND(AU119,L122="",OR(M122&lt;&gt;"",N122&lt;&gt;"",O122&lt;&gt;"",P122&lt;&gt;""))),TRUE,FALSE))</f>
        <v>0</v>
      </c>
      <c r="BG122" s="212" t="b">
        <f t="shared" si="733"/>
        <v>0</v>
      </c>
      <c r="BH122" s="212" t="b">
        <f t="shared" si="746"/>
        <v>0</v>
      </c>
      <c r="BI122" s="212" t="b">
        <f t="shared" ref="BI122" si="1334">IF(J122="",FALSE,IF(L122=0,FALSE,IF(AND(AU119,NOT(BF122),OR(M122="",N122="",O122="")),TRUE,FALSE)))</f>
        <v>0</v>
      </c>
      <c r="BJ122" s="231" t="b">
        <f t="shared" si="748"/>
        <v>0</v>
      </c>
      <c r="BK122" s="231" t="b">
        <f>IF(NOT(BJ122),FALSE,IF(AND(競技会設定!$C$5&lt;=BJ122,BJ122&lt;=競技会設定!$C$6),FALSE,TRUE))</f>
        <v>0</v>
      </c>
      <c r="BL122" s="212" t="b">
        <f>IF(J122="",FALSE,IF(L122=0,FALSE,IF(AND(AU119,NOT(BF122),NOT(BI122),P122=""),TRUE,FALSE)))</f>
        <v>0</v>
      </c>
    </row>
    <row r="123" spans="1:67" ht="18" customHeight="1" thickTop="1">
      <c r="A123" s="461">
        <v>30</v>
      </c>
      <c r="B123" s="373" t="s">
        <v>4018</v>
      </c>
      <c r="C123" s="375"/>
      <c r="D123" s="158" t="str">
        <f t="shared" ref="D123" si="1335">IF(C123="","",502&amp;TEXT(C123,"000000"))</f>
        <v/>
      </c>
      <c r="E123" s="464" t="str">
        <f>IF(D123="","",(VLOOKUP(D123,女子登録!$A$2:$N$2001,3,0)))</f>
        <v/>
      </c>
      <c r="F123" s="464" t="str">
        <f>IF(D123="","",(VLOOKUP(D123,女子登録!$A$2:$N$2001,4,0)))</f>
        <v/>
      </c>
      <c r="G123" s="158" t="str">
        <f>IF(C123="","",(VLOOKUP(D123,女子登録!$A$2:$N$2001,8,0)))</f>
        <v/>
      </c>
      <c r="H123" s="158">
        <f>IFERROR(VLOOKUP(D123,女子登録!$A$2:$N$2001,11,0),基本情報!$E$5)</f>
        <v>0</v>
      </c>
      <c r="I123" s="158" t="s">
        <v>4019</v>
      </c>
      <c r="J123" s="174"/>
      <c r="K123" s="158" t="s">
        <v>4022</v>
      </c>
      <c r="L123" s="174"/>
      <c r="M123" s="261"/>
      <c r="N123" s="262"/>
      <c r="O123" s="263"/>
      <c r="P123" s="174"/>
      <c r="Q123" s="448"/>
      <c r="R123" s="408"/>
      <c r="S123" s="136">
        <f t="shared" ref="S123" si="1336">IF(OR(E123="",Q123=""),0,E123)</f>
        <v>0</v>
      </c>
      <c r="T123" s="137">
        <f>IF(S123=0,0,COUNTIF($S$7:S123,"*"))</f>
        <v>0</v>
      </c>
      <c r="U123" s="137">
        <f>IF(S123=0,0,COUNTIF($S$7:S123,S123))</f>
        <v>0</v>
      </c>
      <c r="V123" s="137">
        <f t="shared" si="960"/>
        <v>0</v>
      </c>
      <c r="W123" s="137">
        <f>IF(V123=0,0,COUNTIF($V$7:V123,"*"))</f>
        <v>0</v>
      </c>
      <c r="X123" s="137">
        <f>IF(V123=0,0,COUNTIF($V$7:V123,V123))</f>
        <v>0</v>
      </c>
      <c r="Y123" s="212">
        <f t="shared" ref="Y123" si="1337">IF(OR(E123="",J123=""),0,J123&amp;E123)</f>
        <v>0</v>
      </c>
      <c r="Z123" s="212">
        <f>IF(Y123=0,0,COUNTIF($Y$7:Y123,Y123))</f>
        <v>0</v>
      </c>
      <c r="AA123" s="212" t="b">
        <f>IF(COUNTIF(J123:J126,"七種競技")&gt;0,TRUE,FALSE)</f>
        <v>0</v>
      </c>
      <c r="AB123" s="212">
        <f>IF(E123="",0,IF(AA123,COUNTIF($AA$7:AA123,TRUE),0))</f>
        <v>0</v>
      </c>
      <c r="AC123" s="212">
        <f>IFERROR(VLOOKUP("七種競技",J123:L126,3,0),0)</f>
        <v>0</v>
      </c>
      <c r="AD123" s="212">
        <f>IFERROR(VLOOKUP(J123,競技会設定!$T$2:$W$22,2,0),0)</f>
        <v>0</v>
      </c>
      <c r="AE123" s="212">
        <f t="shared" ref="AE123" si="1338">IF(E123="",0,IF(AD123=0,0,IF(AD123&lt;3,E123&amp;$AE$6,0)))</f>
        <v>0</v>
      </c>
      <c r="AF123" s="212">
        <f>IF(AE123=0,0,E123&amp;COUNTIF($AE$7:AE123,AE123))</f>
        <v>0</v>
      </c>
      <c r="AG123" s="212">
        <f t="shared" ref="AG123" si="1339">IF(E123="",0,IF(AD123=0,0,IF(AD123&gt;=3,E123&amp;$AG$6,0)))</f>
        <v>0</v>
      </c>
      <c r="AH123" s="212">
        <f>IF(AG123=0,0,E123&amp;COUNTIF($AG$7:AG123,AG123))</f>
        <v>0</v>
      </c>
      <c r="AI123" s="212">
        <f t="shared" ref="AI123" si="1340">IF($AD123=AI$6,$E123,0)</f>
        <v>0</v>
      </c>
      <c r="AJ123" s="212" t="b">
        <f>IF(AI123=0,FALSE,IF(COUNTIF(AI$7:AI123,AI123)&gt;1,TRUE,FALSE))</f>
        <v>0</v>
      </c>
      <c r="AK123" s="212">
        <f t="shared" ref="AK123" si="1341">IF($AD123=AK$6,$E123,0)</f>
        <v>0</v>
      </c>
      <c r="AL123" s="212" t="b">
        <f>IF(AK123=0,FALSE,IF(COUNTIF(AK$7:AK123,AK123)&gt;1,TRUE,FALSE))</f>
        <v>0</v>
      </c>
      <c r="AM123" s="212">
        <f t="shared" ref="AM123" si="1342">IF(COUNTIF(Y123,"*七種*")&gt;0,0,IF($AD123=AM$6,$E123,0))</f>
        <v>0</v>
      </c>
      <c r="AN123" s="212" t="b">
        <f>IF(AM123=0,FALSE,IF(COUNTIF(AM$7:AM123,AM123)&gt;1,TRUE,FALSE))</f>
        <v>0</v>
      </c>
      <c r="AO123" s="212">
        <f t="shared" ref="AO123" si="1343">IF($AD123=AO$6,$E123,0)</f>
        <v>0</v>
      </c>
      <c r="AP123" s="212" t="b">
        <f>IF(AO123=0,FALSE,IF(COUNTIF(AO$7:AO123,AO123)&gt;1,TRUE,FALSE))</f>
        <v>0</v>
      </c>
      <c r="AQ123" s="212">
        <f t="shared" ref="AQ123" si="1344">IF(COUNTIF(Y123,"*七種競技*")&gt;0,E123,0)</f>
        <v>0</v>
      </c>
      <c r="AR123" s="212" t="b">
        <f t="shared" si="744"/>
        <v>0</v>
      </c>
      <c r="AS123" s="212" t="b">
        <f t="shared" ref="AS123" si="1345">IF(AND(C123="",E123&lt;&gt;"",F123&lt;&gt;"",E125&lt;&gt;"",G123&lt;&gt;"",G124&lt;&gt;"",G125&lt;&gt;""),TRUE,FALSE)</f>
        <v>0</v>
      </c>
      <c r="AT123" s="212" t="b">
        <f t="shared" si="757"/>
        <v>0</v>
      </c>
      <c r="AU123" s="212" t="b">
        <f>IFERROR(IF(E123&amp;F123&amp;E125&amp;G123&amp;G124&amp;G125&amp;J123&amp;J124&amp;J125&amp;J126&amp;L123&amp;L124&amp;L125&amp;L126&amp;M123&amp;M124&amp;M125&amp;M126&amp;P123&amp;P124&amp;P125&amp;P126&amp;Q123&amp;R123="",FALSE,TRUE),FALSE)</f>
        <v>0</v>
      </c>
      <c r="AV123" s="212" t="b">
        <f t="shared" ref="AV123" si="1346">IF(AS123,FALSE,IF(C123="",AU123,FALSE))</f>
        <v>0</v>
      </c>
      <c r="AW123" s="212" t="b">
        <f t="shared" ref="AW123" si="1347">IF(C123="",FALSE,IF(C123&lt;=2000,TRUE,FALSE))</f>
        <v>0</v>
      </c>
      <c r="AX123" s="274" t="b">
        <f>IF(H123=0,FALSE,IF(EXACT(基本情報!$E$5,H123)=TRUE,FALSE,TRUE))</f>
        <v>0</v>
      </c>
      <c r="AY123" s="212" t="b">
        <f>IF(C123="",FALSE,IF(ISNA(E123)=TRUE,TRUE,FALSE))</f>
        <v>0</v>
      </c>
      <c r="AZ123" s="274" t="b">
        <f>IFERROR(IF(E123="",FALSE,IF(COUNTIF($E$7:E123,E123)&gt;1,TRUE,FALSE)),FALSE)</f>
        <v>0</v>
      </c>
      <c r="BA123" s="212" t="b">
        <f t="shared" ref="BA123" si="1348">IF(OR(J123&amp;J124&amp;J125&amp;J126&amp;Q123&amp;R123="",AT123,AT124,AT125,AT126),AU123,FALSE)</f>
        <v>0</v>
      </c>
      <c r="BB123" s="212" t="b">
        <f>IF(U123&gt;1,TRUE,FALSE)</f>
        <v>0</v>
      </c>
      <c r="BC123" s="212" t="b">
        <f>IF(X123&gt;1,TRUE,FALSE)</f>
        <v>0</v>
      </c>
      <c r="BD123" s="212" t="b">
        <f t="shared" si="731"/>
        <v>0</v>
      </c>
      <c r="BF123" s="212" t="b">
        <f t="shared" ref="BF123" si="1349">IF(J123="",FALSE,IF(OR(AND(AU123,L123=""),AND(AU123,L123="",OR(M123&lt;&gt;"",N123&lt;&gt;"",O123&lt;&gt;"",P123&lt;&gt;""))),TRUE,FALSE))</f>
        <v>0</v>
      </c>
      <c r="BG123" s="212" t="b">
        <f t="shared" si="733"/>
        <v>0</v>
      </c>
      <c r="BH123" s="212" t="b">
        <f t="shared" si="746"/>
        <v>0</v>
      </c>
      <c r="BI123" s="212" t="b">
        <f t="shared" ref="BI123" si="1350">IF(J123="",FALSE,IF(L123=0,FALSE,IF(AND(AU123,NOT(BF123),OR(M123="",N123="",O123="")),TRUE,FALSE)))</f>
        <v>0</v>
      </c>
      <c r="BJ123" s="231" t="b">
        <f t="shared" si="748"/>
        <v>0</v>
      </c>
      <c r="BK123" s="231" t="b">
        <f>IF(NOT(BJ123),FALSE,IF(AND(競技会設定!$C$5&lt;=BJ123,BJ123&lt;=競技会設定!$C$6),FALSE,TRUE))</f>
        <v>0</v>
      </c>
      <c r="BL123" s="212" t="b">
        <f>IF(J123="",FALSE,IF(L123=0,FALSE,IF(AND(AU123,NOT(BF123),NOT(BI123),P123=""),TRUE,FALSE)))</f>
        <v>0</v>
      </c>
      <c r="BO123" s="274">
        <f t="shared" ref="BO123" si="1351">IF(AND(AU123,SUM(COUNTIF(AV123:BC123,TRUE),COUNTIF(BF123:BL126,TRUE),COUNTIF(BD123:BD126,TRUE))=0,NOT($BE$7)),1,0)</f>
        <v>0</v>
      </c>
    </row>
    <row r="124" spans="1:67" ht="17.399999999999999" customHeight="1">
      <c r="A124" s="462"/>
      <c r="B124" s="374"/>
      <c r="C124" s="376"/>
      <c r="D124" s="159"/>
      <c r="E124" s="465"/>
      <c r="F124" s="465"/>
      <c r="G124" s="159" t="str">
        <f>IF(C123="","",(VLOOKUP(D123,女子登録!$A$2:$N$2001,13,0)))</f>
        <v/>
      </c>
      <c r="H124" s="159"/>
      <c r="I124" s="159" t="s">
        <v>4020</v>
      </c>
      <c r="J124" s="175"/>
      <c r="K124" s="159" t="s">
        <v>4023</v>
      </c>
      <c r="L124" s="175"/>
      <c r="M124" s="264"/>
      <c r="N124" s="265"/>
      <c r="O124" s="266"/>
      <c r="P124" s="175"/>
      <c r="Q124" s="449"/>
      <c r="R124" s="409"/>
      <c r="S124" s="136"/>
      <c r="T124" s="137"/>
      <c r="U124" s="137"/>
      <c r="V124" s="137"/>
      <c r="W124" s="137"/>
      <c r="X124" s="137"/>
      <c r="Y124" s="212">
        <f t="shared" ref="Y124" si="1352">IF(OR(E123="",J124=""),0,J124&amp;E123)</f>
        <v>0</v>
      </c>
      <c r="Z124" s="212">
        <f>IF(Y124=0,0,COUNTIF($Y$7:Y124,Y124))</f>
        <v>0</v>
      </c>
      <c r="AD124" s="212">
        <f>IFERROR(VLOOKUP(J124,競技会設定!$T$2:$W$22,2,0),0)</f>
        <v>0</v>
      </c>
      <c r="AE124" s="212">
        <f t="shared" ref="AE124" si="1353">IF(E123="",0,IF(AD124=0,0,IF(AD124&lt;3,E123&amp;$AE$6,0)))</f>
        <v>0</v>
      </c>
      <c r="AF124" s="212">
        <f>IF(AE124=0,0,E123&amp;COUNTIF($AE$7:AE124,AE124))</f>
        <v>0</v>
      </c>
      <c r="AG124" s="212">
        <f t="shared" ref="AG124" si="1354">IF(E123="",0,IF(AD124=0,0,IF(AD124&gt;=3,E123&amp;$AG$6,0)))</f>
        <v>0</v>
      </c>
      <c r="AH124" s="212">
        <f>IF(AG124=0,0,E123&amp;COUNTIF($AG$7:AG124,AG124))</f>
        <v>0</v>
      </c>
      <c r="AI124" s="212">
        <f t="shared" ref="AI124" si="1355">IF($AD124=AI$6,$E123,0)</f>
        <v>0</v>
      </c>
      <c r="AJ124" s="212" t="b">
        <f>IF(AI124=0,FALSE,IF(COUNTIF(AI$7:AI124,AI124)&gt;1,TRUE,FALSE))</f>
        <v>0</v>
      </c>
      <c r="AK124" s="212">
        <f t="shared" ref="AK124" si="1356">IF($AD124=AK$6,$E123,0)</f>
        <v>0</v>
      </c>
      <c r="AL124" s="212" t="b">
        <f>IF(AK124=0,FALSE,IF(COUNTIF(AK$7:AK124,AK124)&gt;1,TRUE,FALSE))</f>
        <v>0</v>
      </c>
      <c r="AM124" s="212">
        <f t="shared" ref="AM124" si="1357">IF(COUNTIF(Y124,"*七種*")&gt;0,0,IF($AD124=AM$6,$E123,0))</f>
        <v>0</v>
      </c>
      <c r="AN124" s="212" t="b">
        <f>IF(AM124=0,FALSE,IF(COUNTIF(AM$7:AM124,AM124)&gt;1,TRUE,FALSE))</f>
        <v>0</v>
      </c>
      <c r="AO124" s="212">
        <f t="shared" ref="AO124" si="1358">IF($AD124=AO$6,$E123,0)</f>
        <v>0</v>
      </c>
      <c r="AP124" s="212" t="b">
        <f>IF(AO124=0,FALSE,IF(COUNTIF(AO$7:AO124,AO124)&gt;1,TRUE,FALSE))</f>
        <v>0</v>
      </c>
      <c r="AQ124" s="212">
        <f t="shared" ref="AQ124" si="1359">IF(COUNTIF(Y124,"*七種競技*")&gt;0,E123,0)</f>
        <v>0</v>
      </c>
      <c r="AR124" s="212" t="b">
        <f t="shared" si="744"/>
        <v>0</v>
      </c>
      <c r="AT124" s="212" t="b">
        <f t="shared" si="757"/>
        <v>0</v>
      </c>
      <c r="AX124" s="274"/>
      <c r="BD124" s="212" t="b">
        <f t="shared" si="731"/>
        <v>0</v>
      </c>
      <c r="BF124" s="212" t="b">
        <f t="shared" ref="BF124" si="1360">IF(J124="",FALSE,IF(OR(AND(AU123,L124=""),AND(AU123,L124="",OR(M124&lt;&gt;"",N124&lt;&gt;"",O124&lt;&gt;"",P124&lt;&gt;""))),TRUE,FALSE))</f>
        <v>0</v>
      </c>
      <c r="BG124" s="212" t="b">
        <f t="shared" si="733"/>
        <v>0</v>
      </c>
      <c r="BH124" s="212" t="b">
        <f t="shared" si="746"/>
        <v>0</v>
      </c>
      <c r="BI124" s="212" t="b">
        <f t="shared" ref="BI124" si="1361">IF(J124="",FALSE,IF(L124=0,FALSE,IF(AND(AU123,NOT(BF124),OR(M124="",N124="",O124="")),TRUE,FALSE)))</f>
        <v>0</v>
      </c>
      <c r="BJ124" s="231" t="b">
        <f t="shared" si="748"/>
        <v>0</v>
      </c>
      <c r="BK124" s="231" t="b">
        <f>IF(NOT(BJ124),FALSE,IF(AND(競技会設定!$C$5&lt;=BJ124,BJ124&lt;=競技会設定!$C$6),FALSE,TRUE))</f>
        <v>0</v>
      </c>
      <c r="BL124" s="212" t="b">
        <f>IF(J124="",FALSE,IF(L124=0,FALSE,IF(AND(AU123,NOT(BF124),NOT(BI124),P124=""),TRUE,FALSE)))</f>
        <v>0</v>
      </c>
    </row>
    <row r="125" spans="1:67" ht="17.399999999999999" customHeight="1">
      <c r="A125" s="462"/>
      <c r="B125" s="374"/>
      <c r="C125" s="376"/>
      <c r="D125" s="160"/>
      <c r="E125" s="452" t="str">
        <f>IF(C123="","",VLOOKUP(D123,女子登録!$A$2:$O$2001,14,0)&amp;" ("&amp;VLOOKUP(D123,女子登録!$A$2:$O$2001,15,0)&amp;")")</f>
        <v/>
      </c>
      <c r="F125" s="453"/>
      <c r="G125" s="160" t="str">
        <f>IF(C123="","",(VLOOKUP(D123,女子登録!$A$2:$N$2001,9,0)))</f>
        <v/>
      </c>
      <c r="H125" s="160"/>
      <c r="I125" s="160" t="s">
        <v>4021</v>
      </c>
      <c r="J125" s="176"/>
      <c r="K125" s="160" t="s">
        <v>6760</v>
      </c>
      <c r="L125" s="176"/>
      <c r="M125" s="264"/>
      <c r="N125" s="265"/>
      <c r="O125" s="266"/>
      <c r="P125" s="175"/>
      <c r="Q125" s="449"/>
      <c r="R125" s="409"/>
      <c r="S125" s="136"/>
      <c r="T125" s="137"/>
      <c r="U125" s="137"/>
      <c r="V125" s="137"/>
      <c r="W125" s="137"/>
      <c r="X125" s="137"/>
      <c r="Y125" s="212">
        <f t="shared" ref="Y125" si="1362">IF(OR(E123="",J125=""),0,J125&amp;E123)</f>
        <v>0</v>
      </c>
      <c r="Z125" s="212">
        <f>IF(Y125=0,0,COUNTIF($Y$7:Y125,Y125))</f>
        <v>0</v>
      </c>
      <c r="AD125" s="212">
        <f>IFERROR(VLOOKUP(J125,競技会設定!$T$2:$W$22,2,0),0)</f>
        <v>0</v>
      </c>
      <c r="AE125" s="212">
        <f t="shared" ref="AE125" si="1363">IF(E123="",0,IF(AD125=0,0,IF(AD125&lt;3,E123&amp;$AE$6,0)))</f>
        <v>0</v>
      </c>
      <c r="AF125" s="212">
        <f>IF(AE125=0,0,E123&amp;COUNTIF($AE$7:AE125,AE125))</f>
        <v>0</v>
      </c>
      <c r="AG125" s="212">
        <f t="shared" ref="AG125" si="1364">IF(E123="",0,IF(AD125=0,0,IF(AD125&gt;=3,E123&amp;$AG$6,0)))</f>
        <v>0</v>
      </c>
      <c r="AH125" s="212">
        <f>IF(AG125=0,0,E123&amp;COUNTIF($AG$7:AG125,AG125))</f>
        <v>0</v>
      </c>
      <c r="AI125" s="212">
        <f t="shared" ref="AI125" si="1365">IF($AD125=AI$6,$E123,0)</f>
        <v>0</v>
      </c>
      <c r="AJ125" s="212" t="b">
        <f>IF(AI125=0,FALSE,IF(COUNTIF(AI$7:AI125,AI125)&gt;1,TRUE,FALSE))</f>
        <v>0</v>
      </c>
      <c r="AK125" s="212">
        <f t="shared" ref="AK125" si="1366">IF($AD125=AK$6,$E123,0)</f>
        <v>0</v>
      </c>
      <c r="AL125" s="212" t="b">
        <f>IF(AK125=0,FALSE,IF(COUNTIF(AK$7:AK125,AK125)&gt;1,TRUE,FALSE))</f>
        <v>0</v>
      </c>
      <c r="AM125" s="212">
        <f t="shared" ref="AM125" si="1367">IF(COUNTIF(Y125,"*七種*")&gt;0,0,IF($AD125=AM$6,$E123,0))</f>
        <v>0</v>
      </c>
      <c r="AN125" s="212" t="b">
        <f>IF(AM125=0,FALSE,IF(COUNTIF(AM$7:AM125,AM125)&gt;1,TRUE,FALSE))</f>
        <v>0</v>
      </c>
      <c r="AO125" s="212">
        <f t="shared" ref="AO125" si="1368">IF($AD125=AO$6,$E123,0)</f>
        <v>0</v>
      </c>
      <c r="AP125" s="212" t="b">
        <f>IF(AO125=0,FALSE,IF(COUNTIF(AO$7:AO125,AO125)&gt;1,TRUE,FALSE))</f>
        <v>0</v>
      </c>
      <c r="AQ125" s="212">
        <f t="shared" ref="AQ125" si="1369">IF(COUNTIF(Y125,"*七種競技*")&gt;0,E123,0)</f>
        <v>0</v>
      </c>
      <c r="AR125" s="212" t="b">
        <f t="shared" si="744"/>
        <v>0</v>
      </c>
      <c r="AT125" s="212" t="b">
        <f t="shared" si="757"/>
        <v>0</v>
      </c>
      <c r="AX125" s="274"/>
      <c r="BD125" s="212" t="b">
        <f t="shared" si="731"/>
        <v>0</v>
      </c>
      <c r="BF125" s="212" t="b">
        <f t="shared" ref="BF125" si="1370">IF(J125="",FALSE,IF(OR(AND(AU123,L125=""),AND(AU123,L125="",OR(M125&lt;&gt;"",N125&lt;&gt;"",O125&lt;&gt;"",P125&lt;&gt;""))),TRUE,FALSE))</f>
        <v>0</v>
      </c>
      <c r="BG125" s="212" t="b">
        <f t="shared" si="733"/>
        <v>0</v>
      </c>
      <c r="BH125" s="212" t="b">
        <f t="shared" si="746"/>
        <v>0</v>
      </c>
      <c r="BI125" s="212" t="b">
        <f t="shared" ref="BI125" si="1371">IF(J125="",FALSE,IF(L125=0,FALSE,IF(AND(AU123,NOT(BF125),OR(M125="",N125="",O125="")),TRUE,FALSE)))</f>
        <v>0</v>
      </c>
      <c r="BJ125" s="231" t="b">
        <f t="shared" si="748"/>
        <v>0</v>
      </c>
      <c r="BK125" s="231" t="b">
        <f>IF(NOT(BJ125),FALSE,IF(AND(競技会設定!$C$5&lt;=BJ125,BJ125&lt;=競技会設定!$C$6),FALSE,TRUE))</f>
        <v>0</v>
      </c>
      <c r="BL125" s="212" t="b">
        <f>IF(J125="",FALSE,IF(L125=0,FALSE,IF(AND(AU123,NOT(BF125),NOT(BI125),P125=""),TRUE,FALSE)))</f>
        <v>0</v>
      </c>
    </row>
    <row r="126" spans="1:67" ht="18" customHeight="1" thickBot="1">
      <c r="A126" s="475"/>
      <c r="B126" s="387" t="s">
        <v>6764</v>
      </c>
      <c r="C126" s="387"/>
      <c r="D126" s="161"/>
      <c r="E126" s="467"/>
      <c r="F126" s="468"/>
      <c r="G126" s="469"/>
      <c r="H126" s="162"/>
      <c r="I126" s="161" t="s">
        <v>6759</v>
      </c>
      <c r="J126" s="177"/>
      <c r="K126" s="161" t="s">
        <v>6761</v>
      </c>
      <c r="L126" s="177"/>
      <c r="M126" s="267"/>
      <c r="N126" s="268"/>
      <c r="O126" s="269"/>
      <c r="P126" s="177"/>
      <c r="Q126" s="466"/>
      <c r="R126" s="410"/>
      <c r="S126" s="136"/>
      <c r="T126" s="137"/>
      <c r="U126" s="137"/>
      <c r="V126" s="137"/>
      <c r="W126" s="137"/>
      <c r="X126" s="137"/>
      <c r="Y126" s="212">
        <f t="shared" ref="Y126" si="1372">IF(OR(E123="",J126=""),0,J126&amp;E123)</f>
        <v>0</v>
      </c>
      <c r="Z126" s="212">
        <f>IF(Y126=0,0,COUNTIF($Y$7:Y126,Y126))</f>
        <v>0</v>
      </c>
      <c r="AD126" s="212">
        <f>IFERROR(VLOOKUP(J126,競技会設定!$T$2:$W$22,2,0),0)</f>
        <v>0</v>
      </c>
      <c r="AE126" s="212">
        <f t="shared" ref="AE126" si="1373">IF(E123="",0,IF(AD126=0,0,IF(AD126&lt;3,E123&amp;$AE$6,0)))</f>
        <v>0</v>
      </c>
      <c r="AF126" s="212">
        <f>IF(AE126=0,0,E123&amp;COUNTIF($AE$7:AE126,AE126))</f>
        <v>0</v>
      </c>
      <c r="AG126" s="212">
        <f t="shared" ref="AG126" si="1374">IF(E123="",0,IF(AD126=0,0,IF(AD126&gt;=3,E123&amp;$AG$6,0)))</f>
        <v>0</v>
      </c>
      <c r="AH126" s="212">
        <f>IF(AG126=0,0,E123&amp;COUNTIF($AG$7:AG126,AG126))</f>
        <v>0</v>
      </c>
      <c r="AI126" s="212">
        <f t="shared" ref="AI126" si="1375">IF($AD126=AI$6,$E123,0)</f>
        <v>0</v>
      </c>
      <c r="AJ126" s="212" t="b">
        <f>IF(AI126=0,FALSE,IF(COUNTIF(AI$7:AI126,AI126)&gt;1,TRUE,FALSE))</f>
        <v>0</v>
      </c>
      <c r="AK126" s="212">
        <f t="shared" ref="AK126" si="1376">IF($AD126=AK$6,$E123,0)</f>
        <v>0</v>
      </c>
      <c r="AL126" s="212" t="b">
        <f>IF(AK126=0,FALSE,IF(COUNTIF(AK$7:AK126,AK126)&gt;1,TRUE,FALSE))</f>
        <v>0</v>
      </c>
      <c r="AM126" s="212">
        <f t="shared" ref="AM126" si="1377">IF(COUNTIF(Y126,"*七種*")&gt;0,0,IF($AD126=AM$6,$E123,0))</f>
        <v>0</v>
      </c>
      <c r="AN126" s="212" t="b">
        <f>IF(AM126=0,FALSE,IF(COUNTIF(AM$7:AM126,AM126)&gt;1,TRUE,FALSE))</f>
        <v>0</v>
      </c>
      <c r="AO126" s="212">
        <f t="shared" ref="AO126" si="1378">IF($AD126=AO$6,$E123,0)</f>
        <v>0</v>
      </c>
      <c r="AP126" s="212" t="b">
        <f>IF(AO126=0,FALSE,IF(COUNTIF(AO$7:AO126,AO126)&gt;1,TRUE,FALSE))</f>
        <v>0</v>
      </c>
      <c r="AQ126" s="212">
        <f t="shared" ref="AQ126" si="1379">IF(COUNTIF(Y126,"*七種競技*")&gt;0,E123,0)</f>
        <v>0</v>
      </c>
      <c r="AR126" s="212" t="b">
        <f t="shared" si="744"/>
        <v>0</v>
      </c>
      <c r="AT126" s="212" t="b">
        <f t="shared" si="757"/>
        <v>0</v>
      </c>
      <c r="AX126" s="274"/>
      <c r="BD126" s="212" t="b">
        <f t="shared" si="731"/>
        <v>0</v>
      </c>
      <c r="BF126" s="212" t="b">
        <f t="shared" ref="BF126" si="1380">IF(J126="",FALSE,IF(OR(AND(AU123,L126=""),AND(AU123,L126="",OR(M126&lt;&gt;"",N126&lt;&gt;"",O126&lt;&gt;"",P126&lt;&gt;""))),TRUE,FALSE))</f>
        <v>0</v>
      </c>
      <c r="BG126" s="212" t="b">
        <f t="shared" si="733"/>
        <v>0</v>
      </c>
      <c r="BH126" s="212" t="b">
        <f t="shared" si="746"/>
        <v>0</v>
      </c>
      <c r="BI126" s="212" t="b">
        <f t="shared" ref="BI126" si="1381">IF(J126="",FALSE,IF(L126=0,FALSE,IF(AND(AU123,NOT(BF126),OR(M126="",N126="",O126="")),TRUE,FALSE)))</f>
        <v>0</v>
      </c>
      <c r="BJ126" s="231" t="b">
        <f t="shared" si="748"/>
        <v>0</v>
      </c>
      <c r="BK126" s="231" t="b">
        <f>IF(NOT(BJ126),FALSE,IF(AND(競技会設定!$C$5&lt;=BJ126,BJ126&lt;=競技会設定!$C$6),FALSE,TRUE))</f>
        <v>0</v>
      </c>
      <c r="BL126" s="212" t="b">
        <f>IF(J126="",FALSE,IF(L126=0,FALSE,IF(AND(AU123,NOT(BF126),NOT(BI126),P126=""),TRUE,FALSE)))</f>
        <v>0</v>
      </c>
    </row>
    <row r="127" spans="1:67" ht="18" customHeight="1" thickTop="1">
      <c r="A127" s="470">
        <v>31</v>
      </c>
      <c r="B127" s="401" t="s">
        <v>4018</v>
      </c>
      <c r="C127" s="403"/>
      <c r="D127" s="156" t="str">
        <f t="shared" ref="D127" si="1382">IF(C127="","",502&amp;TEXT(C127,"000000"))</f>
        <v/>
      </c>
      <c r="E127" s="473" t="str">
        <f>IF(D127="","",(VLOOKUP(D127,女子登録!$A$2:$N$2001,3,0)))</f>
        <v/>
      </c>
      <c r="F127" s="473" t="str">
        <f>IF(D127="","",(VLOOKUP(D127,女子登録!$A$2:$N$2001,4,0)))</f>
        <v/>
      </c>
      <c r="G127" s="156" t="str">
        <f>IF(C127="","",(VLOOKUP(D127,女子登録!$A$2:$N$2001,8,0)))</f>
        <v/>
      </c>
      <c r="H127" s="156">
        <f>IFERROR(VLOOKUP(D127,女子登録!$A$2:$N$2001,11,0),基本情報!$E$5)</f>
        <v>0</v>
      </c>
      <c r="I127" s="156" t="s">
        <v>4019</v>
      </c>
      <c r="J127" s="170"/>
      <c r="K127" s="156" t="s">
        <v>4022</v>
      </c>
      <c r="L127" s="170"/>
      <c r="M127" s="252"/>
      <c r="N127" s="253"/>
      <c r="O127" s="254"/>
      <c r="P127" s="170"/>
      <c r="Q127" s="457"/>
      <c r="R127" s="414"/>
      <c r="S127" s="136">
        <f t="shared" ref="S127" si="1383">IF(OR(E127="",Q127=""),0,E127)</f>
        <v>0</v>
      </c>
      <c r="T127" s="137">
        <f>IF(S127=0,0,COUNTIF($S$7:S127,"*"))</f>
        <v>0</v>
      </c>
      <c r="U127" s="137">
        <f>IF(S127=0,0,COUNTIF($S$7:S127,S127))</f>
        <v>0</v>
      </c>
      <c r="V127" s="137">
        <f t="shared" si="960"/>
        <v>0</v>
      </c>
      <c r="W127" s="137">
        <f>IF(V127=0,0,COUNTIF($V$7:V127,"*"))</f>
        <v>0</v>
      </c>
      <c r="X127" s="137">
        <f>IF(V127=0,0,COUNTIF($V$7:V127,V127))</f>
        <v>0</v>
      </c>
      <c r="Y127" s="212">
        <f t="shared" ref="Y127" si="1384">IF(OR(E127="",J127=""),0,J127&amp;E127)</f>
        <v>0</v>
      </c>
      <c r="Z127" s="212">
        <f>IF(Y127=0,0,COUNTIF($Y$7:Y127,Y127))</f>
        <v>0</v>
      </c>
      <c r="AA127" s="212" t="b">
        <f>IF(COUNTIF(J127:J130,"七種競技")&gt;0,TRUE,FALSE)</f>
        <v>0</v>
      </c>
      <c r="AB127" s="212">
        <f>IF(E127="",0,IF(AA127,COUNTIF($AA$7:AA127,TRUE),0))</f>
        <v>0</v>
      </c>
      <c r="AC127" s="212">
        <f>IFERROR(VLOOKUP("七種競技",J127:L130,3,0),0)</f>
        <v>0</v>
      </c>
      <c r="AD127" s="212">
        <f>IFERROR(VLOOKUP(J127,競技会設定!$T$2:$W$22,2,0),0)</f>
        <v>0</v>
      </c>
      <c r="AE127" s="212">
        <f t="shared" ref="AE127" si="1385">IF(E127="",0,IF(AD127=0,0,IF(AD127&lt;3,E127&amp;$AE$6,0)))</f>
        <v>0</v>
      </c>
      <c r="AF127" s="212">
        <f>IF(AE127=0,0,E127&amp;COUNTIF($AE$7:AE127,AE127))</f>
        <v>0</v>
      </c>
      <c r="AG127" s="212">
        <f t="shared" ref="AG127" si="1386">IF(E127="",0,IF(AD127=0,0,IF(AD127&gt;=3,E127&amp;$AG$6,0)))</f>
        <v>0</v>
      </c>
      <c r="AH127" s="212">
        <f>IF(AG127=0,0,E127&amp;COUNTIF($AG$7:AG127,AG127))</f>
        <v>0</v>
      </c>
      <c r="AI127" s="212">
        <f t="shared" ref="AI127" si="1387">IF($AD127=AI$6,$E127,0)</f>
        <v>0</v>
      </c>
      <c r="AJ127" s="212" t="b">
        <f>IF(AI127=0,FALSE,IF(COUNTIF(AI$7:AI127,AI127)&gt;1,TRUE,FALSE))</f>
        <v>0</v>
      </c>
      <c r="AK127" s="212">
        <f t="shared" ref="AK127" si="1388">IF($AD127=AK$6,$E127,0)</f>
        <v>0</v>
      </c>
      <c r="AL127" s="212" t="b">
        <f>IF(AK127=0,FALSE,IF(COUNTIF(AK$7:AK127,AK127)&gt;1,TRUE,FALSE))</f>
        <v>0</v>
      </c>
      <c r="AM127" s="212">
        <f t="shared" ref="AM127" si="1389">IF(COUNTIF(Y127,"*七種*")&gt;0,0,IF($AD127=AM$6,$E127,0))</f>
        <v>0</v>
      </c>
      <c r="AN127" s="212" t="b">
        <f>IF(AM127=0,FALSE,IF(COUNTIF(AM$7:AM127,AM127)&gt;1,TRUE,FALSE))</f>
        <v>0</v>
      </c>
      <c r="AO127" s="212">
        <f t="shared" ref="AO127" si="1390">IF($AD127=AO$6,$E127,0)</f>
        <v>0</v>
      </c>
      <c r="AP127" s="212" t="b">
        <f>IF(AO127=0,FALSE,IF(COUNTIF(AO$7:AO127,AO127)&gt;1,TRUE,FALSE))</f>
        <v>0</v>
      </c>
      <c r="AQ127" s="212">
        <f t="shared" ref="AQ127" si="1391">IF(COUNTIF(Y127,"*七種競技*")&gt;0,E127,0)</f>
        <v>0</v>
      </c>
      <c r="AR127" s="212" t="b">
        <f t="shared" si="744"/>
        <v>0</v>
      </c>
      <c r="AS127" s="212" t="b">
        <f t="shared" ref="AS127" si="1392">IF(AND(C127="",E127&lt;&gt;"",F127&lt;&gt;"",E129&lt;&gt;"",G127&lt;&gt;"",G128&lt;&gt;"",G129&lt;&gt;""),TRUE,FALSE)</f>
        <v>0</v>
      </c>
      <c r="AT127" s="212" t="b">
        <f t="shared" si="757"/>
        <v>0</v>
      </c>
      <c r="AU127" s="212" t="b">
        <f>IFERROR(IF(E127&amp;F127&amp;E129&amp;G127&amp;G128&amp;G129&amp;J127&amp;J128&amp;J129&amp;J130&amp;L127&amp;L128&amp;L129&amp;L130&amp;M127&amp;M128&amp;M129&amp;M130&amp;P127&amp;P128&amp;P129&amp;P130&amp;Q127&amp;R127="",FALSE,TRUE),FALSE)</f>
        <v>0</v>
      </c>
      <c r="AV127" s="212" t="b">
        <f t="shared" ref="AV127" si="1393">IF(AS127,FALSE,IF(C127="",AU127,FALSE))</f>
        <v>0</v>
      </c>
      <c r="AW127" s="212" t="b">
        <f t="shared" ref="AW127" si="1394">IF(C127="",FALSE,IF(C127&lt;=2000,TRUE,FALSE))</f>
        <v>0</v>
      </c>
      <c r="AX127" s="274" t="b">
        <f>IF(H127=0,FALSE,IF(EXACT(基本情報!$E$5,H127)=TRUE,FALSE,TRUE))</f>
        <v>0</v>
      </c>
      <c r="AY127" s="212" t="b">
        <f>IF(C127="",FALSE,IF(ISNA(E127)=TRUE,TRUE,FALSE))</f>
        <v>0</v>
      </c>
      <c r="AZ127" s="274" t="b">
        <f>IFERROR(IF(E127="",FALSE,IF(COUNTIF($E$7:E127,E127)&gt;1,TRUE,FALSE)),FALSE)</f>
        <v>0</v>
      </c>
      <c r="BA127" s="212" t="b">
        <f t="shared" ref="BA127" si="1395">IF(OR(J127&amp;J128&amp;J129&amp;J130&amp;Q127&amp;R127="",AT127,AT128,AT129,AT130),AU127,FALSE)</f>
        <v>0</v>
      </c>
      <c r="BB127" s="212" t="b">
        <f>IF(U127&gt;1,TRUE,FALSE)</f>
        <v>0</v>
      </c>
      <c r="BC127" s="212" t="b">
        <f>IF(X127&gt;1,TRUE,FALSE)</f>
        <v>0</v>
      </c>
      <c r="BD127" s="212" t="b">
        <f t="shared" si="731"/>
        <v>0</v>
      </c>
      <c r="BF127" s="212" t="b">
        <f t="shared" ref="BF127" si="1396">IF(J127="",FALSE,IF(OR(AND(AU127,L127=""),AND(AU127,L127="",OR(M127&lt;&gt;"",N127&lt;&gt;"",O127&lt;&gt;"",P127&lt;&gt;""))),TRUE,FALSE))</f>
        <v>0</v>
      </c>
      <c r="BG127" s="212" t="b">
        <f t="shared" si="733"/>
        <v>0</v>
      </c>
      <c r="BH127" s="212" t="b">
        <f t="shared" si="746"/>
        <v>0</v>
      </c>
      <c r="BI127" s="212" t="b">
        <f t="shared" ref="BI127" si="1397">IF(J127="",FALSE,IF(L127=0,FALSE,IF(AND(AU127,NOT(BF127),OR(M127="",N127="",O127="")),TRUE,FALSE)))</f>
        <v>0</v>
      </c>
      <c r="BJ127" s="231" t="b">
        <f t="shared" si="748"/>
        <v>0</v>
      </c>
      <c r="BK127" s="231" t="b">
        <f>IF(NOT(BJ127),FALSE,IF(AND(競技会設定!$C$5&lt;=BJ127,BJ127&lt;=競技会設定!$C$6),FALSE,TRUE))</f>
        <v>0</v>
      </c>
      <c r="BL127" s="212" t="b">
        <f>IF(J127="",FALSE,IF(L127=0,FALSE,IF(AND(AU127,NOT(BF127),NOT(BI127),P127=""),TRUE,FALSE)))</f>
        <v>0</v>
      </c>
      <c r="BO127" s="274">
        <f t="shared" ref="BO127" si="1398">IF(AND(AU127,SUM(COUNTIF(AV127:BC127,TRUE),COUNTIF(BF127:BL130,TRUE),COUNTIF(BD127:BD130,TRUE))=0,NOT($BE$7)),1,0)</f>
        <v>0</v>
      </c>
    </row>
    <row r="128" spans="1:67" ht="17.399999999999999" customHeight="1">
      <c r="A128" s="471"/>
      <c r="B128" s="402"/>
      <c r="C128" s="404"/>
      <c r="D128" s="11"/>
      <c r="E128" s="474"/>
      <c r="F128" s="474"/>
      <c r="G128" s="11" t="str">
        <f>IF(C127="","",(VLOOKUP(D127,女子登録!$A$2:$N$2001,13,0)))</f>
        <v/>
      </c>
      <c r="H128" s="11"/>
      <c r="I128" s="11" t="s">
        <v>4020</v>
      </c>
      <c r="J128" s="171"/>
      <c r="K128" s="11" t="s">
        <v>4023</v>
      </c>
      <c r="L128" s="171"/>
      <c r="M128" s="255"/>
      <c r="N128" s="256"/>
      <c r="O128" s="257"/>
      <c r="P128" s="171"/>
      <c r="Q128" s="458"/>
      <c r="R128" s="415"/>
      <c r="S128" s="136"/>
      <c r="T128" s="137"/>
      <c r="U128" s="137"/>
      <c r="V128" s="137"/>
      <c r="W128" s="137"/>
      <c r="X128" s="137"/>
      <c r="Y128" s="212">
        <f t="shared" ref="Y128" si="1399">IF(OR(E127="",J128=""),0,J128&amp;E127)</f>
        <v>0</v>
      </c>
      <c r="Z128" s="212">
        <f>IF(Y128=0,0,COUNTIF($Y$7:Y128,Y128))</f>
        <v>0</v>
      </c>
      <c r="AD128" s="212">
        <f>IFERROR(VLOOKUP(J128,競技会設定!$T$2:$W$22,2,0),0)</f>
        <v>0</v>
      </c>
      <c r="AE128" s="212">
        <f t="shared" ref="AE128" si="1400">IF(E127="",0,IF(AD128=0,0,IF(AD128&lt;3,E127&amp;$AE$6,0)))</f>
        <v>0</v>
      </c>
      <c r="AF128" s="212">
        <f>IF(AE128=0,0,E127&amp;COUNTIF($AE$7:AE128,AE128))</f>
        <v>0</v>
      </c>
      <c r="AG128" s="212">
        <f t="shared" ref="AG128" si="1401">IF(E127="",0,IF(AD128=0,0,IF(AD128&gt;=3,E127&amp;$AG$6,0)))</f>
        <v>0</v>
      </c>
      <c r="AH128" s="212">
        <f>IF(AG128=0,0,E127&amp;COUNTIF($AG$7:AG128,AG128))</f>
        <v>0</v>
      </c>
      <c r="AI128" s="212">
        <f t="shared" ref="AI128" si="1402">IF($AD128=AI$6,$E127,0)</f>
        <v>0</v>
      </c>
      <c r="AJ128" s="212" t="b">
        <f>IF(AI128=0,FALSE,IF(COUNTIF(AI$7:AI128,AI128)&gt;1,TRUE,FALSE))</f>
        <v>0</v>
      </c>
      <c r="AK128" s="212">
        <f t="shared" ref="AK128" si="1403">IF($AD128=AK$6,$E127,0)</f>
        <v>0</v>
      </c>
      <c r="AL128" s="212" t="b">
        <f>IF(AK128=0,FALSE,IF(COUNTIF(AK$7:AK128,AK128)&gt;1,TRUE,FALSE))</f>
        <v>0</v>
      </c>
      <c r="AM128" s="212">
        <f t="shared" ref="AM128" si="1404">IF(COUNTIF(Y128,"*七種*")&gt;0,0,IF($AD128=AM$6,$E127,0))</f>
        <v>0</v>
      </c>
      <c r="AN128" s="212" t="b">
        <f>IF(AM128=0,FALSE,IF(COUNTIF(AM$7:AM128,AM128)&gt;1,TRUE,FALSE))</f>
        <v>0</v>
      </c>
      <c r="AO128" s="212">
        <f t="shared" ref="AO128" si="1405">IF($AD128=AO$6,$E127,0)</f>
        <v>0</v>
      </c>
      <c r="AP128" s="212" t="b">
        <f>IF(AO128=0,FALSE,IF(COUNTIF(AO$7:AO128,AO128)&gt;1,TRUE,FALSE))</f>
        <v>0</v>
      </c>
      <c r="AQ128" s="212">
        <f t="shared" ref="AQ128" si="1406">IF(COUNTIF(Y128,"*七種競技*")&gt;0,E127,0)</f>
        <v>0</v>
      </c>
      <c r="AR128" s="212" t="b">
        <f t="shared" si="744"/>
        <v>0</v>
      </c>
      <c r="AT128" s="212" t="b">
        <f t="shared" si="757"/>
        <v>0</v>
      </c>
      <c r="AX128" s="274"/>
      <c r="BD128" s="212" t="b">
        <f t="shared" si="731"/>
        <v>0</v>
      </c>
      <c r="BF128" s="212" t="b">
        <f t="shared" ref="BF128" si="1407">IF(J128="",FALSE,IF(OR(AND(AU127,L128=""),AND(AU127,L128="",OR(M128&lt;&gt;"",N128&lt;&gt;"",O128&lt;&gt;"",P128&lt;&gt;""))),TRUE,FALSE))</f>
        <v>0</v>
      </c>
      <c r="BG128" s="212" t="b">
        <f t="shared" si="733"/>
        <v>0</v>
      </c>
      <c r="BH128" s="212" t="b">
        <f t="shared" si="746"/>
        <v>0</v>
      </c>
      <c r="BI128" s="212" t="b">
        <f t="shared" ref="BI128" si="1408">IF(J128="",FALSE,IF(L128=0,FALSE,IF(AND(AU127,NOT(BF128),OR(M128="",N128="",O128="")),TRUE,FALSE)))</f>
        <v>0</v>
      </c>
      <c r="BJ128" s="231" t="b">
        <f t="shared" si="748"/>
        <v>0</v>
      </c>
      <c r="BK128" s="231" t="b">
        <f>IF(NOT(BJ128),FALSE,IF(AND(競技会設定!$C$5&lt;=BJ128,BJ128&lt;=競技会設定!$C$6),FALSE,TRUE))</f>
        <v>0</v>
      </c>
      <c r="BL128" s="212" t="b">
        <f>IF(J128="",FALSE,IF(L128=0,FALSE,IF(AND(AU127,NOT(BF128),NOT(BI128),P128=""),TRUE,FALSE)))</f>
        <v>0</v>
      </c>
    </row>
    <row r="129" spans="1:67" ht="17.399999999999999" customHeight="1">
      <c r="A129" s="471"/>
      <c r="B129" s="402"/>
      <c r="C129" s="404"/>
      <c r="D129" s="11"/>
      <c r="E129" s="348" t="str">
        <f>IF(C127="","",VLOOKUP(D127,女子登録!$A$2:$O$2001,14,0)&amp;" ("&amp;VLOOKUP(D127,女子登録!$A$2:$O$2001,15,0)&amp;")")</f>
        <v/>
      </c>
      <c r="F129" s="348"/>
      <c r="G129" s="13" t="str">
        <f>IF(C127="","",(VLOOKUP(D127,女子登録!$A$2:$N$2001,9,0)))</f>
        <v/>
      </c>
      <c r="H129" s="13"/>
      <c r="I129" s="13" t="s">
        <v>4021</v>
      </c>
      <c r="J129" s="172"/>
      <c r="K129" s="13" t="s">
        <v>6760</v>
      </c>
      <c r="L129" s="172"/>
      <c r="M129" s="255"/>
      <c r="N129" s="256"/>
      <c r="O129" s="257"/>
      <c r="P129" s="171"/>
      <c r="Q129" s="458"/>
      <c r="R129" s="415"/>
      <c r="S129" s="136"/>
      <c r="T129" s="137"/>
      <c r="U129" s="137"/>
      <c r="V129" s="137"/>
      <c r="W129" s="137"/>
      <c r="X129" s="137"/>
      <c r="Y129" s="212">
        <f t="shared" ref="Y129" si="1409">IF(OR(E127="",J129=""),0,J129&amp;E127)</f>
        <v>0</v>
      </c>
      <c r="Z129" s="212">
        <f>IF(Y129=0,0,COUNTIF($Y$7:Y129,Y129))</f>
        <v>0</v>
      </c>
      <c r="AD129" s="212">
        <f>IFERROR(VLOOKUP(J129,競技会設定!$T$2:$W$22,2,0),0)</f>
        <v>0</v>
      </c>
      <c r="AE129" s="212">
        <f t="shared" ref="AE129" si="1410">IF(E127="",0,IF(AD129=0,0,IF(AD129&lt;3,E127&amp;$AE$6,0)))</f>
        <v>0</v>
      </c>
      <c r="AF129" s="212">
        <f>IF(AE129=0,0,E127&amp;COUNTIF($AE$7:AE129,AE129))</f>
        <v>0</v>
      </c>
      <c r="AG129" s="212">
        <f t="shared" ref="AG129" si="1411">IF(E127="",0,IF(AD129=0,0,IF(AD129&gt;=3,E127&amp;$AG$6,0)))</f>
        <v>0</v>
      </c>
      <c r="AH129" s="212">
        <f>IF(AG129=0,0,E127&amp;COUNTIF($AG$7:AG129,AG129))</f>
        <v>0</v>
      </c>
      <c r="AI129" s="212">
        <f t="shared" ref="AI129" si="1412">IF($AD129=AI$6,$E127,0)</f>
        <v>0</v>
      </c>
      <c r="AJ129" s="212" t="b">
        <f>IF(AI129=0,FALSE,IF(COUNTIF(AI$7:AI129,AI129)&gt;1,TRUE,FALSE))</f>
        <v>0</v>
      </c>
      <c r="AK129" s="212">
        <f t="shared" ref="AK129" si="1413">IF($AD129=AK$6,$E127,0)</f>
        <v>0</v>
      </c>
      <c r="AL129" s="212" t="b">
        <f>IF(AK129=0,FALSE,IF(COUNTIF(AK$7:AK129,AK129)&gt;1,TRUE,FALSE))</f>
        <v>0</v>
      </c>
      <c r="AM129" s="212">
        <f t="shared" ref="AM129" si="1414">IF(COUNTIF(Y129,"*七種*")&gt;0,0,IF($AD129=AM$6,$E127,0))</f>
        <v>0</v>
      </c>
      <c r="AN129" s="212" t="b">
        <f>IF(AM129=0,FALSE,IF(COUNTIF(AM$7:AM129,AM129)&gt;1,TRUE,FALSE))</f>
        <v>0</v>
      </c>
      <c r="AO129" s="212">
        <f t="shared" ref="AO129" si="1415">IF($AD129=AO$6,$E127,0)</f>
        <v>0</v>
      </c>
      <c r="AP129" s="212" t="b">
        <f>IF(AO129=0,FALSE,IF(COUNTIF(AO$7:AO129,AO129)&gt;1,TRUE,FALSE))</f>
        <v>0</v>
      </c>
      <c r="AQ129" s="212">
        <f t="shared" ref="AQ129" si="1416">IF(COUNTIF(Y129,"*七種競技*")&gt;0,E127,0)</f>
        <v>0</v>
      </c>
      <c r="AR129" s="212" t="b">
        <f t="shared" si="744"/>
        <v>0</v>
      </c>
      <c r="AT129" s="212" t="b">
        <f t="shared" si="757"/>
        <v>0</v>
      </c>
      <c r="AX129" s="274"/>
      <c r="BD129" s="212" t="b">
        <f t="shared" si="731"/>
        <v>0</v>
      </c>
      <c r="BF129" s="212" t="b">
        <f t="shared" ref="BF129" si="1417">IF(J129="",FALSE,IF(OR(AND(AU127,L129=""),AND(AU127,L129="",OR(M129&lt;&gt;"",N129&lt;&gt;"",O129&lt;&gt;"",P129&lt;&gt;""))),TRUE,FALSE))</f>
        <v>0</v>
      </c>
      <c r="BG129" s="212" t="b">
        <f t="shared" si="733"/>
        <v>0</v>
      </c>
      <c r="BH129" s="212" t="b">
        <f t="shared" si="746"/>
        <v>0</v>
      </c>
      <c r="BI129" s="212" t="b">
        <f t="shared" ref="BI129" si="1418">IF(J129="",FALSE,IF(L129=0,FALSE,IF(AND(AU127,NOT(BF129),OR(M129="",N129="",O129="")),TRUE,FALSE)))</f>
        <v>0</v>
      </c>
      <c r="BJ129" s="231" t="b">
        <f t="shared" si="748"/>
        <v>0</v>
      </c>
      <c r="BK129" s="231" t="b">
        <f>IF(NOT(BJ129),FALSE,IF(AND(競技会設定!$C$5&lt;=BJ129,BJ129&lt;=競技会設定!$C$6),FALSE,TRUE))</f>
        <v>0</v>
      </c>
      <c r="BL129" s="212" t="b">
        <f>IF(J129="",FALSE,IF(L129=0,FALSE,IF(AND(AU127,NOT(BF129),NOT(BI129),P129=""),TRUE,FALSE)))</f>
        <v>0</v>
      </c>
    </row>
    <row r="130" spans="1:67" ht="18" customHeight="1" thickBot="1">
      <c r="A130" s="472"/>
      <c r="B130" s="395" t="s">
        <v>6764</v>
      </c>
      <c r="C130" s="395"/>
      <c r="D130" s="11"/>
      <c r="E130" s="460"/>
      <c r="F130" s="460"/>
      <c r="G130" s="460"/>
      <c r="H130" s="157"/>
      <c r="I130" s="157" t="s">
        <v>6759</v>
      </c>
      <c r="J130" s="173"/>
      <c r="K130" s="157" t="s">
        <v>6761</v>
      </c>
      <c r="L130" s="173"/>
      <c r="M130" s="258"/>
      <c r="N130" s="259"/>
      <c r="O130" s="260"/>
      <c r="P130" s="173"/>
      <c r="Q130" s="459"/>
      <c r="R130" s="416"/>
      <c r="S130" s="136"/>
      <c r="T130" s="137"/>
      <c r="U130" s="137"/>
      <c r="V130" s="137"/>
      <c r="W130" s="137"/>
      <c r="X130" s="137"/>
      <c r="Y130" s="212">
        <f t="shared" ref="Y130" si="1419">IF(OR(E127="",J130=""),0,J130&amp;E127)</f>
        <v>0</v>
      </c>
      <c r="Z130" s="212">
        <f>IF(Y130=0,0,COUNTIF($Y$7:Y130,Y130))</f>
        <v>0</v>
      </c>
      <c r="AD130" s="212">
        <f>IFERROR(VLOOKUP(J130,競技会設定!$T$2:$W$22,2,0),0)</f>
        <v>0</v>
      </c>
      <c r="AE130" s="212">
        <f t="shared" ref="AE130" si="1420">IF(E127="",0,IF(AD130=0,0,IF(AD130&lt;3,E127&amp;$AE$6,0)))</f>
        <v>0</v>
      </c>
      <c r="AF130" s="212">
        <f>IF(AE130=0,0,E127&amp;COUNTIF($AE$7:AE130,AE130))</f>
        <v>0</v>
      </c>
      <c r="AG130" s="212">
        <f t="shared" ref="AG130" si="1421">IF(E127="",0,IF(AD130=0,0,IF(AD130&gt;=3,E127&amp;$AG$6,0)))</f>
        <v>0</v>
      </c>
      <c r="AH130" s="212">
        <f>IF(AG130=0,0,E127&amp;COUNTIF($AG$7:AG130,AG130))</f>
        <v>0</v>
      </c>
      <c r="AI130" s="212">
        <f t="shared" ref="AI130" si="1422">IF($AD130=AI$6,$E127,0)</f>
        <v>0</v>
      </c>
      <c r="AJ130" s="212" t="b">
        <f>IF(AI130=0,FALSE,IF(COUNTIF(AI$7:AI130,AI130)&gt;1,TRUE,FALSE))</f>
        <v>0</v>
      </c>
      <c r="AK130" s="212">
        <f t="shared" ref="AK130" si="1423">IF($AD130=AK$6,$E127,0)</f>
        <v>0</v>
      </c>
      <c r="AL130" s="212" t="b">
        <f>IF(AK130=0,FALSE,IF(COUNTIF(AK$7:AK130,AK130)&gt;1,TRUE,FALSE))</f>
        <v>0</v>
      </c>
      <c r="AM130" s="212">
        <f t="shared" ref="AM130" si="1424">IF(COUNTIF(Y130,"*七種*")&gt;0,0,IF($AD130=AM$6,$E127,0))</f>
        <v>0</v>
      </c>
      <c r="AN130" s="212" t="b">
        <f>IF(AM130=0,FALSE,IF(COUNTIF(AM$7:AM130,AM130)&gt;1,TRUE,FALSE))</f>
        <v>0</v>
      </c>
      <c r="AO130" s="212">
        <f t="shared" ref="AO130" si="1425">IF($AD130=AO$6,$E127,0)</f>
        <v>0</v>
      </c>
      <c r="AP130" s="212" t="b">
        <f>IF(AO130=0,FALSE,IF(COUNTIF(AO$7:AO130,AO130)&gt;1,TRUE,FALSE))</f>
        <v>0</v>
      </c>
      <c r="AQ130" s="212">
        <f t="shared" ref="AQ130" si="1426">IF(COUNTIF(Y130,"*七種競技*")&gt;0,E127,0)</f>
        <v>0</v>
      </c>
      <c r="AR130" s="212" t="b">
        <f t="shared" si="744"/>
        <v>0</v>
      </c>
      <c r="AT130" s="212" t="b">
        <f t="shared" si="757"/>
        <v>0</v>
      </c>
      <c r="AX130" s="274"/>
      <c r="BD130" s="212" t="b">
        <f t="shared" si="731"/>
        <v>0</v>
      </c>
      <c r="BF130" s="212" t="b">
        <f t="shared" ref="BF130" si="1427">IF(J130="",FALSE,IF(OR(AND(AU127,L130=""),AND(AU127,L130="",OR(M130&lt;&gt;"",N130&lt;&gt;"",O130&lt;&gt;"",P130&lt;&gt;""))),TRUE,FALSE))</f>
        <v>0</v>
      </c>
      <c r="BG130" s="212" t="b">
        <f t="shared" si="733"/>
        <v>0</v>
      </c>
      <c r="BH130" s="212" t="b">
        <f t="shared" si="746"/>
        <v>0</v>
      </c>
      <c r="BI130" s="212" t="b">
        <f t="shared" ref="BI130" si="1428">IF(J130="",FALSE,IF(L130=0,FALSE,IF(AND(AU127,NOT(BF130),OR(M130="",N130="",O130="")),TRUE,FALSE)))</f>
        <v>0</v>
      </c>
      <c r="BJ130" s="231" t="b">
        <f t="shared" si="748"/>
        <v>0</v>
      </c>
      <c r="BK130" s="231" t="b">
        <f>IF(NOT(BJ130),FALSE,IF(AND(競技会設定!$C$5&lt;=BJ130,BJ130&lt;=競技会設定!$C$6),FALSE,TRUE))</f>
        <v>0</v>
      </c>
      <c r="BL130" s="212" t="b">
        <f>IF(J130="",FALSE,IF(L130=0,FALSE,IF(AND(AU127,NOT(BF130),NOT(BI130),P130=""),TRUE,FALSE)))</f>
        <v>0</v>
      </c>
    </row>
    <row r="131" spans="1:67" ht="18" customHeight="1" thickTop="1">
      <c r="A131" s="461">
        <v>32</v>
      </c>
      <c r="B131" s="373" t="s">
        <v>4018</v>
      </c>
      <c r="C131" s="375"/>
      <c r="D131" s="158" t="str">
        <f t="shared" ref="D131" si="1429">IF(C131="","",502&amp;TEXT(C131,"000000"))</f>
        <v/>
      </c>
      <c r="E131" s="464" t="str">
        <f>IF(D131="","",(VLOOKUP(D131,女子登録!$A$2:$N$2001,3,0)))</f>
        <v/>
      </c>
      <c r="F131" s="464" t="str">
        <f>IF(D131="","",(VLOOKUP(D131,女子登録!$A$2:$N$2001,4,0)))</f>
        <v/>
      </c>
      <c r="G131" s="158" t="str">
        <f>IF(C131="","",(VLOOKUP(D131,女子登録!$A$2:$N$2001,8,0)))</f>
        <v/>
      </c>
      <c r="H131" s="158">
        <f>IFERROR(VLOOKUP(D131,女子登録!$A$2:$N$2001,11,0),基本情報!$E$5)</f>
        <v>0</v>
      </c>
      <c r="I131" s="158" t="s">
        <v>4019</v>
      </c>
      <c r="J131" s="174"/>
      <c r="K131" s="158" t="s">
        <v>4022</v>
      </c>
      <c r="L131" s="174"/>
      <c r="M131" s="261"/>
      <c r="N131" s="262"/>
      <c r="O131" s="263"/>
      <c r="P131" s="174"/>
      <c r="Q131" s="448"/>
      <c r="R131" s="408"/>
      <c r="S131" s="136">
        <f t="shared" ref="S131" si="1430">IF(OR(E131="",Q131=""),0,E131)</f>
        <v>0</v>
      </c>
      <c r="T131" s="137">
        <f>IF(S131=0,0,COUNTIF($S$7:S131,"*"))</f>
        <v>0</v>
      </c>
      <c r="U131" s="137">
        <f>IF(S131=0,0,COUNTIF($S$7:S131,S131))</f>
        <v>0</v>
      </c>
      <c r="V131" s="137">
        <f t="shared" si="960"/>
        <v>0</v>
      </c>
      <c r="W131" s="137">
        <f>IF(V131=0,0,COUNTIF($V$7:V131,"*"))</f>
        <v>0</v>
      </c>
      <c r="X131" s="137">
        <f>IF(V131=0,0,COUNTIF($V$7:V131,V131))</f>
        <v>0</v>
      </c>
      <c r="Y131" s="212">
        <f t="shared" ref="Y131" si="1431">IF(OR(E131="",J131=""),0,J131&amp;E131)</f>
        <v>0</v>
      </c>
      <c r="Z131" s="212">
        <f>IF(Y131=0,0,COUNTIF($Y$7:Y131,Y131))</f>
        <v>0</v>
      </c>
      <c r="AA131" s="212" t="b">
        <f>IF(COUNTIF(J131:J134,"七種競技")&gt;0,TRUE,FALSE)</f>
        <v>0</v>
      </c>
      <c r="AB131" s="212">
        <f>IF(E131="",0,IF(AA131,COUNTIF($AA$7:AA131,TRUE),0))</f>
        <v>0</v>
      </c>
      <c r="AC131" s="212">
        <f>IFERROR(VLOOKUP("七種競技",J131:L134,3,0),0)</f>
        <v>0</v>
      </c>
      <c r="AD131" s="212">
        <f>IFERROR(VLOOKUP(J131,競技会設定!$T$2:$W$22,2,0),0)</f>
        <v>0</v>
      </c>
      <c r="AE131" s="212">
        <f t="shared" ref="AE131" si="1432">IF(E131="",0,IF(AD131=0,0,IF(AD131&lt;3,E131&amp;$AE$6,0)))</f>
        <v>0</v>
      </c>
      <c r="AF131" s="212">
        <f>IF(AE131=0,0,E131&amp;COUNTIF($AE$7:AE131,AE131))</f>
        <v>0</v>
      </c>
      <c r="AG131" s="212">
        <f t="shared" ref="AG131" si="1433">IF(E131="",0,IF(AD131=0,0,IF(AD131&gt;=3,E131&amp;$AG$6,0)))</f>
        <v>0</v>
      </c>
      <c r="AH131" s="212">
        <f>IF(AG131=0,0,E131&amp;COUNTIF($AG$7:AG131,AG131))</f>
        <v>0</v>
      </c>
      <c r="AI131" s="212">
        <f t="shared" ref="AI131" si="1434">IF($AD131=AI$6,$E131,0)</f>
        <v>0</v>
      </c>
      <c r="AJ131" s="212" t="b">
        <f>IF(AI131=0,FALSE,IF(COUNTIF(AI$7:AI131,AI131)&gt;1,TRUE,FALSE))</f>
        <v>0</v>
      </c>
      <c r="AK131" s="212">
        <f t="shared" ref="AK131" si="1435">IF($AD131=AK$6,$E131,0)</f>
        <v>0</v>
      </c>
      <c r="AL131" s="212" t="b">
        <f>IF(AK131=0,FALSE,IF(COUNTIF(AK$7:AK131,AK131)&gt;1,TRUE,FALSE))</f>
        <v>0</v>
      </c>
      <c r="AM131" s="212">
        <f t="shared" ref="AM131" si="1436">IF(COUNTIF(Y131,"*七種*")&gt;0,0,IF($AD131=AM$6,$E131,0))</f>
        <v>0</v>
      </c>
      <c r="AN131" s="212" t="b">
        <f>IF(AM131=0,FALSE,IF(COUNTIF(AM$7:AM131,AM131)&gt;1,TRUE,FALSE))</f>
        <v>0</v>
      </c>
      <c r="AO131" s="212">
        <f t="shared" ref="AO131" si="1437">IF($AD131=AO$6,$E131,0)</f>
        <v>0</v>
      </c>
      <c r="AP131" s="212" t="b">
        <f>IF(AO131=0,FALSE,IF(COUNTIF(AO$7:AO131,AO131)&gt;1,TRUE,FALSE))</f>
        <v>0</v>
      </c>
      <c r="AQ131" s="212">
        <f t="shared" ref="AQ131" si="1438">IF(COUNTIF(Y131,"*七種競技*")&gt;0,E131,0)</f>
        <v>0</v>
      </c>
      <c r="AR131" s="212" t="b">
        <f t="shared" si="744"/>
        <v>0</v>
      </c>
      <c r="AS131" s="212" t="b">
        <f t="shared" ref="AS131" si="1439">IF(AND(C131="",E131&lt;&gt;"",F131&lt;&gt;"",E133&lt;&gt;"",G131&lt;&gt;"",G132&lt;&gt;"",G133&lt;&gt;""),TRUE,FALSE)</f>
        <v>0</v>
      </c>
      <c r="AT131" s="212" t="b">
        <f t="shared" si="757"/>
        <v>0</v>
      </c>
      <c r="AU131" s="212" t="b">
        <f>IFERROR(IF(E131&amp;F131&amp;E133&amp;G131&amp;G132&amp;G133&amp;J131&amp;J132&amp;J133&amp;J134&amp;L131&amp;L132&amp;L133&amp;L134&amp;M131&amp;M132&amp;M133&amp;M134&amp;P131&amp;P132&amp;P133&amp;P134&amp;Q131&amp;R131="",FALSE,TRUE),FALSE)</f>
        <v>0</v>
      </c>
      <c r="AV131" s="212" t="b">
        <f t="shared" ref="AV131" si="1440">IF(AS131,FALSE,IF(C131="",AU131,FALSE))</f>
        <v>0</v>
      </c>
      <c r="AW131" s="212" t="b">
        <f t="shared" ref="AW131" si="1441">IF(C131="",FALSE,IF(C131&lt;=2000,TRUE,FALSE))</f>
        <v>0</v>
      </c>
      <c r="AX131" s="274" t="b">
        <f>IF(H131=0,FALSE,IF(EXACT(基本情報!$E$5,H131)=TRUE,FALSE,TRUE))</f>
        <v>0</v>
      </c>
      <c r="AY131" s="212" t="b">
        <f>IF(C131="",FALSE,IF(ISNA(E131)=TRUE,TRUE,FALSE))</f>
        <v>0</v>
      </c>
      <c r="AZ131" s="274" t="b">
        <f>IFERROR(IF(E131="",FALSE,IF(COUNTIF($E$7:E131,E131)&gt;1,TRUE,FALSE)),FALSE)</f>
        <v>0</v>
      </c>
      <c r="BA131" s="212" t="b">
        <f t="shared" ref="BA131" si="1442">IF(OR(J131&amp;J132&amp;J133&amp;J134&amp;Q131&amp;R131="",AT131,AT132,AT133,AT134),AU131,FALSE)</f>
        <v>0</v>
      </c>
      <c r="BB131" s="212" t="b">
        <f>IF(U131&gt;1,TRUE,FALSE)</f>
        <v>0</v>
      </c>
      <c r="BC131" s="212" t="b">
        <f>IF(X131&gt;1,TRUE,FALSE)</f>
        <v>0</v>
      </c>
      <c r="BD131" s="212" t="b">
        <f t="shared" si="731"/>
        <v>0</v>
      </c>
      <c r="BF131" s="212" t="b">
        <f t="shared" ref="BF131" si="1443">IF(J131="",FALSE,IF(OR(AND(AU131,L131=""),AND(AU131,L131="",OR(M131&lt;&gt;"",N131&lt;&gt;"",O131&lt;&gt;"",P131&lt;&gt;""))),TRUE,FALSE))</f>
        <v>0</v>
      </c>
      <c r="BG131" s="212" t="b">
        <f t="shared" si="733"/>
        <v>0</v>
      </c>
      <c r="BH131" s="212" t="b">
        <f t="shared" si="746"/>
        <v>0</v>
      </c>
      <c r="BI131" s="212" t="b">
        <f t="shared" ref="BI131" si="1444">IF(J131="",FALSE,IF(L131=0,FALSE,IF(AND(AU131,NOT(BF131),OR(M131="",N131="",O131="")),TRUE,FALSE)))</f>
        <v>0</v>
      </c>
      <c r="BJ131" s="231" t="b">
        <f t="shared" si="748"/>
        <v>0</v>
      </c>
      <c r="BK131" s="231" t="b">
        <f>IF(NOT(BJ131),FALSE,IF(AND(競技会設定!$C$5&lt;=BJ131,BJ131&lt;=競技会設定!$C$6),FALSE,TRUE))</f>
        <v>0</v>
      </c>
      <c r="BL131" s="212" t="b">
        <f>IF(J131="",FALSE,IF(L131=0,FALSE,IF(AND(AU131,NOT(BF131),NOT(BI131),P131=""),TRUE,FALSE)))</f>
        <v>0</v>
      </c>
      <c r="BO131" s="274">
        <f t="shared" ref="BO131" si="1445">IF(AND(AU131,SUM(COUNTIF(AV131:BC131,TRUE),COUNTIF(BF131:BL134,TRUE),COUNTIF(BD131:BD134,TRUE))=0,NOT($BE$7)),1,0)</f>
        <v>0</v>
      </c>
    </row>
    <row r="132" spans="1:67" ht="17.399999999999999" customHeight="1">
      <c r="A132" s="462"/>
      <c r="B132" s="374"/>
      <c r="C132" s="376"/>
      <c r="D132" s="159"/>
      <c r="E132" s="465"/>
      <c r="F132" s="465"/>
      <c r="G132" s="159" t="str">
        <f>IF(C131="","",(VLOOKUP(D131,女子登録!$A$2:$N$2001,13,0)))</f>
        <v/>
      </c>
      <c r="H132" s="159"/>
      <c r="I132" s="159" t="s">
        <v>4020</v>
      </c>
      <c r="J132" s="175"/>
      <c r="K132" s="159" t="s">
        <v>4023</v>
      </c>
      <c r="L132" s="175"/>
      <c r="M132" s="264"/>
      <c r="N132" s="265"/>
      <c r="O132" s="266"/>
      <c r="P132" s="175"/>
      <c r="Q132" s="449"/>
      <c r="R132" s="409"/>
      <c r="S132" s="136"/>
      <c r="T132" s="137"/>
      <c r="U132" s="137"/>
      <c r="V132" s="137"/>
      <c r="W132" s="137"/>
      <c r="X132" s="137"/>
      <c r="Y132" s="212">
        <f t="shared" ref="Y132" si="1446">IF(OR(E131="",J132=""),0,J132&amp;E131)</f>
        <v>0</v>
      </c>
      <c r="Z132" s="212">
        <f>IF(Y132=0,0,COUNTIF($Y$7:Y132,Y132))</f>
        <v>0</v>
      </c>
      <c r="AD132" s="212">
        <f>IFERROR(VLOOKUP(J132,競技会設定!$T$2:$W$22,2,0),0)</f>
        <v>0</v>
      </c>
      <c r="AE132" s="212">
        <f t="shared" ref="AE132" si="1447">IF(E131="",0,IF(AD132=0,0,IF(AD132&lt;3,E131&amp;$AE$6,0)))</f>
        <v>0</v>
      </c>
      <c r="AF132" s="212">
        <f>IF(AE132=0,0,E131&amp;COUNTIF($AE$7:AE132,AE132))</f>
        <v>0</v>
      </c>
      <c r="AG132" s="212">
        <f t="shared" ref="AG132" si="1448">IF(E131="",0,IF(AD132=0,0,IF(AD132&gt;=3,E131&amp;$AG$6,0)))</f>
        <v>0</v>
      </c>
      <c r="AH132" s="212">
        <f>IF(AG132=0,0,E131&amp;COUNTIF($AG$7:AG132,AG132))</f>
        <v>0</v>
      </c>
      <c r="AI132" s="212">
        <f t="shared" ref="AI132" si="1449">IF($AD132=AI$6,$E131,0)</f>
        <v>0</v>
      </c>
      <c r="AJ132" s="212" t="b">
        <f>IF(AI132=0,FALSE,IF(COUNTIF(AI$7:AI132,AI132)&gt;1,TRUE,FALSE))</f>
        <v>0</v>
      </c>
      <c r="AK132" s="212">
        <f t="shared" ref="AK132" si="1450">IF($AD132=AK$6,$E131,0)</f>
        <v>0</v>
      </c>
      <c r="AL132" s="212" t="b">
        <f>IF(AK132=0,FALSE,IF(COUNTIF(AK$7:AK132,AK132)&gt;1,TRUE,FALSE))</f>
        <v>0</v>
      </c>
      <c r="AM132" s="212">
        <f t="shared" ref="AM132" si="1451">IF(COUNTIF(Y132,"*七種*")&gt;0,0,IF($AD132=AM$6,$E131,0))</f>
        <v>0</v>
      </c>
      <c r="AN132" s="212" t="b">
        <f>IF(AM132=0,FALSE,IF(COUNTIF(AM$7:AM132,AM132)&gt;1,TRUE,FALSE))</f>
        <v>0</v>
      </c>
      <c r="AO132" s="212">
        <f t="shared" ref="AO132" si="1452">IF($AD132=AO$6,$E131,0)</f>
        <v>0</v>
      </c>
      <c r="AP132" s="212" t="b">
        <f>IF(AO132=0,FALSE,IF(COUNTIF(AO$7:AO132,AO132)&gt;1,TRUE,FALSE))</f>
        <v>0</v>
      </c>
      <c r="AQ132" s="212">
        <f t="shared" ref="AQ132" si="1453">IF(COUNTIF(Y132,"*七種競技*")&gt;0,E131,0)</f>
        <v>0</v>
      </c>
      <c r="AR132" s="212" t="b">
        <f t="shared" si="744"/>
        <v>0</v>
      </c>
      <c r="AT132" s="212" t="b">
        <f t="shared" si="757"/>
        <v>0</v>
      </c>
      <c r="AX132" s="274"/>
      <c r="BD132" s="212" t="b">
        <f t="shared" si="731"/>
        <v>0</v>
      </c>
      <c r="BF132" s="212" t="b">
        <f t="shared" ref="BF132" si="1454">IF(J132="",FALSE,IF(OR(AND(AU131,L132=""),AND(AU131,L132="",OR(M132&lt;&gt;"",N132&lt;&gt;"",O132&lt;&gt;"",P132&lt;&gt;""))),TRUE,FALSE))</f>
        <v>0</v>
      </c>
      <c r="BG132" s="212" t="b">
        <f t="shared" si="733"/>
        <v>0</v>
      </c>
      <c r="BH132" s="212" t="b">
        <f t="shared" si="746"/>
        <v>0</v>
      </c>
      <c r="BI132" s="212" t="b">
        <f t="shared" ref="BI132" si="1455">IF(J132="",FALSE,IF(L132=0,FALSE,IF(AND(AU131,NOT(BF132),OR(M132="",N132="",O132="")),TRUE,FALSE)))</f>
        <v>0</v>
      </c>
      <c r="BJ132" s="231" t="b">
        <f t="shared" si="748"/>
        <v>0</v>
      </c>
      <c r="BK132" s="231" t="b">
        <f>IF(NOT(BJ132),FALSE,IF(AND(競技会設定!$C$5&lt;=BJ132,BJ132&lt;=競技会設定!$C$6),FALSE,TRUE))</f>
        <v>0</v>
      </c>
      <c r="BL132" s="212" t="b">
        <f>IF(J132="",FALSE,IF(L132=0,FALSE,IF(AND(AU131,NOT(BF132),NOT(BI132),P132=""),TRUE,FALSE)))</f>
        <v>0</v>
      </c>
    </row>
    <row r="133" spans="1:67" ht="17.399999999999999" customHeight="1">
      <c r="A133" s="462"/>
      <c r="B133" s="374"/>
      <c r="C133" s="376"/>
      <c r="D133" s="160"/>
      <c r="E133" s="452" t="str">
        <f>IF(C131="","",VLOOKUP(D131,女子登録!$A$2:$O$2001,14,0)&amp;" ("&amp;VLOOKUP(D131,女子登録!$A$2:$O$2001,15,0)&amp;")")</f>
        <v/>
      </c>
      <c r="F133" s="453"/>
      <c r="G133" s="160" t="str">
        <f>IF(C131="","",(VLOOKUP(D131,女子登録!$A$2:$N$2001,9,0)))</f>
        <v/>
      </c>
      <c r="H133" s="160"/>
      <c r="I133" s="160" t="s">
        <v>4021</v>
      </c>
      <c r="J133" s="176"/>
      <c r="K133" s="160" t="s">
        <v>6760</v>
      </c>
      <c r="L133" s="176"/>
      <c r="M133" s="264"/>
      <c r="N133" s="265"/>
      <c r="O133" s="266"/>
      <c r="P133" s="175"/>
      <c r="Q133" s="449"/>
      <c r="R133" s="409"/>
      <c r="S133" s="136"/>
      <c r="T133" s="137"/>
      <c r="U133" s="137"/>
      <c r="V133" s="137"/>
      <c r="W133" s="137"/>
      <c r="X133" s="137"/>
      <c r="Y133" s="212">
        <f t="shared" ref="Y133" si="1456">IF(OR(E131="",J133=""),0,J133&amp;E131)</f>
        <v>0</v>
      </c>
      <c r="Z133" s="212">
        <f>IF(Y133=0,0,COUNTIF($Y$7:Y133,Y133))</f>
        <v>0</v>
      </c>
      <c r="AD133" s="212">
        <f>IFERROR(VLOOKUP(J133,競技会設定!$T$2:$W$22,2,0),0)</f>
        <v>0</v>
      </c>
      <c r="AE133" s="212">
        <f t="shared" ref="AE133" si="1457">IF(E131="",0,IF(AD133=0,0,IF(AD133&lt;3,E131&amp;$AE$6,0)))</f>
        <v>0</v>
      </c>
      <c r="AF133" s="212">
        <f>IF(AE133=0,0,E131&amp;COUNTIF($AE$7:AE133,AE133))</f>
        <v>0</v>
      </c>
      <c r="AG133" s="212">
        <f t="shared" ref="AG133" si="1458">IF(E131="",0,IF(AD133=0,0,IF(AD133&gt;=3,E131&amp;$AG$6,0)))</f>
        <v>0</v>
      </c>
      <c r="AH133" s="212">
        <f>IF(AG133=0,0,E131&amp;COUNTIF($AG$7:AG133,AG133))</f>
        <v>0</v>
      </c>
      <c r="AI133" s="212">
        <f t="shared" ref="AI133" si="1459">IF($AD133=AI$6,$E131,0)</f>
        <v>0</v>
      </c>
      <c r="AJ133" s="212" t="b">
        <f>IF(AI133=0,FALSE,IF(COUNTIF(AI$7:AI133,AI133)&gt;1,TRUE,FALSE))</f>
        <v>0</v>
      </c>
      <c r="AK133" s="212">
        <f t="shared" ref="AK133" si="1460">IF($AD133=AK$6,$E131,0)</f>
        <v>0</v>
      </c>
      <c r="AL133" s="212" t="b">
        <f>IF(AK133=0,FALSE,IF(COUNTIF(AK$7:AK133,AK133)&gt;1,TRUE,FALSE))</f>
        <v>0</v>
      </c>
      <c r="AM133" s="212">
        <f t="shared" ref="AM133" si="1461">IF(COUNTIF(Y133,"*七種*")&gt;0,0,IF($AD133=AM$6,$E131,0))</f>
        <v>0</v>
      </c>
      <c r="AN133" s="212" t="b">
        <f>IF(AM133=0,FALSE,IF(COUNTIF(AM$7:AM133,AM133)&gt;1,TRUE,FALSE))</f>
        <v>0</v>
      </c>
      <c r="AO133" s="212">
        <f t="shared" ref="AO133" si="1462">IF($AD133=AO$6,$E131,0)</f>
        <v>0</v>
      </c>
      <c r="AP133" s="212" t="b">
        <f>IF(AO133=0,FALSE,IF(COUNTIF(AO$7:AO133,AO133)&gt;1,TRUE,FALSE))</f>
        <v>0</v>
      </c>
      <c r="AQ133" s="212">
        <f t="shared" ref="AQ133" si="1463">IF(COUNTIF(Y133,"*七種競技*")&gt;0,E131,0)</f>
        <v>0</v>
      </c>
      <c r="AR133" s="212" t="b">
        <f t="shared" si="744"/>
        <v>0</v>
      </c>
      <c r="AT133" s="212" t="b">
        <f t="shared" si="757"/>
        <v>0</v>
      </c>
      <c r="AX133" s="274"/>
      <c r="BD133" s="212" t="b">
        <f t="shared" si="731"/>
        <v>0</v>
      </c>
      <c r="BF133" s="212" t="b">
        <f t="shared" ref="BF133" si="1464">IF(J133="",FALSE,IF(OR(AND(AU131,L133=""),AND(AU131,L133="",OR(M133&lt;&gt;"",N133&lt;&gt;"",O133&lt;&gt;"",P133&lt;&gt;""))),TRUE,FALSE))</f>
        <v>0</v>
      </c>
      <c r="BG133" s="212" t="b">
        <f t="shared" si="733"/>
        <v>0</v>
      </c>
      <c r="BH133" s="212" t="b">
        <f t="shared" si="746"/>
        <v>0</v>
      </c>
      <c r="BI133" s="212" t="b">
        <f t="shared" ref="BI133" si="1465">IF(J133="",FALSE,IF(L133=0,FALSE,IF(AND(AU131,NOT(BF133),OR(M133="",N133="",O133="")),TRUE,FALSE)))</f>
        <v>0</v>
      </c>
      <c r="BJ133" s="231" t="b">
        <f t="shared" si="748"/>
        <v>0</v>
      </c>
      <c r="BK133" s="231" t="b">
        <f>IF(NOT(BJ133),FALSE,IF(AND(競技会設定!$C$5&lt;=BJ133,BJ133&lt;=競技会設定!$C$6),FALSE,TRUE))</f>
        <v>0</v>
      </c>
      <c r="BL133" s="212" t="b">
        <f>IF(J133="",FALSE,IF(L133=0,FALSE,IF(AND(AU131,NOT(BF133),NOT(BI133),P133=""),TRUE,FALSE)))</f>
        <v>0</v>
      </c>
    </row>
    <row r="134" spans="1:67" ht="18" customHeight="1" thickBot="1">
      <c r="A134" s="475"/>
      <c r="B134" s="387" t="s">
        <v>6764</v>
      </c>
      <c r="C134" s="387"/>
      <c r="D134" s="161"/>
      <c r="E134" s="467"/>
      <c r="F134" s="468"/>
      <c r="G134" s="469"/>
      <c r="H134" s="162"/>
      <c r="I134" s="161" t="s">
        <v>6759</v>
      </c>
      <c r="J134" s="177"/>
      <c r="K134" s="161" t="s">
        <v>6761</v>
      </c>
      <c r="L134" s="177"/>
      <c r="M134" s="267"/>
      <c r="N134" s="268"/>
      <c r="O134" s="269"/>
      <c r="P134" s="177"/>
      <c r="Q134" s="466"/>
      <c r="R134" s="410"/>
      <c r="S134" s="136"/>
      <c r="T134" s="137"/>
      <c r="U134" s="137"/>
      <c r="V134" s="137"/>
      <c r="W134" s="137"/>
      <c r="X134" s="137"/>
      <c r="Y134" s="212">
        <f t="shared" ref="Y134" si="1466">IF(OR(E131="",J134=""),0,J134&amp;E131)</f>
        <v>0</v>
      </c>
      <c r="Z134" s="212">
        <f>IF(Y134=0,0,COUNTIF($Y$7:Y134,Y134))</f>
        <v>0</v>
      </c>
      <c r="AD134" s="212">
        <f>IFERROR(VLOOKUP(J134,競技会設定!$T$2:$W$22,2,0),0)</f>
        <v>0</v>
      </c>
      <c r="AE134" s="212">
        <f t="shared" ref="AE134" si="1467">IF(E131="",0,IF(AD134=0,0,IF(AD134&lt;3,E131&amp;$AE$6,0)))</f>
        <v>0</v>
      </c>
      <c r="AF134" s="212">
        <f>IF(AE134=0,0,E131&amp;COUNTIF($AE$7:AE134,AE134))</f>
        <v>0</v>
      </c>
      <c r="AG134" s="212">
        <f t="shared" ref="AG134" si="1468">IF(E131="",0,IF(AD134=0,0,IF(AD134&gt;=3,E131&amp;$AG$6,0)))</f>
        <v>0</v>
      </c>
      <c r="AH134" s="212">
        <f>IF(AG134=0,0,E131&amp;COUNTIF($AG$7:AG134,AG134))</f>
        <v>0</v>
      </c>
      <c r="AI134" s="212">
        <f t="shared" ref="AI134" si="1469">IF($AD134=AI$6,$E131,0)</f>
        <v>0</v>
      </c>
      <c r="AJ134" s="212" t="b">
        <f>IF(AI134=0,FALSE,IF(COUNTIF(AI$7:AI134,AI134)&gt;1,TRUE,FALSE))</f>
        <v>0</v>
      </c>
      <c r="AK134" s="212">
        <f t="shared" ref="AK134" si="1470">IF($AD134=AK$6,$E131,0)</f>
        <v>0</v>
      </c>
      <c r="AL134" s="212" t="b">
        <f>IF(AK134=0,FALSE,IF(COUNTIF(AK$7:AK134,AK134)&gt;1,TRUE,FALSE))</f>
        <v>0</v>
      </c>
      <c r="AM134" s="212">
        <f t="shared" ref="AM134" si="1471">IF(COUNTIF(Y134,"*七種*")&gt;0,0,IF($AD134=AM$6,$E131,0))</f>
        <v>0</v>
      </c>
      <c r="AN134" s="212" t="b">
        <f>IF(AM134=0,FALSE,IF(COUNTIF(AM$7:AM134,AM134)&gt;1,TRUE,FALSE))</f>
        <v>0</v>
      </c>
      <c r="AO134" s="212">
        <f t="shared" ref="AO134" si="1472">IF($AD134=AO$6,$E131,0)</f>
        <v>0</v>
      </c>
      <c r="AP134" s="212" t="b">
        <f>IF(AO134=0,FALSE,IF(COUNTIF(AO$7:AO134,AO134)&gt;1,TRUE,FALSE))</f>
        <v>0</v>
      </c>
      <c r="AQ134" s="212">
        <f t="shared" ref="AQ134" si="1473">IF(COUNTIF(Y134,"*七種競技*")&gt;0,E131,0)</f>
        <v>0</v>
      </c>
      <c r="AR134" s="212" t="b">
        <f t="shared" si="744"/>
        <v>0</v>
      </c>
      <c r="AT134" s="212" t="b">
        <f t="shared" si="757"/>
        <v>0</v>
      </c>
      <c r="AX134" s="274"/>
      <c r="BD134" s="212" t="b">
        <f t="shared" si="731"/>
        <v>0</v>
      </c>
      <c r="BF134" s="212" t="b">
        <f t="shared" ref="BF134" si="1474">IF(J134="",FALSE,IF(OR(AND(AU131,L134=""),AND(AU131,L134="",OR(M134&lt;&gt;"",N134&lt;&gt;"",O134&lt;&gt;"",P134&lt;&gt;""))),TRUE,FALSE))</f>
        <v>0</v>
      </c>
      <c r="BG134" s="212" t="b">
        <f t="shared" si="733"/>
        <v>0</v>
      </c>
      <c r="BH134" s="212" t="b">
        <f t="shared" si="746"/>
        <v>0</v>
      </c>
      <c r="BI134" s="212" t="b">
        <f t="shared" ref="BI134" si="1475">IF(J134="",FALSE,IF(L134=0,FALSE,IF(AND(AU131,NOT(BF134),OR(M134="",N134="",O134="")),TRUE,FALSE)))</f>
        <v>0</v>
      </c>
      <c r="BJ134" s="231" t="b">
        <f t="shared" si="748"/>
        <v>0</v>
      </c>
      <c r="BK134" s="231" t="b">
        <f>IF(NOT(BJ134),FALSE,IF(AND(競技会設定!$C$5&lt;=BJ134,BJ134&lt;=競技会設定!$C$6),FALSE,TRUE))</f>
        <v>0</v>
      </c>
      <c r="BL134" s="212" t="b">
        <f>IF(J134="",FALSE,IF(L134=0,FALSE,IF(AND(AU131,NOT(BF134),NOT(BI134),P134=""),TRUE,FALSE)))</f>
        <v>0</v>
      </c>
    </row>
    <row r="135" spans="1:67" ht="18" customHeight="1" thickTop="1">
      <c r="A135" s="470">
        <v>33</v>
      </c>
      <c r="B135" s="401" t="s">
        <v>4018</v>
      </c>
      <c r="C135" s="403"/>
      <c r="D135" s="156" t="str">
        <f t="shared" ref="D135" si="1476">IF(C135="","",502&amp;TEXT(C135,"000000"))</f>
        <v/>
      </c>
      <c r="E135" s="473" t="str">
        <f>IF(D135="","",(VLOOKUP(D135,女子登録!$A$2:$N$2001,3,0)))</f>
        <v/>
      </c>
      <c r="F135" s="473" t="str">
        <f>IF(D135="","",(VLOOKUP(D135,女子登録!$A$2:$N$2001,4,0)))</f>
        <v/>
      </c>
      <c r="G135" s="156" t="str">
        <f>IF(C135="","",(VLOOKUP(D135,女子登録!$A$2:$N$2001,8,0)))</f>
        <v/>
      </c>
      <c r="H135" s="156">
        <f>IFERROR(VLOOKUP(D135,女子登録!$A$2:$N$2001,11,0),基本情報!$E$5)</f>
        <v>0</v>
      </c>
      <c r="I135" s="156" t="s">
        <v>4019</v>
      </c>
      <c r="J135" s="170"/>
      <c r="K135" s="156" t="s">
        <v>4022</v>
      </c>
      <c r="L135" s="170"/>
      <c r="M135" s="252"/>
      <c r="N135" s="253"/>
      <c r="O135" s="254"/>
      <c r="P135" s="170"/>
      <c r="Q135" s="457"/>
      <c r="R135" s="414"/>
      <c r="S135" s="136">
        <f t="shared" ref="S135" si="1477">IF(OR(E135="",Q135=""),0,E135)</f>
        <v>0</v>
      </c>
      <c r="T135" s="137">
        <f>IF(S135=0,0,COUNTIF($S$7:S135,"*"))</f>
        <v>0</v>
      </c>
      <c r="U135" s="137">
        <f>IF(S135=0,0,COUNTIF($S$7:S135,S135))</f>
        <v>0</v>
      </c>
      <c r="V135" s="137">
        <f t="shared" si="960"/>
        <v>0</v>
      </c>
      <c r="W135" s="137">
        <f>IF(V135=0,0,COUNTIF($V$7:V135,"*"))</f>
        <v>0</v>
      </c>
      <c r="X135" s="137">
        <f>IF(V135=0,0,COUNTIF($V$7:V135,V135))</f>
        <v>0</v>
      </c>
      <c r="Y135" s="212">
        <f t="shared" ref="Y135" si="1478">IF(OR(E135="",J135=""),0,J135&amp;E135)</f>
        <v>0</v>
      </c>
      <c r="Z135" s="212">
        <f>IF(Y135=0,0,COUNTIF($Y$7:Y135,Y135))</f>
        <v>0</v>
      </c>
      <c r="AA135" s="212" t="b">
        <f>IF(COUNTIF(J135:J138,"七種競技")&gt;0,TRUE,FALSE)</f>
        <v>0</v>
      </c>
      <c r="AB135" s="212">
        <f>IF(E135="",0,IF(AA135,COUNTIF($AA$7:AA135,TRUE),0))</f>
        <v>0</v>
      </c>
      <c r="AC135" s="212">
        <f>IFERROR(VLOOKUP("七種競技",J135:L138,3,0),0)</f>
        <v>0</v>
      </c>
      <c r="AD135" s="212">
        <f>IFERROR(VLOOKUP(J135,競技会設定!$T$2:$W$22,2,0),0)</f>
        <v>0</v>
      </c>
      <c r="AE135" s="212">
        <f t="shared" ref="AE135" si="1479">IF(E135="",0,IF(AD135=0,0,IF(AD135&lt;3,E135&amp;$AE$6,0)))</f>
        <v>0</v>
      </c>
      <c r="AF135" s="212">
        <f>IF(AE135=0,0,E135&amp;COUNTIF($AE$7:AE135,AE135))</f>
        <v>0</v>
      </c>
      <c r="AG135" s="212">
        <f t="shared" ref="AG135" si="1480">IF(E135="",0,IF(AD135=0,0,IF(AD135&gt;=3,E135&amp;$AG$6,0)))</f>
        <v>0</v>
      </c>
      <c r="AH135" s="212">
        <f>IF(AG135=0,0,E135&amp;COUNTIF($AG$7:AG135,AG135))</f>
        <v>0</v>
      </c>
      <c r="AI135" s="212">
        <f t="shared" ref="AI135" si="1481">IF($AD135=AI$6,$E135,0)</f>
        <v>0</v>
      </c>
      <c r="AJ135" s="212" t="b">
        <f>IF(AI135=0,FALSE,IF(COUNTIF(AI$7:AI135,AI135)&gt;1,TRUE,FALSE))</f>
        <v>0</v>
      </c>
      <c r="AK135" s="212">
        <f t="shared" ref="AK135" si="1482">IF($AD135=AK$6,$E135,0)</f>
        <v>0</v>
      </c>
      <c r="AL135" s="212" t="b">
        <f>IF(AK135=0,FALSE,IF(COUNTIF(AK$7:AK135,AK135)&gt;1,TRUE,FALSE))</f>
        <v>0</v>
      </c>
      <c r="AM135" s="212">
        <f t="shared" ref="AM135" si="1483">IF(COUNTIF(Y135,"*七種*")&gt;0,0,IF($AD135=AM$6,$E135,0))</f>
        <v>0</v>
      </c>
      <c r="AN135" s="212" t="b">
        <f>IF(AM135=0,FALSE,IF(COUNTIF(AM$7:AM135,AM135)&gt;1,TRUE,FALSE))</f>
        <v>0</v>
      </c>
      <c r="AO135" s="212">
        <f t="shared" ref="AO135" si="1484">IF($AD135=AO$6,$E135,0)</f>
        <v>0</v>
      </c>
      <c r="AP135" s="212" t="b">
        <f>IF(AO135=0,FALSE,IF(COUNTIF(AO$7:AO135,AO135)&gt;1,TRUE,FALSE))</f>
        <v>0</v>
      </c>
      <c r="AQ135" s="212">
        <f t="shared" ref="AQ135" si="1485">IF(COUNTIF(Y135,"*七種競技*")&gt;0,E135,0)</f>
        <v>0</v>
      </c>
      <c r="AR135" s="212" t="b">
        <f t="shared" si="744"/>
        <v>0</v>
      </c>
      <c r="AS135" s="212" t="b">
        <f t="shared" ref="AS135" si="1486">IF(AND(C135="",E135&lt;&gt;"",F135&lt;&gt;"",E137&lt;&gt;"",G135&lt;&gt;"",G136&lt;&gt;"",G137&lt;&gt;""),TRUE,FALSE)</f>
        <v>0</v>
      </c>
      <c r="AT135" s="212" t="b">
        <f t="shared" si="757"/>
        <v>0</v>
      </c>
      <c r="AU135" s="212" t="b">
        <f>IFERROR(IF(E135&amp;F135&amp;E137&amp;G135&amp;G136&amp;G137&amp;J135&amp;J136&amp;J137&amp;J138&amp;L135&amp;L136&amp;L137&amp;L138&amp;M135&amp;M136&amp;M137&amp;M138&amp;P135&amp;P136&amp;P137&amp;P138&amp;Q135&amp;R135="",FALSE,TRUE),FALSE)</f>
        <v>0</v>
      </c>
      <c r="AV135" s="212" t="b">
        <f t="shared" ref="AV135" si="1487">IF(AS135,FALSE,IF(C135="",AU135,FALSE))</f>
        <v>0</v>
      </c>
      <c r="AW135" s="212" t="b">
        <f t="shared" ref="AW135" si="1488">IF(C135="",FALSE,IF(C135&lt;=2000,TRUE,FALSE))</f>
        <v>0</v>
      </c>
      <c r="AX135" s="274" t="b">
        <f>IF(H135=0,FALSE,IF(EXACT(基本情報!$E$5,H135)=TRUE,FALSE,TRUE))</f>
        <v>0</v>
      </c>
      <c r="AY135" s="212" t="b">
        <f>IF(C135="",FALSE,IF(ISNA(E135)=TRUE,TRUE,FALSE))</f>
        <v>0</v>
      </c>
      <c r="AZ135" s="274" t="b">
        <f>IFERROR(IF(E135="",FALSE,IF(COUNTIF($E$7:E135,E135)&gt;1,TRUE,FALSE)),FALSE)</f>
        <v>0</v>
      </c>
      <c r="BA135" s="212" t="b">
        <f t="shared" ref="BA135" si="1489">IF(OR(J135&amp;J136&amp;J137&amp;J138&amp;Q135&amp;R135="",AT135,AT136,AT137,AT138),AU135,FALSE)</f>
        <v>0</v>
      </c>
      <c r="BB135" s="212" t="b">
        <f>IF(U135&gt;1,TRUE,FALSE)</f>
        <v>0</v>
      </c>
      <c r="BC135" s="212" t="b">
        <f>IF(X135&gt;1,TRUE,FALSE)</f>
        <v>0</v>
      </c>
      <c r="BD135" s="212" t="b">
        <f t="shared" ref="BD135:BD198" si="1490">IF(Z135&gt;1,TRUE,FALSE)</f>
        <v>0</v>
      </c>
      <c r="BF135" s="212" t="b">
        <f t="shared" ref="BF135" si="1491">IF(J135="",FALSE,IF(OR(AND(AU135,L135=""),AND(AU135,L135="",OR(M135&lt;&gt;"",N135&lt;&gt;"",O135&lt;&gt;"",P135&lt;&gt;""))),TRUE,FALSE))</f>
        <v>0</v>
      </c>
      <c r="BG135" s="212" t="b">
        <f t="shared" ref="BG135:BG198" si="1492">IF(J135="",FALSE,IF(ISNUMBER(L135)&lt;&gt;TRUE,TRUE,IFERROR(IF(MOD(L135,1)=0,FALSE,TRUE),FALSE)))</f>
        <v>0</v>
      </c>
      <c r="BH135" s="212" t="b">
        <f t="shared" si="746"/>
        <v>0</v>
      </c>
      <c r="BI135" s="212" t="b">
        <f t="shared" ref="BI135" si="1493">IF(J135="",FALSE,IF(L135=0,FALSE,IF(AND(AU135,NOT(BF135),OR(M135="",N135="",O135="")),TRUE,FALSE)))</f>
        <v>0</v>
      </c>
      <c r="BJ135" s="231" t="b">
        <f t="shared" si="748"/>
        <v>0</v>
      </c>
      <c r="BK135" s="231" t="b">
        <f>IF(NOT(BJ135),FALSE,IF(AND(競技会設定!$C$5&lt;=BJ135,BJ135&lt;=競技会設定!$C$6),FALSE,TRUE))</f>
        <v>0</v>
      </c>
      <c r="BL135" s="212" t="b">
        <f>IF(J135="",FALSE,IF(L135=0,FALSE,IF(AND(AU135,NOT(BF135),NOT(BI135),P135=""),TRUE,FALSE)))</f>
        <v>0</v>
      </c>
      <c r="BO135" s="274">
        <f t="shared" ref="BO135" si="1494">IF(AND(AU135,SUM(COUNTIF(AV135:BC135,TRUE),COUNTIF(BF135:BL138,TRUE),COUNTIF(BD135:BD138,TRUE))=0,NOT($BE$7)),1,0)</f>
        <v>0</v>
      </c>
    </row>
    <row r="136" spans="1:67" ht="17.399999999999999" customHeight="1">
      <c r="A136" s="471"/>
      <c r="B136" s="402"/>
      <c r="C136" s="404"/>
      <c r="D136" s="11"/>
      <c r="E136" s="474"/>
      <c r="F136" s="474"/>
      <c r="G136" s="11" t="str">
        <f>IF(C135="","",(VLOOKUP(D135,女子登録!$A$2:$N$2001,13,0)))</f>
        <v/>
      </c>
      <c r="H136" s="11"/>
      <c r="I136" s="11" t="s">
        <v>4020</v>
      </c>
      <c r="J136" s="171"/>
      <c r="K136" s="11" t="s">
        <v>4023</v>
      </c>
      <c r="L136" s="171"/>
      <c r="M136" s="255"/>
      <c r="N136" s="256"/>
      <c r="O136" s="257"/>
      <c r="P136" s="171"/>
      <c r="Q136" s="458"/>
      <c r="R136" s="415"/>
      <c r="S136" s="136"/>
      <c r="T136" s="137"/>
      <c r="U136" s="137"/>
      <c r="V136" s="137"/>
      <c r="W136" s="137"/>
      <c r="X136" s="137"/>
      <c r="Y136" s="212">
        <f t="shared" ref="Y136" si="1495">IF(OR(E135="",J136=""),0,J136&amp;E135)</f>
        <v>0</v>
      </c>
      <c r="Z136" s="212">
        <f>IF(Y136=0,0,COUNTIF($Y$7:Y136,Y136))</f>
        <v>0</v>
      </c>
      <c r="AD136" s="212">
        <f>IFERROR(VLOOKUP(J136,競技会設定!$T$2:$W$22,2,0),0)</f>
        <v>0</v>
      </c>
      <c r="AE136" s="212">
        <f t="shared" ref="AE136" si="1496">IF(E135="",0,IF(AD136=0,0,IF(AD136&lt;3,E135&amp;$AE$6,0)))</f>
        <v>0</v>
      </c>
      <c r="AF136" s="212">
        <f>IF(AE136=0,0,E135&amp;COUNTIF($AE$7:AE136,AE136))</f>
        <v>0</v>
      </c>
      <c r="AG136" s="212">
        <f t="shared" ref="AG136" si="1497">IF(E135="",0,IF(AD136=0,0,IF(AD136&gt;=3,E135&amp;$AG$6,0)))</f>
        <v>0</v>
      </c>
      <c r="AH136" s="212">
        <f>IF(AG136=0,0,E135&amp;COUNTIF($AG$7:AG136,AG136))</f>
        <v>0</v>
      </c>
      <c r="AI136" s="212">
        <f t="shared" ref="AI136" si="1498">IF($AD136=AI$6,$E135,0)</f>
        <v>0</v>
      </c>
      <c r="AJ136" s="212" t="b">
        <f>IF(AI136=0,FALSE,IF(COUNTIF(AI$7:AI136,AI136)&gt;1,TRUE,FALSE))</f>
        <v>0</v>
      </c>
      <c r="AK136" s="212">
        <f t="shared" ref="AK136" si="1499">IF($AD136=AK$6,$E135,0)</f>
        <v>0</v>
      </c>
      <c r="AL136" s="212" t="b">
        <f>IF(AK136=0,FALSE,IF(COUNTIF(AK$7:AK136,AK136)&gt;1,TRUE,FALSE))</f>
        <v>0</v>
      </c>
      <c r="AM136" s="212">
        <f t="shared" ref="AM136" si="1500">IF(COUNTIF(Y136,"*七種*")&gt;0,0,IF($AD136=AM$6,$E135,0))</f>
        <v>0</v>
      </c>
      <c r="AN136" s="212" t="b">
        <f>IF(AM136=0,FALSE,IF(COUNTIF(AM$7:AM136,AM136)&gt;1,TRUE,FALSE))</f>
        <v>0</v>
      </c>
      <c r="AO136" s="212">
        <f t="shared" ref="AO136" si="1501">IF($AD136=AO$6,$E135,0)</f>
        <v>0</v>
      </c>
      <c r="AP136" s="212" t="b">
        <f>IF(AO136=0,FALSE,IF(COUNTIF(AO$7:AO136,AO136)&gt;1,TRUE,FALSE))</f>
        <v>0</v>
      </c>
      <c r="AQ136" s="212">
        <f t="shared" ref="AQ136" si="1502">IF(COUNTIF(Y136,"*七種競技*")&gt;0,E135,0)</f>
        <v>0</v>
      </c>
      <c r="AR136" s="212" t="b">
        <f t="shared" ref="AR136:AR199" si="1503">IF(AQ136=0,FALSE,IF(OR(COUNTIF($AM$7:$AM$406,AQ136)+COUNTIF($AQ$7:$AQ$406,AQ136)&gt;1,COUNTIF($AO$7:$AO$406,AQ136)+COUNTIF($AQ$7:$AQ$406,AQ136)&gt;1),TRUE,FALSE))</f>
        <v>0</v>
      </c>
      <c r="AT136" s="212" t="b">
        <f t="shared" si="757"/>
        <v>0</v>
      </c>
      <c r="AX136" s="274"/>
      <c r="BD136" s="212" t="b">
        <f t="shared" si="1490"/>
        <v>0</v>
      </c>
      <c r="BF136" s="212" t="b">
        <f t="shared" ref="BF136" si="1504">IF(J136="",FALSE,IF(OR(AND(AU135,L136=""),AND(AU135,L136="",OR(M136&lt;&gt;"",N136&lt;&gt;"",O136&lt;&gt;"",P136&lt;&gt;""))),TRUE,FALSE))</f>
        <v>0</v>
      </c>
      <c r="BG136" s="212" t="b">
        <f t="shared" si="1492"/>
        <v>0</v>
      </c>
      <c r="BH136" s="212" t="b">
        <f t="shared" ref="BH136:BH199" si="1505">IF(COUNTIF(J136,"*m*")=0,FALSE,IF(VALUE(RIGHT(INT(L136/100),2))&gt;59,TRUE,IF(VALUE(RIGHT(INT(L136/10000),2))&gt;59,TRUE,FALSE)))</f>
        <v>0</v>
      </c>
      <c r="BI136" s="212" t="b">
        <f t="shared" ref="BI136" si="1506">IF(J136="",FALSE,IF(L136=0,FALSE,IF(AND(AU135,NOT(BF136),OR(M136="",N136="",O136="")),TRUE,FALSE)))</f>
        <v>0</v>
      </c>
      <c r="BJ136" s="231" t="b">
        <f t="shared" ref="BJ136:BJ199" si="1507">IF(OR(M136="",N136="",O136=""),FALSE,DATE(M136,N136,O136))</f>
        <v>0</v>
      </c>
      <c r="BK136" s="231" t="b">
        <f>IF(NOT(BJ136),FALSE,IF(AND(競技会設定!$C$5&lt;=BJ136,BJ136&lt;=競技会設定!$C$6),FALSE,TRUE))</f>
        <v>0</v>
      </c>
      <c r="BL136" s="212" t="b">
        <f>IF(J136="",FALSE,IF(L136=0,FALSE,IF(AND(AU135,NOT(BF136),NOT(BI136),P136=""),TRUE,FALSE)))</f>
        <v>0</v>
      </c>
    </row>
    <row r="137" spans="1:67" ht="17.399999999999999" customHeight="1">
      <c r="A137" s="471"/>
      <c r="B137" s="402"/>
      <c r="C137" s="404"/>
      <c r="D137" s="11"/>
      <c r="E137" s="348" t="str">
        <f>IF(C135="","",VLOOKUP(D135,女子登録!$A$2:$O$2001,14,0)&amp;" ("&amp;VLOOKUP(D135,女子登録!$A$2:$O$2001,15,0)&amp;")")</f>
        <v/>
      </c>
      <c r="F137" s="348"/>
      <c r="G137" s="13" t="str">
        <f>IF(C135="","",(VLOOKUP(D135,女子登録!$A$2:$N$2001,9,0)))</f>
        <v/>
      </c>
      <c r="H137" s="13"/>
      <c r="I137" s="13" t="s">
        <v>4021</v>
      </c>
      <c r="J137" s="172"/>
      <c r="K137" s="13" t="s">
        <v>6760</v>
      </c>
      <c r="L137" s="172"/>
      <c r="M137" s="255"/>
      <c r="N137" s="256"/>
      <c r="O137" s="257"/>
      <c r="P137" s="171"/>
      <c r="Q137" s="458"/>
      <c r="R137" s="415"/>
      <c r="S137" s="136"/>
      <c r="T137" s="137"/>
      <c r="U137" s="137"/>
      <c r="V137" s="137"/>
      <c r="W137" s="137"/>
      <c r="X137" s="137"/>
      <c r="Y137" s="212">
        <f t="shared" ref="Y137" si="1508">IF(OR(E135="",J137=""),0,J137&amp;E135)</f>
        <v>0</v>
      </c>
      <c r="Z137" s="212">
        <f>IF(Y137=0,0,COUNTIF($Y$7:Y137,Y137))</f>
        <v>0</v>
      </c>
      <c r="AD137" s="212">
        <f>IFERROR(VLOOKUP(J137,競技会設定!$T$2:$W$22,2,0),0)</f>
        <v>0</v>
      </c>
      <c r="AE137" s="212">
        <f t="shared" ref="AE137" si="1509">IF(E135="",0,IF(AD137=0,0,IF(AD137&lt;3,E135&amp;$AE$6,0)))</f>
        <v>0</v>
      </c>
      <c r="AF137" s="212">
        <f>IF(AE137=0,0,E135&amp;COUNTIF($AE$7:AE137,AE137))</f>
        <v>0</v>
      </c>
      <c r="AG137" s="212">
        <f t="shared" ref="AG137" si="1510">IF(E135="",0,IF(AD137=0,0,IF(AD137&gt;=3,E135&amp;$AG$6,0)))</f>
        <v>0</v>
      </c>
      <c r="AH137" s="212">
        <f>IF(AG137=0,0,E135&amp;COUNTIF($AG$7:AG137,AG137))</f>
        <v>0</v>
      </c>
      <c r="AI137" s="212">
        <f t="shared" ref="AI137" si="1511">IF($AD137=AI$6,$E135,0)</f>
        <v>0</v>
      </c>
      <c r="AJ137" s="212" t="b">
        <f>IF(AI137=0,FALSE,IF(COUNTIF(AI$7:AI137,AI137)&gt;1,TRUE,FALSE))</f>
        <v>0</v>
      </c>
      <c r="AK137" s="212">
        <f t="shared" ref="AK137" si="1512">IF($AD137=AK$6,$E135,0)</f>
        <v>0</v>
      </c>
      <c r="AL137" s="212" t="b">
        <f>IF(AK137=0,FALSE,IF(COUNTIF(AK$7:AK137,AK137)&gt;1,TRUE,FALSE))</f>
        <v>0</v>
      </c>
      <c r="AM137" s="212">
        <f t="shared" ref="AM137" si="1513">IF(COUNTIF(Y137,"*七種*")&gt;0,0,IF($AD137=AM$6,$E135,0))</f>
        <v>0</v>
      </c>
      <c r="AN137" s="212" t="b">
        <f>IF(AM137=0,FALSE,IF(COUNTIF(AM$7:AM137,AM137)&gt;1,TRUE,FALSE))</f>
        <v>0</v>
      </c>
      <c r="AO137" s="212">
        <f t="shared" ref="AO137" si="1514">IF($AD137=AO$6,$E135,0)</f>
        <v>0</v>
      </c>
      <c r="AP137" s="212" t="b">
        <f>IF(AO137=0,FALSE,IF(COUNTIF(AO$7:AO137,AO137)&gt;1,TRUE,FALSE))</f>
        <v>0</v>
      </c>
      <c r="AQ137" s="212">
        <f t="shared" ref="AQ137" si="1515">IF(COUNTIF(Y137,"*七種競技*")&gt;0,E135,0)</f>
        <v>0</v>
      </c>
      <c r="AR137" s="212" t="b">
        <f t="shared" si="1503"/>
        <v>0</v>
      </c>
      <c r="AT137" s="212" t="b">
        <f t="shared" ref="AT137:AT200" si="1516">IF(AND(J137="",OR(L137&lt;&gt;"",M137&lt;&gt;"",P137&lt;&gt;"")),TRUE,FALSE)</f>
        <v>0</v>
      </c>
      <c r="AX137" s="274"/>
      <c r="BD137" s="212" t="b">
        <f t="shared" si="1490"/>
        <v>0</v>
      </c>
      <c r="BF137" s="212" t="b">
        <f t="shared" ref="BF137" si="1517">IF(J137="",FALSE,IF(OR(AND(AU135,L137=""),AND(AU135,L137="",OR(M137&lt;&gt;"",N137&lt;&gt;"",O137&lt;&gt;"",P137&lt;&gt;""))),TRUE,FALSE))</f>
        <v>0</v>
      </c>
      <c r="BG137" s="212" t="b">
        <f t="shared" si="1492"/>
        <v>0</v>
      </c>
      <c r="BH137" s="212" t="b">
        <f t="shared" si="1505"/>
        <v>0</v>
      </c>
      <c r="BI137" s="212" t="b">
        <f t="shared" ref="BI137" si="1518">IF(J137="",FALSE,IF(L137=0,FALSE,IF(AND(AU135,NOT(BF137),OR(M137="",N137="",O137="")),TRUE,FALSE)))</f>
        <v>0</v>
      </c>
      <c r="BJ137" s="231" t="b">
        <f t="shared" si="1507"/>
        <v>0</v>
      </c>
      <c r="BK137" s="231" t="b">
        <f>IF(NOT(BJ137),FALSE,IF(AND(競技会設定!$C$5&lt;=BJ137,BJ137&lt;=競技会設定!$C$6),FALSE,TRUE))</f>
        <v>0</v>
      </c>
      <c r="BL137" s="212" t="b">
        <f>IF(J137="",FALSE,IF(L137=0,FALSE,IF(AND(AU135,NOT(BF137),NOT(BI137),P137=""),TRUE,FALSE)))</f>
        <v>0</v>
      </c>
    </row>
    <row r="138" spans="1:67" ht="18" customHeight="1" thickBot="1">
      <c r="A138" s="472"/>
      <c r="B138" s="395" t="s">
        <v>6764</v>
      </c>
      <c r="C138" s="395"/>
      <c r="D138" s="11"/>
      <c r="E138" s="460"/>
      <c r="F138" s="460"/>
      <c r="G138" s="460"/>
      <c r="H138" s="157"/>
      <c r="I138" s="157" t="s">
        <v>6759</v>
      </c>
      <c r="J138" s="173"/>
      <c r="K138" s="157" t="s">
        <v>6761</v>
      </c>
      <c r="L138" s="173"/>
      <c r="M138" s="258"/>
      <c r="N138" s="259"/>
      <c r="O138" s="260"/>
      <c r="P138" s="173"/>
      <c r="Q138" s="459"/>
      <c r="R138" s="416"/>
      <c r="S138" s="136"/>
      <c r="T138" s="137"/>
      <c r="U138" s="137"/>
      <c r="V138" s="137"/>
      <c r="W138" s="137"/>
      <c r="X138" s="137"/>
      <c r="Y138" s="212">
        <f t="shared" ref="Y138" si="1519">IF(OR(E135="",J138=""),0,J138&amp;E135)</f>
        <v>0</v>
      </c>
      <c r="Z138" s="212">
        <f>IF(Y138=0,0,COUNTIF($Y$7:Y138,Y138))</f>
        <v>0</v>
      </c>
      <c r="AD138" s="212">
        <f>IFERROR(VLOOKUP(J138,競技会設定!$T$2:$W$22,2,0),0)</f>
        <v>0</v>
      </c>
      <c r="AE138" s="212">
        <f t="shared" ref="AE138" si="1520">IF(E135="",0,IF(AD138=0,0,IF(AD138&lt;3,E135&amp;$AE$6,0)))</f>
        <v>0</v>
      </c>
      <c r="AF138" s="212">
        <f>IF(AE138=0,0,E135&amp;COUNTIF($AE$7:AE138,AE138))</f>
        <v>0</v>
      </c>
      <c r="AG138" s="212">
        <f t="shared" ref="AG138" si="1521">IF(E135="",0,IF(AD138=0,0,IF(AD138&gt;=3,E135&amp;$AG$6,0)))</f>
        <v>0</v>
      </c>
      <c r="AH138" s="212">
        <f>IF(AG138=0,0,E135&amp;COUNTIF($AG$7:AG138,AG138))</f>
        <v>0</v>
      </c>
      <c r="AI138" s="212">
        <f t="shared" ref="AI138" si="1522">IF($AD138=AI$6,$E135,0)</f>
        <v>0</v>
      </c>
      <c r="AJ138" s="212" t="b">
        <f>IF(AI138=0,FALSE,IF(COUNTIF(AI$7:AI138,AI138)&gt;1,TRUE,FALSE))</f>
        <v>0</v>
      </c>
      <c r="AK138" s="212">
        <f t="shared" ref="AK138" si="1523">IF($AD138=AK$6,$E135,0)</f>
        <v>0</v>
      </c>
      <c r="AL138" s="212" t="b">
        <f>IF(AK138=0,FALSE,IF(COUNTIF(AK$7:AK138,AK138)&gt;1,TRUE,FALSE))</f>
        <v>0</v>
      </c>
      <c r="AM138" s="212">
        <f t="shared" ref="AM138" si="1524">IF(COUNTIF(Y138,"*七種*")&gt;0,0,IF($AD138=AM$6,$E135,0))</f>
        <v>0</v>
      </c>
      <c r="AN138" s="212" t="b">
        <f>IF(AM138=0,FALSE,IF(COUNTIF(AM$7:AM138,AM138)&gt;1,TRUE,FALSE))</f>
        <v>0</v>
      </c>
      <c r="AO138" s="212">
        <f t="shared" ref="AO138" si="1525">IF($AD138=AO$6,$E135,0)</f>
        <v>0</v>
      </c>
      <c r="AP138" s="212" t="b">
        <f>IF(AO138=0,FALSE,IF(COUNTIF(AO$7:AO138,AO138)&gt;1,TRUE,FALSE))</f>
        <v>0</v>
      </c>
      <c r="AQ138" s="212">
        <f t="shared" ref="AQ138" si="1526">IF(COUNTIF(Y138,"*七種競技*")&gt;0,E135,0)</f>
        <v>0</v>
      </c>
      <c r="AR138" s="212" t="b">
        <f t="shared" si="1503"/>
        <v>0</v>
      </c>
      <c r="AT138" s="212" t="b">
        <f t="shared" si="1516"/>
        <v>0</v>
      </c>
      <c r="AX138" s="274"/>
      <c r="BD138" s="212" t="b">
        <f t="shared" si="1490"/>
        <v>0</v>
      </c>
      <c r="BF138" s="212" t="b">
        <f t="shared" ref="BF138" si="1527">IF(J138="",FALSE,IF(OR(AND(AU135,L138=""),AND(AU135,L138="",OR(M138&lt;&gt;"",N138&lt;&gt;"",O138&lt;&gt;"",P138&lt;&gt;""))),TRUE,FALSE))</f>
        <v>0</v>
      </c>
      <c r="BG138" s="212" t="b">
        <f t="shared" si="1492"/>
        <v>0</v>
      </c>
      <c r="BH138" s="212" t="b">
        <f t="shared" si="1505"/>
        <v>0</v>
      </c>
      <c r="BI138" s="212" t="b">
        <f t="shared" ref="BI138" si="1528">IF(J138="",FALSE,IF(L138=0,FALSE,IF(AND(AU135,NOT(BF138),OR(M138="",N138="",O138="")),TRUE,FALSE)))</f>
        <v>0</v>
      </c>
      <c r="BJ138" s="231" t="b">
        <f t="shared" si="1507"/>
        <v>0</v>
      </c>
      <c r="BK138" s="231" t="b">
        <f>IF(NOT(BJ138),FALSE,IF(AND(競技会設定!$C$5&lt;=BJ138,BJ138&lt;=競技会設定!$C$6),FALSE,TRUE))</f>
        <v>0</v>
      </c>
      <c r="BL138" s="212" t="b">
        <f>IF(J138="",FALSE,IF(L138=0,FALSE,IF(AND(AU135,NOT(BF138),NOT(BI138),P138=""),TRUE,FALSE)))</f>
        <v>0</v>
      </c>
    </row>
    <row r="139" spans="1:67" ht="18" customHeight="1" thickTop="1">
      <c r="A139" s="461">
        <v>34</v>
      </c>
      <c r="B139" s="373" t="s">
        <v>4018</v>
      </c>
      <c r="C139" s="375"/>
      <c r="D139" s="158" t="str">
        <f t="shared" ref="D139" si="1529">IF(C139="","",502&amp;TEXT(C139,"000000"))</f>
        <v/>
      </c>
      <c r="E139" s="464" t="str">
        <f>IF(D139="","",(VLOOKUP(D139,女子登録!$A$2:$N$2001,3,0)))</f>
        <v/>
      </c>
      <c r="F139" s="464" t="str">
        <f>IF(D139="","",(VLOOKUP(D139,女子登録!$A$2:$N$2001,4,0)))</f>
        <v/>
      </c>
      <c r="G139" s="158" t="str">
        <f>IF(C139="","",(VLOOKUP(D139,女子登録!$A$2:$N$2001,8,0)))</f>
        <v/>
      </c>
      <c r="H139" s="158">
        <f>IFERROR(VLOOKUP(D139,女子登録!$A$2:$N$2001,11,0),基本情報!$E$5)</f>
        <v>0</v>
      </c>
      <c r="I139" s="158" t="s">
        <v>4019</v>
      </c>
      <c r="J139" s="174"/>
      <c r="K139" s="158" t="s">
        <v>4022</v>
      </c>
      <c r="L139" s="174"/>
      <c r="M139" s="261"/>
      <c r="N139" s="262"/>
      <c r="O139" s="263"/>
      <c r="P139" s="174"/>
      <c r="Q139" s="448"/>
      <c r="R139" s="408"/>
      <c r="S139" s="136">
        <f t="shared" ref="S139" si="1530">IF(OR(E139="",Q139=""),0,E139)</f>
        <v>0</v>
      </c>
      <c r="T139" s="137">
        <f>IF(S139=0,0,COUNTIF($S$7:S139,"*"))</f>
        <v>0</v>
      </c>
      <c r="U139" s="137">
        <f>IF(S139=0,0,COUNTIF($S$7:S139,S139))</f>
        <v>0</v>
      </c>
      <c r="V139" s="137">
        <f t="shared" si="960"/>
        <v>0</v>
      </c>
      <c r="W139" s="137">
        <f>IF(V139=0,0,COUNTIF($V$7:V139,"*"))</f>
        <v>0</v>
      </c>
      <c r="X139" s="137">
        <f>IF(V139=0,0,COUNTIF($V$7:V139,V139))</f>
        <v>0</v>
      </c>
      <c r="Y139" s="212">
        <f t="shared" ref="Y139" si="1531">IF(OR(E139="",J139=""),0,J139&amp;E139)</f>
        <v>0</v>
      </c>
      <c r="Z139" s="212">
        <f>IF(Y139=0,0,COUNTIF($Y$7:Y139,Y139))</f>
        <v>0</v>
      </c>
      <c r="AA139" s="212" t="b">
        <f>IF(COUNTIF(J139:J142,"七種競技")&gt;0,TRUE,FALSE)</f>
        <v>0</v>
      </c>
      <c r="AB139" s="212">
        <f>IF(E139="",0,IF(AA139,COUNTIF($AA$7:AA139,TRUE),0))</f>
        <v>0</v>
      </c>
      <c r="AC139" s="212">
        <f>IFERROR(VLOOKUP("七種競技",J139:L142,3,0),0)</f>
        <v>0</v>
      </c>
      <c r="AD139" s="212">
        <f>IFERROR(VLOOKUP(J139,競技会設定!$T$2:$W$22,2,0),0)</f>
        <v>0</v>
      </c>
      <c r="AE139" s="212">
        <f t="shared" ref="AE139" si="1532">IF(E139="",0,IF(AD139=0,0,IF(AD139&lt;3,E139&amp;$AE$6,0)))</f>
        <v>0</v>
      </c>
      <c r="AF139" s="212">
        <f>IF(AE139=0,0,E139&amp;COUNTIF($AE$7:AE139,AE139))</f>
        <v>0</v>
      </c>
      <c r="AG139" s="212">
        <f t="shared" ref="AG139" si="1533">IF(E139="",0,IF(AD139=0,0,IF(AD139&gt;=3,E139&amp;$AG$6,0)))</f>
        <v>0</v>
      </c>
      <c r="AH139" s="212">
        <f>IF(AG139=0,0,E139&amp;COUNTIF($AG$7:AG139,AG139))</f>
        <v>0</v>
      </c>
      <c r="AI139" s="212">
        <f t="shared" ref="AI139" si="1534">IF($AD139=AI$6,$E139,0)</f>
        <v>0</v>
      </c>
      <c r="AJ139" s="212" t="b">
        <f>IF(AI139=0,FALSE,IF(COUNTIF(AI$7:AI139,AI139)&gt;1,TRUE,FALSE))</f>
        <v>0</v>
      </c>
      <c r="AK139" s="212">
        <f t="shared" ref="AK139" si="1535">IF($AD139=AK$6,$E139,0)</f>
        <v>0</v>
      </c>
      <c r="AL139" s="212" t="b">
        <f>IF(AK139=0,FALSE,IF(COUNTIF(AK$7:AK139,AK139)&gt;1,TRUE,FALSE))</f>
        <v>0</v>
      </c>
      <c r="AM139" s="212">
        <f t="shared" ref="AM139" si="1536">IF(COUNTIF(Y139,"*七種*")&gt;0,0,IF($AD139=AM$6,$E139,0))</f>
        <v>0</v>
      </c>
      <c r="AN139" s="212" t="b">
        <f>IF(AM139=0,FALSE,IF(COUNTIF(AM$7:AM139,AM139)&gt;1,TRUE,FALSE))</f>
        <v>0</v>
      </c>
      <c r="AO139" s="212">
        <f t="shared" ref="AO139" si="1537">IF($AD139=AO$6,$E139,0)</f>
        <v>0</v>
      </c>
      <c r="AP139" s="212" t="b">
        <f>IF(AO139=0,FALSE,IF(COUNTIF(AO$7:AO139,AO139)&gt;1,TRUE,FALSE))</f>
        <v>0</v>
      </c>
      <c r="AQ139" s="212">
        <f t="shared" ref="AQ139" si="1538">IF(COUNTIF(Y139,"*七種競技*")&gt;0,E139,0)</f>
        <v>0</v>
      </c>
      <c r="AR139" s="212" t="b">
        <f t="shared" si="1503"/>
        <v>0</v>
      </c>
      <c r="AS139" s="212" t="b">
        <f t="shared" ref="AS139" si="1539">IF(AND(C139="",E139&lt;&gt;"",F139&lt;&gt;"",E141&lt;&gt;"",G139&lt;&gt;"",G140&lt;&gt;"",G141&lt;&gt;""),TRUE,FALSE)</f>
        <v>0</v>
      </c>
      <c r="AT139" s="212" t="b">
        <f t="shared" si="1516"/>
        <v>0</v>
      </c>
      <c r="AU139" s="212" t="b">
        <f>IFERROR(IF(E139&amp;F139&amp;E141&amp;G139&amp;G140&amp;G141&amp;J139&amp;J140&amp;J141&amp;J142&amp;L139&amp;L140&amp;L141&amp;L142&amp;M139&amp;M140&amp;M141&amp;M142&amp;P139&amp;P140&amp;P141&amp;P142&amp;Q139&amp;R139="",FALSE,TRUE),FALSE)</f>
        <v>0</v>
      </c>
      <c r="AV139" s="212" t="b">
        <f t="shared" ref="AV139" si="1540">IF(AS139,FALSE,IF(C139="",AU139,FALSE))</f>
        <v>0</v>
      </c>
      <c r="AW139" s="212" t="b">
        <f t="shared" ref="AW139" si="1541">IF(C139="",FALSE,IF(C139&lt;=2000,TRUE,FALSE))</f>
        <v>0</v>
      </c>
      <c r="AX139" s="274" t="b">
        <f>IF(H139=0,FALSE,IF(EXACT(基本情報!$E$5,H139)=TRUE,FALSE,TRUE))</f>
        <v>0</v>
      </c>
      <c r="AY139" s="212" t="b">
        <f>IF(C139="",FALSE,IF(ISNA(E139)=TRUE,TRUE,FALSE))</f>
        <v>0</v>
      </c>
      <c r="AZ139" s="274" t="b">
        <f>IFERROR(IF(E139="",FALSE,IF(COUNTIF($E$7:E139,E139)&gt;1,TRUE,FALSE)),FALSE)</f>
        <v>0</v>
      </c>
      <c r="BA139" s="212" t="b">
        <f t="shared" ref="BA139" si="1542">IF(OR(J139&amp;J140&amp;J141&amp;J142&amp;Q139&amp;R139="",AT139,AT140,AT141,AT142),AU139,FALSE)</f>
        <v>0</v>
      </c>
      <c r="BB139" s="212" t="b">
        <f>IF(U139&gt;1,TRUE,FALSE)</f>
        <v>0</v>
      </c>
      <c r="BC139" s="212" t="b">
        <f>IF(X139&gt;1,TRUE,FALSE)</f>
        <v>0</v>
      </c>
      <c r="BD139" s="212" t="b">
        <f t="shared" si="1490"/>
        <v>0</v>
      </c>
      <c r="BF139" s="212" t="b">
        <f t="shared" ref="BF139" si="1543">IF(J139="",FALSE,IF(OR(AND(AU139,L139=""),AND(AU139,L139="",OR(M139&lt;&gt;"",N139&lt;&gt;"",O139&lt;&gt;"",P139&lt;&gt;""))),TRUE,FALSE))</f>
        <v>0</v>
      </c>
      <c r="BG139" s="212" t="b">
        <f t="shared" si="1492"/>
        <v>0</v>
      </c>
      <c r="BH139" s="212" t="b">
        <f t="shared" si="1505"/>
        <v>0</v>
      </c>
      <c r="BI139" s="212" t="b">
        <f t="shared" ref="BI139" si="1544">IF(J139="",FALSE,IF(L139=0,FALSE,IF(AND(AU139,NOT(BF139),OR(M139="",N139="",O139="")),TRUE,FALSE)))</f>
        <v>0</v>
      </c>
      <c r="BJ139" s="231" t="b">
        <f t="shared" si="1507"/>
        <v>0</v>
      </c>
      <c r="BK139" s="231" t="b">
        <f>IF(NOT(BJ139),FALSE,IF(AND(競技会設定!$C$5&lt;=BJ139,BJ139&lt;=競技会設定!$C$6),FALSE,TRUE))</f>
        <v>0</v>
      </c>
      <c r="BL139" s="212" t="b">
        <f>IF(J139="",FALSE,IF(L139=0,FALSE,IF(AND(AU139,NOT(BF139),NOT(BI139),P139=""),TRUE,FALSE)))</f>
        <v>0</v>
      </c>
      <c r="BO139" s="274">
        <f t="shared" ref="BO139" si="1545">IF(AND(AU139,SUM(COUNTIF(AV139:BC139,TRUE),COUNTIF(BF139:BL142,TRUE),COUNTIF(BD139:BD142,TRUE))=0,NOT($BE$7)),1,0)</f>
        <v>0</v>
      </c>
    </row>
    <row r="140" spans="1:67" ht="17.399999999999999" customHeight="1">
      <c r="A140" s="462"/>
      <c r="B140" s="374"/>
      <c r="C140" s="376"/>
      <c r="D140" s="159"/>
      <c r="E140" s="465"/>
      <c r="F140" s="465"/>
      <c r="G140" s="159" t="str">
        <f>IF(C139="","",(VLOOKUP(D139,女子登録!$A$2:$N$2001,13,0)))</f>
        <v/>
      </c>
      <c r="H140" s="159"/>
      <c r="I140" s="159" t="s">
        <v>4020</v>
      </c>
      <c r="J140" s="175"/>
      <c r="K140" s="159" t="s">
        <v>4023</v>
      </c>
      <c r="L140" s="175"/>
      <c r="M140" s="264"/>
      <c r="N140" s="265"/>
      <c r="O140" s="266"/>
      <c r="P140" s="175"/>
      <c r="Q140" s="449"/>
      <c r="R140" s="409"/>
      <c r="S140" s="136"/>
      <c r="T140" s="137"/>
      <c r="U140" s="137"/>
      <c r="V140" s="137"/>
      <c r="W140" s="137"/>
      <c r="X140" s="137"/>
      <c r="Y140" s="212">
        <f t="shared" ref="Y140" si="1546">IF(OR(E139="",J140=""),0,J140&amp;E139)</f>
        <v>0</v>
      </c>
      <c r="Z140" s="212">
        <f>IF(Y140=0,0,COUNTIF($Y$7:Y140,Y140))</f>
        <v>0</v>
      </c>
      <c r="AD140" s="212">
        <f>IFERROR(VLOOKUP(J140,競技会設定!$T$2:$W$22,2,0),0)</f>
        <v>0</v>
      </c>
      <c r="AE140" s="212">
        <f t="shared" ref="AE140" si="1547">IF(E139="",0,IF(AD140=0,0,IF(AD140&lt;3,E139&amp;$AE$6,0)))</f>
        <v>0</v>
      </c>
      <c r="AF140" s="212">
        <f>IF(AE140=0,0,E139&amp;COUNTIF($AE$7:AE140,AE140))</f>
        <v>0</v>
      </c>
      <c r="AG140" s="212">
        <f t="shared" ref="AG140" si="1548">IF(E139="",0,IF(AD140=0,0,IF(AD140&gt;=3,E139&amp;$AG$6,0)))</f>
        <v>0</v>
      </c>
      <c r="AH140" s="212">
        <f>IF(AG140=0,0,E139&amp;COUNTIF($AG$7:AG140,AG140))</f>
        <v>0</v>
      </c>
      <c r="AI140" s="212">
        <f t="shared" ref="AI140" si="1549">IF($AD140=AI$6,$E139,0)</f>
        <v>0</v>
      </c>
      <c r="AJ140" s="212" t="b">
        <f>IF(AI140=0,FALSE,IF(COUNTIF(AI$7:AI140,AI140)&gt;1,TRUE,FALSE))</f>
        <v>0</v>
      </c>
      <c r="AK140" s="212">
        <f t="shared" ref="AK140" si="1550">IF($AD140=AK$6,$E139,0)</f>
        <v>0</v>
      </c>
      <c r="AL140" s="212" t="b">
        <f>IF(AK140=0,FALSE,IF(COUNTIF(AK$7:AK140,AK140)&gt;1,TRUE,FALSE))</f>
        <v>0</v>
      </c>
      <c r="AM140" s="212">
        <f t="shared" ref="AM140" si="1551">IF(COUNTIF(Y140,"*七種*")&gt;0,0,IF($AD140=AM$6,$E139,0))</f>
        <v>0</v>
      </c>
      <c r="AN140" s="212" t="b">
        <f>IF(AM140=0,FALSE,IF(COUNTIF(AM$7:AM140,AM140)&gt;1,TRUE,FALSE))</f>
        <v>0</v>
      </c>
      <c r="AO140" s="212">
        <f t="shared" ref="AO140" si="1552">IF($AD140=AO$6,$E139,0)</f>
        <v>0</v>
      </c>
      <c r="AP140" s="212" t="b">
        <f>IF(AO140=0,FALSE,IF(COUNTIF(AO$7:AO140,AO140)&gt;1,TRUE,FALSE))</f>
        <v>0</v>
      </c>
      <c r="AQ140" s="212">
        <f t="shared" ref="AQ140" si="1553">IF(COUNTIF(Y140,"*七種競技*")&gt;0,E139,0)</f>
        <v>0</v>
      </c>
      <c r="AR140" s="212" t="b">
        <f t="shared" si="1503"/>
        <v>0</v>
      </c>
      <c r="AT140" s="212" t="b">
        <f t="shared" si="1516"/>
        <v>0</v>
      </c>
      <c r="AX140" s="274"/>
      <c r="BD140" s="212" t="b">
        <f t="shared" si="1490"/>
        <v>0</v>
      </c>
      <c r="BF140" s="212" t="b">
        <f t="shared" ref="BF140" si="1554">IF(J140="",FALSE,IF(OR(AND(AU139,L140=""),AND(AU139,L140="",OR(M140&lt;&gt;"",N140&lt;&gt;"",O140&lt;&gt;"",P140&lt;&gt;""))),TRUE,FALSE))</f>
        <v>0</v>
      </c>
      <c r="BG140" s="212" t="b">
        <f t="shared" si="1492"/>
        <v>0</v>
      </c>
      <c r="BH140" s="212" t="b">
        <f t="shared" si="1505"/>
        <v>0</v>
      </c>
      <c r="BI140" s="212" t="b">
        <f t="shared" ref="BI140" si="1555">IF(J140="",FALSE,IF(L140=0,FALSE,IF(AND(AU139,NOT(BF140),OR(M140="",N140="",O140="")),TRUE,FALSE)))</f>
        <v>0</v>
      </c>
      <c r="BJ140" s="231" t="b">
        <f t="shared" si="1507"/>
        <v>0</v>
      </c>
      <c r="BK140" s="231" t="b">
        <f>IF(NOT(BJ140),FALSE,IF(AND(競技会設定!$C$5&lt;=BJ140,BJ140&lt;=競技会設定!$C$6),FALSE,TRUE))</f>
        <v>0</v>
      </c>
      <c r="BL140" s="212" t="b">
        <f>IF(J140="",FALSE,IF(L140=0,FALSE,IF(AND(AU139,NOT(BF140),NOT(BI140),P140=""),TRUE,FALSE)))</f>
        <v>0</v>
      </c>
    </row>
    <row r="141" spans="1:67" ht="17.399999999999999" customHeight="1">
      <c r="A141" s="462"/>
      <c r="B141" s="374"/>
      <c r="C141" s="376"/>
      <c r="D141" s="160"/>
      <c r="E141" s="452" t="str">
        <f>IF(C139="","",VLOOKUP(D139,女子登録!$A$2:$O$2001,14,0)&amp;" ("&amp;VLOOKUP(D139,女子登録!$A$2:$O$2001,15,0)&amp;")")</f>
        <v/>
      </c>
      <c r="F141" s="453"/>
      <c r="G141" s="160" t="str">
        <f>IF(C139="","",(VLOOKUP(D139,女子登録!$A$2:$N$2001,9,0)))</f>
        <v/>
      </c>
      <c r="H141" s="160"/>
      <c r="I141" s="160" t="s">
        <v>4021</v>
      </c>
      <c r="J141" s="176"/>
      <c r="K141" s="160" t="s">
        <v>6760</v>
      </c>
      <c r="L141" s="176"/>
      <c r="M141" s="264"/>
      <c r="N141" s="265"/>
      <c r="O141" s="266"/>
      <c r="P141" s="175"/>
      <c r="Q141" s="449"/>
      <c r="R141" s="409"/>
      <c r="S141" s="136"/>
      <c r="T141" s="137"/>
      <c r="U141" s="137"/>
      <c r="V141" s="137"/>
      <c r="W141" s="137"/>
      <c r="X141" s="137"/>
      <c r="Y141" s="212">
        <f t="shared" ref="Y141" si="1556">IF(OR(E139="",J141=""),0,J141&amp;E139)</f>
        <v>0</v>
      </c>
      <c r="Z141" s="212">
        <f>IF(Y141=0,0,COUNTIF($Y$7:Y141,Y141))</f>
        <v>0</v>
      </c>
      <c r="AD141" s="212">
        <f>IFERROR(VLOOKUP(J141,競技会設定!$T$2:$W$22,2,0),0)</f>
        <v>0</v>
      </c>
      <c r="AE141" s="212">
        <f t="shared" ref="AE141" si="1557">IF(E139="",0,IF(AD141=0,0,IF(AD141&lt;3,E139&amp;$AE$6,0)))</f>
        <v>0</v>
      </c>
      <c r="AF141" s="212">
        <f>IF(AE141=0,0,E139&amp;COUNTIF($AE$7:AE141,AE141))</f>
        <v>0</v>
      </c>
      <c r="AG141" s="212">
        <f t="shared" ref="AG141" si="1558">IF(E139="",0,IF(AD141=0,0,IF(AD141&gt;=3,E139&amp;$AG$6,0)))</f>
        <v>0</v>
      </c>
      <c r="AH141" s="212">
        <f>IF(AG141=0,0,E139&amp;COUNTIF($AG$7:AG141,AG141))</f>
        <v>0</v>
      </c>
      <c r="AI141" s="212">
        <f t="shared" ref="AI141" si="1559">IF($AD141=AI$6,$E139,0)</f>
        <v>0</v>
      </c>
      <c r="AJ141" s="212" t="b">
        <f>IF(AI141=0,FALSE,IF(COUNTIF(AI$7:AI141,AI141)&gt;1,TRUE,FALSE))</f>
        <v>0</v>
      </c>
      <c r="AK141" s="212">
        <f t="shared" ref="AK141" si="1560">IF($AD141=AK$6,$E139,0)</f>
        <v>0</v>
      </c>
      <c r="AL141" s="212" t="b">
        <f>IF(AK141=0,FALSE,IF(COUNTIF(AK$7:AK141,AK141)&gt;1,TRUE,FALSE))</f>
        <v>0</v>
      </c>
      <c r="AM141" s="212">
        <f t="shared" ref="AM141" si="1561">IF(COUNTIF(Y141,"*七種*")&gt;0,0,IF($AD141=AM$6,$E139,0))</f>
        <v>0</v>
      </c>
      <c r="AN141" s="212" t="b">
        <f>IF(AM141=0,FALSE,IF(COUNTIF(AM$7:AM141,AM141)&gt;1,TRUE,FALSE))</f>
        <v>0</v>
      </c>
      <c r="AO141" s="212">
        <f t="shared" ref="AO141" si="1562">IF($AD141=AO$6,$E139,0)</f>
        <v>0</v>
      </c>
      <c r="AP141" s="212" t="b">
        <f>IF(AO141=0,FALSE,IF(COUNTIF(AO$7:AO141,AO141)&gt;1,TRUE,FALSE))</f>
        <v>0</v>
      </c>
      <c r="AQ141" s="212">
        <f t="shared" ref="AQ141" si="1563">IF(COUNTIF(Y141,"*七種競技*")&gt;0,E139,0)</f>
        <v>0</v>
      </c>
      <c r="AR141" s="212" t="b">
        <f t="shared" si="1503"/>
        <v>0</v>
      </c>
      <c r="AT141" s="212" t="b">
        <f t="shared" si="1516"/>
        <v>0</v>
      </c>
      <c r="AX141" s="274"/>
      <c r="BD141" s="212" t="b">
        <f t="shared" si="1490"/>
        <v>0</v>
      </c>
      <c r="BF141" s="212" t="b">
        <f t="shared" ref="BF141" si="1564">IF(J141="",FALSE,IF(OR(AND(AU139,L141=""),AND(AU139,L141="",OR(M141&lt;&gt;"",N141&lt;&gt;"",O141&lt;&gt;"",P141&lt;&gt;""))),TRUE,FALSE))</f>
        <v>0</v>
      </c>
      <c r="BG141" s="212" t="b">
        <f t="shared" si="1492"/>
        <v>0</v>
      </c>
      <c r="BH141" s="212" t="b">
        <f t="shared" si="1505"/>
        <v>0</v>
      </c>
      <c r="BI141" s="212" t="b">
        <f t="shared" ref="BI141" si="1565">IF(J141="",FALSE,IF(L141=0,FALSE,IF(AND(AU139,NOT(BF141),OR(M141="",N141="",O141="")),TRUE,FALSE)))</f>
        <v>0</v>
      </c>
      <c r="BJ141" s="231" t="b">
        <f t="shared" si="1507"/>
        <v>0</v>
      </c>
      <c r="BK141" s="231" t="b">
        <f>IF(NOT(BJ141),FALSE,IF(AND(競技会設定!$C$5&lt;=BJ141,BJ141&lt;=競技会設定!$C$6),FALSE,TRUE))</f>
        <v>0</v>
      </c>
      <c r="BL141" s="212" t="b">
        <f>IF(J141="",FALSE,IF(L141=0,FALSE,IF(AND(AU139,NOT(BF141),NOT(BI141),P141=""),TRUE,FALSE)))</f>
        <v>0</v>
      </c>
    </row>
    <row r="142" spans="1:67" ht="18" customHeight="1" thickBot="1">
      <c r="A142" s="475"/>
      <c r="B142" s="387" t="s">
        <v>6764</v>
      </c>
      <c r="C142" s="387"/>
      <c r="D142" s="161"/>
      <c r="E142" s="467"/>
      <c r="F142" s="468"/>
      <c r="G142" s="469"/>
      <c r="H142" s="162"/>
      <c r="I142" s="161" t="s">
        <v>6759</v>
      </c>
      <c r="J142" s="177"/>
      <c r="K142" s="161" t="s">
        <v>6761</v>
      </c>
      <c r="L142" s="177"/>
      <c r="M142" s="267"/>
      <c r="N142" s="268"/>
      <c r="O142" s="269"/>
      <c r="P142" s="177"/>
      <c r="Q142" s="466"/>
      <c r="R142" s="410"/>
      <c r="S142" s="136"/>
      <c r="T142" s="137"/>
      <c r="U142" s="137"/>
      <c r="V142" s="137"/>
      <c r="W142" s="137"/>
      <c r="X142" s="137"/>
      <c r="Y142" s="212">
        <f t="shared" ref="Y142" si="1566">IF(OR(E139="",J142=""),0,J142&amp;E139)</f>
        <v>0</v>
      </c>
      <c r="Z142" s="212">
        <f>IF(Y142=0,0,COUNTIF($Y$7:Y142,Y142))</f>
        <v>0</v>
      </c>
      <c r="AD142" s="212">
        <f>IFERROR(VLOOKUP(J142,競技会設定!$T$2:$W$22,2,0),0)</f>
        <v>0</v>
      </c>
      <c r="AE142" s="212">
        <f t="shared" ref="AE142" si="1567">IF(E139="",0,IF(AD142=0,0,IF(AD142&lt;3,E139&amp;$AE$6,0)))</f>
        <v>0</v>
      </c>
      <c r="AF142" s="212">
        <f>IF(AE142=0,0,E139&amp;COUNTIF($AE$7:AE142,AE142))</f>
        <v>0</v>
      </c>
      <c r="AG142" s="212">
        <f t="shared" ref="AG142" si="1568">IF(E139="",0,IF(AD142=0,0,IF(AD142&gt;=3,E139&amp;$AG$6,0)))</f>
        <v>0</v>
      </c>
      <c r="AH142" s="212">
        <f>IF(AG142=0,0,E139&amp;COUNTIF($AG$7:AG142,AG142))</f>
        <v>0</v>
      </c>
      <c r="AI142" s="212">
        <f t="shared" ref="AI142" si="1569">IF($AD142=AI$6,$E139,0)</f>
        <v>0</v>
      </c>
      <c r="AJ142" s="212" t="b">
        <f>IF(AI142=0,FALSE,IF(COUNTIF(AI$7:AI142,AI142)&gt;1,TRUE,FALSE))</f>
        <v>0</v>
      </c>
      <c r="AK142" s="212">
        <f t="shared" ref="AK142" si="1570">IF($AD142=AK$6,$E139,0)</f>
        <v>0</v>
      </c>
      <c r="AL142" s="212" t="b">
        <f>IF(AK142=0,FALSE,IF(COUNTIF(AK$7:AK142,AK142)&gt;1,TRUE,FALSE))</f>
        <v>0</v>
      </c>
      <c r="AM142" s="212">
        <f t="shared" ref="AM142" si="1571">IF(COUNTIF(Y142,"*七種*")&gt;0,0,IF($AD142=AM$6,$E139,0))</f>
        <v>0</v>
      </c>
      <c r="AN142" s="212" t="b">
        <f>IF(AM142=0,FALSE,IF(COUNTIF(AM$7:AM142,AM142)&gt;1,TRUE,FALSE))</f>
        <v>0</v>
      </c>
      <c r="AO142" s="212">
        <f t="shared" ref="AO142" si="1572">IF($AD142=AO$6,$E139,0)</f>
        <v>0</v>
      </c>
      <c r="AP142" s="212" t="b">
        <f>IF(AO142=0,FALSE,IF(COUNTIF(AO$7:AO142,AO142)&gt;1,TRUE,FALSE))</f>
        <v>0</v>
      </c>
      <c r="AQ142" s="212">
        <f t="shared" ref="AQ142" si="1573">IF(COUNTIF(Y142,"*七種競技*")&gt;0,E139,0)</f>
        <v>0</v>
      </c>
      <c r="AR142" s="212" t="b">
        <f t="shared" si="1503"/>
        <v>0</v>
      </c>
      <c r="AT142" s="212" t="b">
        <f t="shared" si="1516"/>
        <v>0</v>
      </c>
      <c r="AX142" s="274"/>
      <c r="BD142" s="212" t="b">
        <f t="shared" si="1490"/>
        <v>0</v>
      </c>
      <c r="BF142" s="212" t="b">
        <f t="shared" ref="BF142" si="1574">IF(J142="",FALSE,IF(OR(AND(AU139,L142=""),AND(AU139,L142="",OR(M142&lt;&gt;"",N142&lt;&gt;"",O142&lt;&gt;"",P142&lt;&gt;""))),TRUE,FALSE))</f>
        <v>0</v>
      </c>
      <c r="BG142" s="212" t="b">
        <f t="shared" si="1492"/>
        <v>0</v>
      </c>
      <c r="BH142" s="212" t="b">
        <f t="shared" si="1505"/>
        <v>0</v>
      </c>
      <c r="BI142" s="212" t="b">
        <f t="shared" ref="BI142" si="1575">IF(J142="",FALSE,IF(L142=0,FALSE,IF(AND(AU139,NOT(BF142),OR(M142="",N142="",O142="")),TRUE,FALSE)))</f>
        <v>0</v>
      </c>
      <c r="BJ142" s="231" t="b">
        <f t="shared" si="1507"/>
        <v>0</v>
      </c>
      <c r="BK142" s="231" t="b">
        <f>IF(NOT(BJ142),FALSE,IF(AND(競技会設定!$C$5&lt;=BJ142,BJ142&lt;=競技会設定!$C$6),FALSE,TRUE))</f>
        <v>0</v>
      </c>
      <c r="BL142" s="212" t="b">
        <f>IF(J142="",FALSE,IF(L142=0,FALSE,IF(AND(AU139,NOT(BF142),NOT(BI142),P142=""),TRUE,FALSE)))</f>
        <v>0</v>
      </c>
    </row>
    <row r="143" spans="1:67" ht="18" customHeight="1" thickTop="1">
      <c r="A143" s="470">
        <v>35</v>
      </c>
      <c r="B143" s="401" t="s">
        <v>4018</v>
      </c>
      <c r="C143" s="403"/>
      <c r="D143" s="156" t="str">
        <f t="shared" ref="D143" si="1576">IF(C143="","",502&amp;TEXT(C143,"000000"))</f>
        <v/>
      </c>
      <c r="E143" s="473" t="str">
        <f>IF(D143="","",(VLOOKUP(D143,女子登録!$A$2:$N$2001,3,0)))</f>
        <v/>
      </c>
      <c r="F143" s="473" t="str">
        <f>IF(D143="","",(VLOOKUP(D143,女子登録!$A$2:$N$2001,4,0)))</f>
        <v/>
      </c>
      <c r="G143" s="156" t="str">
        <f>IF(C143="","",(VLOOKUP(D143,女子登録!$A$2:$N$2001,8,0)))</f>
        <v/>
      </c>
      <c r="H143" s="156">
        <f>IFERROR(VLOOKUP(D143,女子登録!$A$2:$N$2001,11,0),基本情報!$E$5)</f>
        <v>0</v>
      </c>
      <c r="I143" s="156" t="s">
        <v>4019</v>
      </c>
      <c r="J143" s="170"/>
      <c r="K143" s="156" t="s">
        <v>4022</v>
      </c>
      <c r="L143" s="170"/>
      <c r="M143" s="252"/>
      <c r="N143" s="253"/>
      <c r="O143" s="254"/>
      <c r="P143" s="170"/>
      <c r="Q143" s="457"/>
      <c r="R143" s="414"/>
      <c r="S143" s="136">
        <f t="shared" ref="S143" si="1577">IF(OR(E143="",Q143=""),0,E143)</f>
        <v>0</v>
      </c>
      <c r="T143" s="137">
        <f>IF(S143=0,0,COUNTIF($S$7:S143,"*"))</f>
        <v>0</v>
      </c>
      <c r="U143" s="137">
        <f>IF(S143=0,0,COUNTIF($S$7:S143,S143))</f>
        <v>0</v>
      </c>
      <c r="V143" s="137">
        <f t="shared" si="960"/>
        <v>0</v>
      </c>
      <c r="W143" s="137">
        <f>IF(V143=0,0,COUNTIF($V$7:V143,"*"))</f>
        <v>0</v>
      </c>
      <c r="X143" s="137">
        <f>IF(V143=0,0,COUNTIF($V$7:V143,V143))</f>
        <v>0</v>
      </c>
      <c r="Y143" s="212">
        <f t="shared" ref="Y143" si="1578">IF(OR(E143="",J143=""),0,J143&amp;E143)</f>
        <v>0</v>
      </c>
      <c r="Z143" s="212">
        <f>IF(Y143=0,0,COUNTIF($Y$7:Y143,Y143))</f>
        <v>0</v>
      </c>
      <c r="AA143" s="212" t="b">
        <f>IF(COUNTIF(J143:J146,"七種競技")&gt;0,TRUE,FALSE)</f>
        <v>0</v>
      </c>
      <c r="AB143" s="212">
        <f>IF(E143="",0,IF(AA143,COUNTIF($AA$7:AA143,TRUE),0))</f>
        <v>0</v>
      </c>
      <c r="AC143" s="212">
        <f>IFERROR(VLOOKUP("七種競技",J143:L146,3,0),0)</f>
        <v>0</v>
      </c>
      <c r="AD143" s="212">
        <f>IFERROR(VLOOKUP(J143,競技会設定!$T$2:$W$22,2,0),0)</f>
        <v>0</v>
      </c>
      <c r="AE143" s="212">
        <f t="shared" ref="AE143" si="1579">IF(E143="",0,IF(AD143=0,0,IF(AD143&lt;3,E143&amp;$AE$6,0)))</f>
        <v>0</v>
      </c>
      <c r="AF143" s="212">
        <f>IF(AE143=0,0,E143&amp;COUNTIF($AE$7:AE143,AE143))</f>
        <v>0</v>
      </c>
      <c r="AG143" s="212">
        <f t="shared" ref="AG143" si="1580">IF(E143="",0,IF(AD143=0,0,IF(AD143&gt;=3,E143&amp;$AG$6,0)))</f>
        <v>0</v>
      </c>
      <c r="AH143" s="212">
        <f>IF(AG143=0,0,E143&amp;COUNTIF($AG$7:AG143,AG143))</f>
        <v>0</v>
      </c>
      <c r="AI143" s="212">
        <f t="shared" ref="AI143" si="1581">IF($AD143=AI$6,$E143,0)</f>
        <v>0</v>
      </c>
      <c r="AJ143" s="212" t="b">
        <f>IF(AI143=0,FALSE,IF(COUNTIF(AI$7:AI143,AI143)&gt;1,TRUE,FALSE))</f>
        <v>0</v>
      </c>
      <c r="AK143" s="212">
        <f t="shared" ref="AK143" si="1582">IF($AD143=AK$6,$E143,0)</f>
        <v>0</v>
      </c>
      <c r="AL143" s="212" t="b">
        <f>IF(AK143=0,FALSE,IF(COUNTIF(AK$7:AK143,AK143)&gt;1,TRUE,FALSE))</f>
        <v>0</v>
      </c>
      <c r="AM143" s="212">
        <f t="shared" ref="AM143" si="1583">IF(COUNTIF(Y143,"*七種*")&gt;0,0,IF($AD143=AM$6,$E143,0))</f>
        <v>0</v>
      </c>
      <c r="AN143" s="212" t="b">
        <f>IF(AM143=0,FALSE,IF(COUNTIF(AM$7:AM143,AM143)&gt;1,TRUE,FALSE))</f>
        <v>0</v>
      </c>
      <c r="AO143" s="212">
        <f t="shared" ref="AO143" si="1584">IF($AD143=AO$6,$E143,0)</f>
        <v>0</v>
      </c>
      <c r="AP143" s="212" t="b">
        <f>IF(AO143=0,FALSE,IF(COUNTIF(AO$7:AO143,AO143)&gt;1,TRUE,FALSE))</f>
        <v>0</v>
      </c>
      <c r="AQ143" s="212">
        <f t="shared" ref="AQ143" si="1585">IF(COUNTIF(Y143,"*七種競技*")&gt;0,E143,0)</f>
        <v>0</v>
      </c>
      <c r="AR143" s="212" t="b">
        <f t="shared" si="1503"/>
        <v>0</v>
      </c>
      <c r="AS143" s="212" t="b">
        <f t="shared" ref="AS143" si="1586">IF(AND(C143="",E143&lt;&gt;"",F143&lt;&gt;"",E145&lt;&gt;"",G143&lt;&gt;"",G144&lt;&gt;"",G145&lt;&gt;""),TRUE,FALSE)</f>
        <v>0</v>
      </c>
      <c r="AT143" s="212" t="b">
        <f t="shared" si="1516"/>
        <v>0</v>
      </c>
      <c r="AU143" s="212" t="b">
        <f>IFERROR(IF(E143&amp;F143&amp;E145&amp;G143&amp;G144&amp;G145&amp;J143&amp;J144&amp;J145&amp;J146&amp;L143&amp;L144&amp;L145&amp;L146&amp;M143&amp;M144&amp;M145&amp;M146&amp;P143&amp;P144&amp;P145&amp;P146&amp;Q143&amp;R143="",FALSE,TRUE),FALSE)</f>
        <v>0</v>
      </c>
      <c r="AV143" s="212" t="b">
        <f t="shared" ref="AV143" si="1587">IF(AS143,FALSE,IF(C143="",AU143,FALSE))</f>
        <v>0</v>
      </c>
      <c r="AW143" s="212" t="b">
        <f t="shared" ref="AW143" si="1588">IF(C143="",FALSE,IF(C143&lt;=2000,TRUE,FALSE))</f>
        <v>0</v>
      </c>
      <c r="AX143" s="274" t="b">
        <f>IF(H143=0,FALSE,IF(EXACT(基本情報!$E$5,H143)=TRUE,FALSE,TRUE))</f>
        <v>0</v>
      </c>
      <c r="AY143" s="212" t="b">
        <f>IF(C143="",FALSE,IF(ISNA(E143)=TRUE,TRUE,FALSE))</f>
        <v>0</v>
      </c>
      <c r="AZ143" s="274" t="b">
        <f>IFERROR(IF(E143="",FALSE,IF(COUNTIF($E$7:E143,E143)&gt;1,TRUE,FALSE)),FALSE)</f>
        <v>0</v>
      </c>
      <c r="BA143" s="212" t="b">
        <f t="shared" ref="BA143" si="1589">IF(OR(J143&amp;J144&amp;J145&amp;J146&amp;Q143&amp;R143="",AT143,AT144,AT145,AT146),AU143,FALSE)</f>
        <v>0</v>
      </c>
      <c r="BB143" s="212" t="b">
        <f>IF(U143&gt;1,TRUE,FALSE)</f>
        <v>0</v>
      </c>
      <c r="BC143" s="212" t="b">
        <f>IF(X143&gt;1,TRUE,FALSE)</f>
        <v>0</v>
      </c>
      <c r="BD143" s="212" t="b">
        <f t="shared" si="1490"/>
        <v>0</v>
      </c>
      <c r="BF143" s="212" t="b">
        <f t="shared" ref="BF143" si="1590">IF(J143="",FALSE,IF(OR(AND(AU143,L143=""),AND(AU143,L143="",OR(M143&lt;&gt;"",N143&lt;&gt;"",O143&lt;&gt;"",P143&lt;&gt;""))),TRUE,FALSE))</f>
        <v>0</v>
      </c>
      <c r="BG143" s="212" t="b">
        <f t="shared" si="1492"/>
        <v>0</v>
      </c>
      <c r="BH143" s="212" t="b">
        <f t="shared" si="1505"/>
        <v>0</v>
      </c>
      <c r="BI143" s="212" t="b">
        <f t="shared" ref="BI143" si="1591">IF(J143="",FALSE,IF(L143=0,FALSE,IF(AND(AU143,NOT(BF143),OR(M143="",N143="",O143="")),TRUE,FALSE)))</f>
        <v>0</v>
      </c>
      <c r="BJ143" s="231" t="b">
        <f t="shared" si="1507"/>
        <v>0</v>
      </c>
      <c r="BK143" s="231" t="b">
        <f>IF(NOT(BJ143),FALSE,IF(AND(競技会設定!$C$5&lt;=BJ143,BJ143&lt;=競技会設定!$C$6),FALSE,TRUE))</f>
        <v>0</v>
      </c>
      <c r="BL143" s="212" t="b">
        <f>IF(J143="",FALSE,IF(L143=0,FALSE,IF(AND(AU143,NOT(BF143),NOT(BI143),P143=""),TRUE,FALSE)))</f>
        <v>0</v>
      </c>
      <c r="BO143" s="274">
        <f t="shared" ref="BO143" si="1592">IF(AND(AU143,SUM(COUNTIF(AV143:BC143,TRUE),COUNTIF(BF143:BL146,TRUE),COUNTIF(BD143:BD146,TRUE))=0,NOT($BE$7)),1,0)</f>
        <v>0</v>
      </c>
    </row>
    <row r="144" spans="1:67" ht="17.399999999999999" customHeight="1">
      <c r="A144" s="471"/>
      <c r="B144" s="402"/>
      <c r="C144" s="404"/>
      <c r="D144" s="11"/>
      <c r="E144" s="474"/>
      <c r="F144" s="474"/>
      <c r="G144" s="11" t="str">
        <f>IF(C143="","",(VLOOKUP(D143,女子登録!$A$2:$N$2001,13,0)))</f>
        <v/>
      </c>
      <c r="H144" s="11"/>
      <c r="I144" s="11" t="s">
        <v>4020</v>
      </c>
      <c r="J144" s="171"/>
      <c r="K144" s="11" t="s">
        <v>4023</v>
      </c>
      <c r="L144" s="171"/>
      <c r="M144" s="255"/>
      <c r="N144" s="256"/>
      <c r="O144" s="257"/>
      <c r="P144" s="171"/>
      <c r="Q144" s="458"/>
      <c r="R144" s="415"/>
      <c r="S144" s="136"/>
      <c r="T144" s="137"/>
      <c r="U144" s="137"/>
      <c r="V144" s="137"/>
      <c r="W144" s="137"/>
      <c r="X144" s="137"/>
      <c r="Y144" s="212">
        <f t="shared" ref="Y144" si="1593">IF(OR(E143="",J144=""),0,J144&amp;E143)</f>
        <v>0</v>
      </c>
      <c r="Z144" s="212">
        <f>IF(Y144=0,0,COUNTIF($Y$7:Y144,Y144))</f>
        <v>0</v>
      </c>
      <c r="AD144" s="212">
        <f>IFERROR(VLOOKUP(J144,競技会設定!$T$2:$W$22,2,0),0)</f>
        <v>0</v>
      </c>
      <c r="AE144" s="212">
        <f t="shared" ref="AE144" si="1594">IF(E143="",0,IF(AD144=0,0,IF(AD144&lt;3,E143&amp;$AE$6,0)))</f>
        <v>0</v>
      </c>
      <c r="AF144" s="212">
        <f>IF(AE144=0,0,E143&amp;COUNTIF($AE$7:AE144,AE144))</f>
        <v>0</v>
      </c>
      <c r="AG144" s="212">
        <f t="shared" ref="AG144" si="1595">IF(E143="",0,IF(AD144=0,0,IF(AD144&gt;=3,E143&amp;$AG$6,0)))</f>
        <v>0</v>
      </c>
      <c r="AH144" s="212">
        <f>IF(AG144=0,0,E143&amp;COUNTIF($AG$7:AG144,AG144))</f>
        <v>0</v>
      </c>
      <c r="AI144" s="212">
        <f t="shared" ref="AI144" si="1596">IF($AD144=AI$6,$E143,0)</f>
        <v>0</v>
      </c>
      <c r="AJ144" s="212" t="b">
        <f>IF(AI144=0,FALSE,IF(COUNTIF(AI$7:AI144,AI144)&gt;1,TRUE,FALSE))</f>
        <v>0</v>
      </c>
      <c r="AK144" s="212">
        <f t="shared" ref="AK144" si="1597">IF($AD144=AK$6,$E143,0)</f>
        <v>0</v>
      </c>
      <c r="AL144" s="212" t="b">
        <f>IF(AK144=0,FALSE,IF(COUNTIF(AK$7:AK144,AK144)&gt;1,TRUE,FALSE))</f>
        <v>0</v>
      </c>
      <c r="AM144" s="212">
        <f t="shared" ref="AM144" si="1598">IF(COUNTIF(Y144,"*七種*")&gt;0,0,IF($AD144=AM$6,$E143,0))</f>
        <v>0</v>
      </c>
      <c r="AN144" s="212" t="b">
        <f>IF(AM144=0,FALSE,IF(COUNTIF(AM$7:AM144,AM144)&gt;1,TRUE,FALSE))</f>
        <v>0</v>
      </c>
      <c r="AO144" s="212">
        <f t="shared" ref="AO144" si="1599">IF($AD144=AO$6,$E143,0)</f>
        <v>0</v>
      </c>
      <c r="AP144" s="212" t="b">
        <f>IF(AO144=0,FALSE,IF(COUNTIF(AO$7:AO144,AO144)&gt;1,TRUE,FALSE))</f>
        <v>0</v>
      </c>
      <c r="AQ144" s="212">
        <f t="shared" ref="AQ144" si="1600">IF(COUNTIF(Y144,"*七種競技*")&gt;0,E143,0)</f>
        <v>0</v>
      </c>
      <c r="AR144" s="212" t="b">
        <f t="shared" si="1503"/>
        <v>0</v>
      </c>
      <c r="AT144" s="212" t="b">
        <f t="shared" si="1516"/>
        <v>0</v>
      </c>
      <c r="AX144" s="274"/>
      <c r="BD144" s="212" t="b">
        <f t="shared" si="1490"/>
        <v>0</v>
      </c>
      <c r="BF144" s="212" t="b">
        <f t="shared" ref="BF144" si="1601">IF(J144="",FALSE,IF(OR(AND(AU143,L144=""),AND(AU143,L144="",OR(M144&lt;&gt;"",N144&lt;&gt;"",O144&lt;&gt;"",P144&lt;&gt;""))),TRUE,FALSE))</f>
        <v>0</v>
      </c>
      <c r="BG144" s="212" t="b">
        <f t="shared" si="1492"/>
        <v>0</v>
      </c>
      <c r="BH144" s="212" t="b">
        <f t="shared" si="1505"/>
        <v>0</v>
      </c>
      <c r="BI144" s="212" t="b">
        <f t="shared" ref="BI144" si="1602">IF(J144="",FALSE,IF(L144=0,FALSE,IF(AND(AU143,NOT(BF144),OR(M144="",N144="",O144="")),TRUE,FALSE)))</f>
        <v>0</v>
      </c>
      <c r="BJ144" s="231" t="b">
        <f t="shared" si="1507"/>
        <v>0</v>
      </c>
      <c r="BK144" s="231" t="b">
        <f>IF(NOT(BJ144),FALSE,IF(AND(競技会設定!$C$5&lt;=BJ144,BJ144&lt;=競技会設定!$C$6),FALSE,TRUE))</f>
        <v>0</v>
      </c>
      <c r="BL144" s="212" t="b">
        <f>IF(J144="",FALSE,IF(L144=0,FALSE,IF(AND(AU143,NOT(BF144),NOT(BI144),P144=""),TRUE,FALSE)))</f>
        <v>0</v>
      </c>
    </row>
    <row r="145" spans="1:67" ht="17.399999999999999" customHeight="1">
      <c r="A145" s="471"/>
      <c r="B145" s="402"/>
      <c r="C145" s="404"/>
      <c r="D145" s="11"/>
      <c r="E145" s="348" t="str">
        <f>IF(C143="","",VLOOKUP(D143,女子登録!$A$2:$O$2001,14,0)&amp;" ("&amp;VLOOKUP(D143,女子登録!$A$2:$O$2001,15,0)&amp;")")</f>
        <v/>
      </c>
      <c r="F145" s="348"/>
      <c r="G145" s="13" t="str">
        <f>IF(C143="","",(VLOOKUP(D143,女子登録!$A$2:$N$2001,9,0)))</f>
        <v/>
      </c>
      <c r="H145" s="13"/>
      <c r="I145" s="13" t="s">
        <v>4021</v>
      </c>
      <c r="J145" s="172"/>
      <c r="K145" s="13" t="s">
        <v>6760</v>
      </c>
      <c r="L145" s="172"/>
      <c r="M145" s="255"/>
      <c r="N145" s="256"/>
      <c r="O145" s="257"/>
      <c r="P145" s="171"/>
      <c r="Q145" s="458"/>
      <c r="R145" s="415"/>
      <c r="S145" s="136"/>
      <c r="T145" s="137"/>
      <c r="U145" s="137"/>
      <c r="V145" s="137"/>
      <c r="W145" s="137"/>
      <c r="X145" s="137"/>
      <c r="Y145" s="212">
        <f t="shared" ref="Y145" si="1603">IF(OR(E143="",J145=""),0,J145&amp;E143)</f>
        <v>0</v>
      </c>
      <c r="Z145" s="212">
        <f>IF(Y145=0,0,COUNTIF($Y$7:Y145,Y145))</f>
        <v>0</v>
      </c>
      <c r="AD145" s="212">
        <f>IFERROR(VLOOKUP(J145,競技会設定!$T$2:$W$22,2,0),0)</f>
        <v>0</v>
      </c>
      <c r="AE145" s="212">
        <f t="shared" ref="AE145" si="1604">IF(E143="",0,IF(AD145=0,0,IF(AD145&lt;3,E143&amp;$AE$6,0)))</f>
        <v>0</v>
      </c>
      <c r="AF145" s="212">
        <f>IF(AE145=0,0,E143&amp;COUNTIF($AE$7:AE145,AE145))</f>
        <v>0</v>
      </c>
      <c r="AG145" s="212">
        <f t="shared" ref="AG145" si="1605">IF(E143="",0,IF(AD145=0,0,IF(AD145&gt;=3,E143&amp;$AG$6,0)))</f>
        <v>0</v>
      </c>
      <c r="AH145" s="212">
        <f>IF(AG145=0,0,E143&amp;COUNTIF($AG$7:AG145,AG145))</f>
        <v>0</v>
      </c>
      <c r="AI145" s="212">
        <f t="shared" ref="AI145" si="1606">IF($AD145=AI$6,$E143,0)</f>
        <v>0</v>
      </c>
      <c r="AJ145" s="212" t="b">
        <f>IF(AI145=0,FALSE,IF(COUNTIF(AI$7:AI145,AI145)&gt;1,TRUE,FALSE))</f>
        <v>0</v>
      </c>
      <c r="AK145" s="212">
        <f t="shared" ref="AK145" si="1607">IF($AD145=AK$6,$E143,0)</f>
        <v>0</v>
      </c>
      <c r="AL145" s="212" t="b">
        <f>IF(AK145=0,FALSE,IF(COUNTIF(AK$7:AK145,AK145)&gt;1,TRUE,FALSE))</f>
        <v>0</v>
      </c>
      <c r="AM145" s="212">
        <f t="shared" ref="AM145" si="1608">IF(COUNTIF(Y145,"*七種*")&gt;0,0,IF($AD145=AM$6,$E143,0))</f>
        <v>0</v>
      </c>
      <c r="AN145" s="212" t="b">
        <f>IF(AM145=0,FALSE,IF(COUNTIF(AM$7:AM145,AM145)&gt;1,TRUE,FALSE))</f>
        <v>0</v>
      </c>
      <c r="AO145" s="212">
        <f t="shared" ref="AO145" si="1609">IF($AD145=AO$6,$E143,0)</f>
        <v>0</v>
      </c>
      <c r="AP145" s="212" t="b">
        <f>IF(AO145=0,FALSE,IF(COUNTIF(AO$7:AO145,AO145)&gt;1,TRUE,FALSE))</f>
        <v>0</v>
      </c>
      <c r="AQ145" s="212">
        <f t="shared" ref="AQ145" si="1610">IF(COUNTIF(Y145,"*七種競技*")&gt;0,E143,0)</f>
        <v>0</v>
      </c>
      <c r="AR145" s="212" t="b">
        <f t="shared" si="1503"/>
        <v>0</v>
      </c>
      <c r="AT145" s="212" t="b">
        <f t="shared" si="1516"/>
        <v>0</v>
      </c>
      <c r="AX145" s="274"/>
      <c r="BD145" s="212" t="b">
        <f t="shared" si="1490"/>
        <v>0</v>
      </c>
      <c r="BF145" s="212" t="b">
        <f t="shared" ref="BF145" si="1611">IF(J145="",FALSE,IF(OR(AND(AU143,L145=""),AND(AU143,L145="",OR(M145&lt;&gt;"",N145&lt;&gt;"",O145&lt;&gt;"",P145&lt;&gt;""))),TRUE,FALSE))</f>
        <v>0</v>
      </c>
      <c r="BG145" s="212" t="b">
        <f t="shared" si="1492"/>
        <v>0</v>
      </c>
      <c r="BH145" s="212" t="b">
        <f t="shared" si="1505"/>
        <v>0</v>
      </c>
      <c r="BI145" s="212" t="b">
        <f t="shared" ref="BI145" si="1612">IF(J145="",FALSE,IF(L145=0,FALSE,IF(AND(AU143,NOT(BF145),OR(M145="",N145="",O145="")),TRUE,FALSE)))</f>
        <v>0</v>
      </c>
      <c r="BJ145" s="231" t="b">
        <f t="shared" si="1507"/>
        <v>0</v>
      </c>
      <c r="BK145" s="231" t="b">
        <f>IF(NOT(BJ145),FALSE,IF(AND(競技会設定!$C$5&lt;=BJ145,BJ145&lt;=競技会設定!$C$6),FALSE,TRUE))</f>
        <v>0</v>
      </c>
      <c r="BL145" s="212" t="b">
        <f>IF(J145="",FALSE,IF(L145=0,FALSE,IF(AND(AU143,NOT(BF145),NOT(BI145),P145=""),TRUE,FALSE)))</f>
        <v>0</v>
      </c>
    </row>
    <row r="146" spans="1:67" ht="18" customHeight="1" thickBot="1">
      <c r="A146" s="472"/>
      <c r="B146" s="395" t="s">
        <v>6764</v>
      </c>
      <c r="C146" s="395"/>
      <c r="D146" s="11"/>
      <c r="E146" s="460"/>
      <c r="F146" s="460"/>
      <c r="G146" s="460"/>
      <c r="H146" s="157"/>
      <c r="I146" s="157" t="s">
        <v>6759</v>
      </c>
      <c r="J146" s="173"/>
      <c r="K146" s="157" t="s">
        <v>6761</v>
      </c>
      <c r="L146" s="173"/>
      <c r="M146" s="258"/>
      <c r="N146" s="259"/>
      <c r="O146" s="260"/>
      <c r="P146" s="173"/>
      <c r="Q146" s="459"/>
      <c r="R146" s="416"/>
      <c r="S146" s="136"/>
      <c r="T146" s="137"/>
      <c r="U146" s="137"/>
      <c r="V146" s="137"/>
      <c r="W146" s="137"/>
      <c r="X146" s="137"/>
      <c r="Y146" s="212">
        <f t="shared" ref="Y146" si="1613">IF(OR(E143="",J146=""),0,J146&amp;E143)</f>
        <v>0</v>
      </c>
      <c r="Z146" s="212">
        <f>IF(Y146=0,0,COUNTIF($Y$7:Y146,Y146))</f>
        <v>0</v>
      </c>
      <c r="AD146" s="212">
        <f>IFERROR(VLOOKUP(J146,競技会設定!$T$2:$W$22,2,0),0)</f>
        <v>0</v>
      </c>
      <c r="AE146" s="212">
        <f t="shared" ref="AE146" si="1614">IF(E143="",0,IF(AD146=0,0,IF(AD146&lt;3,E143&amp;$AE$6,0)))</f>
        <v>0</v>
      </c>
      <c r="AF146" s="212">
        <f>IF(AE146=0,0,E143&amp;COUNTIF($AE$7:AE146,AE146))</f>
        <v>0</v>
      </c>
      <c r="AG146" s="212">
        <f t="shared" ref="AG146" si="1615">IF(E143="",0,IF(AD146=0,0,IF(AD146&gt;=3,E143&amp;$AG$6,0)))</f>
        <v>0</v>
      </c>
      <c r="AH146" s="212">
        <f>IF(AG146=0,0,E143&amp;COUNTIF($AG$7:AG146,AG146))</f>
        <v>0</v>
      </c>
      <c r="AI146" s="212">
        <f t="shared" ref="AI146" si="1616">IF($AD146=AI$6,$E143,0)</f>
        <v>0</v>
      </c>
      <c r="AJ146" s="212" t="b">
        <f>IF(AI146=0,FALSE,IF(COUNTIF(AI$7:AI146,AI146)&gt;1,TRUE,FALSE))</f>
        <v>0</v>
      </c>
      <c r="AK146" s="212">
        <f t="shared" ref="AK146" si="1617">IF($AD146=AK$6,$E143,0)</f>
        <v>0</v>
      </c>
      <c r="AL146" s="212" t="b">
        <f>IF(AK146=0,FALSE,IF(COUNTIF(AK$7:AK146,AK146)&gt;1,TRUE,FALSE))</f>
        <v>0</v>
      </c>
      <c r="AM146" s="212">
        <f t="shared" ref="AM146" si="1618">IF(COUNTIF(Y146,"*七種*")&gt;0,0,IF($AD146=AM$6,$E143,0))</f>
        <v>0</v>
      </c>
      <c r="AN146" s="212" t="b">
        <f>IF(AM146=0,FALSE,IF(COUNTIF(AM$7:AM146,AM146)&gt;1,TRUE,FALSE))</f>
        <v>0</v>
      </c>
      <c r="AO146" s="212">
        <f t="shared" ref="AO146" si="1619">IF($AD146=AO$6,$E143,0)</f>
        <v>0</v>
      </c>
      <c r="AP146" s="212" t="b">
        <f>IF(AO146=0,FALSE,IF(COUNTIF(AO$7:AO146,AO146)&gt;1,TRUE,FALSE))</f>
        <v>0</v>
      </c>
      <c r="AQ146" s="212">
        <f t="shared" ref="AQ146" si="1620">IF(COUNTIF(Y146,"*七種競技*")&gt;0,E143,0)</f>
        <v>0</v>
      </c>
      <c r="AR146" s="212" t="b">
        <f t="shared" si="1503"/>
        <v>0</v>
      </c>
      <c r="AT146" s="212" t="b">
        <f t="shared" si="1516"/>
        <v>0</v>
      </c>
      <c r="AX146" s="274"/>
      <c r="BD146" s="212" t="b">
        <f t="shared" si="1490"/>
        <v>0</v>
      </c>
      <c r="BF146" s="212" t="b">
        <f t="shared" ref="BF146" si="1621">IF(J146="",FALSE,IF(OR(AND(AU143,L146=""),AND(AU143,L146="",OR(M146&lt;&gt;"",N146&lt;&gt;"",O146&lt;&gt;"",P146&lt;&gt;""))),TRUE,FALSE))</f>
        <v>0</v>
      </c>
      <c r="BG146" s="212" t="b">
        <f t="shared" si="1492"/>
        <v>0</v>
      </c>
      <c r="BH146" s="212" t="b">
        <f t="shared" si="1505"/>
        <v>0</v>
      </c>
      <c r="BI146" s="212" t="b">
        <f t="shared" ref="BI146" si="1622">IF(J146="",FALSE,IF(L146=0,FALSE,IF(AND(AU143,NOT(BF146),OR(M146="",N146="",O146="")),TRUE,FALSE)))</f>
        <v>0</v>
      </c>
      <c r="BJ146" s="231" t="b">
        <f t="shared" si="1507"/>
        <v>0</v>
      </c>
      <c r="BK146" s="231" t="b">
        <f>IF(NOT(BJ146),FALSE,IF(AND(競技会設定!$C$5&lt;=BJ146,BJ146&lt;=競技会設定!$C$6),FALSE,TRUE))</f>
        <v>0</v>
      </c>
      <c r="BL146" s="212" t="b">
        <f>IF(J146="",FALSE,IF(L146=0,FALSE,IF(AND(AU143,NOT(BF146),NOT(BI146),P146=""),TRUE,FALSE)))</f>
        <v>0</v>
      </c>
    </row>
    <row r="147" spans="1:67" ht="18" customHeight="1" thickTop="1">
      <c r="A147" s="461">
        <v>36</v>
      </c>
      <c r="B147" s="373" t="s">
        <v>4018</v>
      </c>
      <c r="C147" s="375"/>
      <c r="D147" s="158" t="str">
        <f t="shared" ref="D147" si="1623">IF(C147="","",502&amp;TEXT(C147,"000000"))</f>
        <v/>
      </c>
      <c r="E147" s="464" t="str">
        <f>IF(D147="","",(VLOOKUP(D147,女子登録!$A$2:$N$2001,3,0)))</f>
        <v/>
      </c>
      <c r="F147" s="464" t="str">
        <f>IF(D147="","",(VLOOKUP(D147,女子登録!$A$2:$N$2001,4,0)))</f>
        <v/>
      </c>
      <c r="G147" s="158" t="str">
        <f>IF(C147="","",(VLOOKUP(D147,女子登録!$A$2:$N$2001,8,0)))</f>
        <v/>
      </c>
      <c r="H147" s="158">
        <f>IFERROR(VLOOKUP(D147,女子登録!$A$2:$N$2001,11,0),基本情報!$E$5)</f>
        <v>0</v>
      </c>
      <c r="I147" s="158" t="s">
        <v>4019</v>
      </c>
      <c r="J147" s="174"/>
      <c r="K147" s="158" t="s">
        <v>4022</v>
      </c>
      <c r="L147" s="174"/>
      <c r="M147" s="261"/>
      <c r="N147" s="262"/>
      <c r="O147" s="263"/>
      <c r="P147" s="174"/>
      <c r="Q147" s="448"/>
      <c r="R147" s="408"/>
      <c r="S147" s="136">
        <f t="shared" ref="S147" si="1624">IF(OR(E147="",Q147=""),0,E147)</f>
        <v>0</v>
      </c>
      <c r="T147" s="137">
        <f>IF(S147=0,0,COUNTIF($S$7:S147,"*"))</f>
        <v>0</v>
      </c>
      <c r="U147" s="137">
        <f>IF(S147=0,0,COUNTIF($S$7:S147,S147))</f>
        <v>0</v>
      </c>
      <c r="V147" s="137">
        <f t="shared" si="960"/>
        <v>0</v>
      </c>
      <c r="W147" s="137">
        <f>IF(V147=0,0,COUNTIF($V$7:V147,"*"))</f>
        <v>0</v>
      </c>
      <c r="X147" s="137">
        <f>IF(V147=0,0,COUNTIF($V$7:V147,V147))</f>
        <v>0</v>
      </c>
      <c r="Y147" s="212">
        <f t="shared" ref="Y147" si="1625">IF(OR(E147="",J147=""),0,J147&amp;E147)</f>
        <v>0</v>
      </c>
      <c r="Z147" s="212">
        <f>IF(Y147=0,0,COUNTIF($Y$7:Y147,Y147))</f>
        <v>0</v>
      </c>
      <c r="AA147" s="212" t="b">
        <f>IF(COUNTIF(J147:J150,"七種競技")&gt;0,TRUE,FALSE)</f>
        <v>0</v>
      </c>
      <c r="AB147" s="212">
        <f>IF(E147="",0,IF(AA147,COUNTIF($AA$7:AA147,TRUE),0))</f>
        <v>0</v>
      </c>
      <c r="AC147" s="212">
        <f>IFERROR(VLOOKUP("七種競技",J147:L150,3,0),0)</f>
        <v>0</v>
      </c>
      <c r="AD147" s="212">
        <f>IFERROR(VLOOKUP(J147,競技会設定!$T$2:$W$22,2,0),0)</f>
        <v>0</v>
      </c>
      <c r="AE147" s="212">
        <f t="shared" ref="AE147" si="1626">IF(E147="",0,IF(AD147=0,0,IF(AD147&lt;3,E147&amp;$AE$6,0)))</f>
        <v>0</v>
      </c>
      <c r="AF147" s="212">
        <f>IF(AE147=0,0,E147&amp;COUNTIF($AE$7:AE147,AE147))</f>
        <v>0</v>
      </c>
      <c r="AG147" s="212">
        <f t="shared" ref="AG147" si="1627">IF(E147="",0,IF(AD147=0,0,IF(AD147&gt;=3,E147&amp;$AG$6,0)))</f>
        <v>0</v>
      </c>
      <c r="AH147" s="212">
        <f>IF(AG147=0,0,E147&amp;COUNTIF($AG$7:AG147,AG147))</f>
        <v>0</v>
      </c>
      <c r="AI147" s="212">
        <f t="shared" ref="AI147" si="1628">IF($AD147=AI$6,$E147,0)</f>
        <v>0</v>
      </c>
      <c r="AJ147" s="212" t="b">
        <f>IF(AI147=0,FALSE,IF(COUNTIF(AI$7:AI147,AI147)&gt;1,TRUE,FALSE))</f>
        <v>0</v>
      </c>
      <c r="AK147" s="212">
        <f t="shared" ref="AK147" si="1629">IF($AD147=AK$6,$E147,0)</f>
        <v>0</v>
      </c>
      <c r="AL147" s="212" t="b">
        <f>IF(AK147=0,FALSE,IF(COUNTIF(AK$7:AK147,AK147)&gt;1,TRUE,FALSE))</f>
        <v>0</v>
      </c>
      <c r="AM147" s="212">
        <f t="shared" ref="AM147" si="1630">IF(COUNTIF(Y147,"*七種*")&gt;0,0,IF($AD147=AM$6,$E147,0))</f>
        <v>0</v>
      </c>
      <c r="AN147" s="212" t="b">
        <f>IF(AM147=0,FALSE,IF(COUNTIF(AM$7:AM147,AM147)&gt;1,TRUE,FALSE))</f>
        <v>0</v>
      </c>
      <c r="AO147" s="212">
        <f t="shared" ref="AO147" si="1631">IF($AD147=AO$6,$E147,0)</f>
        <v>0</v>
      </c>
      <c r="AP147" s="212" t="b">
        <f>IF(AO147=0,FALSE,IF(COUNTIF(AO$7:AO147,AO147)&gt;1,TRUE,FALSE))</f>
        <v>0</v>
      </c>
      <c r="AQ147" s="212">
        <f t="shared" ref="AQ147" si="1632">IF(COUNTIF(Y147,"*七種競技*")&gt;0,E147,0)</f>
        <v>0</v>
      </c>
      <c r="AR147" s="212" t="b">
        <f t="shared" si="1503"/>
        <v>0</v>
      </c>
      <c r="AS147" s="212" t="b">
        <f t="shared" ref="AS147" si="1633">IF(AND(C147="",E147&lt;&gt;"",F147&lt;&gt;"",E149&lt;&gt;"",G147&lt;&gt;"",G148&lt;&gt;"",G149&lt;&gt;""),TRUE,FALSE)</f>
        <v>0</v>
      </c>
      <c r="AT147" s="212" t="b">
        <f t="shared" si="1516"/>
        <v>0</v>
      </c>
      <c r="AU147" s="212" t="b">
        <f>IFERROR(IF(E147&amp;F147&amp;E149&amp;G147&amp;G148&amp;G149&amp;J147&amp;J148&amp;J149&amp;J150&amp;L147&amp;L148&amp;L149&amp;L150&amp;M147&amp;M148&amp;M149&amp;M150&amp;P147&amp;P148&amp;P149&amp;P150&amp;Q147&amp;R147="",FALSE,TRUE),FALSE)</f>
        <v>0</v>
      </c>
      <c r="AV147" s="212" t="b">
        <f t="shared" ref="AV147" si="1634">IF(AS147,FALSE,IF(C147="",AU147,FALSE))</f>
        <v>0</v>
      </c>
      <c r="AW147" s="212" t="b">
        <f t="shared" ref="AW147" si="1635">IF(C147="",FALSE,IF(C147&lt;=2000,TRUE,FALSE))</f>
        <v>0</v>
      </c>
      <c r="AX147" s="274" t="b">
        <f>IF(H147=0,FALSE,IF(EXACT(基本情報!$E$5,H147)=TRUE,FALSE,TRUE))</f>
        <v>0</v>
      </c>
      <c r="AY147" s="212" t="b">
        <f>IF(C147="",FALSE,IF(ISNA(E147)=TRUE,TRUE,FALSE))</f>
        <v>0</v>
      </c>
      <c r="AZ147" s="274" t="b">
        <f>IFERROR(IF(E147="",FALSE,IF(COUNTIF($E$7:E147,E147)&gt;1,TRUE,FALSE)),FALSE)</f>
        <v>0</v>
      </c>
      <c r="BA147" s="212" t="b">
        <f t="shared" ref="BA147" si="1636">IF(OR(J147&amp;J148&amp;J149&amp;J150&amp;Q147&amp;R147="",AT147,AT148,AT149,AT150),AU147,FALSE)</f>
        <v>0</v>
      </c>
      <c r="BB147" s="212" t="b">
        <f>IF(U147&gt;1,TRUE,FALSE)</f>
        <v>0</v>
      </c>
      <c r="BC147" s="212" t="b">
        <f>IF(X147&gt;1,TRUE,FALSE)</f>
        <v>0</v>
      </c>
      <c r="BD147" s="212" t="b">
        <f t="shared" si="1490"/>
        <v>0</v>
      </c>
      <c r="BF147" s="212" t="b">
        <f t="shared" ref="BF147" si="1637">IF(J147="",FALSE,IF(OR(AND(AU147,L147=""),AND(AU147,L147="",OR(M147&lt;&gt;"",N147&lt;&gt;"",O147&lt;&gt;"",P147&lt;&gt;""))),TRUE,FALSE))</f>
        <v>0</v>
      </c>
      <c r="BG147" s="212" t="b">
        <f t="shared" si="1492"/>
        <v>0</v>
      </c>
      <c r="BH147" s="212" t="b">
        <f t="shared" si="1505"/>
        <v>0</v>
      </c>
      <c r="BI147" s="212" t="b">
        <f t="shared" ref="BI147" si="1638">IF(J147="",FALSE,IF(L147=0,FALSE,IF(AND(AU147,NOT(BF147),OR(M147="",N147="",O147="")),TRUE,FALSE)))</f>
        <v>0</v>
      </c>
      <c r="BJ147" s="231" t="b">
        <f t="shared" si="1507"/>
        <v>0</v>
      </c>
      <c r="BK147" s="231" t="b">
        <f>IF(NOT(BJ147),FALSE,IF(AND(競技会設定!$C$5&lt;=BJ147,BJ147&lt;=競技会設定!$C$6),FALSE,TRUE))</f>
        <v>0</v>
      </c>
      <c r="BL147" s="212" t="b">
        <f>IF(J147="",FALSE,IF(L147=0,FALSE,IF(AND(AU147,NOT(BF147),NOT(BI147),P147=""),TRUE,FALSE)))</f>
        <v>0</v>
      </c>
      <c r="BO147" s="274">
        <f t="shared" ref="BO147" si="1639">IF(AND(AU147,SUM(COUNTIF(AV147:BC147,TRUE),COUNTIF(BF147:BL150,TRUE),COUNTIF(BD147:BD150,TRUE))=0,NOT($BE$7)),1,0)</f>
        <v>0</v>
      </c>
    </row>
    <row r="148" spans="1:67" ht="17.399999999999999" customHeight="1">
      <c r="A148" s="462"/>
      <c r="B148" s="374"/>
      <c r="C148" s="376"/>
      <c r="D148" s="159"/>
      <c r="E148" s="465"/>
      <c r="F148" s="465"/>
      <c r="G148" s="159" t="str">
        <f>IF(C147="","",(VLOOKUP(D147,女子登録!$A$2:$N$2001,13,0)))</f>
        <v/>
      </c>
      <c r="H148" s="159"/>
      <c r="I148" s="159" t="s">
        <v>4020</v>
      </c>
      <c r="J148" s="175"/>
      <c r="K148" s="159" t="s">
        <v>4023</v>
      </c>
      <c r="L148" s="175"/>
      <c r="M148" s="264"/>
      <c r="N148" s="265"/>
      <c r="O148" s="266"/>
      <c r="P148" s="175"/>
      <c r="Q148" s="449"/>
      <c r="R148" s="409"/>
      <c r="S148" s="136"/>
      <c r="T148" s="137"/>
      <c r="U148" s="137"/>
      <c r="V148" s="137"/>
      <c r="W148" s="137"/>
      <c r="X148" s="137"/>
      <c r="Y148" s="212">
        <f t="shared" ref="Y148" si="1640">IF(OR(E147="",J148=""),0,J148&amp;E147)</f>
        <v>0</v>
      </c>
      <c r="Z148" s="212">
        <f>IF(Y148=0,0,COUNTIF($Y$7:Y148,Y148))</f>
        <v>0</v>
      </c>
      <c r="AD148" s="212">
        <f>IFERROR(VLOOKUP(J148,競技会設定!$T$2:$W$22,2,0),0)</f>
        <v>0</v>
      </c>
      <c r="AE148" s="212">
        <f t="shared" ref="AE148" si="1641">IF(E147="",0,IF(AD148=0,0,IF(AD148&lt;3,E147&amp;$AE$6,0)))</f>
        <v>0</v>
      </c>
      <c r="AF148" s="212">
        <f>IF(AE148=0,0,E147&amp;COUNTIF($AE$7:AE148,AE148))</f>
        <v>0</v>
      </c>
      <c r="AG148" s="212">
        <f t="shared" ref="AG148" si="1642">IF(E147="",0,IF(AD148=0,0,IF(AD148&gt;=3,E147&amp;$AG$6,0)))</f>
        <v>0</v>
      </c>
      <c r="AH148" s="212">
        <f>IF(AG148=0,0,E147&amp;COUNTIF($AG$7:AG148,AG148))</f>
        <v>0</v>
      </c>
      <c r="AI148" s="212">
        <f t="shared" ref="AI148" si="1643">IF($AD148=AI$6,$E147,0)</f>
        <v>0</v>
      </c>
      <c r="AJ148" s="212" t="b">
        <f>IF(AI148=0,FALSE,IF(COUNTIF(AI$7:AI148,AI148)&gt;1,TRUE,FALSE))</f>
        <v>0</v>
      </c>
      <c r="AK148" s="212">
        <f t="shared" ref="AK148" si="1644">IF($AD148=AK$6,$E147,0)</f>
        <v>0</v>
      </c>
      <c r="AL148" s="212" t="b">
        <f>IF(AK148=0,FALSE,IF(COUNTIF(AK$7:AK148,AK148)&gt;1,TRUE,FALSE))</f>
        <v>0</v>
      </c>
      <c r="AM148" s="212">
        <f t="shared" ref="AM148" si="1645">IF(COUNTIF(Y148,"*七種*")&gt;0,0,IF($AD148=AM$6,$E147,0))</f>
        <v>0</v>
      </c>
      <c r="AN148" s="212" t="b">
        <f>IF(AM148=0,FALSE,IF(COUNTIF(AM$7:AM148,AM148)&gt;1,TRUE,FALSE))</f>
        <v>0</v>
      </c>
      <c r="AO148" s="212">
        <f t="shared" ref="AO148" si="1646">IF($AD148=AO$6,$E147,0)</f>
        <v>0</v>
      </c>
      <c r="AP148" s="212" t="b">
        <f>IF(AO148=0,FALSE,IF(COUNTIF(AO$7:AO148,AO148)&gt;1,TRUE,FALSE))</f>
        <v>0</v>
      </c>
      <c r="AQ148" s="212">
        <f t="shared" ref="AQ148" si="1647">IF(COUNTIF(Y148,"*七種競技*")&gt;0,E147,0)</f>
        <v>0</v>
      </c>
      <c r="AR148" s="212" t="b">
        <f t="shared" si="1503"/>
        <v>0</v>
      </c>
      <c r="AT148" s="212" t="b">
        <f t="shared" si="1516"/>
        <v>0</v>
      </c>
      <c r="AX148" s="274"/>
      <c r="BD148" s="212" t="b">
        <f t="shared" si="1490"/>
        <v>0</v>
      </c>
      <c r="BF148" s="212" t="b">
        <f t="shared" ref="BF148" si="1648">IF(J148="",FALSE,IF(OR(AND(AU147,L148=""),AND(AU147,L148="",OR(M148&lt;&gt;"",N148&lt;&gt;"",O148&lt;&gt;"",P148&lt;&gt;""))),TRUE,FALSE))</f>
        <v>0</v>
      </c>
      <c r="BG148" s="212" t="b">
        <f t="shared" si="1492"/>
        <v>0</v>
      </c>
      <c r="BH148" s="212" t="b">
        <f t="shared" si="1505"/>
        <v>0</v>
      </c>
      <c r="BI148" s="212" t="b">
        <f t="shared" ref="BI148" si="1649">IF(J148="",FALSE,IF(L148=0,FALSE,IF(AND(AU147,NOT(BF148),OR(M148="",N148="",O148="")),TRUE,FALSE)))</f>
        <v>0</v>
      </c>
      <c r="BJ148" s="231" t="b">
        <f t="shared" si="1507"/>
        <v>0</v>
      </c>
      <c r="BK148" s="231" t="b">
        <f>IF(NOT(BJ148),FALSE,IF(AND(競技会設定!$C$5&lt;=BJ148,BJ148&lt;=競技会設定!$C$6),FALSE,TRUE))</f>
        <v>0</v>
      </c>
      <c r="BL148" s="212" t="b">
        <f>IF(J148="",FALSE,IF(L148=0,FALSE,IF(AND(AU147,NOT(BF148),NOT(BI148),P148=""),TRUE,FALSE)))</f>
        <v>0</v>
      </c>
    </row>
    <row r="149" spans="1:67" ht="17.399999999999999" customHeight="1">
      <c r="A149" s="462"/>
      <c r="B149" s="374"/>
      <c r="C149" s="376"/>
      <c r="D149" s="160"/>
      <c r="E149" s="452" t="str">
        <f>IF(C147="","",VLOOKUP(D147,女子登録!$A$2:$O$2001,14,0)&amp;" ("&amp;VLOOKUP(D147,女子登録!$A$2:$O$2001,15,0)&amp;")")</f>
        <v/>
      </c>
      <c r="F149" s="453"/>
      <c r="G149" s="160" t="str">
        <f>IF(C147="","",(VLOOKUP(D147,女子登録!$A$2:$N$2001,9,0)))</f>
        <v/>
      </c>
      <c r="H149" s="160"/>
      <c r="I149" s="160" t="s">
        <v>4021</v>
      </c>
      <c r="J149" s="176"/>
      <c r="K149" s="160" t="s">
        <v>6760</v>
      </c>
      <c r="L149" s="176"/>
      <c r="M149" s="264"/>
      <c r="N149" s="265"/>
      <c r="O149" s="266"/>
      <c r="P149" s="175"/>
      <c r="Q149" s="449"/>
      <c r="R149" s="409"/>
      <c r="S149" s="136"/>
      <c r="T149" s="137"/>
      <c r="U149" s="137"/>
      <c r="V149" s="137"/>
      <c r="W149" s="137"/>
      <c r="X149" s="137"/>
      <c r="Y149" s="212">
        <f t="shared" ref="Y149" si="1650">IF(OR(E147="",J149=""),0,J149&amp;E147)</f>
        <v>0</v>
      </c>
      <c r="Z149" s="212">
        <f>IF(Y149=0,0,COUNTIF($Y$7:Y149,Y149))</f>
        <v>0</v>
      </c>
      <c r="AD149" s="212">
        <f>IFERROR(VLOOKUP(J149,競技会設定!$T$2:$W$22,2,0),0)</f>
        <v>0</v>
      </c>
      <c r="AE149" s="212">
        <f t="shared" ref="AE149" si="1651">IF(E147="",0,IF(AD149=0,0,IF(AD149&lt;3,E147&amp;$AE$6,0)))</f>
        <v>0</v>
      </c>
      <c r="AF149" s="212">
        <f>IF(AE149=0,0,E147&amp;COUNTIF($AE$7:AE149,AE149))</f>
        <v>0</v>
      </c>
      <c r="AG149" s="212">
        <f t="shared" ref="AG149" si="1652">IF(E147="",0,IF(AD149=0,0,IF(AD149&gt;=3,E147&amp;$AG$6,0)))</f>
        <v>0</v>
      </c>
      <c r="AH149" s="212">
        <f>IF(AG149=0,0,E147&amp;COUNTIF($AG$7:AG149,AG149))</f>
        <v>0</v>
      </c>
      <c r="AI149" s="212">
        <f t="shared" ref="AI149" si="1653">IF($AD149=AI$6,$E147,0)</f>
        <v>0</v>
      </c>
      <c r="AJ149" s="212" t="b">
        <f>IF(AI149=0,FALSE,IF(COUNTIF(AI$7:AI149,AI149)&gt;1,TRUE,FALSE))</f>
        <v>0</v>
      </c>
      <c r="AK149" s="212">
        <f t="shared" ref="AK149" si="1654">IF($AD149=AK$6,$E147,0)</f>
        <v>0</v>
      </c>
      <c r="AL149" s="212" t="b">
        <f>IF(AK149=0,FALSE,IF(COUNTIF(AK$7:AK149,AK149)&gt;1,TRUE,FALSE))</f>
        <v>0</v>
      </c>
      <c r="AM149" s="212">
        <f t="shared" ref="AM149" si="1655">IF(COUNTIF(Y149,"*七種*")&gt;0,0,IF($AD149=AM$6,$E147,0))</f>
        <v>0</v>
      </c>
      <c r="AN149" s="212" t="b">
        <f>IF(AM149=0,FALSE,IF(COUNTIF(AM$7:AM149,AM149)&gt;1,TRUE,FALSE))</f>
        <v>0</v>
      </c>
      <c r="AO149" s="212">
        <f t="shared" ref="AO149" si="1656">IF($AD149=AO$6,$E147,0)</f>
        <v>0</v>
      </c>
      <c r="AP149" s="212" t="b">
        <f>IF(AO149=0,FALSE,IF(COUNTIF(AO$7:AO149,AO149)&gt;1,TRUE,FALSE))</f>
        <v>0</v>
      </c>
      <c r="AQ149" s="212">
        <f t="shared" ref="AQ149" si="1657">IF(COUNTIF(Y149,"*七種競技*")&gt;0,E147,0)</f>
        <v>0</v>
      </c>
      <c r="AR149" s="212" t="b">
        <f t="shared" si="1503"/>
        <v>0</v>
      </c>
      <c r="AT149" s="212" t="b">
        <f t="shared" si="1516"/>
        <v>0</v>
      </c>
      <c r="AX149" s="274"/>
      <c r="BD149" s="212" t="b">
        <f t="shared" si="1490"/>
        <v>0</v>
      </c>
      <c r="BF149" s="212" t="b">
        <f t="shared" ref="BF149" si="1658">IF(J149="",FALSE,IF(OR(AND(AU147,L149=""),AND(AU147,L149="",OR(M149&lt;&gt;"",N149&lt;&gt;"",O149&lt;&gt;"",P149&lt;&gt;""))),TRUE,FALSE))</f>
        <v>0</v>
      </c>
      <c r="BG149" s="212" t="b">
        <f t="shared" si="1492"/>
        <v>0</v>
      </c>
      <c r="BH149" s="212" t="b">
        <f t="shared" si="1505"/>
        <v>0</v>
      </c>
      <c r="BI149" s="212" t="b">
        <f t="shared" ref="BI149" si="1659">IF(J149="",FALSE,IF(L149=0,FALSE,IF(AND(AU147,NOT(BF149),OR(M149="",N149="",O149="")),TRUE,FALSE)))</f>
        <v>0</v>
      </c>
      <c r="BJ149" s="231" t="b">
        <f t="shared" si="1507"/>
        <v>0</v>
      </c>
      <c r="BK149" s="231" t="b">
        <f>IF(NOT(BJ149),FALSE,IF(AND(競技会設定!$C$5&lt;=BJ149,BJ149&lt;=競技会設定!$C$6),FALSE,TRUE))</f>
        <v>0</v>
      </c>
      <c r="BL149" s="212" t="b">
        <f>IF(J149="",FALSE,IF(L149=0,FALSE,IF(AND(AU147,NOT(BF149),NOT(BI149),P149=""),TRUE,FALSE)))</f>
        <v>0</v>
      </c>
    </row>
    <row r="150" spans="1:67" ht="18" customHeight="1" thickBot="1">
      <c r="A150" s="475"/>
      <c r="B150" s="387" t="s">
        <v>6764</v>
      </c>
      <c r="C150" s="387"/>
      <c r="D150" s="161"/>
      <c r="E150" s="467"/>
      <c r="F150" s="468"/>
      <c r="G150" s="469"/>
      <c r="H150" s="162"/>
      <c r="I150" s="161" t="s">
        <v>6759</v>
      </c>
      <c r="J150" s="177"/>
      <c r="K150" s="161" t="s">
        <v>6761</v>
      </c>
      <c r="L150" s="177"/>
      <c r="M150" s="267"/>
      <c r="N150" s="268"/>
      <c r="O150" s="269"/>
      <c r="P150" s="177"/>
      <c r="Q150" s="466"/>
      <c r="R150" s="410"/>
      <c r="S150" s="136"/>
      <c r="T150" s="137"/>
      <c r="U150" s="137"/>
      <c r="V150" s="137"/>
      <c r="W150" s="137"/>
      <c r="X150" s="137"/>
      <c r="Y150" s="212">
        <f t="shared" ref="Y150" si="1660">IF(OR(E147="",J150=""),0,J150&amp;E147)</f>
        <v>0</v>
      </c>
      <c r="Z150" s="212">
        <f>IF(Y150=0,0,COUNTIF($Y$7:Y150,Y150))</f>
        <v>0</v>
      </c>
      <c r="AD150" s="212">
        <f>IFERROR(VLOOKUP(J150,競技会設定!$T$2:$W$22,2,0),0)</f>
        <v>0</v>
      </c>
      <c r="AE150" s="212">
        <f t="shared" ref="AE150" si="1661">IF(E147="",0,IF(AD150=0,0,IF(AD150&lt;3,E147&amp;$AE$6,0)))</f>
        <v>0</v>
      </c>
      <c r="AF150" s="212">
        <f>IF(AE150=0,0,E147&amp;COUNTIF($AE$7:AE150,AE150))</f>
        <v>0</v>
      </c>
      <c r="AG150" s="212">
        <f t="shared" ref="AG150" si="1662">IF(E147="",0,IF(AD150=0,0,IF(AD150&gt;=3,E147&amp;$AG$6,0)))</f>
        <v>0</v>
      </c>
      <c r="AH150" s="212">
        <f>IF(AG150=0,0,E147&amp;COUNTIF($AG$7:AG150,AG150))</f>
        <v>0</v>
      </c>
      <c r="AI150" s="212">
        <f t="shared" ref="AI150" si="1663">IF($AD150=AI$6,$E147,0)</f>
        <v>0</v>
      </c>
      <c r="AJ150" s="212" t="b">
        <f>IF(AI150=0,FALSE,IF(COUNTIF(AI$7:AI150,AI150)&gt;1,TRUE,FALSE))</f>
        <v>0</v>
      </c>
      <c r="AK150" s="212">
        <f t="shared" ref="AK150" si="1664">IF($AD150=AK$6,$E147,0)</f>
        <v>0</v>
      </c>
      <c r="AL150" s="212" t="b">
        <f>IF(AK150=0,FALSE,IF(COUNTIF(AK$7:AK150,AK150)&gt;1,TRUE,FALSE))</f>
        <v>0</v>
      </c>
      <c r="AM150" s="212">
        <f t="shared" ref="AM150" si="1665">IF(COUNTIF(Y150,"*七種*")&gt;0,0,IF($AD150=AM$6,$E147,0))</f>
        <v>0</v>
      </c>
      <c r="AN150" s="212" t="b">
        <f>IF(AM150=0,FALSE,IF(COUNTIF(AM$7:AM150,AM150)&gt;1,TRUE,FALSE))</f>
        <v>0</v>
      </c>
      <c r="AO150" s="212">
        <f t="shared" ref="AO150" si="1666">IF($AD150=AO$6,$E147,0)</f>
        <v>0</v>
      </c>
      <c r="AP150" s="212" t="b">
        <f>IF(AO150=0,FALSE,IF(COUNTIF(AO$7:AO150,AO150)&gt;1,TRUE,FALSE))</f>
        <v>0</v>
      </c>
      <c r="AQ150" s="212">
        <f t="shared" ref="AQ150" si="1667">IF(COUNTIF(Y150,"*七種競技*")&gt;0,E147,0)</f>
        <v>0</v>
      </c>
      <c r="AR150" s="212" t="b">
        <f t="shared" si="1503"/>
        <v>0</v>
      </c>
      <c r="AT150" s="212" t="b">
        <f t="shared" si="1516"/>
        <v>0</v>
      </c>
      <c r="AX150" s="274"/>
      <c r="BD150" s="212" t="b">
        <f t="shared" si="1490"/>
        <v>0</v>
      </c>
      <c r="BF150" s="212" t="b">
        <f t="shared" ref="BF150" si="1668">IF(J150="",FALSE,IF(OR(AND(AU147,L150=""),AND(AU147,L150="",OR(M150&lt;&gt;"",N150&lt;&gt;"",O150&lt;&gt;"",P150&lt;&gt;""))),TRUE,FALSE))</f>
        <v>0</v>
      </c>
      <c r="BG150" s="212" t="b">
        <f t="shared" si="1492"/>
        <v>0</v>
      </c>
      <c r="BH150" s="212" t="b">
        <f t="shared" si="1505"/>
        <v>0</v>
      </c>
      <c r="BI150" s="212" t="b">
        <f t="shared" ref="BI150" si="1669">IF(J150="",FALSE,IF(L150=0,FALSE,IF(AND(AU147,NOT(BF150),OR(M150="",N150="",O150="")),TRUE,FALSE)))</f>
        <v>0</v>
      </c>
      <c r="BJ150" s="231" t="b">
        <f t="shared" si="1507"/>
        <v>0</v>
      </c>
      <c r="BK150" s="231" t="b">
        <f>IF(NOT(BJ150),FALSE,IF(AND(競技会設定!$C$5&lt;=BJ150,BJ150&lt;=競技会設定!$C$6),FALSE,TRUE))</f>
        <v>0</v>
      </c>
      <c r="BL150" s="212" t="b">
        <f>IF(J150="",FALSE,IF(L150=0,FALSE,IF(AND(AU147,NOT(BF150),NOT(BI150),P150=""),TRUE,FALSE)))</f>
        <v>0</v>
      </c>
    </row>
    <row r="151" spans="1:67" ht="18" customHeight="1" thickTop="1">
      <c r="A151" s="470">
        <v>37</v>
      </c>
      <c r="B151" s="401" t="s">
        <v>4018</v>
      </c>
      <c r="C151" s="403"/>
      <c r="D151" s="156" t="str">
        <f t="shared" ref="D151" si="1670">IF(C151="","",502&amp;TEXT(C151,"000000"))</f>
        <v/>
      </c>
      <c r="E151" s="473" t="str">
        <f>IF(D151="","",(VLOOKUP(D151,女子登録!$A$2:$N$2001,3,0)))</f>
        <v/>
      </c>
      <c r="F151" s="473" t="str">
        <f>IF(D151="","",(VLOOKUP(D151,女子登録!$A$2:$N$2001,4,0)))</f>
        <v/>
      </c>
      <c r="G151" s="156" t="str">
        <f>IF(C151="","",(VLOOKUP(D151,女子登録!$A$2:$N$2001,8,0)))</f>
        <v/>
      </c>
      <c r="H151" s="156">
        <f>IFERROR(VLOOKUP(D151,女子登録!$A$2:$N$2001,11,0),基本情報!$E$5)</f>
        <v>0</v>
      </c>
      <c r="I151" s="156" t="s">
        <v>4019</v>
      </c>
      <c r="J151" s="170"/>
      <c r="K151" s="156" t="s">
        <v>4022</v>
      </c>
      <c r="L151" s="170"/>
      <c r="M151" s="252"/>
      <c r="N151" s="253"/>
      <c r="O151" s="254"/>
      <c r="P151" s="170"/>
      <c r="Q151" s="457"/>
      <c r="R151" s="414"/>
      <c r="S151" s="136">
        <f t="shared" ref="S151" si="1671">IF(OR(E151="",Q151=""),0,E151)</f>
        <v>0</v>
      </c>
      <c r="T151" s="137">
        <f>IF(S151=0,0,COUNTIF($S$7:S151,"*"))</f>
        <v>0</v>
      </c>
      <c r="U151" s="137">
        <f>IF(S151=0,0,COUNTIF($S$7:S151,S151))</f>
        <v>0</v>
      </c>
      <c r="V151" s="137">
        <f t="shared" si="960"/>
        <v>0</v>
      </c>
      <c r="W151" s="137">
        <f>IF(V151=0,0,COUNTIF($V$7:V151,"*"))</f>
        <v>0</v>
      </c>
      <c r="X151" s="137">
        <f>IF(V151=0,0,COUNTIF($V$7:V151,V151))</f>
        <v>0</v>
      </c>
      <c r="Y151" s="212">
        <f t="shared" ref="Y151" si="1672">IF(OR(E151="",J151=""),0,J151&amp;E151)</f>
        <v>0</v>
      </c>
      <c r="Z151" s="212">
        <f>IF(Y151=0,0,COUNTIF($Y$7:Y151,Y151))</f>
        <v>0</v>
      </c>
      <c r="AA151" s="212" t="b">
        <f>IF(COUNTIF(J151:J154,"七種競技")&gt;0,TRUE,FALSE)</f>
        <v>0</v>
      </c>
      <c r="AB151" s="212">
        <f>IF(E151="",0,IF(AA151,COUNTIF($AA$7:AA151,TRUE),0))</f>
        <v>0</v>
      </c>
      <c r="AC151" s="212">
        <f>IFERROR(VLOOKUP("七種競技",J151:L154,3,0),0)</f>
        <v>0</v>
      </c>
      <c r="AD151" s="212">
        <f>IFERROR(VLOOKUP(J151,競技会設定!$T$2:$W$22,2,0),0)</f>
        <v>0</v>
      </c>
      <c r="AE151" s="212">
        <f t="shared" ref="AE151" si="1673">IF(E151="",0,IF(AD151=0,0,IF(AD151&lt;3,E151&amp;$AE$6,0)))</f>
        <v>0</v>
      </c>
      <c r="AF151" s="212">
        <f>IF(AE151=0,0,E151&amp;COUNTIF($AE$7:AE151,AE151))</f>
        <v>0</v>
      </c>
      <c r="AG151" s="212">
        <f t="shared" ref="AG151" si="1674">IF(E151="",0,IF(AD151=0,0,IF(AD151&gt;=3,E151&amp;$AG$6,0)))</f>
        <v>0</v>
      </c>
      <c r="AH151" s="212">
        <f>IF(AG151=0,0,E151&amp;COUNTIF($AG$7:AG151,AG151))</f>
        <v>0</v>
      </c>
      <c r="AI151" s="212">
        <f t="shared" ref="AI151" si="1675">IF($AD151=AI$6,$E151,0)</f>
        <v>0</v>
      </c>
      <c r="AJ151" s="212" t="b">
        <f>IF(AI151=0,FALSE,IF(COUNTIF(AI$7:AI151,AI151)&gt;1,TRUE,FALSE))</f>
        <v>0</v>
      </c>
      <c r="AK151" s="212">
        <f t="shared" ref="AK151" si="1676">IF($AD151=AK$6,$E151,0)</f>
        <v>0</v>
      </c>
      <c r="AL151" s="212" t="b">
        <f>IF(AK151=0,FALSE,IF(COUNTIF(AK$7:AK151,AK151)&gt;1,TRUE,FALSE))</f>
        <v>0</v>
      </c>
      <c r="AM151" s="212">
        <f t="shared" ref="AM151" si="1677">IF(COUNTIF(Y151,"*七種*")&gt;0,0,IF($AD151=AM$6,$E151,0))</f>
        <v>0</v>
      </c>
      <c r="AN151" s="212" t="b">
        <f>IF(AM151=0,FALSE,IF(COUNTIF(AM$7:AM151,AM151)&gt;1,TRUE,FALSE))</f>
        <v>0</v>
      </c>
      <c r="AO151" s="212">
        <f t="shared" ref="AO151" si="1678">IF($AD151=AO$6,$E151,0)</f>
        <v>0</v>
      </c>
      <c r="AP151" s="212" t="b">
        <f>IF(AO151=0,FALSE,IF(COUNTIF(AO$7:AO151,AO151)&gt;1,TRUE,FALSE))</f>
        <v>0</v>
      </c>
      <c r="AQ151" s="212">
        <f t="shared" ref="AQ151" si="1679">IF(COUNTIF(Y151,"*七種競技*")&gt;0,E151,0)</f>
        <v>0</v>
      </c>
      <c r="AR151" s="212" t="b">
        <f t="shared" si="1503"/>
        <v>0</v>
      </c>
      <c r="AS151" s="212" t="b">
        <f t="shared" ref="AS151" si="1680">IF(AND(C151="",E151&lt;&gt;"",F151&lt;&gt;"",E153&lt;&gt;"",G151&lt;&gt;"",G152&lt;&gt;"",G153&lt;&gt;""),TRUE,FALSE)</f>
        <v>0</v>
      </c>
      <c r="AT151" s="212" t="b">
        <f t="shared" si="1516"/>
        <v>0</v>
      </c>
      <c r="AU151" s="212" t="b">
        <f>IFERROR(IF(E151&amp;F151&amp;E153&amp;G151&amp;G152&amp;G153&amp;J151&amp;J152&amp;J153&amp;J154&amp;L151&amp;L152&amp;L153&amp;L154&amp;M151&amp;M152&amp;M153&amp;M154&amp;P151&amp;P152&amp;P153&amp;P154&amp;Q151&amp;R151="",FALSE,TRUE),FALSE)</f>
        <v>0</v>
      </c>
      <c r="AV151" s="212" t="b">
        <f t="shared" ref="AV151" si="1681">IF(AS151,FALSE,IF(C151="",AU151,FALSE))</f>
        <v>0</v>
      </c>
      <c r="AW151" s="212" t="b">
        <f t="shared" ref="AW151" si="1682">IF(C151="",FALSE,IF(C151&lt;=2000,TRUE,FALSE))</f>
        <v>0</v>
      </c>
      <c r="AX151" s="274" t="b">
        <f>IF(H151=0,FALSE,IF(EXACT(基本情報!$E$5,H151)=TRUE,FALSE,TRUE))</f>
        <v>0</v>
      </c>
      <c r="AY151" s="212" t="b">
        <f>IF(C151="",FALSE,IF(ISNA(E151)=TRUE,TRUE,FALSE))</f>
        <v>0</v>
      </c>
      <c r="AZ151" s="274" t="b">
        <f>IFERROR(IF(E151="",FALSE,IF(COUNTIF($E$7:E151,E151)&gt;1,TRUE,FALSE)),FALSE)</f>
        <v>0</v>
      </c>
      <c r="BA151" s="212" t="b">
        <f t="shared" ref="BA151" si="1683">IF(OR(J151&amp;J152&amp;J153&amp;J154&amp;Q151&amp;R151="",AT151,AT152,AT153,AT154),AU151,FALSE)</f>
        <v>0</v>
      </c>
      <c r="BB151" s="212" t="b">
        <f>IF(U151&gt;1,TRUE,FALSE)</f>
        <v>0</v>
      </c>
      <c r="BC151" s="212" t="b">
        <f>IF(X151&gt;1,TRUE,FALSE)</f>
        <v>0</v>
      </c>
      <c r="BD151" s="212" t="b">
        <f t="shared" si="1490"/>
        <v>0</v>
      </c>
      <c r="BF151" s="212" t="b">
        <f t="shared" ref="BF151" si="1684">IF(J151="",FALSE,IF(OR(AND(AU151,L151=""),AND(AU151,L151="",OR(M151&lt;&gt;"",N151&lt;&gt;"",O151&lt;&gt;"",P151&lt;&gt;""))),TRUE,FALSE))</f>
        <v>0</v>
      </c>
      <c r="BG151" s="212" t="b">
        <f t="shared" si="1492"/>
        <v>0</v>
      </c>
      <c r="BH151" s="212" t="b">
        <f t="shared" si="1505"/>
        <v>0</v>
      </c>
      <c r="BI151" s="212" t="b">
        <f t="shared" ref="BI151" si="1685">IF(J151="",FALSE,IF(L151=0,FALSE,IF(AND(AU151,NOT(BF151),OR(M151="",N151="",O151="")),TRUE,FALSE)))</f>
        <v>0</v>
      </c>
      <c r="BJ151" s="231" t="b">
        <f t="shared" si="1507"/>
        <v>0</v>
      </c>
      <c r="BK151" s="231" t="b">
        <f>IF(NOT(BJ151),FALSE,IF(AND(競技会設定!$C$5&lt;=BJ151,BJ151&lt;=競技会設定!$C$6),FALSE,TRUE))</f>
        <v>0</v>
      </c>
      <c r="BL151" s="212" t="b">
        <f>IF(J151="",FALSE,IF(L151=0,FALSE,IF(AND(AU151,NOT(BF151),NOT(BI151),P151=""),TRUE,FALSE)))</f>
        <v>0</v>
      </c>
      <c r="BO151" s="274">
        <f t="shared" ref="BO151" si="1686">IF(AND(AU151,SUM(COUNTIF(AV151:BC151,TRUE),COUNTIF(BF151:BL154,TRUE),COUNTIF(BD151:BD154,TRUE))=0,NOT($BE$7)),1,0)</f>
        <v>0</v>
      </c>
    </row>
    <row r="152" spans="1:67" ht="17.399999999999999" customHeight="1">
      <c r="A152" s="471"/>
      <c r="B152" s="402"/>
      <c r="C152" s="404"/>
      <c r="D152" s="11"/>
      <c r="E152" s="474"/>
      <c r="F152" s="474"/>
      <c r="G152" s="11" t="str">
        <f>IF(C151="","",(VLOOKUP(D151,女子登録!$A$2:$N$2001,13,0)))</f>
        <v/>
      </c>
      <c r="H152" s="11"/>
      <c r="I152" s="11" t="s">
        <v>4020</v>
      </c>
      <c r="J152" s="171"/>
      <c r="K152" s="11" t="s">
        <v>4023</v>
      </c>
      <c r="L152" s="171"/>
      <c r="M152" s="255"/>
      <c r="N152" s="256"/>
      <c r="O152" s="257"/>
      <c r="P152" s="171"/>
      <c r="Q152" s="458"/>
      <c r="R152" s="415"/>
      <c r="S152" s="136"/>
      <c r="T152" s="137"/>
      <c r="U152" s="137"/>
      <c r="V152" s="137"/>
      <c r="W152" s="137"/>
      <c r="X152" s="137"/>
      <c r="Y152" s="212">
        <f t="shared" ref="Y152" si="1687">IF(OR(E151="",J152=""),0,J152&amp;E151)</f>
        <v>0</v>
      </c>
      <c r="Z152" s="212">
        <f>IF(Y152=0,0,COUNTIF($Y$7:Y152,Y152))</f>
        <v>0</v>
      </c>
      <c r="AD152" s="212">
        <f>IFERROR(VLOOKUP(J152,競技会設定!$T$2:$W$22,2,0),0)</f>
        <v>0</v>
      </c>
      <c r="AE152" s="212">
        <f t="shared" ref="AE152" si="1688">IF(E151="",0,IF(AD152=0,0,IF(AD152&lt;3,E151&amp;$AE$6,0)))</f>
        <v>0</v>
      </c>
      <c r="AF152" s="212">
        <f>IF(AE152=0,0,E151&amp;COUNTIF($AE$7:AE152,AE152))</f>
        <v>0</v>
      </c>
      <c r="AG152" s="212">
        <f t="shared" ref="AG152" si="1689">IF(E151="",0,IF(AD152=0,0,IF(AD152&gt;=3,E151&amp;$AG$6,0)))</f>
        <v>0</v>
      </c>
      <c r="AH152" s="212">
        <f>IF(AG152=0,0,E151&amp;COUNTIF($AG$7:AG152,AG152))</f>
        <v>0</v>
      </c>
      <c r="AI152" s="212">
        <f t="shared" ref="AI152" si="1690">IF($AD152=AI$6,$E151,0)</f>
        <v>0</v>
      </c>
      <c r="AJ152" s="212" t="b">
        <f>IF(AI152=0,FALSE,IF(COUNTIF(AI$7:AI152,AI152)&gt;1,TRUE,FALSE))</f>
        <v>0</v>
      </c>
      <c r="AK152" s="212">
        <f t="shared" ref="AK152" si="1691">IF($AD152=AK$6,$E151,0)</f>
        <v>0</v>
      </c>
      <c r="AL152" s="212" t="b">
        <f>IF(AK152=0,FALSE,IF(COUNTIF(AK$7:AK152,AK152)&gt;1,TRUE,FALSE))</f>
        <v>0</v>
      </c>
      <c r="AM152" s="212">
        <f t="shared" ref="AM152" si="1692">IF(COUNTIF(Y152,"*七種*")&gt;0,0,IF($AD152=AM$6,$E151,0))</f>
        <v>0</v>
      </c>
      <c r="AN152" s="212" t="b">
        <f>IF(AM152=0,FALSE,IF(COUNTIF(AM$7:AM152,AM152)&gt;1,TRUE,FALSE))</f>
        <v>0</v>
      </c>
      <c r="AO152" s="212">
        <f t="shared" ref="AO152" si="1693">IF($AD152=AO$6,$E151,0)</f>
        <v>0</v>
      </c>
      <c r="AP152" s="212" t="b">
        <f>IF(AO152=0,FALSE,IF(COUNTIF(AO$7:AO152,AO152)&gt;1,TRUE,FALSE))</f>
        <v>0</v>
      </c>
      <c r="AQ152" s="212">
        <f t="shared" ref="AQ152" si="1694">IF(COUNTIF(Y152,"*七種競技*")&gt;0,E151,0)</f>
        <v>0</v>
      </c>
      <c r="AR152" s="212" t="b">
        <f t="shared" si="1503"/>
        <v>0</v>
      </c>
      <c r="AT152" s="212" t="b">
        <f t="shared" si="1516"/>
        <v>0</v>
      </c>
      <c r="AX152" s="274"/>
      <c r="BD152" s="212" t="b">
        <f t="shared" si="1490"/>
        <v>0</v>
      </c>
      <c r="BF152" s="212" t="b">
        <f t="shared" ref="BF152" si="1695">IF(J152="",FALSE,IF(OR(AND(AU151,L152=""),AND(AU151,L152="",OR(M152&lt;&gt;"",N152&lt;&gt;"",O152&lt;&gt;"",P152&lt;&gt;""))),TRUE,FALSE))</f>
        <v>0</v>
      </c>
      <c r="BG152" s="212" t="b">
        <f t="shared" si="1492"/>
        <v>0</v>
      </c>
      <c r="BH152" s="212" t="b">
        <f t="shared" si="1505"/>
        <v>0</v>
      </c>
      <c r="BI152" s="212" t="b">
        <f t="shared" ref="BI152" si="1696">IF(J152="",FALSE,IF(L152=0,FALSE,IF(AND(AU151,NOT(BF152),OR(M152="",N152="",O152="")),TRUE,FALSE)))</f>
        <v>0</v>
      </c>
      <c r="BJ152" s="231" t="b">
        <f t="shared" si="1507"/>
        <v>0</v>
      </c>
      <c r="BK152" s="231" t="b">
        <f>IF(NOT(BJ152),FALSE,IF(AND(競技会設定!$C$5&lt;=BJ152,BJ152&lt;=競技会設定!$C$6),FALSE,TRUE))</f>
        <v>0</v>
      </c>
      <c r="BL152" s="212" t="b">
        <f>IF(J152="",FALSE,IF(L152=0,FALSE,IF(AND(AU151,NOT(BF152),NOT(BI152),P152=""),TRUE,FALSE)))</f>
        <v>0</v>
      </c>
    </row>
    <row r="153" spans="1:67" ht="17.399999999999999" customHeight="1">
      <c r="A153" s="471"/>
      <c r="B153" s="402"/>
      <c r="C153" s="404"/>
      <c r="D153" s="11"/>
      <c r="E153" s="348" t="str">
        <f>IF(C151="","",VLOOKUP(D151,女子登録!$A$2:$O$2001,14,0)&amp;" ("&amp;VLOOKUP(D151,女子登録!$A$2:$O$2001,15,0)&amp;")")</f>
        <v/>
      </c>
      <c r="F153" s="348"/>
      <c r="G153" s="13" t="str">
        <f>IF(C151="","",(VLOOKUP(D151,女子登録!$A$2:$N$2001,9,0)))</f>
        <v/>
      </c>
      <c r="H153" s="13"/>
      <c r="I153" s="13" t="s">
        <v>4021</v>
      </c>
      <c r="J153" s="172"/>
      <c r="K153" s="13" t="s">
        <v>6760</v>
      </c>
      <c r="L153" s="172"/>
      <c r="M153" s="255"/>
      <c r="N153" s="256"/>
      <c r="O153" s="257"/>
      <c r="P153" s="171"/>
      <c r="Q153" s="458"/>
      <c r="R153" s="415"/>
      <c r="S153" s="136"/>
      <c r="T153" s="137"/>
      <c r="U153" s="137"/>
      <c r="V153" s="137"/>
      <c r="W153" s="137"/>
      <c r="X153" s="137"/>
      <c r="Y153" s="212">
        <f t="shared" ref="Y153" si="1697">IF(OR(E151="",J153=""),0,J153&amp;E151)</f>
        <v>0</v>
      </c>
      <c r="Z153" s="212">
        <f>IF(Y153=0,0,COUNTIF($Y$7:Y153,Y153))</f>
        <v>0</v>
      </c>
      <c r="AD153" s="212">
        <f>IFERROR(VLOOKUP(J153,競技会設定!$T$2:$W$22,2,0),0)</f>
        <v>0</v>
      </c>
      <c r="AE153" s="212">
        <f t="shared" ref="AE153" si="1698">IF(E151="",0,IF(AD153=0,0,IF(AD153&lt;3,E151&amp;$AE$6,0)))</f>
        <v>0</v>
      </c>
      <c r="AF153" s="212">
        <f>IF(AE153=0,0,E151&amp;COUNTIF($AE$7:AE153,AE153))</f>
        <v>0</v>
      </c>
      <c r="AG153" s="212">
        <f t="shared" ref="AG153" si="1699">IF(E151="",0,IF(AD153=0,0,IF(AD153&gt;=3,E151&amp;$AG$6,0)))</f>
        <v>0</v>
      </c>
      <c r="AH153" s="212">
        <f>IF(AG153=0,0,E151&amp;COUNTIF($AG$7:AG153,AG153))</f>
        <v>0</v>
      </c>
      <c r="AI153" s="212">
        <f t="shared" ref="AI153" si="1700">IF($AD153=AI$6,$E151,0)</f>
        <v>0</v>
      </c>
      <c r="AJ153" s="212" t="b">
        <f>IF(AI153=0,FALSE,IF(COUNTIF(AI$7:AI153,AI153)&gt;1,TRUE,FALSE))</f>
        <v>0</v>
      </c>
      <c r="AK153" s="212">
        <f t="shared" ref="AK153" si="1701">IF($AD153=AK$6,$E151,0)</f>
        <v>0</v>
      </c>
      <c r="AL153" s="212" t="b">
        <f>IF(AK153=0,FALSE,IF(COUNTIF(AK$7:AK153,AK153)&gt;1,TRUE,FALSE))</f>
        <v>0</v>
      </c>
      <c r="AM153" s="212">
        <f t="shared" ref="AM153" si="1702">IF(COUNTIF(Y153,"*七種*")&gt;0,0,IF($AD153=AM$6,$E151,0))</f>
        <v>0</v>
      </c>
      <c r="AN153" s="212" t="b">
        <f>IF(AM153=0,FALSE,IF(COUNTIF(AM$7:AM153,AM153)&gt;1,TRUE,FALSE))</f>
        <v>0</v>
      </c>
      <c r="AO153" s="212">
        <f t="shared" ref="AO153" si="1703">IF($AD153=AO$6,$E151,0)</f>
        <v>0</v>
      </c>
      <c r="AP153" s="212" t="b">
        <f>IF(AO153=0,FALSE,IF(COUNTIF(AO$7:AO153,AO153)&gt;1,TRUE,FALSE))</f>
        <v>0</v>
      </c>
      <c r="AQ153" s="212">
        <f t="shared" ref="AQ153" si="1704">IF(COUNTIF(Y153,"*七種競技*")&gt;0,E151,0)</f>
        <v>0</v>
      </c>
      <c r="AR153" s="212" t="b">
        <f t="shared" si="1503"/>
        <v>0</v>
      </c>
      <c r="AT153" s="212" t="b">
        <f t="shared" si="1516"/>
        <v>0</v>
      </c>
      <c r="AX153" s="274"/>
      <c r="BD153" s="212" t="b">
        <f t="shared" si="1490"/>
        <v>0</v>
      </c>
      <c r="BF153" s="212" t="b">
        <f t="shared" ref="BF153" si="1705">IF(J153="",FALSE,IF(OR(AND(AU151,L153=""),AND(AU151,L153="",OR(M153&lt;&gt;"",N153&lt;&gt;"",O153&lt;&gt;"",P153&lt;&gt;""))),TRUE,FALSE))</f>
        <v>0</v>
      </c>
      <c r="BG153" s="212" t="b">
        <f t="shared" si="1492"/>
        <v>0</v>
      </c>
      <c r="BH153" s="212" t="b">
        <f t="shared" si="1505"/>
        <v>0</v>
      </c>
      <c r="BI153" s="212" t="b">
        <f t="shared" ref="BI153" si="1706">IF(J153="",FALSE,IF(L153=0,FALSE,IF(AND(AU151,NOT(BF153),OR(M153="",N153="",O153="")),TRUE,FALSE)))</f>
        <v>0</v>
      </c>
      <c r="BJ153" s="231" t="b">
        <f t="shared" si="1507"/>
        <v>0</v>
      </c>
      <c r="BK153" s="231" t="b">
        <f>IF(NOT(BJ153),FALSE,IF(AND(競技会設定!$C$5&lt;=BJ153,BJ153&lt;=競技会設定!$C$6),FALSE,TRUE))</f>
        <v>0</v>
      </c>
      <c r="BL153" s="212" t="b">
        <f>IF(J153="",FALSE,IF(L153=0,FALSE,IF(AND(AU151,NOT(BF153),NOT(BI153),P153=""),TRUE,FALSE)))</f>
        <v>0</v>
      </c>
    </row>
    <row r="154" spans="1:67" ht="18" customHeight="1" thickBot="1">
      <c r="A154" s="472"/>
      <c r="B154" s="395" t="s">
        <v>6764</v>
      </c>
      <c r="C154" s="395"/>
      <c r="D154" s="11"/>
      <c r="E154" s="460"/>
      <c r="F154" s="460"/>
      <c r="G154" s="460"/>
      <c r="H154" s="157"/>
      <c r="I154" s="157" t="s">
        <v>6759</v>
      </c>
      <c r="J154" s="173"/>
      <c r="K154" s="157" t="s">
        <v>6761</v>
      </c>
      <c r="L154" s="173"/>
      <c r="M154" s="258"/>
      <c r="N154" s="259"/>
      <c r="O154" s="260"/>
      <c r="P154" s="173"/>
      <c r="Q154" s="459"/>
      <c r="R154" s="416"/>
      <c r="S154" s="136"/>
      <c r="T154" s="137"/>
      <c r="U154" s="137"/>
      <c r="V154" s="137"/>
      <c r="W154" s="137"/>
      <c r="X154" s="137"/>
      <c r="Y154" s="212">
        <f t="shared" ref="Y154" si="1707">IF(OR(E151="",J154=""),0,J154&amp;E151)</f>
        <v>0</v>
      </c>
      <c r="Z154" s="212">
        <f>IF(Y154=0,0,COUNTIF($Y$7:Y154,Y154))</f>
        <v>0</v>
      </c>
      <c r="AD154" s="212">
        <f>IFERROR(VLOOKUP(J154,競技会設定!$T$2:$W$22,2,0),0)</f>
        <v>0</v>
      </c>
      <c r="AE154" s="212">
        <f t="shared" ref="AE154" si="1708">IF(E151="",0,IF(AD154=0,0,IF(AD154&lt;3,E151&amp;$AE$6,0)))</f>
        <v>0</v>
      </c>
      <c r="AF154" s="212">
        <f>IF(AE154=0,0,E151&amp;COUNTIF($AE$7:AE154,AE154))</f>
        <v>0</v>
      </c>
      <c r="AG154" s="212">
        <f t="shared" ref="AG154" si="1709">IF(E151="",0,IF(AD154=0,0,IF(AD154&gt;=3,E151&amp;$AG$6,0)))</f>
        <v>0</v>
      </c>
      <c r="AH154" s="212">
        <f>IF(AG154=0,0,E151&amp;COUNTIF($AG$7:AG154,AG154))</f>
        <v>0</v>
      </c>
      <c r="AI154" s="212">
        <f t="shared" ref="AI154" si="1710">IF($AD154=AI$6,$E151,0)</f>
        <v>0</v>
      </c>
      <c r="AJ154" s="212" t="b">
        <f>IF(AI154=0,FALSE,IF(COUNTIF(AI$7:AI154,AI154)&gt;1,TRUE,FALSE))</f>
        <v>0</v>
      </c>
      <c r="AK154" s="212">
        <f t="shared" ref="AK154" si="1711">IF($AD154=AK$6,$E151,0)</f>
        <v>0</v>
      </c>
      <c r="AL154" s="212" t="b">
        <f>IF(AK154=0,FALSE,IF(COUNTIF(AK$7:AK154,AK154)&gt;1,TRUE,FALSE))</f>
        <v>0</v>
      </c>
      <c r="AM154" s="212">
        <f t="shared" ref="AM154" si="1712">IF(COUNTIF(Y154,"*七種*")&gt;0,0,IF($AD154=AM$6,$E151,0))</f>
        <v>0</v>
      </c>
      <c r="AN154" s="212" t="b">
        <f>IF(AM154=0,FALSE,IF(COUNTIF(AM$7:AM154,AM154)&gt;1,TRUE,FALSE))</f>
        <v>0</v>
      </c>
      <c r="AO154" s="212">
        <f t="shared" ref="AO154" si="1713">IF($AD154=AO$6,$E151,0)</f>
        <v>0</v>
      </c>
      <c r="AP154" s="212" t="b">
        <f>IF(AO154=0,FALSE,IF(COUNTIF(AO$7:AO154,AO154)&gt;1,TRUE,FALSE))</f>
        <v>0</v>
      </c>
      <c r="AQ154" s="212">
        <f t="shared" ref="AQ154" si="1714">IF(COUNTIF(Y154,"*七種競技*")&gt;0,E151,0)</f>
        <v>0</v>
      </c>
      <c r="AR154" s="212" t="b">
        <f t="shared" si="1503"/>
        <v>0</v>
      </c>
      <c r="AT154" s="212" t="b">
        <f t="shared" si="1516"/>
        <v>0</v>
      </c>
      <c r="AX154" s="274"/>
      <c r="BD154" s="212" t="b">
        <f t="shared" si="1490"/>
        <v>0</v>
      </c>
      <c r="BF154" s="212" t="b">
        <f t="shared" ref="BF154" si="1715">IF(J154="",FALSE,IF(OR(AND(AU151,L154=""),AND(AU151,L154="",OR(M154&lt;&gt;"",N154&lt;&gt;"",O154&lt;&gt;"",P154&lt;&gt;""))),TRUE,FALSE))</f>
        <v>0</v>
      </c>
      <c r="BG154" s="212" t="b">
        <f t="shared" si="1492"/>
        <v>0</v>
      </c>
      <c r="BH154" s="212" t="b">
        <f t="shared" si="1505"/>
        <v>0</v>
      </c>
      <c r="BI154" s="212" t="b">
        <f t="shared" ref="BI154" si="1716">IF(J154="",FALSE,IF(L154=0,FALSE,IF(AND(AU151,NOT(BF154),OR(M154="",N154="",O154="")),TRUE,FALSE)))</f>
        <v>0</v>
      </c>
      <c r="BJ154" s="231" t="b">
        <f t="shared" si="1507"/>
        <v>0</v>
      </c>
      <c r="BK154" s="231" t="b">
        <f>IF(NOT(BJ154),FALSE,IF(AND(競技会設定!$C$5&lt;=BJ154,BJ154&lt;=競技会設定!$C$6),FALSE,TRUE))</f>
        <v>0</v>
      </c>
      <c r="BL154" s="212" t="b">
        <f>IF(J154="",FALSE,IF(L154=0,FALSE,IF(AND(AU151,NOT(BF154),NOT(BI154),P154=""),TRUE,FALSE)))</f>
        <v>0</v>
      </c>
    </row>
    <row r="155" spans="1:67" ht="18" customHeight="1" thickTop="1">
      <c r="A155" s="461">
        <v>38</v>
      </c>
      <c r="B155" s="373" t="s">
        <v>4018</v>
      </c>
      <c r="C155" s="375"/>
      <c r="D155" s="158" t="str">
        <f t="shared" ref="D155" si="1717">IF(C155="","",502&amp;TEXT(C155,"000000"))</f>
        <v/>
      </c>
      <c r="E155" s="464" t="str">
        <f>IF(D155="","",(VLOOKUP(D155,女子登録!$A$2:$N$2001,3,0)))</f>
        <v/>
      </c>
      <c r="F155" s="464" t="str">
        <f>IF(D155="","",(VLOOKUP(D155,女子登録!$A$2:$N$2001,4,0)))</f>
        <v/>
      </c>
      <c r="G155" s="158" t="str">
        <f>IF(C155="","",(VLOOKUP(D155,女子登録!$A$2:$N$2001,8,0)))</f>
        <v/>
      </c>
      <c r="H155" s="158">
        <f>IFERROR(VLOOKUP(D155,女子登録!$A$2:$N$2001,11,0),基本情報!$E$5)</f>
        <v>0</v>
      </c>
      <c r="I155" s="158" t="s">
        <v>4019</v>
      </c>
      <c r="J155" s="174"/>
      <c r="K155" s="158" t="s">
        <v>4022</v>
      </c>
      <c r="L155" s="174"/>
      <c r="M155" s="261"/>
      <c r="N155" s="262"/>
      <c r="O155" s="263"/>
      <c r="P155" s="174"/>
      <c r="Q155" s="448"/>
      <c r="R155" s="408"/>
      <c r="S155" s="136">
        <f t="shared" ref="S155" si="1718">IF(OR(E155="",Q155=""),0,E155)</f>
        <v>0</v>
      </c>
      <c r="T155" s="137">
        <f>IF(S155=0,0,COUNTIF($S$7:S155,"*"))</f>
        <v>0</v>
      </c>
      <c r="U155" s="137">
        <f>IF(S155=0,0,COUNTIF($S$7:S155,S155))</f>
        <v>0</v>
      </c>
      <c r="V155" s="137">
        <f t="shared" ref="V155:V215" si="1719">IF(OR(E155="",R155=""),0,E155&amp;MAX(COUNTIF($AG$7:$AG$406,E155&amp;"nans21v"))+1)</f>
        <v>0</v>
      </c>
      <c r="W155" s="137">
        <f>IF(V155=0,0,COUNTIF($V$7:V155,"*"))</f>
        <v>0</v>
      </c>
      <c r="X155" s="137">
        <f>IF(V155=0,0,COUNTIF($V$7:V155,V155))</f>
        <v>0</v>
      </c>
      <c r="Y155" s="212">
        <f t="shared" ref="Y155" si="1720">IF(OR(E155="",J155=""),0,J155&amp;E155)</f>
        <v>0</v>
      </c>
      <c r="Z155" s="212">
        <f>IF(Y155=0,0,COUNTIF($Y$7:Y155,Y155))</f>
        <v>0</v>
      </c>
      <c r="AA155" s="212" t="b">
        <f>IF(COUNTIF(J155:J158,"七種競技")&gt;0,TRUE,FALSE)</f>
        <v>0</v>
      </c>
      <c r="AB155" s="212">
        <f>IF(E155="",0,IF(AA155,COUNTIF($AA$7:AA155,TRUE),0))</f>
        <v>0</v>
      </c>
      <c r="AC155" s="212">
        <f>IFERROR(VLOOKUP("七種競技",J155:L158,3,0),0)</f>
        <v>0</v>
      </c>
      <c r="AD155" s="212">
        <f>IFERROR(VLOOKUP(J155,競技会設定!$T$2:$W$22,2,0),0)</f>
        <v>0</v>
      </c>
      <c r="AE155" s="212">
        <f t="shared" ref="AE155" si="1721">IF(E155="",0,IF(AD155=0,0,IF(AD155&lt;3,E155&amp;$AE$6,0)))</f>
        <v>0</v>
      </c>
      <c r="AF155" s="212">
        <f>IF(AE155=0,0,E155&amp;COUNTIF($AE$7:AE155,AE155))</f>
        <v>0</v>
      </c>
      <c r="AG155" s="212">
        <f t="shared" ref="AG155" si="1722">IF(E155="",0,IF(AD155=0,0,IF(AD155&gt;=3,E155&amp;$AG$6,0)))</f>
        <v>0</v>
      </c>
      <c r="AH155" s="212">
        <f>IF(AG155=0,0,E155&amp;COUNTIF($AG$7:AG155,AG155))</f>
        <v>0</v>
      </c>
      <c r="AI155" s="212">
        <f t="shared" ref="AI155" si="1723">IF($AD155=AI$6,$E155,0)</f>
        <v>0</v>
      </c>
      <c r="AJ155" s="212" t="b">
        <f>IF(AI155=0,FALSE,IF(COUNTIF(AI$7:AI155,AI155)&gt;1,TRUE,FALSE))</f>
        <v>0</v>
      </c>
      <c r="AK155" s="212">
        <f t="shared" ref="AK155" si="1724">IF($AD155=AK$6,$E155,0)</f>
        <v>0</v>
      </c>
      <c r="AL155" s="212" t="b">
        <f>IF(AK155=0,FALSE,IF(COUNTIF(AK$7:AK155,AK155)&gt;1,TRUE,FALSE))</f>
        <v>0</v>
      </c>
      <c r="AM155" s="212">
        <f t="shared" ref="AM155" si="1725">IF(COUNTIF(Y155,"*七種*")&gt;0,0,IF($AD155=AM$6,$E155,0))</f>
        <v>0</v>
      </c>
      <c r="AN155" s="212" t="b">
        <f>IF(AM155=0,FALSE,IF(COUNTIF(AM$7:AM155,AM155)&gt;1,TRUE,FALSE))</f>
        <v>0</v>
      </c>
      <c r="AO155" s="212">
        <f t="shared" ref="AO155" si="1726">IF($AD155=AO$6,$E155,0)</f>
        <v>0</v>
      </c>
      <c r="AP155" s="212" t="b">
        <f>IF(AO155=0,FALSE,IF(COUNTIF(AO$7:AO155,AO155)&gt;1,TRUE,FALSE))</f>
        <v>0</v>
      </c>
      <c r="AQ155" s="212">
        <f t="shared" ref="AQ155" si="1727">IF(COUNTIF(Y155,"*七種競技*")&gt;0,E155,0)</f>
        <v>0</v>
      </c>
      <c r="AR155" s="212" t="b">
        <f t="shared" si="1503"/>
        <v>0</v>
      </c>
      <c r="AS155" s="212" t="b">
        <f t="shared" ref="AS155" si="1728">IF(AND(C155="",E155&lt;&gt;"",F155&lt;&gt;"",E157&lt;&gt;"",G155&lt;&gt;"",G156&lt;&gt;"",G157&lt;&gt;""),TRUE,FALSE)</f>
        <v>0</v>
      </c>
      <c r="AT155" s="212" t="b">
        <f t="shared" si="1516"/>
        <v>0</v>
      </c>
      <c r="AU155" s="212" t="b">
        <f>IFERROR(IF(E155&amp;F155&amp;E157&amp;G155&amp;G156&amp;G157&amp;J155&amp;J156&amp;J157&amp;J158&amp;L155&amp;L156&amp;L157&amp;L158&amp;M155&amp;M156&amp;M157&amp;M158&amp;P155&amp;P156&amp;P157&amp;P158&amp;Q155&amp;R155="",FALSE,TRUE),FALSE)</f>
        <v>0</v>
      </c>
      <c r="AV155" s="212" t="b">
        <f t="shared" ref="AV155" si="1729">IF(AS155,FALSE,IF(C155="",AU155,FALSE))</f>
        <v>0</v>
      </c>
      <c r="AW155" s="212" t="b">
        <f t="shared" ref="AW155" si="1730">IF(C155="",FALSE,IF(C155&lt;=2000,TRUE,FALSE))</f>
        <v>0</v>
      </c>
      <c r="AX155" s="274" t="b">
        <f>IF(H155=0,FALSE,IF(EXACT(基本情報!$E$5,H155)=TRUE,FALSE,TRUE))</f>
        <v>0</v>
      </c>
      <c r="AY155" s="212" t="b">
        <f>IF(C155="",FALSE,IF(ISNA(E155)=TRUE,TRUE,FALSE))</f>
        <v>0</v>
      </c>
      <c r="AZ155" s="274" t="b">
        <f>IFERROR(IF(E155="",FALSE,IF(COUNTIF($E$7:E155,E155)&gt;1,TRUE,FALSE)),FALSE)</f>
        <v>0</v>
      </c>
      <c r="BA155" s="212" t="b">
        <f t="shared" ref="BA155" si="1731">IF(OR(J155&amp;J156&amp;J157&amp;J158&amp;Q155&amp;R155="",AT155,AT156,AT157,AT158),AU155,FALSE)</f>
        <v>0</v>
      </c>
      <c r="BB155" s="212" t="b">
        <f>IF(U155&gt;1,TRUE,FALSE)</f>
        <v>0</v>
      </c>
      <c r="BC155" s="212" t="b">
        <f>IF(X155&gt;1,TRUE,FALSE)</f>
        <v>0</v>
      </c>
      <c r="BD155" s="212" t="b">
        <f t="shared" si="1490"/>
        <v>0</v>
      </c>
      <c r="BF155" s="212" t="b">
        <f t="shared" ref="BF155" si="1732">IF(J155="",FALSE,IF(OR(AND(AU155,L155=""),AND(AU155,L155="",OR(M155&lt;&gt;"",N155&lt;&gt;"",O155&lt;&gt;"",P155&lt;&gt;""))),TRUE,FALSE))</f>
        <v>0</v>
      </c>
      <c r="BG155" s="212" t="b">
        <f t="shared" si="1492"/>
        <v>0</v>
      </c>
      <c r="BH155" s="212" t="b">
        <f t="shared" si="1505"/>
        <v>0</v>
      </c>
      <c r="BI155" s="212" t="b">
        <f t="shared" ref="BI155" si="1733">IF(J155="",FALSE,IF(L155=0,FALSE,IF(AND(AU155,NOT(BF155),OR(M155="",N155="",O155="")),TRUE,FALSE)))</f>
        <v>0</v>
      </c>
      <c r="BJ155" s="231" t="b">
        <f t="shared" si="1507"/>
        <v>0</v>
      </c>
      <c r="BK155" s="231" t="b">
        <f>IF(NOT(BJ155),FALSE,IF(AND(競技会設定!$C$5&lt;=BJ155,BJ155&lt;=競技会設定!$C$6),FALSE,TRUE))</f>
        <v>0</v>
      </c>
      <c r="BL155" s="212" t="b">
        <f>IF(J155="",FALSE,IF(L155=0,FALSE,IF(AND(AU155,NOT(BF155),NOT(BI155),P155=""),TRUE,FALSE)))</f>
        <v>0</v>
      </c>
      <c r="BO155" s="274">
        <f t="shared" ref="BO155" si="1734">IF(AND(AU155,SUM(COUNTIF(AV155:BC155,TRUE),COUNTIF(BF155:BL158,TRUE),COUNTIF(BD155:BD158,TRUE))=0,NOT($BE$7)),1,0)</f>
        <v>0</v>
      </c>
    </row>
    <row r="156" spans="1:67" ht="17.399999999999999" customHeight="1">
      <c r="A156" s="462"/>
      <c r="B156" s="374"/>
      <c r="C156" s="376"/>
      <c r="D156" s="159"/>
      <c r="E156" s="465"/>
      <c r="F156" s="465"/>
      <c r="G156" s="159" t="str">
        <f>IF(C155="","",(VLOOKUP(D155,女子登録!$A$2:$N$2001,13,0)))</f>
        <v/>
      </c>
      <c r="H156" s="159"/>
      <c r="I156" s="159" t="s">
        <v>4020</v>
      </c>
      <c r="J156" s="175"/>
      <c r="K156" s="159" t="s">
        <v>4023</v>
      </c>
      <c r="L156" s="175"/>
      <c r="M156" s="264"/>
      <c r="N156" s="265"/>
      <c r="O156" s="266"/>
      <c r="P156" s="175"/>
      <c r="Q156" s="449"/>
      <c r="R156" s="409"/>
      <c r="S156" s="136"/>
      <c r="T156" s="137"/>
      <c r="U156" s="137"/>
      <c r="V156" s="137"/>
      <c r="W156" s="137"/>
      <c r="X156" s="137"/>
      <c r="Y156" s="212">
        <f t="shared" ref="Y156" si="1735">IF(OR(E155="",J156=""),0,J156&amp;E155)</f>
        <v>0</v>
      </c>
      <c r="Z156" s="212">
        <f>IF(Y156=0,0,COUNTIF($Y$7:Y156,Y156))</f>
        <v>0</v>
      </c>
      <c r="AD156" s="212">
        <f>IFERROR(VLOOKUP(J156,競技会設定!$T$2:$W$22,2,0),0)</f>
        <v>0</v>
      </c>
      <c r="AE156" s="212">
        <f t="shared" ref="AE156" si="1736">IF(E155="",0,IF(AD156=0,0,IF(AD156&lt;3,E155&amp;$AE$6,0)))</f>
        <v>0</v>
      </c>
      <c r="AF156" s="212">
        <f>IF(AE156=0,0,E155&amp;COUNTIF($AE$7:AE156,AE156))</f>
        <v>0</v>
      </c>
      <c r="AG156" s="212">
        <f t="shared" ref="AG156" si="1737">IF(E155="",0,IF(AD156=0,0,IF(AD156&gt;=3,E155&amp;$AG$6,0)))</f>
        <v>0</v>
      </c>
      <c r="AH156" s="212">
        <f>IF(AG156=0,0,E155&amp;COUNTIF($AG$7:AG156,AG156))</f>
        <v>0</v>
      </c>
      <c r="AI156" s="212">
        <f t="shared" ref="AI156" si="1738">IF($AD156=AI$6,$E155,0)</f>
        <v>0</v>
      </c>
      <c r="AJ156" s="212" t="b">
        <f>IF(AI156=0,FALSE,IF(COUNTIF(AI$7:AI156,AI156)&gt;1,TRUE,FALSE))</f>
        <v>0</v>
      </c>
      <c r="AK156" s="212">
        <f t="shared" ref="AK156" si="1739">IF($AD156=AK$6,$E155,0)</f>
        <v>0</v>
      </c>
      <c r="AL156" s="212" t="b">
        <f>IF(AK156=0,FALSE,IF(COUNTIF(AK$7:AK156,AK156)&gt;1,TRUE,FALSE))</f>
        <v>0</v>
      </c>
      <c r="AM156" s="212">
        <f t="shared" ref="AM156" si="1740">IF(COUNTIF(Y156,"*七種*")&gt;0,0,IF($AD156=AM$6,$E155,0))</f>
        <v>0</v>
      </c>
      <c r="AN156" s="212" t="b">
        <f>IF(AM156=0,FALSE,IF(COUNTIF(AM$7:AM156,AM156)&gt;1,TRUE,FALSE))</f>
        <v>0</v>
      </c>
      <c r="AO156" s="212">
        <f t="shared" ref="AO156" si="1741">IF($AD156=AO$6,$E155,0)</f>
        <v>0</v>
      </c>
      <c r="AP156" s="212" t="b">
        <f>IF(AO156=0,FALSE,IF(COUNTIF(AO$7:AO156,AO156)&gt;1,TRUE,FALSE))</f>
        <v>0</v>
      </c>
      <c r="AQ156" s="212">
        <f t="shared" ref="AQ156" si="1742">IF(COUNTIF(Y156,"*七種競技*")&gt;0,E155,0)</f>
        <v>0</v>
      </c>
      <c r="AR156" s="212" t="b">
        <f t="shared" si="1503"/>
        <v>0</v>
      </c>
      <c r="AT156" s="212" t="b">
        <f t="shared" si="1516"/>
        <v>0</v>
      </c>
      <c r="AX156" s="274"/>
      <c r="BD156" s="212" t="b">
        <f t="shared" si="1490"/>
        <v>0</v>
      </c>
      <c r="BF156" s="212" t="b">
        <f t="shared" ref="BF156" si="1743">IF(J156="",FALSE,IF(OR(AND(AU155,L156=""),AND(AU155,L156="",OR(M156&lt;&gt;"",N156&lt;&gt;"",O156&lt;&gt;"",P156&lt;&gt;""))),TRUE,FALSE))</f>
        <v>0</v>
      </c>
      <c r="BG156" s="212" t="b">
        <f t="shared" si="1492"/>
        <v>0</v>
      </c>
      <c r="BH156" s="212" t="b">
        <f t="shared" si="1505"/>
        <v>0</v>
      </c>
      <c r="BI156" s="212" t="b">
        <f t="shared" ref="BI156" si="1744">IF(J156="",FALSE,IF(L156=0,FALSE,IF(AND(AU155,NOT(BF156),OR(M156="",N156="",O156="")),TRUE,FALSE)))</f>
        <v>0</v>
      </c>
      <c r="BJ156" s="231" t="b">
        <f t="shared" si="1507"/>
        <v>0</v>
      </c>
      <c r="BK156" s="231" t="b">
        <f>IF(NOT(BJ156),FALSE,IF(AND(競技会設定!$C$5&lt;=BJ156,BJ156&lt;=競技会設定!$C$6),FALSE,TRUE))</f>
        <v>0</v>
      </c>
      <c r="BL156" s="212" t="b">
        <f>IF(J156="",FALSE,IF(L156=0,FALSE,IF(AND(AU155,NOT(BF156),NOT(BI156),P156=""),TRUE,FALSE)))</f>
        <v>0</v>
      </c>
    </row>
    <row r="157" spans="1:67" ht="17.399999999999999" customHeight="1">
      <c r="A157" s="462"/>
      <c r="B157" s="374"/>
      <c r="C157" s="376"/>
      <c r="D157" s="160"/>
      <c r="E157" s="452" t="str">
        <f>IF(C155="","",VLOOKUP(D155,女子登録!$A$2:$O$2001,14,0)&amp;" ("&amp;VLOOKUP(D155,女子登録!$A$2:$O$2001,15,0)&amp;")")</f>
        <v/>
      </c>
      <c r="F157" s="453"/>
      <c r="G157" s="160" t="str">
        <f>IF(C155="","",(VLOOKUP(D155,女子登録!$A$2:$N$2001,9,0)))</f>
        <v/>
      </c>
      <c r="H157" s="160"/>
      <c r="I157" s="160" t="s">
        <v>4021</v>
      </c>
      <c r="J157" s="176"/>
      <c r="K157" s="160" t="s">
        <v>6760</v>
      </c>
      <c r="L157" s="176"/>
      <c r="M157" s="264"/>
      <c r="N157" s="265"/>
      <c r="O157" s="266"/>
      <c r="P157" s="175"/>
      <c r="Q157" s="449"/>
      <c r="R157" s="409"/>
      <c r="S157" s="136"/>
      <c r="T157" s="137"/>
      <c r="U157" s="137"/>
      <c r="V157" s="137"/>
      <c r="W157" s="137"/>
      <c r="X157" s="137"/>
      <c r="Y157" s="212">
        <f t="shared" ref="Y157" si="1745">IF(OR(E155="",J157=""),0,J157&amp;E155)</f>
        <v>0</v>
      </c>
      <c r="Z157" s="212">
        <f>IF(Y157=0,0,COUNTIF($Y$7:Y157,Y157))</f>
        <v>0</v>
      </c>
      <c r="AD157" s="212">
        <f>IFERROR(VLOOKUP(J157,競技会設定!$T$2:$W$22,2,0),0)</f>
        <v>0</v>
      </c>
      <c r="AE157" s="212">
        <f t="shared" ref="AE157" si="1746">IF(E155="",0,IF(AD157=0,0,IF(AD157&lt;3,E155&amp;$AE$6,0)))</f>
        <v>0</v>
      </c>
      <c r="AF157" s="212">
        <f>IF(AE157=0,0,E155&amp;COUNTIF($AE$7:AE157,AE157))</f>
        <v>0</v>
      </c>
      <c r="AG157" s="212">
        <f t="shared" ref="AG157" si="1747">IF(E155="",0,IF(AD157=0,0,IF(AD157&gt;=3,E155&amp;$AG$6,0)))</f>
        <v>0</v>
      </c>
      <c r="AH157" s="212">
        <f>IF(AG157=0,0,E155&amp;COUNTIF($AG$7:AG157,AG157))</f>
        <v>0</v>
      </c>
      <c r="AI157" s="212">
        <f t="shared" ref="AI157" si="1748">IF($AD157=AI$6,$E155,0)</f>
        <v>0</v>
      </c>
      <c r="AJ157" s="212" t="b">
        <f>IF(AI157=0,FALSE,IF(COUNTIF(AI$7:AI157,AI157)&gt;1,TRUE,FALSE))</f>
        <v>0</v>
      </c>
      <c r="AK157" s="212">
        <f t="shared" ref="AK157" si="1749">IF($AD157=AK$6,$E155,0)</f>
        <v>0</v>
      </c>
      <c r="AL157" s="212" t="b">
        <f>IF(AK157=0,FALSE,IF(COUNTIF(AK$7:AK157,AK157)&gt;1,TRUE,FALSE))</f>
        <v>0</v>
      </c>
      <c r="AM157" s="212">
        <f t="shared" ref="AM157" si="1750">IF(COUNTIF(Y157,"*七種*")&gt;0,0,IF($AD157=AM$6,$E155,0))</f>
        <v>0</v>
      </c>
      <c r="AN157" s="212" t="b">
        <f>IF(AM157=0,FALSE,IF(COUNTIF(AM$7:AM157,AM157)&gt;1,TRUE,FALSE))</f>
        <v>0</v>
      </c>
      <c r="AO157" s="212">
        <f t="shared" ref="AO157" si="1751">IF($AD157=AO$6,$E155,0)</f>
        <v>0</v>
      </c>
      <c r="AP157" s="212" t="b">
        <f>IF(AO157=0,FALSE,IF(COUNTIF(AO$7:AO157,AO157)&gt;1,TRUE,FALSE))</f>
        <v>0</v>
      </c>
      <c r="AQ157" s="212">
        <f t="shared" ref="AQ157" si="1752">IF(COUNTIF(Y157,"*七種競技*")&gt;0,E155,0)</f>
        <v>0</v>
      </c>
      <c r="AR157" s="212" t="b">
        <f t="shared" si="1503"/>
        <v>0</v>
      </c>
      <c r="AT157" s="212" t="b">
        <f t="shared" si="1516"/>
        <v>0</v>
      </c>
      <c r="AX157" s="274"/>
      <c r="BD157" s="212" t="b">
        <f t="shared" si="1490"/>
        <v>0</v>
      </c>
      <c r="BF157" s="212" t="b">
        <f t="shared" ref="BF157" si="1753">IF(J157="",FALSE,IF(OR(AND(AU155,L157=""),AND(AU155,L157="",OR(M157&lt;&gt;"",N157&lt;&gt;"",O157&lt;&gt;"",P157&lt;&gt;""))),TRUE,FALSE))</f>
        <v>0</v>
      </c>
      <c r="BG157" s="212" t="b">
        <f t="shared" si="1492"/>
        <v>0</v>
      </c>
      <c r="BH157" s="212" t="b">
        <f t="shared" si="1505"/>
        <v>0</v>
      </c>
      <c r="BI157" s="212" t="b">
        <f t="shared" ref="BI157" si="1754">IF(J157="",FALSE,IF(L157=0,FALSE,IF(AND(AU155,NOT(BF157),OR(M157="",N157="",O157="")),TRUE,FALSE)))</f>
        <v>0</v>
      </c>
      <c r="BJ157" s="231" t="b">
        <f t="shared" si="1507"/>
        <v>0</v>
      </c>
      <c r="BK157" s="231" t="b">
        <f>IF(NOT(BJ157),FALSE,IF(AND(競技会設定!$C$5&lt;=BJ157,BJ157&lt;=競技会設定!$C$6),FALSE,TRUE))</f>
        <v>0</v>
      </c>
      <c r="BL157" s="212" t="b">
        <f>IF(J157="",FALSE,IF(L157=0,FALSE,IF(AND(AU155,NOT(BF157),NOT(BI157),P157=""),TRUE,FALSE)))</f>
        <v>0</v>
      </c>
    </row>
    <row r="158" spans="1:67" ht="18" customHeight="1" thickBot="1">
      <c r="A158" s="475"/>
      <c r="B158" s="387" t="s">
        <v>6764</v>
      </c>
      <c r="C158" s="387"/>
      <c r="D158" s="161"/>
      <c r="E158" s="467"/>
      <c r="F158" s="468"/>
      <c r="G158" s="469"/>
      <c r="H158" s="162"/>
      <c r="I158" s="161" t="s">
        <v>6759</v>
      </c>
      <c r="J158" s="177"/>
      <c r="K158" s="161" t="s">
        <v>6761</v>
      </c>
      <c r="L158" s="177"/>
      <c r="M158" s="267"/>
      <c r="N158" s="268"/>
      <c r="O158" s="269"/>
      <c r="P158" s="177"/>
      <c r="Q158" s="466"/>
      <c r="R158" s="410"/>
      <c r="S158" s="136"/>
      <c r="T158" s="137"/>
      <c r="U158" s="137"/>
      <c r="V158" s="137"/>
      <c r="W158" s="137"/>
      <c r="X158" s="137"/>
      <c r="Y158" s="212">
        <f t="shared" ref="Y158" si="1755">IF(OR(E155="",J158=""),0,J158&amp;E155)</f>
        <v>0</v>
      </c>
      <c r="Z158" s="212">
        <f>IF(Y158=0,0,COUNTIF($Y$7:Y158,Y158))</f>
        <v>0</v>
      </c>
      <c r="AD158" s="212">
        <f>IFERROR(VLOOKUP(J158,競技会設定!$T$2:$W$22,2,0),0)</f>
        <v>0</v>
      </c>
      <c r="AE158" s="212">
        <f t="shared" ref="AE158" si="1756">IF(E155="",0,IF(AD158=0,0,IF(AD158&lt;3,E155&amp;$AE$6,0)))</f>
        <v>0</v>
      </c>
      <c r="AF158" s="212">
        <f>IF(AE158=0,0,E155&amp;COUNTIF($AE$7:AE158,AE158))</f>
        <v>0</v>
      </c>
      <c r="AG158" s="212">
        <f t="shared" ref="AG158" si="1757">IF(E155="",0,IF(AD158=0,0,IF(AD158&gt;=3,E155&amp;$AG$6,0)))</f>
        <v>0</v>
      </c>
      <c r="AH158" s="212">
        <f>IF(AG158=0,0,E155&amp;COUNTIF($AG$7:AG158,AG158))</f>
        <v>0</v>
      </c>
      <c r="AI158" s="212">
        <f t="shared" ref="AI158" si="1758">IF($AD158=AI$6,$E155,0)</f>
        <v>0</v>
      </c>
      <c r="AJ158" s="212" t="b">
        <f>IF(AI158=0,FALSE,IF(COUNTIF(AI$7:AI158,AI158)&gt;1,TRUE,FALSE))</f>
        <v>0</v>
      </c>
      <c r="AK158" s="212">
        <f t="shared" ref="AK158" si="1759">IF($AD158=AK$6,$E155,0)</f>
        <v>0</v>
      </c>
      <c r="AL158" s="212" t="b">
        <f>IF(AK158=0,FALSE,IF(COUNTIF(AK$7:AK158,AK158)&gt;1,TRUE,FALSE))</f>
        <v>0</v>
      </c>
      <c r="AM158" s="212">
        <f t="shared" ref="AM158" si="1760">IF(COUNTIF(Y158,"*七種*")&gt;0,0,IF($AD158=AM$6,$E155,0))</f>
        <v>0</v>
      </c>
      <c r="AN158" s="212" t="b">
        <f>IF(AM158=0,FALSE,IF(COUNTIF(AM$7:AM158,AM158)&gt;1,TRUE,FALSE))</f>
        <v>0</v>
      </c>
      <c r="AO158" s="212">
        <f t="shared" ref="AO158" si="1761">IF($AD158=AO$6,$E155,0)</f>
        <v>0</v>
      </c>
      <c r="AP158" s="212" t="b">
        <f>IF(AO158=0,FALSE,IF(COUNTIF(AO$7:AO158,AO158)&gt;1,TRUE,FALSE))</f>
        <v>0</v>
      </c>
      <c r="AQ158" s="212">
        <f t="shared" ref="AQ158" si="1762">IF(COUNTIF(Y158,"*七種競技*")&gt;0,E155,0)</f>
        <v>0</v>
      </c>
      <c r="AR158" s="212" t="b">
        <f t="shared" si="1503"/>
        <v>0</v>
      </c>
      <c r="AT158" s="212" t="b">
        <f t="shared" si="1516"/>
        <v>0</v>
      </c>
      <c r="AX158" s="274"/>
      <c r="BD158" s="212" t="b">
        <f t="shared" si="1490"/>
        <v>0</v>
      </c>
      <c r="BF158" s="212" t="b">
        <f t="shared" ref="BF158" si="1763">IF(J158="",FALSE,IF(OR(AND(AU155,L158=""),AND(AU155,L158="",OR(M158&lt;&gt;"",N158&lt;&gt;"",O158&lt;&gt;"",P158&lt;&gt;""))),TRUE,FALSE))</f>
        <v>0</v>
      </c>
      <c r="BG158" s="212" t="b">
        <f t="shared" si="1492"/>
        <v>0</v>
      </c>
      <c r="BH158" s="212" t="b">
        <f t="shared" si="1505"/>
        <v>0</v>
      </c>
      <c r="BI158" s="212" t="b">
        <f t="shared" ref="BI158" si="1764">IF(J158="",FALSE,IF(L158=0,FALSE,IF(AND(AU155,NOT(BF158),OR(M158="",N158="",O158="")),TRUE,FALSE)))</f>
        <v>0</v>
      </c>
      <c r="BJ158" s="231" t="b">
        <f t="shared" si="1507"/>
        <v>0</v>
      </c>
      <c r="BK158" s="231" t="b">
        <f>IF(NOT(BJ158),FALSE,IF(AND(競技会設定!$C$5&lt;=BJ158,BJ158&lt;=競技会設定!$C$6),FALSE,TRUE))</f>
        <v>0</v>
      </c>
      <c r="BL158" s="212" t="b">
        <f>IF(J158="",FALSE,IF(L158=0,FALSE,IF(AND(AU155,NOT(BF158),NOT(BI158),P158=""),TRUE,FALSE)))</f>
        <v>0</v>
      </c>
    </row>
    <row r="159" spans="1:67" ht="18" customHeight="1" thickTop="1">
      <c r="A159" s="470">
        <v>39</v>
      </c>
      <c r="B159" s="401" t="s">
        <v>4018</v>
      </c>
      <c r="C159" s="403"/>
      <c r="D159" s="156" t="str">
        <f t="shared" ref="D159" si="1765">IF(C159="","",502&amp;TEXT(C159,"000000"))</f>
        <v/>
      </c>
      <c r="E159" s="473" t="str">
        <f>IF(D159="","",(VLOOKUP(D159,女子登録!$A$2:$N$2001,3,0)))</f>
        <v/>
      </c>
      <c r="F159" s="473" t="str">
        <f>IF(D159="","",(VLOOKUP(D159,女子登録!$A$2:$N$2001,4,0)))</f>
        <v/>
      </c>
      <c r="G159" s="156" t="str">
        <f>IF(C159="","",(VLOOKUP(D159,女子登録!$A$2:$N$2001,8,0)))</f>
        <v/>
      </c>
      <c r="H159" s="156">
        <f>IFERROR(VLOOKUP(D159,女子登録!$A$2:$N$2001,11,0),基本情報!$E$5)</f>
        <v>0</v>
      </c>
      <c r="I159" s="156" t="s">
        <v>4019</v>
      </c>
      <c r="J159" s="170"/>
      <c r="K159" s="156" t="s">
        <v>4022</v>
      </c>
      <c r="L159" s="170"/>
      <c r="M159" s="252"/>
      <c r="N159" s="253"/>
      <c r="O159" s="254"/>
      <c r="P159" s="170"/>
      <c r="Q159" s="457"/>
      <c r="R159" s="414"/>
      <c r="S159" s="136">
        <f t="shared" ref="S159" si="1766">IF(OR(E159="",Q159=""),0,E159)</f>
        <v>0</v>
      </c>
      <c r="T159" s="137">
        <f>IF(S159=0,0,COUNTIF($S$7:S159,"*"))</f>
        <v>0</v>
      </c>
      <c r="U159" s="137">
        <f>IF(S159=0,0,COUNTIF($S$7:S159,S159))</f>
        <v>0</v>
      </c>
      <c r="V159" s="137">
        <f t="shared" si="1719"/>
        <v>0</v>
      </c>
      <c r="W159" s="137">
        <f>IF(V159=0,0,COUNTIF($V$7:V159,"*"))</f>
        <v>0</v>
      </c>
      <c r="X159" s="137">
        <f>IF(V159=0,0,COUNTIF($V$7:V159,V159))</f>
        <v>0</v>
      </c>
      <c r="Y159" s="212">
        <f t="shared" ref="Y159" si="1767">IF(OR(E159="",J159=""),0,J159&amp;E159)</f>
        <v>0</v>
      </c>
      <c r="Z159" s="212">
        <f>IF(Y159=0,0,COUNTIF($Y$7:Y159,Y159))</f>
        <v>0</v>
      </c>
      <c r="AA159" s="212" t="b">
        <f>IF(COUNTIF(J159:J162,"七種競技")&gt;0,TRUE,FALSE)</f>
        <v>0</v>
      </c>
      <c r="AB159" s="212">
        <f>IF(E159="",0,IF(AA159,COUNTIF($AA$7:AA159,TRUE),0))</f>
        <v>0</v>
      </c>
      <c r="AC159" s="212">
        <f>IFERROR(VLOOKUP("七種競技",J159:L162,3,0),0)</f>
        <v>0</v>
      </c>
      <c r="AD159" s="212">
        <f>IFERROR(VLOOKUP(J159,競技会設定!$T$2:$W$22,2,0),0)</f>
        <v>0</v>
      </c>
      <c r="AE159" s="212">
        <f t="shared" ref="AE159" si="1768">IF(E159="",0,IF(AD159=0,0,IF(AD159&lt;3,E159&amp;$AE$6,0)))</f>
        <v>0</v>
      </c>
      <c r="AF159" s="212">
        <f>IF(AE159=0,0,E159&amp;COUNTIF($AE$7:AE159,AE159))</f>
        <v>0</v>
      </c>
      <c r="AG159" s="212">
        <f t="shared" ref="AG159" si="1769">IF(E159="",0,IF(AD159=0,0,IF(AD159&gt;=3,E159&amp;$AG$6,0)))</f>
        <v>0</v>
      </c>
      <c r="AH159" s="212">
        <f>IF(AG159=0,0,E159&amp;COUNTIF($AG$7:AG159,AG159))</f>
        <v>0</v>
      </c>
      <c r="AI159" s="212">
        <f t="shared" ref="AI159" si="1770">IF($AD159=AI$6,$E159,0)</f>
        <v>0</v>
      </c>
      <c r="AJ159" s="212" t="b">
        <f>IF(AI159=0,FALSE,IF(COUNTIF(AI$7:AI159,AI159)&gt;1,TRUE,FALSE))</f>
        <v>0</v>
      </c>
      <c r="AK159" s="212">
        <f t="shared" ref="AK159" si="1771">IF($AD159=AK$6,$E159,0)</f>
        <v>0</v>
      </c>
      <c r="AL159" s="212" t="b">
        <f>IF(AK159=0,FALSE,IF(COUNTIF(AK$7:AK159,AK159)&gt;1,TRUE,FALSE))</f>
        <v>0</v>
      </c>
      <c r="AM159" s="212">
        <f t="shared" ref="AM159" si="1772">IF(COUNTIF(Y159,"*七種*")&gt;0,0,IF($AD159=AM$6,$E159,0))</f>
        <v>0</v>
      </c>
      <c r="AN159" s="212" t="b">
        <f>IF(AM159=0,FALSE,IF(COUNTIF(AM$7:AM159,AM159)&gt;1,TRUE,FALSE))</f>
        <v>0</v>
      </c>
      <c r="AO159" s="212">
        <f t="shared" ref="AO159" si="1773">IF($AD159=AO$6,$E159,0)</f>
        <v>0</v>
      </c>
      <c r="AP159" s="212" t="b">
        <f>IF(AO159=0,FALSE,IF(COUNTIF(AO$7:AO159,AO159)&gt;1,TRUE,FALSE))</f>
        <v>0</v>
      </c>
      <c r="AQ159" s="212">
        <f t="shared" ref="AQ159" si="1774">IF(COUNTIF(Y159,"*七種競技*")&gt;0,E159,0)</f>
        <v>0</v>
      </c>
      <c r="AR159" s="212" t="b">
        <f t="shared" si="1503"/>
        <v>0</v>
      </c>
      <c r="AS159" s="212" t="b">
        <f t="shared" ref="AS159" si="1775">IF(AND(C159="",E159&lt;&gt;"",F159&lt;&gt;"",E161&lt;&gt;"",G159&lt;&gt;"",G160&lt;&gt;"",G161&lt;&gt;""),TRUE,FALSE)</f>
        <v>0</v>
      </c>
      <c r="AT159" s="212" t="b">
        <f t="shared" si="1516"/>
        <v>0</v>
      </c>
      <c r="AU159" s="212" t="b">
        <f>IFERROR(IF(E159&amp;F159&amp;E161&amp;G159&amp;G160&amp;G161&amp;J159&amp;J160&amp;J161&amp;J162&amp;L159&amp;L160&amp;L161&amp;L162&amp;M159&amp;M160&amp;M161&amp;M162&amp;P159&amp;P160&amp;P161&amp;P162&amp;Q159&amp;R159="",FALSE,TRUE),FALSE)</f>
        <v>0</v>
      </c>
      <c r="AV159" s="212" t="b">
        <f t="shared" ref="AV159" si="1776">IF(AS159,FALSE,IF(C159="",AU159,FALSE))</f>
        <v>0</v>
      </c>
      <c r="AW159" s="212" t="b">
        <f t="shared" ref="AW159" si="1777">IF(C159="",FALSE,IF(C159&lt;=2000,TRUE,FALSE))</f>
        <v>0</v>
      </c>
      <c r="AX159" s="274" t="b">
        <f>IF(H159=0,FALSE,IF(EXACT(基本情報!$E$5,H159)=TRUE,FALSE,TRUE))</f>
        <v>0</v>
      </c>
      <c r="AY159" s="212" t="b">
        <f>IF(C159="",FALSE,IF(ISNA(E159)=TRUE,TRUE,FALSE))</f>
        <v>0</v>
      </c>
      <c r="AZ159" s="274" t="b">
        <f>IFERROR(IF(E159="",FALSE,IF(COUNTIF($E$7:E159,E159)&gt;1,TRUE,FALSE)),FALSE)</f>
        <v>0</v>
      </c>
      <c r="BA159" s="212" t="b">
        <f t="shared" ref="BA159" si="1778">IF(OR(J159&amp;J160&amp;J161&amp;J162&amp;Q159&amp;R159="",AT159,AT160,AT161,AT162),AU159,FALSE)</f>
        <v>0</v>
      </c>
      <c r="BB159" s="212" t="b">
        <f>IF(U159&gt;1,TRUE,FALSE)</f>
        <v>0</v>
      </c>
      <c r="BC159" s="212" t="b">
        <f>IF(X159&gt;1,TRUE,FALSE)</f>
        <v>0</v>
      </c>
      <c r="BD159" s="212" t="b">
        <f t="shared" si="1490"/>
        <v>0</v>
      </c>
      <c r="BF159" s="212" t="b">
        <f t="shared" ref="BF159" si="1779">IF(J159="",FALSE,IF(OR(AND(AU159,L159=""),AND(AU159,L159="",OR(M159&lt;&gt;"",N159&lt;&gt;"",O159&lt;&gt;"",P159&lt;&gt;""))),TRUE,FALSE))</f>
        <v>0</v>
      </c>
      <c r="BG159" s="212" t="b">
        <f t="shared" si="1492"/>
        <v>0</v>
      </c>
      <c r="BH159" s="212" t="b">
        <f t="shared" si="1505"/>
        <v>0</v>
      </c>
      <c r="BI159" s="212" t="b">
        <f t="shared" ref="BI159" si="1780">IF(J159="",FALSE,IF(L159=0,FALSE,IF(AND(AU159,NOT(BF159),OR(M159="",N159="",O159="")),TRUE,FALSE)))</f>
        <v>0</v>
      </c>
      <c r="BJ159" s="231" t="b">
        <f t="shared" si="1507"/>
        <v>0</v>
      </c>
      <c r="BK159" s="231" t="b">
        <f>IF(NOT(BJ159),FALSE,IF(AND(競技会設定!$C$5&lt;=BJ159,BJ159&lt;=競技会設定!$C$6),FALSE,TRUE))</f>
        <v>0</v>
      </c>
      <c r="BL159" s="212" t="b">
        <f>IF(J159="",FALSE,IF(L159=0,FALSE,IF(AND(AU159,NOT(BF159),NOT(BI159),P159=""),TRUE,FALSE)))</f>
        <v>0</v>
      </c>
      <c r="BO159" s="274">
        <f t="shared" ref="BO159" si="1781">IF(AND(AU159,SUM(COUNTIF(AV159:BC159,TRUE),COUNTIF(BF159:BL162,TRUE),COUNTIF(BD159:BD162,TRUE))=0,NOT($BE$7)),1,0)</f>
        <v>0</v>
      </c>
    </row>
    <row r="160" spans="1:67" ht="17.399999999999999" customHeight="1">
      <c r="A160" s="471"/>
      <c r="B160" s="402"/>
      <c r="C160" s="404"/>
      <c r="D160" s="11"/>
      <c r="E160" s="474"/>
      <c r="F160" s="474"/>
      <c r="G160" s="11" t="str">
        <f>IF(C159="","",(VLOOKUP(D159,女子登録!$A$2:$N$2001,13,0)))</f>
        <v/>
      </c>
      <c r="H160" s="11"/>
      <c r="I160" s="11" t="s">
        <v>4020</v>
      </c>
      <c r="J160" s="171"/>
      <c r="K160" s="11" t="s">
        <v>4023</v>
      </c>
      <c r="L160" s="171"/>
      <c r="M160" s="255"/>
      <c r="N160" s="256"/>
      <c r="O160" s="257"/>
      <c r="P160" s="171"/>
      <c r="Q160" s="458"/>
      <c r="R160" s="415"/>
      <c r="S160" s="136"/>
      <c r="T160" s="137"/>
      <c r="U160" s="137"/>
      <c r="V160" s="137"/>
      <c r="W160" s="137"/>
      <c r="X160" s="137"/>
      <c r="Y160" s="212">
        <f t="shared" ref="Y160" si="1782">IF(OR(E159="",J160=""),0,J160&amp;E159)</f>
        <v>0</v>
      </c>
      <c r="Z160" s="212">
        <f>IF(Y160=0,0,COUNTIF($Y$7:Y160,Y160))</f>
        <v>0</v>
      </c>
      <c r="AD160" s="212">
        <f>IFERROR(VLOOKUP(J160,競技会設定!$T$2:$W$22,2,0),0)</f>
        <v>0</v>
      </c>
      <c r="AE160" s="212">
        <f t="shared" ref="AE160" si="1783">IF(E159="",0,IF(AD160=0,0,IF(AD160&lt;3,E159&amp;$AE$6,0)))</f>
        <v>0</v>
      </c>
      <c r="AF160" s="212">
        <f>IF(AE160=0,0,E159&amp;COUNTIF($AE$7:AE160,AE160))</f>
        <v>0</v>
      </c>
      <c r="AG160" s="212">
        <f t="shared" ref="AG160" si="1784">IF(E159="",0,IF(AD160=0,0,IF(AD160&gt;=3,E159&amp;$AG$6,0)))</f>
        <v>0</v>
      </c>
      <c r="AH160" s="212">
        <f>IF(AG160=0,0,E159&amp;COUNTIF($AG$7:AG160,AG160))</f>
        <v>0</v>
      </c>
      <c r="AI160" s="212">
        <f t="shared" ref="AI160" si="1785">IF($AD160=AI$6,$E159,0)</f>
        <v>0</v>
      </c>
      <c r="AJ160" s="212" t="b">
        <f>IF(AI160=0,FALSE,IF(COUNTIF(AI$7:AI160,AI160)&gt;1,TRUE,FALSE))</f>
        <v>0</v>
      </c>
      <c r="AK160" s="212">
        <f t="shared" ref="AK160" si="1786">IF($AD160=AK$6,$E159,0)</f>
        <v>0</v>
      </c>
      <c r="AL160" s="212" t="b">
        <f>IF(AK160=0,FALSE,IF(COUNTIF(AK$7:AK160,AK160)&gt;1,TRUE,FALSE))</f>
        <v>0</v>
      </c>
      <c r="AM160" s="212">
        <f t="shared" ref="AM160" si="1787">IF(COUNTIF(Y160,"*七種*")&gt;0,0,IF($AD160=AM$6,$E159,0))</f>
        <v>0</v>
      </c>
      <c r="AN160" s="212" t="b">
        <f>IF(AM160=0,FALSE,IF(COUNTIF(AM$7:AM160,AM160)&gt;1,TRUE,FALSE))</f>
        <v>0</v>
      </c>
      <c r="AO160" s="212">
        <f t="shared" ref="AO160" si="1788">IF($AD160=AO$6,$E159,0)</f>
        <v>0</v>
      </c>
      <c r="AP160" s="212" t="b">
        <f>IF(AO160=0,FALSE,IF(COUNTIF(AO$7:AO160,AO160)&gt;1,TRUE,FALSE))</f>
        <v>0</v>
      </c>
      <c r="AQ160" s="212">
        <f t="shared" ref="AQ160" si="1789">IF(COUNTIF(Y160,"*七種競技*")&gt;0,E159,0)</f>
        <v>0</v>
      </c>
      <c r="AR160" s="212" t="b">
        <f t="shared" si="1503"/>
        <v>0</v>
      </c>
      <c r="AT160" s="212" t="b">
        <f t="shared" si="1516"/>
        <v>0</v>
      </c>
      <c r="AX160" s="274"/>
      <c r="BD160" s="212" t="b">
        <f t="shared" si="1490"/>
        <v>0</v>
      </c>
      <c r="BF160" s="212" t="b">
        <f t="shared" ref="BF160" si="1790">IF(J160="",FALSE,IF(OR(AND(AU159,L160=""),AND(AU159,L160="",OR(M160&lt;&gt;"",N160&lt;&gt;"",O160&lt;&gt;"",P160&lt;&gt;""))),TRUE,FALSE))</f>
        <v>0</v>
      </c>
      <c r="BG160" s="212" t="b">
        <f t="shared" si="1492"/>
        <v>0</v>
      </c>
      <c r="BH160" s="212" t="b">
        <f t="shared" si="1505"/>
        <v>0</v>
      </c>
      <c r="BI160" s="212" t="b">
        <f t="shared" ref="BI160" si="1791">IF(J160="",FALSE,IF(L160=0,FALSE,IF(AND(AU159,NOT(BF160),OR(M160="",N160="",O160="")),TRUE,FALSE)))</f>
        <v>0</v>
      </c>
      <c r="BJ160" s="231" t="b">
        <f t="shared" si="1507"/>
        <v>0</v>
      </c>
      <c r="BK160" s="231" t="b">
        <f>IF(NOT(BJ160),FALSE,IF(AND(競技会設定!$C$5&lt;=BJ160,BJ160&lt;=競技会設定!$C$6),FALSE,TRUE))</f>
        <v>0</v>
      </c>
      <c r="BL160" s="212" t="b">
        <f>IF(J160="",FALSE,IF(L160=0,FALSE,IF(AND(AU159,NOT(BF160),NOT(BI160),P160=""),TRUE,FALSE)))</f>
        <v>0</v>
      </c>
    </row>
    <row r="161" spans="1:67" ht="17.399999999999999" customHeight="1">
      <c r="A161" s="471"/>
      <c r="B161" s="402"/>
      <c r="C161" s="404"/>
      <c r="D161" s="11"/>
      <c r="E161" s="348" t="str">
        <f>IF(C159="","",VLOOKUP(D159,女子登録!$A$2:$O$2001,14,0)&amp;" ("&amp;VLOOKUP(D159,女子登録!$A$2:$O$2001,15,0)&amp;")")</f>
        <v/>
      </c>
      <c r="F161" s="348"/>
      <c r="G161" s="13" t="str">
        <f>IF(C159="","",(VLOOKUP(D159,女子登録!$A$2:$N$2001,9,0)))</f>
        <v/>
      </c>
      <c r="H161" s="13"/>
      <c r="I161" s="13" t="s">
        <v>4021</v>
      </c>
      <c r="J161" s="172"/>
      <c r="K161" s="13" t="s">
        <v>6760</v>
      </c>
      <c r="L161" s="172"/>
      <c r="M161" s="255"/>
      <c r="N161" s="256"/>
      <c r="O161" s="257"/>
      <c r="P161" s="171"/>
      <c r="Q161" s="458"/>
      <c r="R161" s="415"/>
      <c r="S161" s="136"/>
      <c r="T161" s="137"/>
      <c r="U161" s="137"/>
      <c r="V161" s="137"/>
      <c r="W161" s="137"/>
      <c r="X161" s="137"/>
      <c r="Y161" s="212">
        <f t="shared" ref="Y161" si="1792">IF(OR(E159="",J161=""),0,J161&amp;E159)</f>
        <v>0</v>
      </c>
      <c r="Z161" s="212">
        <f>IF(Y161=0,0,COUNTIF($Y$7:Y161,Y161))</f>
        <v>0</v>
      </c>
      <c r="AD161" s="212">
        <f>IFERROR(VLOOKUP(J161,競技会設定!$T$2:$W$22,2,0),0)</f>
        <v>0</v>
      </c>
      <c r="AE161" s="212">
        <f t="shared" ref="AE161" si="1793">IF(E159="",0,IF(AD161=0,0,IF(AD161&lt;3,E159&amp;$AE$6,0)))</f>
        <v>0</v>
      </c>
      <c r="AF161" s="212">
        <f>IF(AE161=0,0,E159&amp;COUNTIF($AE$7:AE161,AE161))</f>
        <v>0</v>
      </c>
      <c r="AG161" s="212">
        <f t="shared" ref="AG161" si="1794">IF(E159="",0,IF(AD161=0,0,IF(AD161&gt;=3,E159&amp;$AG$6,0)))</f>
        <v>0</v>
      </c>
      <c r="AH161" s="212">
        <f>IF(AG161=0,0,E159&amp;COUNTIF($AG$7:AG161,AG161))</f>
        <v>0</v>
      </c>
      <c r="AI161" s="212">
        <f t="shared" ref="AI161" si="1795">IF($AD161=AI$6,$E159,0)</f>
        <v>0</v>
      </c>
      <c r="AJ161" s="212" t="b">
        <f>IF(AI161=0,FALSE,IF(COUNTIF(AI$7:AI161,AI161)&gt;1,TRUE,FALSE))</f>
        <v>0</v>
      </c>
      <c r="AK161" s="212">
        <f t="shared" ref="AK161" si="1796">IF($AD161=AK$6,$E159,0)</f>
        <v>0</v>
      </c>
      <c r="AL161" s="212" t="b">
        <f>IF(AK161=0,FALSE,IF(COUNTIF(AK$7:AK161,AK161)&gt;1,TRUE,FALSE))</f>
        <v>0</v>
      </c>
      <c r="AM161" s="212">
        <f t="shared" ref="AM161" si="1797">IF(COUNTIF(Y161,"*七種*")&gt;0,0,IF($AD161=AM$6,$E159,0))</f>
        <v>0</v>
      </c>
      <c r="AN161" s="212" t="b">
        <f>IF(AM161=0,FALSE,IF(COUNTIF(AM$7:AM161,AM161)&gt;1,TRUE,FALSE))</f>
        <v>0</v>
      </c>
      <c r="AO161" s="212">
        <f t="shared" ref="AO161" si="1798">IF($AD161=AO$6,$E159,0)</f>
        <v>0</v>
      </c>
      <c r="AP161" s="212" t="b">
        <f>IF(AO161=0,FALSE,IF(COUNTIF(AO$7:AO161,AO161)&gt;1,TRUE,FALSE))</f>
        <v>0</v>
      </c>
      <c r="AQ161" s="212">
        <f t="shared" ref="AQ161" si="1799">IF(COUNTIF(Y161,"*七種競技*")&gt;0,E159,0)</f>
        <v>0</v>
      </c>
      <c r="AR161" s="212" t="b">
        <f t="shared" si="1503"/>
        <v>0</v>
      </c>
      <c r="AT161" s="212" t="b">
        <f t="shared" si="1516"/>
        <v>0</v>
      </c>
      <c r="AX161" s="274"/>
      <c r="BD161" s="212" t="b">
        <f t="shared" si="1490"/>
        <v>0</v>
      </c>
      <c r="BF161" s="212" t="b">
        <f t="shared" ref="BF161" si="1800">IF(J161="",FALSE,IF(OR(AND(AU159,L161=""),AND(AU159,L161="",OR(M161&lt;&gt;"",N161&lt;&gt;"",O161&lt;&gt;"",P161&lt;&gt;""))),TRUE,FALSE))</f>
        <v>0</v>
      </c>
      <c r="BG161" s="212" t="b">
        <f t="shared" si="1492"/>
        <v>0</v>
      </c>
      <c r="BH161" s="212" t="b">
        <f t="shared" si="1505"/>
        <v>0</v>
      </c>
      <c r="BI161" s="212" t="b">
        <f t="shared" ref="BI161" si="1801">IF(J161="",FALSE,IF(L161=0,FALSE,IF(AND(AU159,NOT(BF161),OR(M161="",N161="",O161="")),TRUE,FALSE)))</f>
        <v>0</v>
      </c>
      <c r="BJ161" s="231" t="b">
        <f t="shared" si="1507"/>
        <v>0</v>
      </c>
      <c r="BK161" s="231" t="b">
        <f>IF(NOT(BJ161),FALSE,IF(AND(競技会設定!$C$5&lt;=BJ161,BJ161&lt;=競技会設定!$C$6),FALSE,TRUE))</f>
        <v>0</v>
      </c>
      <c r="BL161" s="212" t="b">
        <f>IF(J161="",FALSE,IF(L161=0,FALSE,IF(AND(AU159,NOT(BF161),NOT(BI161),P161=""),TRUE,FALSE)))</f>
        <v>0</v>
      </c>
    </row>
    <row r="162" spans="1:67" ht="18" customHeight="1" thickBot="1">
      <c r="A162" s="472"/>
      <c r="B162" s="395" t="s">
        <v>6764</v>
      </c>
      <c r="C162" s="395"/>
      <c r="D162" s="11"/>
      <c r="E162" s="460"/>
      <c r="F162" s="460"/>
      <c r="G162" s="460"/>
      <c r="H162" s="157"/>
      <c r="I162" s="157" t="s">
        <v>6759</v>
      </c>
      <c r="J162" s="173"/>
      <c r="K162" s="157" t="s">
        <v>6761</v>
      </c>
      <c r="L162" s="173"/>
      <c r="M162" s="258"/>
      <c r="N162" s="259"/>
      <c r="O162" s="260"/>
      <c r="P162" s="173"/>
      <c r="Q162" s="459"/>
      <c r="R162" s="416"/>
      <c r="S162" s="136"/>
      <c r="T162" s="137"/>
      <c r="U162" s="137"/>
      <c r="V162" s="137"/>
      <c r="W162" s="137"/>
      <c r="X162" s="137"/>
      <c r="Y162" s="212">
        <f t="shared" ref="Y162" si="1802">IF(OR(E159="",J162=""),0,J162&amp;E159)</f>
        <v>0</v>
      </c>
      <c r="Z162" s="212">
        <f>IF(Y162=0,0,COUNTIF($Y$7:Y162,Y162))</f>
        <v>0</v>
      </c>
      <c r="AD162" s="212">
        <f>IFERROR(VLOOKUP(J162,競技会設定!$T$2:$W$22,2,0),0)</f>
        <v>0</v>
      </c>
      <c r="AE162" s="212">
        <f t="shared" ref="AE162" si="1803">IF(E159="",0,IF(AD162=0,0,IF(AD162&lt;3,E159&amp;$AE$6,0)))</f>
        <v>0</v>
      </c>
      <c r="AF162" s="212">
        <f>IF(AE162=0,0,E159&amp;COUNTIF($AE$7:AE162,AE162))</f>
        <v>0</v>
      </c>
      <c r="AG162" s="212">
        <f t="shared" ref="AG162" si="1804">IF(E159="",0,IF(AD162=0,0,IF(AD162&gt;=3,E159&amp;$AG$6,0)))</f>
        <v>0</v>
      </c>
      <c r="AH162" s="212">
        <f>IF(AG162=0,0,E159&amp;COUNTIF($AG$7:AG162,AG162))</f>
        <v>0</v>
      </c>
      <c r="AI162" s="212">
        <f t="shared" ref="AI162" si="1805">IF($AD162=AI$6,$E159,0)</f>
        <v>0</v>
      </c>
      <c r="AJ162" s="212" t="b">
        <f>IF(AI162=0,FALSE,IF(COUNTIF(AI$7:AI162,AI162)&gt;1,TRUE,FALSE))</f>
        <v>0</v>
      </c>
      <c r="AK162" s="212">
        <f t="shared" ref="AK162" si="1806">IF($AD162=AK$6,$E159,0)</f>
        <v>0</v>
      </c>
      <c r="AL162" s="212" t="b">
        <f>IF(AK162=0,FALSE,IF(COUNTIF(AK$7:AK162,AK162)&gt;1,TRUE,FALSE))</f>
        <v>0</v>
      </c>
      <c r="AM162" s="212">
        <f t="shared" ref="AM162" si="1807">IF(COUNTIF(Y162,"*七種*")&gt;0,0,IF($AD162=AM$6,$E159,0))</f>
        <v>0</v>
      </c>
      <c r="AN162" s="212" t="b">
        <f>IF(AM162=0,FALSE,IF(COUNTIF(AM$7:AM162,AM162)&gt;1,TRUE,FALSE))</f>
        <v>0</v>
      </c>
      <c r="AO162" s="212">
        <f t="shared" ref="AO162" si="1808">IF($AD162=AO$6,$E159,0)</f>
        <v>0</v>
      </c>
      <c r="AP162" s="212" t="b">
        <f>IF(AO162=0,FALSE,IF(COUNTIF(AO$7:AO162,AO162)&gt;1,TRUE,FALSE))</f>
        <v>0</v>
      </c>
      <c r="AQ162" s="212">
        <f t="shared" ref="AQ162" si="1809">IF(COUNTIF(Y162,"*七種競技*")&gt;0,E159,0)</f>
        <v>0</v>
      </c>
      <c r="AR162" s="212" t="b">
        <f t="shared" si="1503"/>
        <v>0</v>
      </c>
      <c r="AT162" s="212" t="b">
        <f t="shared" si="1516"/>
        <v>0</v>
      </c>
      <c r="AX162" s="274"/>
      <c r="BD162" s="212" t="b">
        <f t="shared" si="1490"/>
        <v>0</v>
      </c>
      <c r="BF162" s="212" t="b">
        <f t="shared" ref="BF162" si="1810">IF(J162="",FALSE,IF(OR(AND(AU159,L162=""),AND(AU159,L162="",OR(M162&lt;&gt;"",N162&lt;&gt;"",O162&lt;&gt;"",P162&lt;&gt;""))),TRUE,FALSE))</f>
        <v>0</v>
      </c>
      <c r="BG162" s="212" t="b">
        <f t="shared" si="1492"/>
        <v>0</v>
      </c>
      <c r="BH162" s="212" t="b">
        <f t="shared" si="1505"/>
        <v>0</v>
      </c>
      <c r="BI162" s="212" t="b">
        <f t="shared" ref="BI162" si="1811">IF(J162="",FALSE,IF(L162=0,FALSE,IF(AND(AU159,NOT(BF162),OR(M162="",N162="",O162="")),TRUE,FALSE)))</f>
        <v>0</v>
      </c>
      <c r="BJ162" s="231" t="b">
        <f t="shared" si="1507"/>
        <v>0</v>
      </c>
      <c r="BK162" s="231" t="b">
        <f>IF(NOT(BJ162),FALSE,IF(AND(競技会設定!$C$5&lt;=BJ162,BJ162&lt;=競技会設定!$C$6),FALSE,TRUE))</f>
        <v>0</v>
      </c>
      <c r="BL162" s="212" t="b">
        <f>IF(J162="",FALSE,IF(L162=0,FALSE,IF(AND(AU159,NOT(BF162),NOT(BI162),P162=""),TRUE,FALSE)))</f>
        <v>0</v>
      </c>
    </row>
    <row r="163" spans="1:67" ht="18" customHeight="1" thickTop="1">
      <c r="A163" s="461">
        <v>40</v>
      </c>
      <c r="B163" s="373" t="s">
        <v>4018</v>
      </c>
      <c r="C163" s="375"/>
      <c r="D163" s="158" t="str">
        <f t="shared" ref="D163" si="1812">IF(C163="","",502&amp;TEXT(C163,"000000"))</f>
        <v/>
      </c>
      <c r="E163" s="464" t="str">
        <f>IF(D163="","",(VLOOKUP(D163,女子登録!$A$2:$N$2001,3,0)))</f>
        <v/>
      </c>
      <c r="F163" s="464" t="str">
        <f>IF(D163="","",(VLOOKUP(D163,女子登録!$A$2:$N$2001,4,0)))</f>
        <v/>
      </c>
      <c r="G163" s="158" t="str">
        <f>IF(C163="","",(VLOOKUP(D163,女子登録!$A$2:$N$2001,8,0)))</f>
        <v/>
      </c>
      <c r="H163" s="158">
        <f>IFERROR(VLOOKUP(D163,女子登録!$A$2:$N$2001,11,0),基本情報!$E$5)</f>
        <v>0</v>
      </c>
      <c r="I163" s="158" t="s">
        <v>4019</v>
      </c>
      <c r="J163" s="174"/>
      <c r="K163" s="158" t="s">
        <v>4022</v>
      </c>
      <c r="L163" s="174"/>
      <c r="M163" s="261"/>
      <c r="N163" s="262"/>
      <c r="O163" s="263"/>
      <c r="P163" s="174"/>
      <c r="Q163" s="448"/>
      <c r="R163" s="408"/>
      <c r="S163" s="136">
        <f t="shared" ref="S163" si="1813">IF(OR(E163="",Q163=""),0,E163)</f>
        <v>0</v>
      </c>
      <c r="T163" s="137">
        <f>IF(S163=0,0,COUNTIF($S$7:S163,"*"))</f>
        <v>0</v>
      </c>
      <c r="U163" s="137">
        <f>IF(S163=0,0,COUNTIF($S$7:S163,S163))</f>
        <v>0</v>
      </c>
      <c r="V163" s="137">
        <f t="shared" si="1719"/>
        <v>0</v>
      </c>
      <c r="W163" s="137">
        <f>IF(V163=0,0,COUNTIF($V$7:V163,"*"))</f>
        <v>0</v>
      </c>
      <c r="X163" s="137">
        <f>IF(V163=0,0,COUNTIF($V$7:V163,V163))</f>
        <v>0</v>
      </c>
      <c r="Y163" s="212">
        <f t="shared" ref="Y163" si="1814">IF(OR(E163="",J163=""),0,J163&amp;E163)</f>
        <v>0</v>
      </c>
      <c r="Z163" s="212">
        <f>IF(Y163=0,0,COUNTIF($Y$7:Y163,Y163))</f>
        <v>0</v>
      </c>
      <c r="AA163" s="212" t="b">
        <f>IF(COUNTIF(J163:J166,"七種競技")&gt;0,TRUE,FALSE)</f>
        <v>0</v>
      </c>
      <c r="AB163" s="212">
        <f>IF(E163="",0,IF(AA163,COUNTIF($AA$7:AA163,TRUE),0))</f>
        <v>0</v>
      </c>
      <c r="AC163" s="212">
        <f>IFERROR(VLOOKUP("七種競技",J163:L166,3,0),0)</f>
        <v>0</v>
      </c>
      <c r="AD163" s="212">
        <f>IFERROR(VLOOKUP(J163,競技会設定!$T$2:$W$22,2,0),0)</f>
        <v>0</v>
      </c>
      <c r="AE163" s="212">
        <f t="shared" ref="AE163" si="1815">IF(E163="",0,IF(AD163=0,0,IF(AD163&lt;3,E163&amp;$AE$6,0)))</f>
        <v>0</v>
      </c>
      <c r="AF163" s="212">
        <f>IF(AE163=0,0,E163&amp;COUNTIF($AE$7:AE163,AE163))</f>
        <v>0</v>
      </c>
      <c r="AG163" s="212">
        <f t="shared" ref="AG163" si="1816">IF(E163="",0,IF(AD163=0,0,IF(AD163&gt;=3,E163&amp;$AG$6,0)))</f>
        <v>0</v>
      </c>
      <c r="AH163" s="212">
        <f>IF(AG163=0,0,E163&amp;COUNTIF($AG$7:AG163,AG163))</f>
        <v>0</v>
      </c>
      <c r="AI163" s="212">
        <f t="shared" ref="AI163" si="1817">IF($AD163=AI$6,$E163,0)</f>
        <v>0</v>
      </c>
      <c r="AJ163" s="212" t="b">
        <f>IF(AI163=0,FALSE,IF(COUNTIF(AI$7:AI163,AI163)&gt;1,TRUE,FALSE))</f>
        <v>0</v>
      </c>
      <c r="AK163" s="212">
        <f t="shared" ref="AK163" si="1818">IF($AD163=AK$6,$E163,0)</f>
        <v>0</v>
      </c>
      <c r="AL163" s="212" t="b">
        <f>IF(AK163=0,FALSE,IF(COUNTIF(AK$7:AK163,AK163)&gt;1,TRUE,FALSE))</f>
        <v>0</v>
      </c>
      <c r="AM163" s="212">
        <f t="shared" ref="AM163" si="1819">IF(COUNTIF(Y163,"*七種*")&gt;0,0,IF($AD163=AM$6,$E163,0))</f>
        <v>0</v>
      </c>
      <c r="AN163" s="212" t="b">
        <f>IF(AM163=0,FALSE,IF(COUNTIF(AM$7:AM163,AM163)&gt;1,TRUE,FALSE))</f>
        <v>0</v>
      </c>
      <c r="AO163" s="212">
        <f t="shared" ref="AO163" si="1820">IF($AD163=AO$6,$E163,0)</f>
        <v>0</v>
      </c>
      <c r="AP163" s="212" t="b">
        <f>IF(AO163=0,FALSE,IF(COUNTIF(AO$7:AO163,AO163)&gt;1,TRUE,FALSE))</f>
        <v>0</v>
      </c>
      <c r="AQ163" s="212">
        <f t="shared" ref="AQ163" si="1821">IF(COUNTIF(Y163,"*七種競技*")&gt;0,E163,0)</f>
        <v>0</v>
      </c>
      <c r="AR163" s="212" t="b">
        <f t="shared" si="1503"/>
        <v>0</v>
      </c>
      <c r="AS163" s="212" t="b">
        <f t="shared" ref="AS163" si="1822">IF(AND(C163="",E163&lt;&gt;"",F163&lt;&gt;"",E165&lt;&gt;"",G163&lt;&gt;"",G164&lt;&gt;"",G165&lt;&gt;""),TRUE,FALSE)</f>
        <v>0</v>
      </c>
      <c r="AT163" s="212" t="b">
        <f t="shared" si="1516"/>
        <v>0</v>
      </c>
      <c r="AU163" s="212" t="b">
        <f>IFERROR(IF(E163&amp;F163&amp;E165&amp;G163&amp;G164&amp;G165&amp;J163&amp;J164&amp;J165&amp;J166&amp;L163&amp;L164&amp;L165&amp;L166&amp;M163&amp;M164&amp;M165&amp;M166&amp;P163&amp;P164&amp;P165&amp;P166&amp;Q163&amp;R163="",FALSE,TRUE),FALSE)</f>
        <v>0</v>
      </c>
      <c r="AV163" s="212" t="b">
        <f t="shared" ref="AV163" si="1823">IF(AS163,FALSE,IF(C163="",AU163,FALSE))</f>
        <v>0</v>
      </c>
      <c r="AW163" s="212" t="b">
        <f t="shared" ref="AW163" si="1824">IF(C163="",FALSE,IF(C163&lt;=2000,TRUE,FALSE))</f>
        <v>0</v>
      </c>
      <c r="AX163" s="274" t="b">
        <f>IF(H163=0,FALSE,IF(EXACT(基本情報!$E$5,H163)=TRUE,FALSE,TRUE))</f>
        <v>0</v>
      </c>
      <c r="AY163" s="212" t="b">
        <f>IF(C163="",FALSE,IF(ISNA(E163)=TRUE,TRUE,FALSE))</f>
        <v>0</v>
      </c>
      <c r="AZ163" s="274" t="b">
        <f>IFERROR(IF(E163="",FALSE,IF(COUNTIF($E$7:E163,E163)&gt;1,TRUE,FALSE)),FALSE)</f>
        <v>0</v>
      </c>
      <c r="BA163" s="212" t="b">
        <f t="shared" ref="BA163" si="1825">IF(OR(J163&amp;J164&amp;J165&amp;J166&amp;Q163&amp;R163="",AT163,AT164,AT165,AT166),AU163,FALSE)</f>
        <v>0</v>
      </c>
      <c r="BB163" s="212" t="b">
        <f>IF(U163&gt;1,TRUE,FALSE)</f>
        <v>0</v>
      </c>
      <c r="BC163" s="212" t="b">
        <f>IF(X163&gt;1,TRUE,FALSE)</f>
        <v>0</v>
      </c>
      <c r="BD163" s="212" t="b">
        <f t="shared" si="1490"/>
        <v>0</v>
      </c>
      <c r="BF163" s="212" t="b">
        <f t="shared" ref="BF163" si="1826">IF(J163="",FALSE,IF(OR(AND(AU163,L163=""),AND(AU163,L163="",OR(M163&lt;&gt;"",N163&lt;&gt;"",O163&lt;&gt;"",P163&lt;&gt;""))),TRUE,FALSE))</f>
        <v>0</v>
      </c>
      <c r="BG163" s="212" t="b">
        <f t="shared" si="1492"/>
        <v>0</v>
      </c>
      <c r="BH163" s="212" t="b">
        <f t="shared" si="1505"/>
        <v>0</v>
      </c>
      <c r="BI163" s="212" t="b">
        <f t="shared" ref="BI163" si="1827">IF(J163="",FALSE,IF(L163=0,FALSE,IF(AND(AU163,NOT(BF163),OR(M163="",N163="",O163="")),TRUE,FALSE)))</f>
        <v>0</v>
      </c>
      <c r="BJ163" s="231" t="b">
        <f t="shared" si="1507"/>
        <v>0</v>
      </c>
      <c r="BK163" s="231" t="b">
        <f>IF(NOT(BJ163),FALSE,IF(AND(競技会設定!$C$5&lt;=BJ163,BJ163&lt;=競技会設定!$C$6),FALSE,TRUE))</f>
        <v>0</v>
      </c>
      <c r="BL163" s="212" t="b">
        <f>IF(J163="",FALSE,IF(L163=0,FALSE,IF(AND(AU163,NOT(BF163),NOT(BI163),P163=""),TRUE,FALSE)))</f>
        <v>0</v>
      </c>
      <c r="BO163" s="274">
        <f t="shared" ref="BO163" si="1828">IF(AND(AU163,SUM(COUNTIF(AV163:BC163,TRUE),COUNTIF(BF163:BL166,TRUE),COUNTIF(BD163:BD166,TRUE))=0,NOT($BE$7)),1,0)</f>
        <v>0</v>
      </c>
    </row>
    <row r="164" spans="1:67" ht="17.399999999999999" customHeight="1">
      <c r="A164" s="462"/>
      <c r="B164" s="374"/>
      <c r="C164" s="376"/>
      <c r="D164" s="159"/>
      <c r="E164" s="465"/>
      <c r="F164" s="465"/>
      <c r="G164" s="159" t="str">
        <f>IF(C163="","",(VLOOKUP(D163,女子登録!$A$2:$N$2001,13,0)))</f>
        <v/>
      </c>
      <c r="H164" s="159"/>
      <c r="I164" s="159" t="s">
        <v>4020</v>
      </c>
      <c r="J164" s="175"/>
      <c r="K164" s="159" t="s">
        <v>4023</v>
      </c>
      <c r="L164" s="175"/>
      <c r="M164" s="264"/>
      <c r="N164" s="265"/>
      <c r="O164" s="266"/>
      <c r="P164" s="175"/>
      <c r="Q164" s="449"/>
      <c r="R164" s="409"/>
      <c r="S164" s="136"/>
      <c r="T164" s="137"/>
      <c r="U164" s="137"/>
      <c r="V164" s="137"/>
      <c r="W164" s="137"/>
      <c r="X164" s="137"/>
      <c r="Y164" s="212">
        <f t="shared" ref="Y164" si="1829">IF(OR(E163="",J164=""),0,J164&amp;E163)</f>
        <v>0</v>
      </c>
      <c r="Z164" s="212">
        <f>IF(Y164=0,0,COUNTIF($Y$7:Y164,Y164))</f>
        <v>0</v>
      </c>
      <c r="AD164" s="212">
        <f>IFERROR(VLOOKUP(J164,競技会設定!$T$2:$W$22,2,0),0)</f>
        <v>0</v>
      </c>
      <c r="AE164" s="212">
        <f t="shared" ref="AE164" si="1830">IF(E163="",0,IF(AD164=0,0,IF(AD164&lt;3,E163&amp;$AE$6,0)))</f>
        <v>0</v>
      </c>
      <c r="AF164" s="212">
        <f>IF(AE164=0,0,E163&amp;COUNTIF($AE$7:AE164,AE164))</f>
        <v>0</v>
      </c>
      <c r="AG164" s="212">
        <f t="shared" ref="AG164" si="1831">IF(E163="",0,IF(AD164=0,0,IF(AD164&gt;=3,E163&amp;$AG$6,0)))</f>
        <v>0</v>
      </c>
      <c r="AH164" s="212">
        <f>IF(AG164=0,0,E163&amp;COUNTIF($AG$7:AG164,AG164))</f>
        <v>0</v>
      </c>
      <c r="AI164" s="212">
        <f t="shared" ref="AI164" si="1832">IF($AD164=AI$6,$E163,0)</f>
        <v>0</v>
      </c>
      <c r="AJ164" s="212" t="b">
        <f>IF(AI164=0,FALSE,IF(COUNTIF(AI$7:AI164,AI164)&gt;1,TRUE,FALSE))</f>
        <v>0</v>
      </c>
      <c r="AK164" s="212">
        <f t="shared" ref="AK164" si="1833">IF($AD164=AK$6,$E163,0)</f>
        <v>0</v>
      </c>
      <c r="AL164" s="212" t="b">
        <f>IF(AK164=0,FALSE,IF(COUNTIF(AK$7:AK164,AK164)&gt;1,TRUE,FALSE))</f>
        <v>0</v>
      </c>
      <c r="AM164" s="212">
        <f t="shared" ref="AM164" si="1834">IF(COUNTIF(Y164,"*七種*")&gt;0,0,IF($AD164=AM$6,$E163,0))</f>
        <v>0</v>
      </c>
      <c r="AN164" s="212" t="b">
        <f>IF(AM164=0,FALSE,IF(COUNTIF(AM$7:AM164,AM164)&gt;1,TRUE,FALSE))</f>
        <v>0</v>
      </c>
      <c r="AO164" s="212">
        <f t="shared" ref="AO164" si="1835">IF($AD164=AO$6,$E163,0)</f>
        <v>0</v>
      </c>
      <c r="AP164" s="212" t="b">
        <f>IF(AO164=0,FALSE,IF(COUNTIF(AO$7:AO164,AO164)&gt;1,TRUE,FALSE))</f>
        <v>0</v>
      </c>
      <c r="AQ164" s="212">
        <f t="shared" ref="AQ164" si="1836">IF(COUNTIF(Y164,"*七種競技*")&gt;0,E163,0)</f>
        <v>0</v>
      </c>
      <c r="AR164" s="212" t="b">
        <f t="shared" si="1503"/>
        <v>0</v>
      </c>
      <c r="AT164" s="212" t="b">
        <f t="shared" si="1516"/>
        <v>0</v>
      </c>
      <c r="AX164" s="274"/>
      <c r="BD164" s="212" t="b">
        <f t="shared" si="1490"/>
        <v>0</v>
      </c>
      <c r="BF164" s="212" t="b">
        <f t="shared" ref="BF164" si="1837">IF(J164="",FALSE,IF(OR(AND(AU163,L164=""),AND(AU163,L164="",OR(M164&lt;&gt;"",N164&lt;&gt;"",O164&lt;&gt;"",P164&lt;&gt;""))),TRUE,FALSE))</f>
        <v>0</v>
      </c>
      <c r="BG164" s="212" t="b">
        <f t="shared" si="1492"/>
        <v>0</v>
      </c>
      <c r="BH164" s="212" t="b">
        <f t="shared" si="1505"/>
        <v>0</v>
      </c>
      <c r="BI164" s="212" t="b">
        <f t="shared" ref="BI164" si="1838">IF(J164="",FALSE,IF(L164=0,FALSE,IF(AND(AU163,NOT(BF164),OR(M164="",N164="",O164="")),TRUE,FALSE)))</f>
        <v>0</v>
      </c>
      <c r="BJ164" s="231" t="b">
        <f t="shared" si="1507"/>
        <v>0</v>
      </c>
      <c r="BK164" s="231" t="b">
        <f>IF(NOT(BJ164),FALSE,IF(AND(競技会設定!$C$5&lt;=BJ164,BJ164&lt;=競技会設定!$C$6),FALSE,TRUE))</f>
        <v>0</v>
      </c>
      <c r="BL164" s="212" t="b">
        <f>IF(J164="",FALSE,IF(L164=0,FALSE,IF(AND(AU163,NOT(BF164),NOT(BI164),P164=""),TRUE,FALSE)))</f>
        <v>0</v>
      </c>
    </row>
    <row r="165" spans="1:67" ht="17.399999999999999" customHeight="1">
      <c r="A165" s="462"/>
      <c r="B165" s="374"/>
      <c r="C165" s="376"/>
      <c r="D165" s="160"/>
      <c r="E165" s="452" t="str">
        <f>IF(C163="","",VLOOKUP(D163,女子登録!$A$2:$O$2001,14,0)&amp;" ("&amp;VLOOKUP(D163,女子登録!$A$2:$O$2001,15,0)&amp;")")</f>
        <v/>
      </c>
      <c r="F165" s="453"/>
      <c r="G165" s="160" t="str">
        <f>IF(C163="","",(VLOOKUP(D163,女子登録!$A$2:$N$2001,9,0)))</f>
        <v/>
      </c>
      <c r="H165" s="160"/>
      <c r="I165" s="160" t="s">
        <v>4021</v>
      </c>
      <c r="J165" s="176"/>
      <c r="K165" s="160" t="s">
        <v>6760</v>
      </c>
      <c r="L165" s="176"/>
      <c r="M165" s="264"/>
      <c r="N165" s="265"/>
      <c r="O165" s="266"/>
      <c r="P165" s="175"/>
      <c r="Q165" s="449"/>
      <c r="R165" s="409"/>
      <c r="S165" s="136"/>
      <c r="T165" s="137"/>
      <c r="U165" s="137"/>
      <c r="V165" s="137"/>
      <c r="W165" s="137"/>
      <c r="X165" s="137"/>
      <c r="Y165" s="212">
        <f t="shared" ref="Y165" si="1839">IF(OR(E163="",J165=""),0,J165&amp;E163)</f>
        <v>0</v>
      </c>
      <c r="Z165" s="212">
        <f>IF(Y165=0,0,COUNTIF($Y$7:Y165,Y165))</f>
        <v>0</v>
      </c>
      <c r="AD165" s="212">
        <f>IFERROR(VLOOKUP(J165,競技会設定!$T$2:$W$22,2,0),0)</f>
        <v>0</v>
      </c>
      <c r="AE165" s="212">
        <f t="shared" ref="AE165" si="1840">IF(E163="",0,IF(AD165=0,0,IF(AD165&lt;3,E163&amp;$AE$6,0)))</f>
        <v>0</v>
      </c>
      <c r="AF165" s="212">
        <f>IF(AE165=0,0,E163&amp;COUNTIF($AE$7:AE165,AE165))</f>
        <v>0</v>
      </c>
      <c r="AG165" s="212">
        <f t="shared" ref="AG165" si="1841">IF(E163="",0,IF(AD165=0,0,IF(AD165&gt;=3,E163&amp;$AG$6,0)))</f>
        <v>0</v>
      </c>
      <c r="AH165" s="212">
        <f>IF(AG165=0,0,E163&amp;COUNTIF($AG$7:AG165,AG165))</f>
        <v>0</v>
      </c>
      <c r="AI165" s="212">
        <f t="shared" ref="AI165" si="1842">IF($AD165=AI$6,$E163,0)</f>
        <v>0</v>
      </c>
      <c r="AJ165" s="212" t="b">
        <f>IF(AI165=0,FALSE,IF(COUNTIF(AI$7:AI165,AI165)&gt;1,TRUE,FALSE))</f>
        <v>0</v>
      </c>
      <c r="AK165" s="212">
        <f t="shared" ref="AK165" si="1843">IF($AD165=AK$6,$E163,0)</f>
        <v>0</v>
      </c>
      <c r="AL165" s="212" t="b">
        <f>IF(AK165=0,FALSE,IF(COUNTIF(AK$7:AK165,AK165)&gt;1,TRUE,FALSE))</f>
        <v>0</v>
      </c>
      <c r="AM165" s="212">
        <f t="shared" ref="AM165" si="1844">IF(COUNTIF(Y165,"*七種*")&gt;0,0,IF($AD165=AM$6,$E163,0))</f>
        <v>0</v>
      </c>
      <c r="AN165" s="212" t="b">
        <f>IF(AM165=0,FALSE,IF(COUNTIF(AM$7:AM165,AM165)&gt;1,TRUE,FALSE))</f>
        <v>0</v>
      </c>
      <c r="AO165" s="212">
        <f t="shared" ref="AO165" si="1845">IF($AD165=AO$6,$E163,0)</f>
        <v>0</v>
      </c>
      <c r="AP165" s="212" t="b">
        <f>IF(AO165=0,FALSE,IF(COUNTIF(AO$7:AO165,AO165)&gt;1,TRUE,FALSE))</f>
        <v>0</v>
      </c>
      <c r="AQ165" s="212">
        <f t="shared" ref="AQ165" si="1846">IF(COUNTIF(Y165,"*七種競技*")&gt;0,E163,0)</f>
        <v>0</v>
      </c>
      <c r="AR165" s="212" t="b">
        <f t="shared" si="1503"/>
        <v>0</v>
      </c>
      <c r="AT165" s="212" t="b">
        <f t="shared" si="1516"/>
        <v>0</v>
      </c>
      <c r="AX165" s="274"/>
      <c r="BD165" s="212" t="b">
        <f t="shared" si="1490"/>
        <v>0</v>
      </c>
      <c r="BF165" s="212" t="b">
        <f t="shared" ref="BF165" si="1847">IF(J165="",FALSE,IF(OR(AND(AU163,L165=""),AND(AU163,L165="",OR(M165&lt;&gt;"",N165&lt;&gt;"",O165&lt;&gt;"",P165&lt;&gt;""))),TRUE,FALSE))</f>
        <v>0</v>
      </c>
      <c r="BG165" s="212" t="b">
        <f t="shared" si="1492"/>
        <v>0</v>
      </c>
      <c r="BH165" s="212" t="b">
        <f t="shared" si="1505"/>
        <v>0</v>
      </c>
      <c r="BI165" s="212" t="b">
        <f t="shared" ref="BI165" si="1848">IF(J165="",FALSE,IF(L165=0,FALSE,IF(AND(AU163,NOT(BF165),OR(M165="",N165="",O165="")),TRUE,FALSE)))</f>
        <v>0</v>
      </c>
      <c r="BJ165" s="231" t="b">
        <f t="shared" si="1507"/>
        <v>0</v>
      </c>
      <c r="BK165" s="231" t="b">
        <f>IF(NOT(BJ165),FALSE,IF(AND(競技会設定!$C$5&lt;=BJ165,BJ165&lt;=競技会設定!$C$6),FALSE,TRUE))</f>
        <v>0</v>
      </c>
      <c r="BL165" s="212" t="b">
        <f>IF(J165="",FALSE,IF(L165=0,FALSE,IF(AND(AU163,NOT(BF165),NOT(BI165),P165=""),TRUE,FALSE)))</f>
        <v>0</v>
      </c>
    </row>
    <row r="166" spans="1:67" ht="18" customHeight="1" thickBot="1">
      <c r="A166" s="475"/>
      <c r="B166" s="387" t="s">
        <v>6764</v>
      </c>
      <c r="C166" s="387"/>
      <c r="D166" s="161"/>
      <c r="E166" s="467"/>
      <c r="F166" s="468"/>
      <c r="G166" s="469"/>
      <c r="H166" s="162"/>
      <c r="I166" s="161" t="s">
        <v>6759</v>
      </c>
      <c r="J166" s="177"/>
      <c r="K166" s="161" t="s">
        <v>6761</v>
      </c>
      <c r="L166" s="177"/>
      <c r="M166" s="267"/>
      <c r="N166" s="268"/>
      <c r="O166" s="269"/>
      <c r="P166" s="177"/>
      <c r="Q166" s="466"/>
      <c r="R166" s="410"/>
      <c r="S166" s="136"/>
      <c r="T166" s="137"/>
      <c r="U166" s="137"/>
      <c r="V166" s="137"/>
      <c r="W166" s="137"/>
      <c r="X166" s="137"/>
      <c r="Y166" s="212">
        <f t="shared" ref="Y166" si="1849">IF(OR(E163="",J166=""),0,J166&amp;E163)</f>
        <v>0</v>
      </c>
      <c r="Z166" s="212">
        <f>IF(Y166=0,0,COUNTIF($Y$7:Y166,Y166))</f>
        <v>0</v>
      </c>
      <c r="AD166" s="212">
        <f>IFERROR(VLOOKUP(J166,競技会設定!$T$2:$W$22,2,0),0)</f>
        <v>0</v>
      </c>
      <c r="AE166" s="212">
        <f t="shared" ref="AE166" si="1850">IF(E163="",0,IF(AD166=0,0,IF(AD166&lt;3,E163&amp;$AE$6,0)))</f>
        <v>0</v>
      </c>
      <c r="AF166" s="212">
        <f>IF(AE166=0,0,E163&amp;COUNTIF($AE$7:AE166,AE166))</f>
        <v>0</v>
      </c>
      <c r="AG166" s="212">
        <f t="shared" ref="AG166" si="1851">IF(E163="",0,IF(AD166=0,0,IF(AD166&gt;=3,E163&amp;$AG$6,0)))</f>
        <v>0</v>
      </c>
      <c r="AH166" s="212">
        <f>IF(AG166=0,0,E163&amp;COUNTIF($AG$7:AG166,AG166))</f>
        <v>0</v>
      </c>
      <c r="AI166" s="212">
        <f t="shared" ref="AI166" si="1852">IF($AD166=AI$6,$E163,0)</f>
        <v>0</v>
      </c>
      <c r="AJ166" s="212" t="b">
        <f>IF(AI166=0,FALSE,IF(COUNTIF(AI$7:AI166,AI166)&gt;1,TRUE,FALSE))</f>
        <v>0</v>
      </c>
      <c r="AK166" s="212">
        <f t="shared" ref="AK166" si="1853">IF($AD166=AK$6,$E163,0)</f>
        <v>0</v>
      </c>
      <c r="AL166" s="212" t="b">
        <f>IF(AK166=0,FALSE,IF(COUNTIF(AK$7:AK166,AK166)&gt;1,TRUE,FALSE))</f>
        <v>0</v>
      </c>
      <c r="AM166" s="212">
        <f t="shared" ref="AM166" si="1854">IF(COUNTIF(Y166,"*七種*")&gt;0,0,IF($AD166=AM$6,$E163,0))</f>
        <v>0</v>
      </c>
      <c r="AN166" s="212" t="b">
        <f>IF(AM166=0,FALSE,IF(COUNTIF(AM$7:AM166,AM166)&gt;1,TRUE,FALSE))</f>
        <v>0</v>
      </c>
      <c r="AO166" s="212">
        <f t="shared" ref="AO166" si="1855">IF($AD166=AO$6,$E163,0)</f>
        <v>0</v>
      </c>
      <c r="AP166" s="212" t="b">
        <f>IF(AO166=0,FALSE,IF(COUNTIF(AO$7:AO166,AO166)&gt;1,TRUE,FALSE))</f>
        <v>0</v>
      </c>
      <c r="AQ166" s="212">
        <f t="shared" ref="AQ166" si="1856">IF(COUNTIF(Y166,"*七種競技*")&gt;0,E163,0)</f>
        <v>0</v>
      </c>
      <c r="AR166" s="212" t="b">
        <f t="shared" si="1503"/>
        <v>0</v>
      </c>
      <c r="AT166" s="212" t="b">
        <f t="shared" si="1516"/>
        <v>0</v>
      </c>
      <c r="AX166" s="274"/>
      <c r="BD166" s="212" t="b">
        <f t="shared" si="1490"/>
        <v>0</v>
      </c>
      <c r="BF166" s="212" t="b">
        <f t="shared" ref="BF166" si="1857">IF(J166="",FALSE,IF(OR(AND(AU163,L166=""),AND(AU163,L166="",OR(M166&lt;&gt;"",N166&lt;&gt;"",O166&lt;&gt;"",P166&lt;&gt;""))),TRUE,FALSE))</f>
        <v>0</v>
      </c>
      <c r="BG166" s="212" t="b">
        <f t="shared" si="1492"/>
        <v>0</v>
      </c>
      <c r="BH166" s="212" t="b">
        <f t="shared" si="1505"/>
        <v>0</v>
      </c>
      <c r="BI166" s="212" t="b">
        <f t="shared" ref="BI166" si="1858">IF(J166="",FALSE,IF(L166=0,FALSE,IF(AND(AU163,NOT(BF166),OR(M166="",N166="",O166="")),TRUE,FALSE)))</f>
        <v>0</v>
      </c>
      <c r="BJ166" s="231" t="b">
        <f t="shared" si="1507"/>
        <v>0</v>
      </c>
      <c r="BK166" s="231" t="b">
        <f>IF(NOT(BJ166),FALSE,IF(AND(競技会設定!$C$5&lt;=BJ166,BJ166&lt;=競技会設定!$C$6),FALSE,TRUE))</f>
        <v>0</v>
      </c>
      <c r="BL166" s="212" t="b">
        <f>IF(J166="",FALSE,IF(L166=0,FALSE,IF(AND(AU163,NOT(BF166),NOT(BI166),P166=""),TRUE,FALSE)))</f>
        <v>0</v>
      </c>
    </row>
    <row r="167" spans="1:67" ht="18" customHeight="1" thickTop="1">
      <c r="A167" s="470">
        <v>41</v>
      </c>
      <c r="B167" s="401" t="s">
        <v>4018</v>
      </c>
      <c r="C167" s="403"/>
      <c r="D167" s="156" t="str">
        <f t="shared" ref="D167" si="1859">IF(C167="","",502&amp;TEXT(C167,"000000"))</f>
        <v/>
      </c>
      <c r="E167" s="473" t="str">
        <f>IF(D167="","",(VLOOKUP(D167,女子登録!$A$2:$N$2001,3,0)))</f>
        <v/>
      </c>
      <c r="F167" s="473" t="str">
        <f>IF(D167="","",(VLOOKUP(D167,女子登録!$A$2:$N$2001,4,0)))</f>
        <v/>
      </c>
      <c r="G167" s="156" t="str">
        <f>IF(C167="","",(VLOOKUP(D167,女子登録!$A$2:$N$2001,8,0)))</f>
        <v/>
      </c>
      <c r="H167" s="156">
        <f>IFERROR(VLOOKUP(D167,女子登録!$A$2:$N$2001,11,0),基本情報!$E$5)</f>
        <v>0</v>
      </c>
      <c r="I167" s="156" t="s">
        <v>4019</v>
      </c>
      <c r="J167" s="170"/>
      <c r="K167" s="156" t="s">
        <v>4022</v>
      </c>
      <c r="L167" s="170"/>
      <c r="M167" s="252"/>
      <c r="N167" s="253"/>
      <c r="O167" s="254"/>
      <c r="P167" s="170"/>
      <c r="Q167" s="457"/>
      <c r="R167" s="414"/>
      <c r="S167" s="136">
        <f t="shared" ref="S167" si="1860">IF(OR(E167="",Q167=""),0,E167)</f>
        <v>0</v>
      </c>
      <c r="T167" s="137">
        <f>IF(S167=0,0,COUNTIF($S$7:S167,"*"))</f>
        <v>0</v>
      </c>
      <c r="U167" s="137">
        <f>IF(S167=0,0,COUNTIF($S$7:S167,S167))</f>
        <v>0</v>
      </c>
      <c r="V167" s="137">
        <f t="shared" si="1719"/>
        <v>0</v>
      </c>
      <c r="W167" s="137">
        <f>IF(V167=0,0,COUNTIF($V$7:V167,"*"))</f>
        <v>0</v>
      </c>
      <c r="X167" s="137">
        <f>IF(V167=0,0,COUNTIF($V$7:V167,V167))</f>
        <v>0</v>
      </c>
      <c r="Y167" s="212">
        <f t="shared" ref="Y167" si="1861">IF(OR(E167="",J167=""),0,J167&amp;E167)</f>
        <v>0</v>
      </c>
      <c r="Z167" s="212">
        <f>IF(Y167=0,0,COUNTIF($Y$7:Y167,Y167))</f>
        <v>0</v>
      </c>
      <c r="AA167" s="212" t="b">
        <f>IF(COUNTIF(J167:J170,"七種競技")&gt;0,TRUE,FALSE)</f>
        <v>0</v>
      </c>
      <c r="AB167" s="212">
        <f>IF(E167="",0,IF(AA167,COUNTIF($AA$7:AA167,TRUE),0))</f>
        <v>0</v>
      </c>
      <c r="AC167" s="212">
        <f>IFERROR(VLOOKUP("七種競技",J167:L170,3,0),0)</f>
        <v>0</v>
      </c>
      <c r="AD167" s="212">
        <f>IFERROR(VLOOKUP(J167,競技会設定!$T$2:$W$22,2,0),0)</f>
        <v>0</v>
      </c>
      <c r="AE167" s="212">
        <f t="shared" ref="AE167" si="1862">IF(E167="",0,IF(AD167=0,0,IF(AD167&lt;3,E167&amp;$AE$6,0)))</f>
        <v>0</v>
      </c>
      <c r="AF167" s="212">
        <f>IF(AE167=0,0,E167&amp;COUNTIF($AE$7:AE167,AE167))</f>
        <v>0</v>
      </c>
      <c r="AG167" s="212">
        <f t="shared" ref="AG167" si="1863">IF(E167="",0,IF(AD167=0,0,IF(AD167&gt;=3,E167&amp;$AG$6,0)))</f>
        <v>0</v>
      </c>
      <c r="AH167" s="212">
        <f>IF(AG167=0,0,E167&amp;COUNTIF($AG$7:AG167,AG167))</f>
        <v>0</v>
      </c>
      <c r="AI167" s="212">
        <f t="shared" ref="AI167" si="1864">IF($AD167=AI$6,$E167,0)</f>
        <v>0</v>
      </c>
      <c r="AJ167" s="212" t="b">
        <f>IF(AI167=0,FALSE,IF(COUNTIF(AI$7:AI167,AI167)&gt;1,TRUE,FALSE))</f>
        <v>0</v>
      </c>
      <c r="AK167" s="212">
        <f t="shared" ref="AK167" si="1865">IF($AD167=AK$6,$E167,0)</f>
        <v>0</v>
      </c>
      <c r="AL167" s="212" t="b">
        <f>IF(AK167=0,FALSE,IF(COUNTIF(AK$7:AK167,AK167)&gt;1,TRUE,FALSE))</f>
        <v>0</v>
      </c>
      <c r="AM167" s="212">
        <f t="shared" ref="AM167" si="1866">IF(COUNTIF(Y167,"*七種*")&gt;0,0,IF($AD167=AM$6,$E167,0))</f>
        <v>0</v>
      </c>
      <c r="AN167" s="212" t="b">
        <f>IF(AM167=0,FALSE,IF(COUNTIF(AM$7:AM167,AM167)&gt;1,TRUE,FALSE))</f>
        <v>0</v>
      </c>
      <c r="AO167" s="212">
        <f t="shared" ref="AO167" si="1867">IF($AD167=AO$6,$E167,0)</f>
        <v>0</v>
      </c>
      <c r="AP167" s="212" t="b">
        <f>IF(AO167=0,FALSE,IF(COUNTIF(AO$7:AO167,AO167)&gt;1,TRUE,FALSE))</f>
        <v>0</v>
      </c>
      <c r="AQ167" s="212">
        <f t="shared" ref="AQ167" si="1868">IF(COUNTIF(Y167,"*七種競技*")&gt;0,E167,0)</f>
        <v>0</v>
      </c>
      <c r="AR167" s="212" t="b">
        <f t="shared" si="1503"/>
        <v>0</v>
      </c>
      <c r="AS167" s="212" t="b">
        <f t="shared" ref="AS167" si="1869">IF(AND(C167="",E167&lt;&gt;"",F167&lt;&gt;"",E169&lt;&gt;"",G167&lt;&gt;"",G168&lt;&gt;"",G169&lt;&gt;""),TRUE,FALSE)</f>
        <v>0</v>
      </c>
      <c r="AT167" s="212" t="b">
        <f t="shared" si="1516"/>
        <v>0</v>
      </c>
      <c r="AU167" s="212" t="b">
        <f>IFERROR(IF(E167&amp;F167&amp;E169&amp;G167&amp;G168&amp;G169&amp;J167&amp;J168&amp;J169&amp;J170&amp;L167&amp;L168&amp;L169&amp;L170&amp;M167&amp;M168&amp;M169&amp;M170&amp;P167&amp;P168&amp;P169&amp;P170&amp;Q167&amp;R167="",FALSE,TRUE),FALSE)</f>
        <v>0</v>
      </c>
      <c r="AV167" s="212" t="b">
        <f t="shared" ref="AV167" si="1870">IF(AS167,FALSE,IF(C167="",AU167,FALSE))</f>
        <v>0</v>
      </c>
      <c r="AW167" s="212" t="b">
        <f t="shared" ref="AW167" si="1871">IF(C167="",FALSE,IF(C167&lt;=2000,TRUE,FALSE))</f>
        <v>0</v>
      </c>
      <c r="AX167" s="274" t="b">
        <f>IF(H167=0,FALSE,IF(EXACT(基本情報!$E$5,H167)=TRUE,FALSE,TRUE))</f>
        <v>0</v>
      </c>
      <c r="AY167" s="212" t="b">
        <f>IF(C167="",FALSE,IF(ISNA(E167)=TRUE,TRUE,FALSE))</f>
        <v>0</v>
      </c>
      <c r="AZ167" s="274" t="b">
        <f>IFERROR(IF(E167="",FALSE,IF(COUNTIF($E$7:E167,E167)&gt;1,TRUE,FALSE)),FALSE)</f>
        <v>0</v>
      </c>
      <c r="BA167" s="212" t="b">
        <f t="shared" ref="BA167" si="1872">IF(OR(J167&amp;J168&amp;J169&amp;J170&amp;Q167&amp;R167="",AT167,AT168,AT169,AT170),AU167,FALSE)</f>
        <v>0</v>
      </c>
      <c r="BB167" s="212" t="b">
        <f>IF(U167&gt;1,TRUE,FALSE)</f>
        <v>0</v>
      </c>
      <c r="BC167" s="212" t="b">
        <f>IF(X167&gt;1,TRUE,FALSE)</f>
        <v>0</v>
      </c>
      <c r="BD167" s="212" t="b">
        <f t="shared" si="1490"/>
        <v>0</v>
      </c>
      <c r="BF167" s="212" t="b">
        <f t="shared" ref="BF167" si="1873">IF(J167="",FALSE,IF(OR(AND(AU167,L167=""),AND(AU167,L167="",OR(M167&lt;&gt;"",N167&lt;&gt;"",O167&lt;&gt;"",P167&lt;&gt;""))),TRUE,FALSE))</f>
        <v>0</v>
      </c>
      <c r="BG167" s="212" t="b">
        <f t="shared" si="1492"/>
        <v>0</v>
      </c>
      <c r="BH167" s="212" t="b">
        <f t="shared" si="1505"/>
        <v>0</v>
      </c>
      <c r="BI167" s="212" t="b">
        <f t="shared" ref="BI167" si="1874">IF(J167="",FALSE,IF(L167=0,FALSE,IF(AND(AU167,NOT(BF167),OR(M167="",N167="",O167="")),TRUE,FALSE)))</f>
        <v>0</v>
      </c>
      <c r="BJ167" s="231" t="b">
        <f t="shared" si="1507"/>
        <v>0</v>
      </c>
      <c r="BK167" s="231" t="b">
        <f>IF(NOT(BJ167),FALSE,IF(AND(競技会設定!$C$5&lt;=BJ167,BJ167&lt;=競技会設定!$C$6),FALSE,TRUE))</f>
        <v>0</v>
      </c>
      <c r="BL167" s="212" t="b">
        <f>IF(J167="",FALSE,IF(L167=0,FALSE,IF(AND(AU167,NOT(BF167),NOT(BI167),P167=""),TRUE,FALSE)))</f>
        <v>0</v>
      </c>
      <c r="BO167" s="274">
        <f t="shared" ref="BO167" si="1875">IF(AND(AU167,SUM(COUNTIF(AV167:BC167,TRUE),COUNTIF(BF167:BL170,TRUE),COUNTIF(BD167:BD170,TRUE))=0,NOT($BE$7)),1,0)</f>
        <v>0</v>
      </c>
    </row>
    <row r="168" spans="1:67" ht="17.399999999999999" customHeight="1">
      <c r="A168" s="471"/>
      <c r="B168" s="402"/>
      <c r="C168" s="404"/>
      <c r="D168" s="11"/>
      <c r="E168" s="474"/>
      <c r="F168" s="474"/>
      <c r="G168" s="11" t="str">
        <f>IF(C167="","",(VLOOKUP(D167,女子登録!$A$2:$N$2001,13,0)))</f>
        <v/>
      </c>
      <c r="H168" s="11"/>
      <c r="I168" s="11" t="s">
        <v>4020</v>
      </c>
      <c r="J168" s="171"/>
      <c r="K168" s="11" t="s">
        <v>4023</v>
      </c>
      <c r="L168" s="171"/>
      <c r="M168" s="255"/>
      <c r="N168" s="256"/>
      <c r="O168" s="257"/>
      <c r="P168" s="171"/>
      <c r="Q168" s="458"/>
      <c r="R168" s="415"/>
      <c r="S168" s="136"/>
      <c r="T168" s="137"/>
      <c r="U168" s="137"/>
      <c r="V168" s="137"/>
      <c r="W168" s="137"/>
      <c r="X168" s="137"/>
      <c r="Y168" s="212">
        <f t="shared" ref="Y168" si="1876">IF(OR(E167="",J168=""),0,J168&amp;E167)</f>
        <v>0</v>
      </c>
      <c r="Z168" s="212">
        <f>IF(Y168=0,0,COUNTIF($Y$7:Y168,Y168))</f>
        <v>0</v>
      </c>
      <c r="AD168" s="212">
        <f>IFERROR(VLOOKUP(J168,競技会設定!$T$2:$W$22,2,0),0)</f>
        <v>0</v>
      </c>
      <c r="AE168" s="212">
        <f t="shared" ref="AE168" si="1877">IF(E167="",0,IF(AD168=0,0,IF(AD168&lt;3,E167&amp;$AE$6,0)))</f>
        <v>0</v>
      </c>
      <c r="AF168" s="212">
        <f>IF(AE168=0,0,E167&amp;COUNTIF($AE$7:AE168,AE168))</f>
        <v>0</v>
      </c>
      <c r="AG168" s="212">
        <f t="shared" ref="AG168" si="1878">IF(E167="",0,IF(AD168=0,0,IF(AD168&gt;=3,E167&amp;$AG$6,0)))</f>
        <v>0</v>
      </c>
      <c r="AH168" s="212">
        <f>IF(AG168=0,0,E167&amp;COUNTIF($AG$7:AG168,AG168))</f>
        <v>0</v>
      </c>
      <c r="AI168" s="212">
        <f t="shared" ref="AI168" si="1879">IF($AD168=AI$6,$E167,0)</f>
        <v>0</v>
      </c>
      <c r="AJ168" s="212" t="b">
        <f>IF(AI168=0,FALSE,IF(COUNTIF(AI$7:AI168,AI168)&gt;1,TRUE,FALSE))</f>
        <v>0</v>
      </c>
      <c r="AK168" s="212">
        <f t="shared" ref="AK168" si="1880">IF($AD168=AK$6,$E167,0)</f>
        <v>0</v>
      </c>
      <c r="AL168" s="212" t="b">
        <f>IF(AK168=0,FALSE,IF(COUNTIF(AK$7:AK168,AK168)&gt;1,TRUE,FALSE))</f>
        <v>0</v>
      </c>
      <c r="AM168" s="212">
        <f t="shared" ref="AM168" si="1881">IF(COUNTIF(Y168,"*七種*")&gt;0,0,IF($AD168=AM$6,$E167,0))</f>
        <v>0</v>
      </c>
      <c r="AN168" s="212" t="b">
        <f>IF(AM168=0,FALSE,IF(COUNTIF(AM$7:AM168,AM168)&gt;1,TRUE,FALSE))</f>
        <v>0</v>
      </c>
      <c r="AO168" s="212">
        <f t="shared" ref="AO168" si="1882">IF($AD168=AO$6,$E167,0)</f>
        <v>0</v>
      </c>
      <c r="AP168" s="212" t="b">
        <f>IF(AO168=0,FALSE,IF(COUNTIF(AO$7:AO168,AO168)&gt;1,TRUE,FALSE))</f>
        <v>0</v>
      </c>
      <c r="AQ168" s="212">
        <f t="shared" ref="AQ168" si="1883">IF(COUNTIF(Y168,"*七種競技*")&gt;0,E167,0)</f>
        <v>0</v>
      </c>
      <c r="AR168" s="212" t="b">
        <f t="shared" si="1503"/>
        <v>0</v>
      </c>
      <c r="AT168" s="212" t="b">
        <f t="shared" si="1516"/>
        <v>0</v>
      </c>
      <c r="AX168" s="274"/>
      <c r="BD168" s="212" t="b">
        <f t="shared" si="1490"/>
        <v>0</v>
      </c>
      <c r="BF168" s="212" t="b">
        <f t="shared" ref="BF168" si="1884">IF(J168="",FALSE,IF(OR(AND(AU167,L168=""),AND(AU167,L168="",OR(M168&lt;&gt;"",N168&lt;&gt;"",O168&lt;&gt;"",P168&lt;&gt;""))),TRUE,FALSE))</f>
        <v>0</v>
      </c>
      <c r="BG168" s="212" t="b">
        <f t="shared" si="1492"/>
        <v>0</v>
      </c>
      <c r="BH168" s="212" t="b">
        <f t="shared" si="1505"/>
        <v>0</v>
      </c>
      <c r="BI168" s="212" t="b">
        <f t="shared" ref="BI168" si="1885">IF(J168="",FALSE,IF(L168=0,FALSE,IF(AND(AU167,NOT(BF168),OR(M168="",N168="",O168="")),TRUE,FALSE)))</f>
        <v>0</v>
      </c>
      <c r="BJ168" s="231" t="b">
        <f t="shared" si="1507"/>
        <v>0</v>
      </c>
      <c r="BK168" s="231" t="b">
        <f>IF(NOT(BJ168),FALSE,IF(AND(競技会設定!$C$5&lt;=BJ168,BJ168&lt;=競技会設定!$C$6),FALSE,TRUE))</f>
        <v>0</v>
      </c>
      <c r="BL168" s="212" t="b">
        <f>IF(J168="",FALSE,IF(L168=0,FALSE,IF(AND(AU167,NOT(BF168),NOT(BI168),P168=""),TRUE,FALSE)))</f>
        <v>0</v>
      </c>
    </row>
    <row r="169" spans="1:67" ht="17.399999999999999" customHeight="1">
      <c r="A169" s="471"/>
      <c r="B169" s="402"/>
      <c r="C169" s="404"/>
      <c r="D169" s="11"/>
      <c r="E169" s="348" t="str">
        <f>IF(C167="","",VLOOKUP(D167,女子登録!$A$2:$O$2001,14,0)&amp;" ("&amp;VLOOKUP(D167,女子登録!$A$2:$O$2001,15,0)&amp;")")</f>
        <v/>
      </c>
      <c r="F169" s="348"/>
      <c r="G169" s="13" t="str">
        <f>IF(C167="","",(VLOOKUP(D167,女子登録!$A$2:$N$2001,9,0)))</f>
        <v/>
      </c>
      <c r="H169" s="13"/>
      <c r="I169" s="13" t="s">
        <v>4021</v>
      </c>
      <c r="J169" s="172"/>
      <c r="K169" s="13" t="s">
        <v>6760</v>
      </c>
      <c r="L169" s="172"/>
      <c r="M169" s="255"/>
      <c r="N169" s="256"/>
      <c r="O169" s="257"/>
      <c r="P169" s="171"/>
      <c r="Q169" s="458"/>
      <c r="R169" s="415"/>
      <c r="S169" s="136"/>
      <c r="T169" s="137"/>
      <c r="U169" s="137"/>
      <c r="V169" s="137"/>
      <c r="W169" s="137"/>
      <c r="X169" s="137"/>
      <c r="Y169" s="212">
        <f t="shared" ref="Y169" si="1886">IF(OR(E167="",J169=""),0,J169&amp;E167)</f>
        <v>0</v>
      </c>
      <c r="Z169" s="212">
        <f>IF(Y169=0,0,COUNTIF($Y$7:Y169,Y169))</f>
        <v>0</v>
      </c>
      <c r="AD169" s="212">
        <f>IFERROR(VLOOKUP(J169,競技会設定!$T$2:$W$22,2,0),0)</f>
        <v>0</v>
      </c>
      <c r="AE169" s="212">
        <f t="shared" ref="AE169" si="1887">IF(E167="",0,IF(AD169=0,0,IF(AD169&lt;3,E167&amp;$AE$6,0)))</f>
        <v>0</v>
      </c>
      <c r="AF169" s="212">
        <f>IF(AE169=0,0,E167&amp;COUNTIF($AE$7:AE169,AE169))</f>
        <v>0</v>
      </c>
      <c r="AG169" s="212">
        <f t="shared" ref="AG169" si="1888">IF(E167="",0,IF(AD169=0,0,IF(AD169&gt;=3,E167&amp;$AG$6,0)))</f>
        <v>0</v>
      </c>
      <c r="AH169" s="212">
        <f>IF(AG169=0,0,E167&amp;COUNTIF($AG$7:AG169,AG169))</f>
        <v>0</v>
      </c>
      <c r="AI169" s="212">
        <f t="shared" ref="AI169" si="1889">IF($AD169=AI$6,$E167,0)</f>
        <v>0</v>
      </c>
      <c r="AJ169" s="212" t="b">
        <f>IF(AI169=0,FALSE,IF(COUNTIF(AI$7:AI169,AI169)&gt;1,TRUE,FALSE))</f>
        <v>0</v>
      </c>
      <c r="AK169" s="212">
        <f t="shared" ref="AK169" si="1890">IF($AD169=AK$6,$E167,0)</f>
        <v>0</v>
      </c>
      <c r="AL169" s="212" t="b">
        <f>IF(AK169=0,FALSE,IF(COUNTIF(AK$7:AK169,AK169)&gt;1,TRUE,FALSE))</f>
        <v>0</v>
      </c>
      <c r="AM169" s="212">
        <f t="shared" ref="AM169" si="1891">IF(COUNTIF(Y169,"*七種*")&gt;0,0,IF($AD169=AM$6,$E167,0))</f>
        <v>0</v>
      </c>
      <c r="AN169" s="212" t="b">
        <f>IF(AM169=0,FALSE,IF(COUNTIF(AM$7:AM169,AM169)&gt;1,TRUE,FALSE))</f>
        <v>0</v>
      </c>
      <c r="AO169" s="212">
        <f t="shared" ref="AO169" si="1892">IF($AD169=AO$6,$E167,0)</f>
        <v>0</v>
      </c>
      <c r="AP169" s="212" t="b">
        <f>IF(AO169=0,FALSE,IF(COUNTIF(AO$7:AO169,AO169)&gt;1,TRUE,FALSE))</f>
        <v>0</v>
      </c>
      <c r="AQ169" s="212">
        <f t="shared" ref="AQ169" si="1893">IF(COUNTIF(Y169,"*七種競技*")&gt;0,E167,0)</f>
        <v>0</v>
      </c>
      <c r="AR169" s="212" t="b">
        <f t="shared" si="1503"/>
        <v>0</v>
      </c>
      <c r="AT169" s="212" t="b">
        <f t="shared" si="1516"/>
        <v>0</v>
      </c>
      <c r="AX169" s="274"/>
      <c r="BD169" s="212" t="b">
        <f t="shared" si="1490"/>
        <v>0</v>
      </c>
      <c r="BF169" s="212" t="b">
        <f t="shared" ref="BF169" si="1894">IF(J169="",FALSE,IF(OR(AND(AU167,L169=""),AND(AU167,L169="",OR(M169&lt;&gt;"",N169&lt;&gt;"",O169&lt;&gt;"",P169&lt;&gt;""))),TRUE,FALSE))</f>
        <v>0</v>
      </c>
      <c r="BG169" s="212" t="b">
        <f t="shared" si="1492"/>
        <v>0</v>
      </c>
      <c r="BH169" s="212" t="b">
        <f t="shared" si="1505"/>
        <v>0</v>
      </c>
      <c r="BI169" s="212" t="b">
        <f t="shared" ref="BI169" si="1895">IF(J169="",FALSE,IF(L169=0,FALSE,IF(AND(AU167,NOT(BF169),OR(M169="",N169="",O169="")),TRUE,FALSE)))</f>
        <v>0</v>
      </c>
      <c r="BJ169" s="231" t="b">
        <f t="shared" si="1507"/>
        <v>0</v>
      </c>
      <c r="BK169" s="231" t="b">
        <f>IF(NOT(BJ169),FALSE,IF(AND(競技会設定!$C$5&lt;=BJ169,BJ169&lt;=競技会設定!$C$6),FALSE,TRUE))</f>
        <v>0</v>
      </c>
      <c r="BL169" s="212" t="b">
        <f>IF(J169="",FALSE,IF(L169=0,FALSE,IF(AND(AU167,NOT(BF169),NOT(BI169),P169=""),TRUE,FALSE)))</f>
        <v>0</v>
      </c>
    </row>
    <row r="170" spans="1:67" ht="18" customHeight="1" thickBot="1">
      <c r="A170" s="472"/>
      <c r="B170" s="395" t="s">
        <v>6764</v>
      </c>
      <c r="C170" s="395"/>
      <c r="D170" s="11"/>
      <c r="E170" s="460"/>
      <c r="F170" s="460"/>
      <c r="G170" s="460"/>
      <c r="H170" s="157"/>
      <c r="I170" s="157" t="s">
        <v>6759</v>
      </c>
      <c r="J170" s="173"/>
      <c r="K170" s="157" t="s">
        <v>6761</v>
      </c>
      <c r="L170" s="173"/>
      <c r="M170" s="258"/>
      <c r="N170" s="259"/>
      <c r="O170" s="260"/>
      <c r="P170" s="173"/>
      <c r="Q170" s="459"/>
      <c r="R170" s="416"/>
      <c r="S170" s="136"/>
      <c r="T170" s="137"/>
      <c r="U170" s="137"/>
      <c r="V170" s="137"/>
      <c r="W170" s="137"/>
      <c r="X170" s="137"/>
      <c r="Y170" s="212">
        <f t="shared" ref="Y170" si="1896">IF(OR(E167="",J170=""),0,J170&amp;E167)</f>
        <v>0</v>
      </c>
      <c r="Z170" s="212">
        <f>IF(Y170=0,0,COUNTIF($Y$7:Y170,Y170))</f>
        <v>0</v>
      </c>
      <c r="AD170" s="212">
        <f>IFERROR(VLOOKUP(J170,競技会設定!$T$2:$W$22,2,0),0)</f>
        <v>0</v>
      </c>
      <c r="AE170" s="212">
        <f t="shared" ref="AE170" si="1897">IF(E167="",0,IF(AD170=0,0,IF(AD170&lt;3,E167&amp;$AE$6,0)))</f>
        <v>0</v>
      </c>
      <c r="AF170" s="212">
        <f>IF(AE170=0,0,E167&amp;COUNTIF($AE$7:AE170,AE170))</f>
        <v>0</v>
      </c>
      <c r="AG170" s="212">
        <f t="shared" ref="AG170" si="1898">IF(E167="",0,IF(AD170=0,0,IF(AD170&gt;=3,E167&amp;$AG$6,0)))</f>
        <v>0</v>
      </c>
      <c r="AH170" s="212">
        <f>IF(AG170=0,0,E167&amp;COUNTIF($AG$7:AG170,AG170))</f>
        <v>0</v>
      </c>
      <c r="AI170" s="212">
        <f t="shared" ref="AI170" si="1899">IF($AD170=AI$6,$E167,0)</f>
        <v>0</v>
      </c>
      <c r="AJ170" s="212" t="b">
        <f>IF(AI170=0,FALSE,IF(COUNTIF(AI$7:AI170,AI170)&gt;1,TRUE,FALSE))</f>
        <v>0</v>
      </c>
      <c r="AK170" s="212">
        <f t="shared" ref="AK170" si="1900">IF($AD170=AK$6,$E167,0)</f>
        <v>0</v>
      </c>
      <c r="AL170" s="212" t="b">
        <f>IF(AK170=0,FALSE,IF(COUNTIF(AK$7:AK170,AK170)&gt;1,TRUE,FALSE))</f>
        <v>0</v>
      </c>
      <c r="AM170" s="212">
        <f t="shared" ref="AM170" si="1901">IF(COUNTIF(Y170,"*七種*")&gt;0,0,IF($AD170=AM$6,$E167,0))</f>
        <v>0</v>
      </c>
      <c r="AN170" s="212" t="b">
        <f>IF(AM170=0,FALSE,IF(COUNTIF(AM$7:AM170,AM170)&gt;1,TRUE,FALSE))</f>
        <v>0</v>
      </c>
      <c r="AO170" s="212">
        <f t="shared" ref="AO170" si="1902">IF($AD170=AO$6,$E167,0)</f>
        <v>0</v>
      </c>
      <c r="AP170" s="212" t="b">
        <f>IF(AO170=0,FALSE,IF(COUNTIF(AO$7:AO170,AO170)&gt;1,TRUE,FALSE))</f>
        <v>0</v>
      </c>
      <c r="AQ170" s="212">
        <f t="shared" ref="AQ170" si="1903">IF(COUNTIF(Y170,"*七種競技*")&gt;0,E167,0)</f>
        <v>0</v>
      </c>
      <c r="AR170" s="212" t="b">
        <f t="shared" si="1503"/>
        <v>0</v>
      </c>
      <c r="AT170" s="212" t="b">
        <f t="shared" si="1516"/>
        <v>0</v>
      </c>
      <c r="AX170" s="274"/>
      <c r="BD170" s="212" t="b">
        <f t="shared" si="1490"/>
        <v>0</v>
      </c>
      <c r="BF170" s="212" t="b">
        <f t="shared" ref="BF170" si="1904">IF(J170="",FALSE,IF(OR(AND(AU167,L170=""),AND(AU167,L170="",OR(M170&lt;&gt;"",N170&lt;&gt;"",O170&lt;&gt;"",P170&lt;&gt;""))),TRUE,FALSE))</f>
        <v>0</v>
      </c>
      <c r="BG170" s="212" t="b">
        <f t="shared" si="1492"/>
        <v>0</v>
      </c>
      <c r="BH170" s="212" t="b">
        <f t="shared" si="1505"/>
        <v>0</v>
      </c>
      <c r="BI170" s="212" t="b">
        <f t="shared" ref="BI170" si="1905">IF(J170="",FALSE,IF(L170=0,FALSE,IF(AND(AU167,NOT(BF170),OR(M170="",N170="",O170="")),TRUE,FALSE)))</f>
        <v>0</v>
      </c>
      <c r="BJ170" s="231" t="b">
        <f t="shared" si="1507"/>
        <v>0</v>
      </c>
      <c r="BK170" s="231" t="b">
        <f>IF(NOT(BJ170),FALSE,IF(AND(競技会設定!$C$5&lt;=BJ170,BJ170&lt;=競技会設定!$C$6),FALSE,TRUE))</f>
        <v>0</v>
      </c>
      <c r="BL170" s="212" t="b">
        <f>IF(J170="",FALSE,IF(L170=0,FALSE,IF(AND(AU167,NOT(BF170),NOT(BI170),P170=""),TRUE,FALSE)))</f>
        <v>0</v>
      </c>
    </row>
    <row r="171" spans="1:67" ht="18" customHeight="1" thickTop="1">
      <c r="A171" s="461">
        <v>42</v>
      </c>
      <c r="B171" s="373" t="s">
        <v>4018</v>
      </c>
      <c r="C171" s="375"/>
      <c r="D171" s="158" t="str">
        <f t="shared" ref="D171" si="1906">IF(C171="","",502&amp;TEXT(C171,"000000"))</f>
        <v/>
      </c>
      <c r="E171" s="464" t="str">
        <f>IF(D171="","",(VLOOKUP(D171,女子登録!$A$2:$N$2001,3,0)))</f>
        <v/>
      </c>
      <c r="F171" s="464" t="str">
        <f>IF(D171="","",(VLOOKUP(D171,女子登録!$A$2:$N$2001,4,0)))</f>
        <v/>
      </c>
      <c r="G171" s="158" t="str">
        <f>IF(C171="","",(VLOOKUP(D171,女子登録!$A$2:$N$2001,8,0)))</f>
        <v/>
      </c>
      <c r="H171" s="158">
        <f>IFERROR(VLOOKUP(D171,女子登録!$A$2:$N$2001,11,0),基本情報!$E$5)</f>
        <v>0</v>
      </c>
      <c r="I171" s="158" t="s">
        <v>4019</v>
      </c>
      <c r="J171" s="174"/>
      <c r="K171" s="158" t="s">
        <v>4022</v>
      </c>
      <c r="L171" s="174"/>
      <c r="M171" s="261"/>
      <c r="N171" s="262"/>
      <c r="O171" s="263"/>
      <c r="P171" s="174"/>
      <c r="Q171" s="448"/>
      <c r="R171" s="408"/>
      <c r="S171" s="136">
        <f t="shared" ref="S171" si="1907">IF(OR(E171="",Q171=""),0,E171)</f>
        <v>0</v>
      </c>
      <c r="T171" s="137">
        <f>IF(S171=0,0,COUNTIF($S$7:S171,"*"))</f>
        <v>0</v>
      </c>
      <c r="U171" s="137">
        <f>IF(S171=0,0,COUNTIF($S$7:S171,S171))</f>
        <v>0</v>
      </c>
      <c r="V171" s="137">
        <f t="shared" si="1719"/>
        <v>0</v>
      </c>
      <c r="W171" s="137">
        <f>IF(V171=0,0,COUNTIF($V$7:V171,"*"))</f>
        <v>0</v>
      </c>
      <c r="X171" s="137">
        <f>IF(V171=0,0,COUNTIF($V$7:V171,V171))</f>
        <v>0</v>
      </c>
      <c r="Y171" s="212">
        <f t="shared" ref="Y171" si="1908">IF(OR(E171="",J171=""),0,J171&amp;E171)</f>
        <v>0</v>
      </c>
      <c r="Z171" s="212">
        <f>IF(Y171=0,0,COUNTIF($Y$7:Y171,Y171))</f>
        <v>0</v>
      </c>
      <c r="AA171" s="212" t="b">
        <f>IF(COUNTIF(J171:J174,"七種競技")&gt;0,TRUE,FALSE)</f>
        <v>0</v>
      </c>
      <c r="AB171" s="212">
        <f>IF(E171="",0,IF(AA171,COUNTIF($AA$7:AA171,TRUE),0))</f>
        <v>0</v>
      </c>
      <c r="AC171" s="212">
        <f>IFERROR(VLOOKUP("七種競技",J171:L174,3,0),0)</f>
        <v>0</v>
      </c>
      <c r="AD171" s="212">
        <f>IFERROR(VLOOKUP(J171,競技会設定!$T$2:$W$22,2,0),0)</f>
        <v>0</v>
      </c>
      <c r="AE171" s="212">
        <f t="shared" ref="AE171" si="1909">IF(E171="",0,IF(AD171=0,0,IF(AD171&lt;3,E171&amp;$AE$6,0)))</f>
        <v>0</v>
      </c>
      <c r="AF171" s="212">
        <f>IF(AE171=0,0,E171&amp;COUNTIF($AE$7:AE171,AE171))</f>
        <v>0</v>
      </c>
      <c r="AG171" s="212">
        <f t="shared" ref="AG171" si="1910">IF(E171="",0,IF(AD171=0,0,IF(AD171&gt;=3,E171&amp;$AG$6,0)))</f>
        <v>0</v>
      </c>
      <c r="AH171" s="212">
        <f>IF(AG171=0,0,E171&amp;COUNTIF($AG$7:AG171,AG171))</f>
        <v>0</v>
      </c>
      <c r="AI171" s="212">
        <f t="shared" ref="AI171" si="1911">IF($AD171=AI$6,$E171,0)</f>
        <v>0</v>
      </c>
      <c r="AJ171" s="212" t="b">
        <f>IF(AI171=0,FALSE,IF(COUNTIF(AI$7:AI171,AI171)&gt;1,TRUE,FALSE))</f>
        <v>0</v>
      </c>
      <c r="AK171" s="212">
        <f t="shared" ref="AK171" si="1912">IF($AD171=AK$6,$E171,0)</f>
        <v>0</v>
      </c>
      <c r="AL171" s="212" t="b">
        <f>IF(AK171=0,FALSE,IF(COUNTIF(AK$7:AK171,AK171)&gt;1,TRUE,FALSE))</f>
        <v>0</v>
      </c>
      <c r="AM171" s="212">
        <f t="shared" ref="AM171" si="1913">IF(COUNTIF(Y171,"*七種*")&gt;0,0,IF($AD171=AM$6,$E171,0))</f>
        <v>0</v>
      </c>
      <c r="AN171" s="212" t="b">
        <f>IF(AM171=0,FALSE,IF(COUNTIF(AM$7:AM171,AM171)&gt;1,TRUE,FALSE))</f>
        <v>0</v>
      </c>
      <c r="AO171" s="212">
        <f t="shared" ref="AO171" si="1914">IF($AD171=AO$6,$E171,0)</f>
        <v>0</v>
      </c>
      <c r="AP171" s="212" t="b">
        <f>IF(AO171=0,FALSE,IF(COUNTIF(AO$7:AO171,AO171)&gt;1,TRUE,FALSE))</f>
        <v>0</v>
      </c>
      <c r="AQ171" s="212">
        <f t="shared" ref="AQ171" si="1915">IF(COUNTIF(Y171,"*七種競技*")&gt;0,E171,0)</f>
        <v>0</v>
      </c>
      <c r="AR171" s="212" t="b">
        <f t="shared" si="1503"/>
        <v>0</v>
      </c>
      <c r="AS171" s="212" t="b">
        <f t="shared" ref="AS171" si="1916">IF(AND(C171="",E171&lt;&gt;"",F171&lt;&gt;"",E173&lt;&gt;"",G171&lt;&gt;"",G172&lt;&gt;"",G173&lt;&gt;""),TRUE,FALSE)</f>
        <v>0</v>
      </c>
      <c r="AT171" s="212" t="b">
        <f t="shared" si="1516"/>
        <v>0</v>
      </c>
      <c r="AU171" s="212" t="b">
        <f>IFERROR(IF(E171&amp;F171&amp;E173&amp;G171&amp;G172&amp;G173&amp;J171&amp;J172&amp;J173&amp;J174&amp;L171&amp;L172&amp;L173&amp;L174&amp;M171&amp;M172&amp;M173&amp;M174&amp;P171&amp;P172&amp;P173&amp;P174&amp;Q171&amp;R171="",FALSE,TRUE),FALSE)</f>
        <v>0</v>
      </c>
      <c r="AV171" s="212" t="b">
        <f t="shared" ref="AV171" si="1917">IF(AS171,FALSE,IF(C171="",AU171,FALSE))</f>
        <v>0</v>
      </c>
      <c r="AW171" s="212" t="b">
        <f t="shared" ref="AW171" si="1918">IF(C171="",FALSE,IF(C171&lt;=2000,TRUE,FALSE))</f>
        <v>0</v>
      </c>
      <c r="AX171" s="274" t="b">
        <f>IF(H171=0,FALSE,IF(EXACT(基本情報!$E$5,H171)=TRUE,FALSE,TRUE))</f>
        <v>0</v>
      </c>
      <c r="AY171" s="212" t="b">
        <f>IF(C171="",FALSE,IF(ISNA(E171)=TRUE,TRUE,FALSE))</f>
        <v>0</v>
      </c>
      <c r="AZ171" s="274" t="b">
        <f>IFERROR(IF(E171="",FALSE,IF(COUNTIF($E$7:E171,E171)&gt;1,TRUE,FALSE)),FALSE)</f>
        <v>0</v>
      </c>
      <c r="BA171" s="212" t="b">
        <f t="shared" ref="BA171" si="1919">IF(OR(J171&amp;J172&amp;J173&amp;J174&amp;Q171&amp;R171="",AT171,AT172,AT173,AT174),AU171,FALSE)</f>
        <v>0</v>
      </c>
      <c r="BB171" s="212" t="b">
        <f>IF(U171&gt;1,TRUE,FALSE)</f>
        <v>0</v>
      </c>
      <c r="BC171" s="212" t="b">
        <f>IF(X171&gt;1,TRUE,FALSE)</f>
        <v>0</v>
      </c>
      <c r="BD171" s="212" t="b">
        <f t="shared" si="1490"/>
        <v>0</v>
      </c>
      <c r="BF171" s="212" t="b">
        <f t="shared" ref="BF171" si="1920">IF(J171="",FALSE,IF(OR(AND(AU171,L171=""),AND(AU171,L171="",OR(M171&lt;&gt;"",N171&lt;&gt;"",O171&lt;&gt;"",P171&lt;&gt;""))),TRUE,FALSE))</f>
        <v>0</v>
      </c>
      <c r="BG171" s="212" t="b">
        <f t="shared" si="1492"/>
        <v>0</v>
      </c>
      <c r="BH171" s="212" t="b">
        <f t="shared" si="1505"/>
        <v>0</v>
      </c>
      <c r="BI171" s="212" t="b">
        <f t="shared" ref="BI171" si="1921">IF(J171="",FALSE,IF(L171=0,FALSE,IF(AND(AU171,NOT(BF171),OR(M171="",N171="",O171="")),TRUE,FALSE)))</f>
        <v>0</v>
      </c>
      <c r="BJ171" s="231" t="b">
        <f t="shared" si="1507"/>
        <v>0</v>
      </c>
      <c r="BK171" s="231" t="b">
        <f>IF(NOT(BJ171),FALSE,IF(AND(競技会設定!$C$5&lt;=BJ171,BJ171&lt;=競技会設定!$C$6),FALSE,TRUE))</f>
        <v>0</v>
      </c>
      <c r="BL171" s="212" t="b">
        <f>IF(J171="",FALSE,IF(L171=0,FALSE,IF(AND(AU171,NOT(BF171),NOT(BI171),P171=""),TRUE,FALSE)))</f>
        <v>0</v>
      </c>
      <c r="BO171" s="274">
        <f t="shared" ref="BO171" si="1922">IF(AND(AU171,SUM(COUNTIF(AV171:BC171,TRUE),COUNTIF(BF171:BL174,TRUE),COUNTIF(BD171:BD174,TRUE))=0,NOT($BE$7)),1,0)</f>
        <v>0</v>
      </c>
    </row>
    <row r="172" spans="1:67" ht="17.399999999999999" customHeight="1">
      <c r="A172" s="462"/>
      <c r="B172" s="374"/>
      <c r="C172" s="376"/>
      <c r="D172" s="159"/>
      <c r="E172" s="465"/>
      <c r="F172" s="465"/>
      <c r="G172" s="159" t="str">
        <f>IF(C171="","",(VLOOKUP(D171,女子登録!$A$2:$N$2001,13,0)))</f>
        <v/>
      </c>
      <c r="H172" s="159"/>
      <c r="I172" s="159" t="s">
        <v>4020</v>
      </c>
      <c r="J172" s="175"/>
      <c r="K172" s="159" t="s">
        <v>4023</v>
      </c>
      <c r="L172" s="175"/>
      <c r="M172" s="264"/>
      <c r="N172" s="265"/>
      <c r="O172" s="266"/>
      <c r="P172" s="175"/>
      <c r="Q172" s="449"/>
      <c r="R172" s="409"/>
      <c r="S172" s="136"/>
      <c r="T172" s="137"/>
      <c r="U172" s="137"/>
      <c r="V172" s="137"/>
      <c r="W172" s="137"/>
      <c r="X172" s="137"/>
      <c r="Y172" s="212">
        <f t="shared" ref="Y172" si="1923">IF(OR(E171="",J172=""),0,J172&amp;E171)</f>
        <v>0</v>
      </c>
      <c r="Z172" s="212">
        <f>IF(Y172=0,0,COUNTIF($Y$7:Y172,Y172))</f>
        <v>0</v>
      </c>
      <c r="AD172" s="212">
        <f>IFERROR(VLOOKUP(J172,競技会設定!$T$2:$W$22,2,0),0)</f>
        <v>0</v>
      </c>
      <c r="AE172" s="212">
        <f t="shared" ref="AE172" si="1924">IF(E171="",0,IF(AD172=0,0,IF(AD172&lt;3,E171&amp;$AE$6,0)))</f>
        <v>0</v>
      </c>
      <c r="AF172" s="212">
        <f>IF(AE172=0,0,E171&amp;COUNTIF($AE$7:AE172,AE172))</f>
        <v>0</v>
      </c>
      <c r="AG172" s="212">
        <f t="shared" ref="AG172" si="1925">IF(E171="",0,IF(AD172=0,0,IF(AD172&gt;=3,E171&amp;$AG$6,0)))</f>
        <v>0</v>
      </c>
      <c r="AH172" s="212">
        <f>IF(AG172=0,0,E171&amp;COUNTIF($AG$7:AG172,AG172))</f>
        <v>0</v>
      </c>
      <c r="AI172" s="212">
        <f t="shared" ref="AI172" si="1926">IF($AD172=AI$6,$E171,0)</f>
        <v>0</v>
      </c>
      <c r="AJ172" s="212" t="b">
        <f>IF(AI172=0,FALSE,IF(COUNTIF(AI$7:AI172,AI172)&gt;1,TRUE,FALSE))</f>
        <v>0</v>
      </c>
      <c r="AK172" s="212">
        <f t="shared" ref="AK172" si="1927">IF($AD172=AK$6,$E171,0)</f>
        <v>0</v>
      </c>
      <c r="AL172" s="212" t="b">
        <f>IF(AK172=0,FALSE,IF(COUNTIF(AK$7:AK172,AK172)&gt;1,TRUE,FALSE))</f>
        <v>0</v>
      </c>
      <c r="AM172" s="212">
        <f t="shared" ref="AM172" si="1928">IF(COUNTIF(Y172,"*七種*")&gt;0,0,IF($AD172=AM$6,$E171,0))</f>
        <v>0</v>
      </c>
      <c r="AN172" s="212" t="b">
        <f>IF(AM172=0,FALSE,IF(COUNTIF(AM$7:AM172,AM172)&gt;1,TRUE,FALSE))</f>
        <v>0</v>
      </c>
      <c r="AO172" s="212">
        <f t="shared" ref="AO172" si="1929">IF($AD172=AO$6,$E171,0)</f>
        <v>0</v>
      </c>
      <c r="AP172" s="212" t="b">
        <f>IF(AO172=0,FALSE,IF(COUNTIF(AO$7:AO172,AO172)&gt;1,TRUE,FALSE))</f>
        <v>0</v>
      </c>
      <c r="AQ172" s="212">
        <f t="shared" ref="AQ172" si="1930">IF(COUNTIF(Y172,"*七種競技*")&gt;0,E171,0)</f>
        <v>0</v>
      </c>
      <c r="AR172" s="212" t="b">
        <f t="shared" si="1503"/>
        <v>0</v>
      </c>
      <c r="AT172" s="212" t="b">
        <f t="shared" si="1516"/>
        <v>0</v>
      </c>
      <c r="AX172" s="274"/>
      <c r="BD172" s="212" t="b">
        <f t="shared" si="1490"/>
        <v>0</v>
      </c>
      <c r="BF172" s="212" t="b">
        <f t="shared" ref="BF172" si="1931">IF(J172="",FALSE,IF(OR(AND(AU171,L172=""),AND(AU171,L172="",OR(M172&lt;&gt;"",N172&lt;&gt;"",O172&lt;&gt;"",P172&lt;&gt;""))),TRUE,FALSE))</f>
        <v>0</v>
      </c>
      <c r="BG172" s="212" t="b">
        <f t="shared" si="1492"/>
        <v>0</v>
      </c>
      <c r="BH172" s="212" t="b">
        <f t="shared" si="1505"/>
        <v>0</v>
      </c>
      <c r="BI172" s="212" t="b">
        <f t="shared" ref="BI172" si="1932">IF(J172="",FALSE,IF(L172=0,FALSE,IF(AND(AU171,NOT(BF172),OR(M172="",N172="",O172="")),TRUE,FALSE)))</f>
        <v>0</v>
      </c>
      <c r="BJ172" s="231" t="b">
        <f t="shared" si="1507"/>
        <v>0</v>
      </c>
      <c r="BK172" s="231" t="b">
        <f>IF(NOT(BJ172),FALSE,IF(AND(競技会設定!$C$5&lt;=BJ172,BJ172&lt;=競技会設定!$C$6),FALSE,TRUE))</f>
        <v>0</v>
      </c>
      <c r="BL172" s="212" t="b">
        <f>IF(J172="",FALSE,IF(L172=0,FALSE,IF(AND(AU171,NOT(BF172),NOT(BI172),P172=""),TRUE,FALSE)))</f>
        <v>0</v>
      </c>
    </row>
    <row r="173" spans="1:67" ht="17.399999999999999" customHeight="1">
      <c r="A173" s="462"/>
      <c r="B173" s="374"/>
      <c r="C173" s="376"/>
      <c r="D173" s="160"/>
      <c r="E173" s="452" t="str">
        <f>IF(C171="","",VLOOKUP(D171,女子登録!$A$2:$O$2001,14,0)&amp;" ("&amp;VLOOKUP(D171,女子登録!$A$2:$O$2001,15,0)&amp;")")</f>
        <v/>
      </c>
      <c r="F173" s="453"/>
      <c r="G173" s="160" t="str">
        <f>IF(C171="","",(VLOOKUP(D171,女子登録!$A$2:$N$2001,9,0)))</f>
        <v/>
      </c>
      <c r="H173" s="160"/>
      <c r="I173" s="160" t="s">
        <v>4021</v>
      </c>
      <c r="J173" s="176"/>
      <c r="K173" s="160" t="s">
        <v>6760</v>
      </c>
      <c r="L173" s="176"/>
      <c r="M173" s="264"/>
      <c r="N173" s="265"/>
      <c r="O173" s="266"/>
      <c r="P173" s="175"/>
      <c r="Q173" s="449"/>
      <c r="R173" s="409"/>
      <c r="S173" s="136"/>
      <c r="T173" s="137"/>
      <c r="U173" s="137"/>
      <c r="V173" s="137"/>
      <c r="W173" s="137"/>
      <c r="X173" s="137"/>
      <c r="Y173" s="212">
        <f t="shared" ref="Y173" si="1933">IF(OR(E171="",J173=""),0,J173&amp;E171)</f>
        <v>0</v>
      </c>
      <c r="Z173" s="212">
        <f>IF(Y173=0,0,COUNTIF($Y$7:Y173,Y173))</f>
        <v>0</v>
      </c>
      <c r="AD173" s="212">
        <f>IFERROR(VLOOKUP(J173,競技会設定!$T$2:$W$22,2,0),0)</f>
        <v>0</v>
      </c>
      <c r="AE173" s="212">
        <f t="shared" ref="AE173" si="1934">IF(E171="",0,IF(AD173=0,0,IF(AD173&lt;3,E171&amp;$AE$6,0)))</f>
        <v>0</v>
      </c>
      <c r="AF173" s="212">
        <f>IF(AE173=0,0,E171&amp;COUNTIF($AE$7:AE173,AE173))</f>
        <v>0</v>
      </c>
      <c r="AG173" s="212">
        <f t="shared" ref="AG173" si="1935">IF(E171="",0,IF(AD173=0,0,IF(AD173&gt;=3,E171&amp;$AG$6,0)))</f>
        <v>0</v>
      </c>
      <c r="AH173" s="212">
        <f>IF(AG173=0,0,E171&amp;COUNTIF($AG$7:AG173,AG173))</f>
        <v>0</v>
      </c>
      <c r="AI173" s="212">
        <f t="shared" ref="AI173" si="1936">IF($AD173=AI$6,$E171,0)</f>
        <v>0</v>
      </c>
      <c r="AJ173" s="212" t="b">
        <f>IF(AI173=0,FALSE,IF(COUNTIF(AI$7:AI173,AI173)&gt;1,TRUE,FALSE))</f>
        <v>0</v>
      </c>
      <c r="AK173" s="212">
        <f t="shared" ref="AK173" si="1937">IF($AD173=AK$6,$E171,0)</f>
        <v>0</v>
      </c>
      <c r="AL173" s="212" t="b">
        <f>IF(AK173=0,FALSE,IF(COUNTIF(AK$7:AK173,AK173)&gt;1,TRUE,FALSE))</f>
        <v>0</v>
      </c>
      <c r="AM173" s="212">
        <f t="shared" ref="AM173" si="1938">IF(COUNTIF(Y173,"*七種*")&gt;0,0,IF($AD173=AM$6,$E171,0))</f>
        <v>0</v>
      </c>
      <c r="AN173" s="212" t="b">
        <f>IF(AM173=0,FALSE,IF(COUNTIF(AM$7:AM173,AM173)&gt;1,TRUE,FALSE))</f>
        <v>0</v>
      </c>
      <c r="AO173" s="212">
        <f t="shared" ref="AO173" si="1939">IF($AD173=AO$6,$E171,0)</f>
        <v>0</v>
      </c>
      <c r="AP173" s="212" t="b">
        <f>IF(AO173=0,FALSE,IF(COUNTIF(AO$7:AO173,AO173)&gt;1,TRUE,FALSE))</f>
        <v>0</v>
      </c>
      <c r="AQ173" s="212">
        <f t="shared" ref="AQ173" si="1940">IF(COUNTIF(Y173,"*七種競技*")&gt;0,E171,0)</f>
        <v>0</v>
      </c>
      <c r="AR173" s="212" t="b">
        <f t="shared" si="1503"/>
        <v>0</v>
      </c>
      <c r="AT173" s="212" t="b">
        <f t="shared" si="1516"/>
        <v>0</v>
      </c>
      <c r="AX173" s="274"/>
      <c r="BD173" s="212" t="b">
        <f t="shared" si="1490"/>
        <v>0</v>
      </c>
      <c r="BF173" s="212" t="b">
        <f t="shared" ref="BF173" si="1941">IF(J173="",FALSE,IF(OR(AND(AU171,L173=""),AND(AU171,L173="",OR(M173&lt;&gt;"",N173&lt;&gt;"",O173&lt;&gt;"",P173&lt;&gt;""))),TRUE,FALSE))</f>
        <v>0</v>
      </c>
      <c r="BG173" s="212" t="b">
        <f t="shared" si="1492"/>
        <v>0</v>
      </c>
      <c r="BH173" s="212" t="b">
        <f t="shared" si="1505"/>
        <v>0</v>
      </c>
      <c r="BI173" s="212" t="b">
        <f t="shared" ref="BI173" si="1942">IF(J173="",FALSE,IF(L173=0,FALSE,IF(AND(AU171,NOT(BF173),OR(M173="",N173="",O173="")),TRUE,FALSE)))</f>
        <v>0</v>
      </c>
      <c r="BJ173" s="231" t="b">
        <f t="shared" si="1507"/>
        <v>0</v>
      </c>
      <c r="BK173" s="231" t="b">
        <f>IF(NOT(BJ173),FALSE,IF(AND(競技会設定!$C$5&lt;=BJ173,BJ173&lt;=競技会設定!$C$6),FALSE,TRUE))</f>
        <v>0</v>
      </c>
      <c r="BL173" s="212" t="b">
        <f>IF(J173="",FALSE,IF(L173=0,FALSE,IF(AND(AU171,NOT(BF173),NOT(BI173),P173=""),TRUE,FALSE)))</f>
        <v>0</v>
      </c>
    </row>
    <row r="174" spans="1:67" ht="18" customHeight="1" thickBot="1">
      <c r="A174" s="475"/>
      <c r="B174" s="387" t="s">
        <v>6764</v>
      </c>
      <c r="C174" s="387"/>
      <c r="D174" s="161"/>
      <c r="E174" s="467"/>
      <c r="F174" s="468"/>
      <c r="G174" s="469"/>
      <c r="H174" s="162"/>
      <c r="I174" s="161" t="s">
        <v>6759</v>
      </c>
      <c r="J174" s="177"/>
      <c r="K174" s="161" t="s">
        <v>6761</v>
      </c>
      <c r="L174" s="177"/>
      <c r="M174" s="267"/>
      <c r="N174" s="268"/>
      <c r="O174" s="269"/>
      <c r="P174" s="177"/>
      <c r="Q174" s="466"/>
      <c r="R174" s="410"/>
      <c r="S174" s="136"/>
      <c r="T174" s="137"/>
      <c r="U174" s="137"/>
      <c r="V174" s="137"/>
      <c r="W174" s="137"/>
      <c r="X174" s="137"/>
      <c r="Y174" s="212">
        <f t="shared" ref="Y174" si="1943">IF(OR(E171="",J174=""),0,J174&amp;E171)</f>
        <v>0</v>
      </c>
      <c r="Z174" s="212">
        <f>IF(Y174=0,0,COUNTIF($Y$7:Y174,Y174))</f>
        <v>0</v>
      </c>
      <c r="AD174" s="212">
        <f>IFERROR(VLOOKUP(J174,競技会設定!$T$2:$W$22,2,0),0)</f>
        <v>0</v>
      </c>
      <c r="AE174" s="212">
        <f t="shared" ref="AE174" si="1944">IF(E171="",0,IF(AD174=0,0,IF(AD174&lt;3,E171&amp;$AE$6,0)))</f>
        <v>0</v>
      </c>
      <c r="AF174" s="212">
        <f>IF(AE174=0,0,E171&amp;COUNTIF($AE$7:AE174,AE174))</f>
        <v>0</v>
      </c>
      <c r="AG174" s="212">
        <f t="shared" ref="AG174" si="1945">IF(E171="",0,IF(AD174=0,0,IF(AD174&gt;=3,E171&amp;$AG$6,0)))</f>
        <v>0</v>
      </c>
      <c r="AH174" s="212">
        <f>IF(AG174=0,0,E171&amp;COUNTIF($AG$7:AG174,AG174))</f>
        <v>0</v>
      </c>
      <c r="AI174" s="212">
        <f t="shared" ref="AI174" si="1946">IF($AD174=AI$6,$E171,0)</f>
        <v>0</v>
      </c>
      <c r="AJ174" s="212" t="b">
        <f>IF(AI174=0,FALSE,IF(COUNTIF(AI$7:AI174,AI174)&gt;1,TRUE,FALSE))</f>
        <v>0</v>
      </c>
      <c r="AK174" s="212">
        <f t="shared" ref="AK174" si="1947">IF($AD174=AK$6,$E171,0)</f>
        <v>0</v>
      </c>
      <c r="AL174" s="212" t="b">
        <f>IF(AK174=0,FALSE,IF(COUNTIF(AK$7:AK174,AK174)&gt;1,TRUE,FALSE))</f>
        <v>0</v>
      </c>
      <c r="AM174" s="212">
        <f t="shared" ref="AM174" si="1948">IF(COUNTIF(Y174,"*七種*")&gt;0,0,IF($AD174=AM$6,$E171,0))</f>
        <v>0</v>
      </c>
      <c r="AN174" s="212" t="b">
        <f>IF(AM174=0,FALSE,IF(COUNTIF(AM$7:AM174,AM174)&gt;1,TRUE,FALSE))</f>
        <v>0</v>
      </c>
      <c r="AO174" s="212">
        <f t="shared" ref="AO174" si="1949">IF($AD174=AO$6,$E171,0)</f>
        <v>0</v>
      </c>
      <c r="AP174" s="212" t="b">
        <f>IF(AO174=0,FALSE,IF(COUNTIF(AO$7:AO174,AO174)&gt;1,TRUE,FALSE))</f>
        <v>0</v>
      </c>
      <c r="AQ174" s="212">
        <f t="shared" ref="AQ174" si="1950">IF(COUNTIF(Y174,"*七種競技*")&gt;0,E171,0)</f>
        <v>0</v>
      </c>
      <c r="AR174" s="212" t="b">
        <f t="shared" si="1503"/>
        <v>0</v>
      </c>
      <c r="AT174" s="212" t="b">
        <f t="shared" si="1516"/>
        <v>0</v>
      </c>
      <c r="AX174" s="274"/>
      <c r="BD174" s="212" t="b">
        <f t="shared" si="1490"/>
        <v>0</v>
      </c>
      <c r="BF174" s="212" t="b">
        <f t="shared" ref="BF174" si="1951">IF(J174="",FALSE,IF(OR(AND(AU171,L174=""),AND(AU171,L174="",OR(M174&lt;&gt;"",N174&lt;&gt;"",O174&lt;&gt;"",P174&lt;&gt;""))),TRUE,FALSE))</f>
        <v>0</v>
      </c>
      <c r="BG174" s="212" t="b">
        <f t="shared" si="1492"/>
        <v>0</v>
      </c>
      <c r="BH174" s="212" t="b">
        <f t="shared" si="1505"/>
        <v>0</v>
      </c>
      <c r="BI174" s="212" t="b">
        <f t="shared" ref="BI174" si="1952">IF(J174="",FALSE,IF(L174=0,FALSE,IF(AND(AU171,NOT(BF174),OR(M174="",N174="",O174="")),TRUE,FALSE)))</f>
        <v>0</v>
      </c>
      <c r="BJ174" s="231" t="b">
        <f t="shared" si="1507"/>
        <v>0</v>
      </c>
      <c r="BK174" s="231" t="b">
        <f>IF(NOT(BJ174),FALSE,IF(AND(競技会設定!$C$5&lt;=BJ174,BJ174&lt;=競技会設定!$C$6),FALSE,TRUE))</f>
        <v>0</v>
      </c>
      <c r="BL174" s="212" t="b">
        <f>IF(J174="",FALSE,IF(L174=0,FALSE,IF(AND(AU171,NOT(BF174),NOT(BI174),P174=""),TRUE,FALSE)))</f>
        <v>0</v>
      </c>
    </row>
    <row r="175" spans="1:67" ht="18" customHeight="1" thickTop="1">
      <c r="A175" s="470">
        <v>43</v>
      </c>
      <c r="B175" s="401" t="s">
        <v>4018</v>
      </c>
      <c r="C175" s="403"/>
      <c r="D175" s="156" t="str">
        <f t="shared" ref="D175" si="1953">IF(C175="","",502&amp;TEXT(C175,"000000"))</f>
        <v/>
      </c>
      <c r="E175" s="473" t="str">
        <f>IF(D175="","",(VLOOKUP(D175,女子登録!$A$2:$N$2001,3,0)))</f>
        <v/>
      </c>
      <c r="F175" s="473" t="str">
        <f>IF(D175="","",(VLOOKUP(D175,女子登録!$A$2:$N$2001,4,0)))</f>
        <v/>
      </c>
      <c r="G175" s="156" t="str">
        <f>IF(C175="","",(VLOOKUP(D175,女子登録!$A$2:$N$2001,8,0)))</f>
        <v/>
      </c>
      <c r="H175" s="156">
        <f>IFERROR(VLOOKUP(D175,女子登録!$A$2:$N$2001,11,0),基本情報!$E$5)</f>
        <v>0</v>
      </c>
      <c r="I175" s="156" t="s">
        <v>4019</v>
      </c>
      <c r="J175" s="170"/>
      <c r="K175" s="156" t="s">
        <v>4022</v>
      </c>
      <c r="L175" s="170"/>
      <c r="M175" s="252"/>
      <c r="N175" s="253"/>
      <c r="O175" s="254"/>
      <c r="P175" s="170"/>
      <c r="Q175" s="457"/>
      <c r="R175" s="414"/>
      <c r="S175" s="136">
        <f t="shared" ref="S175" si="1954">IF(OR(E175="",Q175=""),0,E175)</f>
        <v>0</v>
      </c>
      <c r="T175" s="137">
        <f>IF(S175=0,0,COUNTIF($S$7:S175,"*"))</f>
        <v>0</v>
      </c>
      <c r="U175" s="137">
        <f>IF(S175=0,0,COUNTIF($S$7:S175,S175))</f>
        <v>0</v>
      </c>
      <c r="V175" s="137">
        <f t="shared" si="1719"/>
        <v>0</v>
      </c>
      <c r="W175" s="137">
        <f>IF(V175=0,0,COUNTIF($V$7:V175,"*"))</f>
        <v>0</v>
      </c>
      <c r="X175" s="137">
        <f>IF(V175=0,0,COUNTIF($V$7:V175,V175))</f>
        <v>0</v>
      </c>
      <c r="Y175" s="212">
        <f t="shared" ref="Y175" si="1955">IF(OR(E175="",J175=""),0,J175&amp;E175)</f>
        <v>0</v>
      </c>
      <c r="Z175" s="212">
        <f>IF(Y175=0,0,COUNTIF($Y$7:Y175,Y175))</f>
        <v>0</v>
      </c>
      <c r="AA175" s="212" t="b">
        <f>IF(COUNTIF(J175:J178,"七種競技")&gt;0,TRUE,FALSE)</f>
        <v>0</v>
      </c>
      <c r="AB175" s="212">
        <f>IF(E175="",0,IF(AA175,COUNTIF($AA$7:AA175,TRUE),0))</f>
        <v>0</v>
      </c>
      <c r="AC175" s="212">
        <f>IFERROR(VLOOKUP("七種競技",J175:L178,3,0),0)</f>
        <v>0</v>
      </c>
      <c r="AD175" s="212">
        <f>IFERROR(VLOOKUP(J175,競技会設定!$T$2:$W$22,2,0),0)</f>
        <v>0</v>
      </c>
      <c r="AE175" s="212">
        <f t="shared" ref="AE175" si="1956">IF(E175="",0,IF(AD175=0,0,IF(AD175&lt;3,E175&amp;$AE$6,0)))</f>
        <v>0</v>
      </c>
      <c r="AF175" s="212">
        <f>IF(AE175=0,0,E175&amp;COUNTIF($AE$7:AE175,AE175))</f>
        <v>0</v>
      </c>
      <c r="AG175" s="212">
        <f t="shared" ref="AG175" si="1957">IF(E175="",0,IF(AD175=0,0,IF(AD175&gt;=3,E175&amp;$AG$6,0)))</f>
        <v>0</v>
      </c>
      <c r="AH175" s="212">
        <f>IF(AG175=0,0,E175&amp;COUNTIF($AG$7:AG175,AG175))</f>
        <v>0</v>
      </c>
      <c r="AI175" s="212">
        <f t="shared" ref="AI175" si="1958">IF($AD175=AI$6,$E175,0)</f>
        <v>0</v>
      </c>
      <c r="AJ175" s="212" t="b">
        <f>IF(AI175=0,FALSE,IF(COUNTIF(AI$7:AI175,AI175)&gt;1,TRUE,FALSE))</f>
        <v>0</v>
      </c>
      <c r="AK175" s="212">
        <f t="shared" ref="AK175" si="1959">IF($AD175=AK$6,$E175,0)</f>
        <v>0</v>
      </c>
      <c r="AL175" s="212" t="b">
        <f>IF(AK175=0,FALSE,IF(COUNTIF(AK$7:AK175,AK175)&gt;1,TRUE,FALSE))</f>
        <v>0</v>
      </c>
      <c r="AM175" s="212">
        <f t="shared" ref="AM175" si="1960">IF(COUNTIF(Y175,"*七種*")&gt;0,0,IF($AD175=AM$6,$E175,0))</f>
        <v>0</v>
      </c>
      <c r="AN175" s="212" t="b">
        <f>IF(AM175=0,FALSE,IF(COUNTIF(AM$7:AM175,AM175)&gt;1,TRUE,FALSE))</f>
        <v>0</v>
      </c>
      <c r="AO175" s="212">
        <f t="shared" ref="AO175" si="1961">IF($AD175=AO$6,$E175,0)</f>
        <v>0</v>
      </c>
      <c r="AP175" s="212" t="b">
        <f>IF(AO175=0,FALSE,IF(COUNTIF(AO$7:AO175,AO175)&gt;1,TRUE,FALSE))</f>
        <v>0</v>
      </c>
      <c r="AQ175" s="212">
        <f t="shared" ref="AQ175" si="1962">IF(COUNTIF(Y175,"*七種競技*")&gt;0,E175,0)</f>
        <v>0</v>
      </c>
      <c r="AR175" s="212" t="b">
        <f t="shared" si="1503"/>
        <v>0</v>
      </c>
      <c r="AS175" s="212" t="b">
        <f t="shared" ref="AS175" si="1963">IF(AND(C175="",E175&lt;&gt;"",F175&lt;&gt;"",E177&lt;&gt;"",G175&lt;&gt;"",G176&lt;&gt;"",G177&lt;&gt;""),TRUE,FALSE)</f>
        <v>0</v>
      </c>
      <c r="AT175" s="212" t="b">
        <f t="shared" si="1516"/>
        <v>0</v>
      </c>
      <c r="AU175" s="212" t="b">
        <f>IFERROR(IF(E175&amp;F175&amp;E177&amp;G175&amp;G176&amp;G177&amp;J175&amp;J176&amp;J177&amp;J178&amp;L175&amp;L176&amp;L177&amp;L178&amp;M175&amp;M176&amp;M177&amp;M178&amp;P175&amp;P176&amp;P177&amp;P178&amp;Q175&amp;R175="",FALSE,TRUE),FALSE)</f>
        <v>0</v>
      </c>
      <c r="AV175" s="212" t="b">
        <f t="shared" ref="AV175" si="1964">IF(AS175,FALSE,IF(C175="",AU175,FALSE))</f>
        <v>0</v>
      </c>
      <c r="AW175" s="212" t="b">
        <f t="shared" ref="AW175" si="1965">IF(C175="",FALSE,IF(C175&lt;=2000,TRUE,FALSE))</f>
        <v>0</v>
      </c>
      <c r="AX175" s="274" t="b">
        <f>IF(H175=0,FALSE,IF(EXACT(基本情報!$E$5,H175)=TRUE,FALSE,TRUE))</f>
        <v>0</v>
      </c>
      <c r="AY175" s="212" t="b">
        <f>IF(C175="",FALSE,IF(ISNA(E175)=TRUE,TRUE,FALSE))</f>
        <v>0</v>
      </c>
      <c r="AZ175" s="274" t="b">
        <f>IFERROR(IF(E175="",FALSE,IF(COUNTIF($E$7:E175,E175)&gt;1,TRUE,FALSE)),FALSE)</f>
        <v>0</v>
      </c>
      <c r="BA175" s="212" t="b">
        <f t="shared" ref="BA175" si="1966">IF(OR(J175&amp;J176&amp;J177&amp;J178&amp;Q175&amp;R175="",AT175,AT176,AT177,AT178),AU175,FALSE)</f>
        <v>0</v>
      </c>
      <c r="BB175" s="212" t="b">
        <f>IF(U175&gt;1,TRUE,FALSE)</f>
        <v>0</v>
      </c>
      <c r="BC175" s="212" t="b">
        <f>IF(X175&gt;1,TRUE,FALSE)</f>
        <v>0</v>
      </c>
      <c r="BD175" s="212" t="b">
        <f t="shared" si="1490"/>
        <v>0</v>
      </c>
      <c r="BF175" s="212" t="b">
        <f t="shared" ref="BF175" si="1967">IF(J175="",FALSE,IF(OR(AND(AU175,L175=""),AND(AU175,L175="",OR(M175&lt;&gt;"",N175&lt;&gt;"",O175&lt;&gt;"",P175&lt;&gt;""))),TRUE,FALSE))</f>
        <v>0</v>
      </c>
      <c r="BG175" s="212" t="b">
        <f t="shared" si="1492"/>
        <v>0</v>
      </c>
      <c r="BH175" s="212" t="b">
        <f t="shared" si="1505"/>
        <v>0</v>
      </c>
      <c r="BI175" s="212" t="b">
        <f t="shared" ref="BI175" si="1968">IF(J175="",FALSE,IF(L175=0,FALSE,IF(AND(AU175,NOT(BF175),OR(M175="",N175="",O175="")),TRUE,FALSE)))</f>
        <v>0</v>
      </c>
      <c r="BJ175" s="231" t="b">
        <f t="shared" si="1507"/>
        <v>0</v>
      </c>
      <c r="BK175" s="231" t="b">
        <f>IF(NOT(BJ175),FALSE,IF(AND(競技会設定!$C$5&lt;=BJ175,BJ175&lt;=競技会設定!$C$6),FALSE,TRUE))</f>
        <v>0</v>
      </c>
      <c r="BL175" s="212" t="b">
        <f>IF(J175="",FALSE,IF(L175=0,FALSE,IF(AND(AU175,NOT(BF175),NOT(BI175),P175=""),TRUE,FALSE)))</f>
        <v>0</v>
      </c>
      <c r="BO175" s="274">
        <f t="shared" ref="BO175" si="1969">IF(AND(AU175,SUM(COUNTIF(AV175:BC175,TRUE),COUNTIF(BF175:BL178,TRUE),COUNTIF(BD175:BD178,TRUE))=0,NOT($BE$7)),1,0)</f>
        <v>0</v>
      </c>
    </row>
    <row r="176" spans="1:67" ht="17.399999999999999" customHeight="1">
      <c r="A176" s="471"/>
      <c r="B176" s="402"/>
      <c r="C176" s="404"/>
      <c r="D176" s="11"/>
      <c r="E176" s="474"/>
      <c r="F176" s="474"/>
      <c r="G176" s="11" t="str">
        <f>IF(C175="","",(VLOOKUP(D175,女子登録!$A$2:$N$2001,13,0)))</f>
        <v/>
      </c>
      <c r="H176" s="11"/>
      <c r="I176" s="11" t="s">
        <v>4020</v>
      </c>
      <c r="J176" s="171"/>
      <c r="K176" s="11" t="s">
        <v>4023</v>
      </c>
      <c r="L176" s="171"/>
      <c r="M176" s="255"/>
      <c r="N176" s="256"/>
      <c r="O176" s="257"/>
      <c r="P176" s="171"/>
      <c r="Q176" s="458"/>
      <c r="R176" s="415"/>
      <c r="S176" s="136"/>
      <c r="T176" s="137"/>
      <c r="U176" s="137"/>
      <c r="V176" s="137"/>
      <c r="W176" s="137"/>
      <c r="X176" s="137"/>
      <c r="Y176" s="212">
        <f t="shared" ref="Y176" si="1970">IF(OR(E175="",J176=""),0,J176&amp;E175)</f>
        <v>0</v>
      </c>
      <c r="Z176" s="212">
        <f>IF(Y176=0,0,COUNTIF($Y$7:Y176,Y176))</f>
        <v>0</v>
      </c>
      <c r="AD176" s="212">
        <f>IFERROR(VLOOKUP(J176,競技会設定!$T$2:$W$22,2,0),0)</f>
        <v>0</v>
      </c>
      <c r="AE176" s="212">
        <f t="shared" ref="AE176" si="1971">IF(E175="",0,IF(AD176=0,0,IF(AD176&lt;3,E175&amp;$AE$6,0)))</f>
        <v>0</v>
      </c>
      <c r="AF176" s="212">
        <f>IF(AE176=0,0,E175&amp;COUNTIF($AE$7:AE176,AE176))</f>
        <v>0</v>
      </c>
      <c r="AG176" s="212">
        <f t="shared" ref="AG176" si="1972">IF(E175="",0,IF(AD176=0,0,IF(AD176&gt;=3,E175&amp;$AG$6,0)))</f>
        <v>0</v>
      </c>
      <c r="AH176" s="212">
        <f>IF(AG176=0,0,E175&amp;COUNTIF($AG$7:AG176,AG176))</f>
        <v>0</v>
      </c>
      <c r="AI176" s="212">
        <f t="shared" ref="AI176" si="1973">IF($AD176=AI$6,$E175,0)</f>
        <v>0</v>
      </c>
      <c r="AJ176" s="212" t="b">
        <f>IF(AI176=0,FALSE,IF(COUNTIF(AI$7:AI176,AI176)&gt;1,TRUE,FALSE))</f>
        <v>0</v>
      </c>
      <c r="AK176" s="212">
        <f t="shared" ref="AK176" si="1974">IF($AD176=AK$6,$E175,0)</f>
        <v>0</v>
      </c>
      <c r="AL176" s="212" t="b">
        <f>IF(AK176=0,FALSE,IF(COUNTIF(AK$7:AK176,AK176)&gt;1,TRUE,FALSE))</f>
        <v>0</v>
      </c>
      <c r="AM176" s="212">
        <f t="shared" ref="AM176" si="1975">IF(COUNTIF(Y176,"*七種*")&gt;0,0,IF($AD176=AM$6,$E175,0))</f>
        <v>0</v>
      </c>
      <c r="AN176" s="212" t="b">
        <f>IF(AM176=0,FALSE,IF(COUNTIF(AM$7:AM176,AM176)&gt;1,TRUE,FALSE))</f>
        <v>0</v>
      </c>
      <c r="AO176" s="212">
        <f t="shared" ref="AO176" si="1976">IF($AD176=AO$6,$E175,0)</f>
        <v>0</v>
      </c>
      <c r="AP176" s="212" t="b">
        <f>IF(AO176=0,FALSE,IF(COUNTIF(AO$7:AO176,AO176)&gt;1,TRUE,FALSE))</f>
        <v>0</v>
      </c>
      <c r="AQ176" s="212">
        <f t="shared" ref="AQ176" si="1977">IF(COUNTIF(Y176,"*七種競技*")&gt;0,E175,0)</f>
        <v>0</v>
      </c>
      <c r="AR176" s="212" t="b">
        <f t="shared" si="1503"/>
        <v>0</v>
      </c>
      <c r="AT176" s="212" t="b">
        <f t="shared" si="1516"/>
        <v>0</v>
      </c>
      <c r="AX176" s="274"/>
      <c r="BD176" s="212" t="b">
        <f t="shared" si="1490"/>
        <v>0</v>
      </c>
      <c r="BF176" s="212" t="b">
        <f t="shared" ref="BF176" si="1978">IF(J176="",FALSE,IF(OR(AND(AU175,L176=""),AND(AU175,L176="",OR(M176&lt;&gt;"",N176&lt;&gt;"",O176&lt;&gt;"",P176&lt;&gt;""))),TRUE,FALSE))</f>
        <v>0</v>
      </c>
      <c r="BG176" s="212" t="b">
        <f t="shared" si="1492"/>
        <v>0</v>
      </c>
      <c r="BH176" s="212" t="b">
        <f t="shared" si="1505"/>
        <v>0</v>
      </c>
      <c r="BI176" s="212" t="b">
        <f t="shared" ref="BI176" si="1979">IF(J176="",FALSE,IF(L176=0,FALSE,IF(AND(AU175,NOT(BF176),OR(M176="",N176="",O176="")),TRUE,FALSE)))</f>
        <v>0</v>
      </c>
      <c r="BJ176" s="231" t="b">
        <f t="shared" si="1507"/>
        <v>0</v>
      </c>
      <c r="BK176" s="231" t="b">
        <f>IF(NOT(BJ176),FALSE,IF(AND(競技会設定!$C$5&lt;=BJ176,BJ176&lt;=競技会設定!$C$6),FALSE,TRUE))</f>
        <v>0</v>
      </c>
      <c r="BL176" s="212" t="b">
        <f>IF(J176="",FALSE,IF(L176=0,FALSE,IF(AND(AU175,NOT(BF176),NOT(BI176),P176=""),TRUE,FALSE)))</f>
        <v>0</v>
      </c>
    </row>
    <row r="177" spans="1:67" ht="17.399999999999999" customHeight="1">
      <c r="A177" s="471"/>
      <c r="B177" s="402"/>
      <c r="C177" s="404"/>
      <c r="D177" s="11"/>
      <c r="E177" s="348" t="str">
        <f>IF(C175="","",VLOOKUP(D175,女子登録!$A$2:$O$2001,14,0)&amp;" ("&amp;VLOOKUP(D175,女子登録!$A$2:$O$2001,15,0)&amp;")")</f>
        <v/>
      </c>
      <c r="F177" s="348"/>
      <c r="G177" s="13" t="str">
        <f>IF(C175="","",(VLOOKUP(D175,女子登録!$A$2:$N$2001,9,0)))</f>
        <v/>
      </c>
      <c r="H177" s="13"/>
      <c r="I177" s="13" t="s">
        <v>4021</v>
      </c>
      <c r="J177" s="172"/>
      <c r="K177" s="13" t="s">
        <v>6760</v>
      </c>
      <c r="L177" s="172"/>
      <c r="M177" s="255"/>
      <c r="N177" s="256"/>
      <c r="O177" s="257"/>
      <c r="P177" s="171"/>
      <c r="Q177" s="458"/>
      <c r="R177" s="415"/>
      <c r="S177" s="136"/>
      <c r="T177" s="137"/>
      <c r="U177" s="137"/>
      <c r="V177" s="137"/>
      <c r="W177" s="137"/>
      <c r="X177" s="137"/>
      <c r="Y177" s="212">
        <f t="shared" ref="Y177" si="1980">IF(OR(E175="",J177=""),0,J177&amp;E175)</f>
        <v>0</v>
      </c>
      <c r="Z177" s="212">
        <f>IF(Y177=0,0,COUNTIF($Y$7:Y177,Y177))</f>
        <v>0</v>
      </c>
      <c r="AD177" s="212">
        <f>IFERROR(VLOOKUP(J177,競技会設定!$T$2:$W$22,2,0),0)</f>
        <v>0</v>
      </c>
      <c r="AE177" s="212">
        <f t="shared" ref="AE177" si="1981">IF(E175="",0,IF(AD177=0,0,IF(AD177&lt;3,E175&amp;$AE$6,0)))</f>
        <v>0</v>
      </c>
      <c r="AF177" s="212">
        <f>IF(AE177=0,0,E175&amp;COUNTIF($AE$7:AE177,AE177))</f>
        <v>0</v>
      </c>
      <c r="AG177" s="212">
        <f t="shared" ref="AG177" si="1982">IF(E175="",0,IF(AD177=0,0,IF(AD177&gt;=3,E175&amp;$AG$6,0)))</f>
        <v>0</v>
      </c>
      <c r="AH177" s="212">
        <f>IF(AG177=0,0,E175&amp;COUNTIF($AG$7:AG177,AG177))</f>
        <v>0</v>
      </c>
      <c r="AI177" s="212">
        <f t="shared" ref="AI177" si="1983">IF($AD177=AI$6,$E175,0)</f>
        <v>0</v>
      </c>
      <c r="AJ177" s="212" t="b">
        <f>IF(AI177=0,FALSE,IF(COUNTIF(AI$7:AI177,AI177)&gt;1,TRUE,FALSE))</f>
        <v>0</v>
      </c>
      <c r="AK177" s="212">
        <f t="shared" ref="AK177" si="1984">IF($AD177=AK$6,$E175,0)</f>
        <v>0</v>
      </c>
      <c r="AL177" s="212" t="b">
        <f>IF(AK177=0,FALSE,IF(COUNTIF(AK$7:AK177,AK177)&gt;1,TRUE,FALSE))</f>
        <v>0</v>
      </c>
      <c r="AM177" s="212">
        <f t="shared" ref="AM177" si="1985">IF(COUNTIF(Y177,"*七種*")&gt;0,0,IF($AD177=AM$6,$E175,0))</f>
        <v>0</v>
      </c>
      <c r="AN177" s="212" t="b">
        <f>IF(AM177=0,FALSE,IF(COUNTIF(AM$7:AM177,AM177)&gt;1,TRUE,FALSE))</f>
        <v>0</v>
      </c>
      <c r="AO177" s="212">
        <f t="shared" ref="AO177" si="1986">IF($AD177=AO$6,$E175,0)</f>
        <v>0</v>
      </c>
      <c r="AP177" s="212" t="b">
        <f>IF(AO177=0,FALSE,IF(COUNTIF(AO$7:AO177,AO177)&gt;1,TRUE,FALSE))</f>
        <v>0</v>
      </c>
      <c r="AQ177" s="212">
        <f t="shared" ref="AQ177" si="1987">IF(COUNTIF(Y177,"*七種競技*")&gt;0,E175,0)</f>
        <v>0</v>
      </c>
      <c r="AR177" s="212" t="b">
        <f t="shared" si="1503"/>
        <v>0</v>
      </c>
      <c r="AT177" s="212" t="b">
        <f t="shared" si="1516"/>
        <v>0</v>
      </c>
      <c r="AX177" s="274"/>
      <c r="BD177" s="212" t="b">
        <f t="shared" si="1490"/>
        <v>0</v>
      </c>
      <c r="BF177" s="212" t="b">
        <f t="shared" ref="BF177" si="1988">IF(J177="",FALSE,IF(OR(AND(AU175,L177=""),AND(AU175,L177="",OR(M177&lt;&gt;"",N177&lt;&gt;"",O177&lt;&gt;"",P177&lt;&gt;""))),TRUE,FALSE))</f>
        <v>0</v>
      </c>
      <c r="BG177" s="212" t="b">
        <f t="shared" si="1492"/>
        <v>0</v>
      </c>
      <c r="BH177" s="212" t="b">
        <f t="shared" si="1505"/>
        <v>0</v>
      </c>
      <c r="BI177" s="212" t="b">
        <f t="shared" ref="BI177" si="1989">IF(J177="",FALSE,IF(L177=0,FALSE,IF(AND(AU175,NOT(BF177),OR(M177="",N177="",O177="")),TRUE,FALSE)))</f>
        <v>0</v>
      </c>
      <c r="BJ177" s="231" t="b">
        <f t="shared" si="1507"/>
        <v>0</v>
      </c>
      <c r="BK177" s="231" t="b">
        <f>IF(NOT(BJ177),FALSE,IF(AND(競技会設定!$C$5&lt;=BJ177,BJ177&lt;=競技会設定!$C$6),FALSE,TRUE))</f>
        <v>0</v>
      </c>
      <c r="BL177" s="212" t="b">
        <f>IF(J177="",FALSE,IF(L177=0,FALSE,IF(AND(AU175,NOT(BF177),NOT(BI177),P177=""),TRUE,FALSE)))</f>
        <v>0</v>
      </c>
    </row>
    <row r="178" spans="1:67" ht="18" customHeight="1" thickBot="1">
      <c r="A178" s="472"/>
      <c r="B178" s="395" t="s">
        <v>6764</v>
      </c>
      <c r="C178" s="395"/>
      <c r="D178" s="11"/>
      <c r="E178" s="460"/>
      <c r="F178" s="460"/>
      <c r="G178" s="460"/>
      <c r="H178" s="157"/>
      <c r="I178" s="157" t="s">
        <v>6759</v>
      </c>
      <c r="J178" s="173"/>
      <c r="K178" s="157" t="s">
        <v>6761</v>
      </c>
      <c r="L178" s="173"/>
      <c r="M178" s="258"/>
      <c r="N178" s="259"/>
      <c r="O178" s="260"/>
      <c r="P178" s="173"/>
      <c r="Q178" s="459"/>
      <c r="R178" s="416"/>
      <c r="S178" s="136"/>
      <c r="T178" s="137"/>
      <c r="U178" s="137"/>
      <c r="V178" s="137"/>
      <c r="W178" s="137"/>
      <c r="X178" s="137"/>
      <c r="Y178" s="212">
        <f t="shared" ref="Y178" si="1990">IF(OR(E175="",J178=""),0,J178&amp;E175)</f>
        <v>0</v>
      </c>
      <c r="Z178" s="212">
        <f>IF(Y178=0,0,COUNTIF($Y$7:Y178,Y178))</f>
        <v>0</v>
      </c>
      <c r="AD178" s="212">
        <f>IFERROR(VLOOKUP(J178,競技会設定!$T$2:$W$22,2,0),0)</f>
        <v>0</v>
      </c>
      <c r="AE178" s="212">
        <f t="shared" ref="AE178" si="1991">IF(E175="",0,IF(AD178=0,0,IF(AD178&lt;3,E175&amp;$AE$6,0)))</f>
        <v>0</v>
      </c>
      <c r="AF178" s="212">
        <f>IF(AE178=0,0,E175&amp;COUNTIF($AE$7:AE178,AE178))</f>
        <v>0</v>
      </c>
      <c r="AG178" s="212">
        <f t="shared" ref="AG178" si="1992">IF(E175="",0,IF(AD178=0,0,IF(AD178&gt;=3,E175&amp;$AG$6,0)))</f>
        <v>0</v>
      </c>
      <c r="AH178" s="212">
        <f>IF(AG178=0,0,E175&amp;COUNTIF($AG$7:AG178,AG178))</f>
        <v>0</v>
      </c>
      <c r="AI178" s="212">
        <f t="shared" ref="AI178" si="1993">IF($AD178=AI$6,$E175,0)</f>
        <v>0</v>
      </c>
      <c r="AJ178" s="212" t="b">
        <f>IF(AI178=0,FALSE,IF(COUNTIF(AI$7:AI178,AI178)&gt;1,TRUE,FALSE))</f>
        <v>0</v>
      </c>
      <c r="AK178" s="212">
        <f t="shared" ref="AK178" si="1994">IF($AD178=AK$6,$E175,0)</f>
        <v>0</v>
      </c>
      <c r="AL178" s="212" t="b">
        <f>IF(AK178=0,FALSE,IF(COUNTIF(AK$7:AK178,AK178)&gt;1,TRUE,FALSE))</f>
        <v>0</v>
      </c>
      <c r="AM178" s="212">
        <f t="shared" ref="AM178" si="1995">IF(COUNTIF(Y178,"*七種*")&gt;0,0,IF($AD178=AM$6,$E175,0))</f>
        <v>0</v>
      </c>
      <c r="AN178" s="212" t="b">
        <f>IF(AM178=0,FALSE,IF(COUNTIF(AM$7:AM178,AM178)&gt;1,TRUE,FALSE))</f>
        <v>0</v>
      </c>
      <c r="AO178" s="212">
        <f t="shared" ref="AO178" si="1996">IF($AD178=AO$6,$E175,0)</f>
        <v>0</v>
      </c>
      <c r="AP178" s="212" t="b">
        <f>IF(AO178=0,FALSE,IF(COUNTIF(AO$7:AO178,AO178)&gt;1,TRUE,FALSE))</f>
        <v>0</v>
      </c>
      <c r="AQ178" s="212">
        <f t="shared" ref="AQ178" si="1997">IF(COUNTIF(Y178,"*七種競技*")&gt;0,E175,0)</f>
        <v>0</v>
      </c>
      <c r="AR178" s="212" t="b">
        <f t="shared" si="1503"/>
        <v>0</v>
      </c>
      <c r="AT178" s="212" t="b">
        <f t="shared" si="1516"/>
        <v>0</v>
      </c>
      <c r="AX178" s="274"/>
      <c r="BD178" s="212" t="b">
        <f t="shared" si="1490"/>
        <v>0</v>
      </c>
      <c r="BF178" s="212" t="b">
        <f t="shared" ref="BF178" si="1998">IF(J178="",FALSE,IF(OR(AND(AU175,L178=""),AND(AU175,L178="",OR(M178&lt;&gt;"",N178&lt;&gt;"",O178&lt;&gt;"",P178&lt;&gt;""))),TRUE,FALSE))</f>
        <v>0</v>
      </c>
      <c r="BG178" s="212" t="b">
        <f t="shared" si="1492"/>
        <v>0</v>
      </c>
      <c r="BH178" s="212" t="b">
        <f t="shared" si="1505"/>
        <v>0</v>
      </c>
      <c r="BI178" s="212" t="b">
        <f t="shared" ref="BI178" si="1999">IF(J178="",FALSE,IF(L178=0,FALSE,IF(AND(AU175,NOT(BF178),OR(M178="",N178="",O178="")),TRUE,FALSE)))</f>
        <v>0</v>
      </c>
      <c r="BJ178" s="231" t="b">
        <f t="shared" si="1507"/>
        <v>0</v>
      </c>
      <c r="BK178" s="231" t="b">
        <f>IF(NOT(BJ178),FALSE,IF(AND(競技会設定!$C$5&lt;=BJ178,BJ178&lt;=競技会設定!$C$6),FALSE,TRUE))</f>
        <v>0</v>
      </c>
      <c r="BL178" s="212" t="b">
        <f>IF(J178="",FALSE,IF(L178=0,FALSE,IF(AND(AU175,NOT(BF178),NOT(BI178),P178=""),TRUE,FALSE)))</f>
        <v>0</v>
      </c>
    </row>
    <row r="179" spans="1:67" ht="18" customHeight="1" thickTop="1">
      <c r="A179" s="461">
        <v>44</v>
      </c>
      <c r="B179" s="373" t="s">
        <v>4018</v>
      </c>
      <c r="C179" s="375"/>
      <c r="D179" s="158" t="str">
        <f t="shared" ref="D179" si="2000">IF(C179="","",502&amp;TEXT(C179,"000000"))</f>
        <v/>
      </c>
      <c r="E179" s="464" t="str">
        <f>IF(D179="","",(VLOOKUP(D179,女子登録!$A$2:$N$2001,3,0)))</f>
        <v/>
      </c>
      <c r="F179" s="464" t="str">
        <f>IF(D179="","",(VLOOKUP(D179,女子登録!$A$2:$N$2001,4,0)))</f>
        <v/>
      </c>
      <c r="G179" s="158" t="str">
        <f>IF(C179="","",(VLOOKUP(D179,女子登録!$A$2:$N$2001,8,0)))</f>
        <v/>
      </c>
      <c r="H179" s="158">
        <f>IFERROR(VLOOKUP(D179,女子登録!$A$2:$N$2001,11,0),基本情報!$E$5)</f>
        <v>0</v>
      </c>
      <c r="I179" s="158" t="s">
        <v>4019</v>
      </c>
      <c r="J179" s="174"/>
      <c r="K179" s="158" t="s">
        <v>4022</v>
      </c>
      <c r="L179" s="174"/>
      <c r="M179" s="261"/>
      <c r="N179" s="262"/>
      <c r="O179" s="263"/>
      <c r="P179" s="174"/>
      <c r="Q179" s="448"/>
      <c r="R179" s="408"/>
      <c r="S179" s="136">
        <f t="shared" ref="S179" si="2001">IF(OR(E179="",Q179=""),0,E179)</f>
        <v>0</v>
      </c>
      <c r="T179" s="137">
        <f>IF(S179=0,0,COUNTIF($S$7:S179,"*"))</f>
        <v>0</v>
      </c>
      <c r="U179" s="137">
        <f>IF(S179=0,0,COUNTIF($S$7:S179,S179))</f>
        <v>0</v>
      </c>
      <c r="V179" s="137">
        <f t="shared" si="1719"/>
        <v>0</v>
      </c>
      <c r="W179" s="137">
        <f>IF(V179=0,0,COUNTIF($V$7:V179,"*"))</f>
        <v>0</v>
      </c>
      <c r="X179" s="137">
        <f>IF(V179=0,0,COUNTIF($V$7:V179,V179))</f>
        <v>0</v>
      </c>
      <c r="Y179" s="212">
        <f t="shared" ref="Y179" si="2002">IF(OR(E179="",J179=""),0,J179&amp;E179)</f>
        <v>0</v>
      </c>
      <c r="Z179" s="212">
        <f>IF(Y179=0,0,COUNTIF($Y$7:Y179,Y179))</f>
        <v>0</v>
      </c>
      <c r="AA179" s="212" t="b">
        <f>IF(COUNTIF(J179:J182,"七種競技")&gt;0,TRUE,FALSE)</f>
        <v>0</v>
      </c>
      <c r="AB179" s="212">
        <f>IF(E179="",0,IF(AA179,COUNTIF($AA$7:AA179,TRUE),0))</f>
        <v>0</v>
      </c>
      <c r="AC179" s="212">
        <f>IFERROR(VLOOKUP("七種競技",J179:L182,3,0),0)</f>
        <v>0</v>
      </c>
      <c r="AD179" s="212">
        <f>IFERROR(VLOOKUP(J179,競技会設定!$T$2:$W$22,2,0),0)</f>
        <v>0</v>
      </c>
      <c r="AE179" s="212">
        <f t="shared" ref="AE179" si="2003">IF(E179="",0,IF(AD179=0,0,IF(AD179&lt;3,E179&amp;$AE$6,0)))</f>
        <v>0</v>
      </c>
      <c r="AF179" s="212">
        <f>IF(AE179=0,0,E179&amp;COUNTIF($AE$7:AE179,AE179))</f>
        <v>0</v>
      </c>
      <c r="AG179" s="212">
        <f t="shared" ref="AG179" si="2004">IF(E179="",0,IF(AD179=0,0,IF(AD179&gt;=3,E179&amp;$AG$6,0)))</f>
        <v>0</v>
      </c>
      <c r="AH179" s="212">
        <f>IF(AG179=0,0,E179&amp;COUNTIF($AG$7:AG179,AG179))</f>
        <v>0</v>
      </c>
      <c r="AI179" s="212">
        <f t="shared" ref="AI179" si="2005">IF($AD179=AI$6,$E179,0)</f>
        <v>0</v>
      </c>
      <c r="AJ179" s="212" t="b">
        <f>IF(AI179=0,FALSE,IF(COUNTIF(AI$7:AI179,AI179)&gt;1,TRUE,FALSE))</f>
        <v>0</v>
      </c>
      <c r="AK179" s="212">
        <f t="shared" ref="AK179" si="2006">IF($AD179=AK$6,$E179,0)</f>
        <v>0</v>
      </c>
      <c r="AL179" s="212" t="b">
        <f>IF(AK179=0,FALSE,IF(COUNTIF(AK$7:AK179,AK179)&gt;1,TRUE,FALSE))</f>
        <v>0</v>
      </c>
      <c r="AM179" s="212">
        <f t="shared" ref="AM179" si="2007">IF(COUNTIF(Y179,"*七種*")&gt;0,0,IF($AD179=AM$6,$E179,0))</f>
        <v>0</v>
      </c>
      <c r="AN179" s="212" t="b">
        <f>IF(AM179=0,FALSE,IF(COUNTIF(AM$7:AM179,AM179)&gt;1,TRUE,FALSE))</f>
        <v>0</v>
      </c>
      <c r="AO179" s="212">
        <f t="shared" ref="AO179" si="2008">IF($AD179=AO$6,$E179,0)</f>
        <v>0</v>
      </c>
      <c r="AP179" s="212" t="b">
        <f>IF(AO179=0,FALSE,IF(COUNTIF(AO$7:AO179,AO179)&gt;1,TRUE,FALSE))</f>
        <v>0</v>
      </c>
      <c r="AQ179" s="212">
        <f t="shared" ref="AQ179" si="2009">IF(COUNTIF(Y179,"*七種競技*")&gt;0,E179,0)</f>
        <v>0</v>
      </c>
      <c r="AR179" s="212" t="b">
        <f t="shared" si="1503"/>
        <v>0</v>
      </c>
      <c r="AS179" s="212" t="b">
        <f t="shared" ref="AS179" si="2010">IF(AND(C179="",E179&lt;&gt;"",F179&lt;&gt;"",E181&lt;&gt;"",G179&lt;&gt;"",G180&lt;&gt;"",G181&lt;&gt;""),TRUE,FALSE)</f>
        <v>0</v>
      </c>
      <c r="AT179" s="212" t="b">
        <f t="shared" si="1516"/>
        <v>0</v>
      </c>
      <c r="AU179" s="212" t="b">
        <f>IFERROR(IF(E179&amp;F179&amp;E181&amp;G179&amp;G180&amp;G181&amp;J179&amp;J180&amp;J181&amp;J182&amp;L179&amp;L180&amp;L181&amp;L182&amp;M179&amp;M180&amp;M181&amp;M182&amp;P179&amp;P180&amp;P181&amp;P182&amp;Q179&amp;R179="",FALSE,TRUE),FALSE)</f>
        <v>0</v>
      </c>
      <c r="AV179" s="212" t="b">
        <f t="shared" ref="AV179" si="2011">IF(AS179,FALSE,IF(C179="",AU179,FALSE))</f>
        <v>0</v>
      </c>
      <c r="AW179" s="212" t="b">
        <f t="shared" ref="AW179" si="2012">IF(C179="",FALSE,IF(C179&lt;=2000,TRUE,FALSE))</f>
        <v>0</v>
      </c>
      <c r="AX179" s="274" t="b">
        <f>IF(H179=0,FALSE,IF(EXACT(基本情報!$E$5,H179)=TRUE,FALSE,TRUE))</f>
        <v>0</v>
      </c>
      <c r="AY179" s="212" t="b">
        <f>IF(C179="",FALSE,IF(ISNA(E179)=TRUE,TRUE,FALSE))</f>
        <v>0</v>
      </c>
      <c r="AZ179" s="274" t="b">
        <f>IFERROR(IF(E179="",FALSE,IF(COUNTIF($E$7:E179,E179)&gt;1,TRUE,FALSE)),FALSE)</f>
        <v>0</v>
      </c>
      <c r="BA179" s="212" t="b">
        <f t="shared" ref="BA179" si="2013">IF(OR(J179&amp;J180&amp;J181&amp;J182&amp;Q179&amp;R179="",AT179,AT180,AT181,AT182),AU179,FALSE)</f>
        <v>0</v>
      </c>
      <c r="BB179" s="212" t="b">
        <f>IF(U179&gt;1,TRUE,FALSE)</f>
        <v>0</v>
      </c>
      <c r="BC179" s="212" t="b">
        <f>IF(X179&gt;1,TRUE,FALSE)</f>
        <v>0</v>
      </c>
      <c r="BD179" s="212" t="b">
        <f t="shared" si="1490"/>
        <v>0</v>
      </c>
      <c r="BF179" s="212" t="b">
        <f t="shared" ref="BF179" si="2014">IF(J179="",FALSE,IF(OR(AND(AU179,L179=""),AND(AU179,L179="",OR(M179&lt;&gt;"",N179&lt;&gt;"",O179&lt;&gt;"",P179&lt;&gt;""))),TRUE,FALSE))</f>
        <v>0</v>
      </c>
      <c r="BG179" s="212" t="b">
        <f t="shared" si="1492"/>
        <v>0</v>
      </c>
      <c r="BH179" s="212" t="b">
        <f t="shared" si="1505"/>
        <v>0</v>
      </c>
      <c r="BI179" s="212" t="b">
        <f t="shared" ref="BI179" si="2015">IF(J179="",FALSE,IF(L179=0,FALSE,IF(AND(AU179,NOT(BF179),OR(M179="",N179="",O179="")),TRUE,FALSE)))</f>
        <v>0</v>
      </c>
      <c r="BJ179" s="231" t="b">
        <f t="shared" si="1507"/>
        <v>0</v>
      </c>
      <c r="BK179" s="231" t="b">
        <f>IF(NOT(BJ179),FALSE,IF(AND(競技会設定!$C$5&lt;=BJ179,BJ179&lt;=競技会設定!$C$6),FALSE,TRUE))</f>
        <v>0</v>
      </c>
      <c r="BL179" s="212" t="b">
        <f>IF(J179="",FALSE,IF(L179=0,FALSE,IF(AND(AU179,NOT(BF179),NOT(BI179),P179=""),TRUE,FALSE)))</f>
        <v>0</v>
      </c>
      <c r="BO179" s="274">
        <f t="shared" ref="BO179" si="2016">IF(AND(AU179,SUM(COUNTIF(AV179:BC179,TRUE),COUNTIF(BF179:BL182,TRUE),COUNTIF(BD179:BD182,TRUE))=0,NOT($BE$7)),1,0)</f>
        <v>0</v>
      </c>
    </row>
    <row r="180" spans="1:67" ht="17.399999999999999" customHeight="1">
      <c r="A180" s="462"/>
      <c r="B180" s="374"/>
      <c r="C180" s="376"/>
      <c r="D180" s="159"/>
      <c r="E180" s="465"/>
      <c r="F180" s="465"/>
      <c r="G180" s="159" t="str">
        <f>IF(C179="","",(VLOOKUP(D179,女子登録!$A$2:$N$2001,13,0)))</f>
        <v/>
      </c>
      <c r="H180" s="159"/>
      <c r="I180" s="159" t="s">
        <v>4020</v>
      </c>
      <c r="J180" s="175"/>
      <c r="K180" s="159" t="s">
        <v>4023</v>
      </c>
      <c r="L180" s="175"/>
      <c r="M180" s="264"/>
      <c r="N180" s="265"/>
      <c r="O180" s="266"/>
      <c r="P180" s="175"/>
      <c r="Q180" s="449"/>
      <c r="R180" s="409"/>
      <c r="S180" s="136"/>
      <c r="T180" s="137"/>
      <c r="U180" s="137"/>
      <c r="V180" s="137"/>
      <c r="W180" s="137"/>
      <c r="X180" s="137"/>
      <c r="Y180" s="212">
        <f t="shared" ref="Y180" si="2017">IF(OR(E179="",J180=""),0,J180&amp;E179)</f>
        <v>0</v>
      </c>
      <c r="Z180" s="212">
        <f>IF(Y180=0,0,COUNTIF($Y$7:Y180,Y180))</f>
        <v>0</v>
      </c>
      <c r="AD180" s="212">
        <f>IFERROR(VLOOKUP(J180,競技会設定!$T$2:$W$22,2,0),0)</f>
        <v>0</v>
      </c>
      <c r="AE180" s="212">
        <f t="shared" ref="AE180" si="2018">IF(E179="",0,IF(AD180=0,0,IF(AD180&lt;3,E179&amp;$AE$6,0)))</f>
        <v>0</v>
      </c>
      <c r="AF180" s="212">
        <f>IF(AE180=0,0,E179&amp;COUNTIF($AE$7:AE180,AE180))</f>
        <v>0</v>
      </c>
      <c r="AG180" s="212">
        <f t="shared" ref="AG180" si="2019">IF(E179="",0,IF(AD180=0,0,IF(AD180&gt;=3,E179&amp;$AG$6,0)))</f>
        <v>0</v>
      </c>
      <c r="AH180" s="212">
        <f>IF(AG180=0,0,E179&amp;COUNTIF($AG$7:AG180,AG180))</f>
        <v>0</v>
      </c>
      <c r="AI180" s="212">
        <f t="shared" ref="AI180" si="2020">IF($AD180=AI$6,$E179,0)</f>
        <v>0</v>
      </c>
      <c r="AJ180" s="212" t="b">
        <f>IF(AI180=0,FALSE,IF(COUNTIF(AI$7:AI180,AI180)&gt;1,TRUE,FALSE))</f>
        <v>0</v>
      </c>
      <c r="AK180" s="212">
        <f t="shared" ref="AK180" si="2021">IF($AD180=AK$6,$E179,0)</f>
        <v>0</v>
      </c>
      <c r="AL180" s="212" t="b">
        <f>IF(AK180=0,FALSE,IF(COUNTIF(AK$7:AK180,AK180)&gt;1,TRUE,FALSE))</f>
        <v>0</v>
      </c>
      <c r="AM180" s="212">
        <f t="shared" ref="AM180" si="2022">IF(COUNTIF(Y180,"*七種*")&gt;0,0,IF($AD180=AM$6,$E179,0))</f>
        <v>0</v>
      </c>
      <c r="AN180" s="212" t="b">
        <f>IF(AM180=0,FALSE,IF(COUNTIF(AM$7:AM180,AM180)&gt;1,TRUE,FALSE))</f>
        <v>0</v>
      </c>
      <c r="AO180" s="212">
        <f t="shared" ref="AO180" si="2023">IF($AD180=AO$6,$E179,0)</f>
        <v>0</v>
      </c>
      <c r="AP180" s="212" t="b">
        <f>IF(AO180=0,FALSE,IF(COUNTIF(AO$7:AO180,AO180)&gt;1,TRUE,FALSE))</f>
        <v>0</v>
      </c>
      <c r="AQ180" s="212">
        <f t="shared" ref="AQ180" si="2024">IF(COUNTIF(Y180,"*七種競技*")&gt;0,E179,0)</f>
        <v>0</v>
      </c>
      <c r="AR180" s="212" t="b">
        <f t="shared" si="1503"/>
        <v>0</v>
      </c>
      <c r="AT180" s="212" t="b">
        <f t="shared" si="1516"/>
        <v>0</v>
      </c>
      <c r="AX180" s="274"/>
      <c r="BD180" s="212" t="b">
        <f t="shared" si="1490"/>
        <v>0</v>
      </c>
      <c r="BF180" s="212" t="b">
        <f t="shared" ref="BF180" si="2025">IF(J180="",FALSE,IF(OR(AND(AU179,L180=""),AND(AU179,L180="",OR(M180&lt;&gt;"",N180&lt;&gt;"",O180&lt;&gt;"",P180&lt;&gt;""))),TRUE,FALSE))</f>
        <v>0</v>
      </c>
      <c r="BG180" s="212" t="b">
        <f t="shared" si="1492"/>
        <v>0</v>
      </c>
      <c r="BH180" s="212" t="b">
        <f t="shared" si="1505"/>
        <v>0</v>
      </c>
      <c r="BI180" s="212" t="b">
        <f t="shared" ref="BI180" si="2026">IF(J180="",FALSE,IF(L180=0,FALSE,IF(AND(AU179,NOT(BF180),OR(M180="",N180="",O180="")),TRUE,FALSE)))</f>
        <v>0</v>
      </c>
      <c r="BJ180" s="231" t="b">
        <f t="shared" si="1507"/>
        <v>0</v>
      </c>
      <c r="BK180" s="231" t="b">
        <f>IF(NOT(BJ180),FALSE,IF(AND(競技会設定!$C$5&lt;=BJ180,BJ180&lt;=競技会設定!$C$6),FALSE,TRUE))</f>
        <v>0</v>
      </c>
      <c r="BL180" s="212" t="b">
        <f>IF(J180="",FALSE,IF(L180=0,FALSE,IF(AND(AU179,NOT(BF180),NOT(BI180),P180=""),TRUE,FALSE)))</f>
        <v>0</v>
      </c>
    </row>
    <row r="181" spans="1:67" ht="17.399999999999999" customHeight="1">
      <c r="A181" s="462"/>
      <c r="B181" s="374"/>
      <c r="C181" s="376"/>
      <c r="D181" s="160"/>
      <c r="E181" s="452" t="str">
        <f>IF(C179="","",VLOOKUP(D179,女子登録!$A$2:$O$2001,14,0)&amp;" ("&amp;VLOOKUP(D179,女子登録!$A$2:$O$2001,15,0)&amp;")")</f>
        <v/>
      </c>
      <c r="F181" s="453"/>
      <c r="G181" s="160" t="str">
        <f>IF(C179="","",(VLOOKUP(D179,女子登録!$A$2:$N$2001,9,0)))</f>
        <v/>
      </c>
      <c r="H181" s="160"/>
      <c r="I181" s="160" t="s">
        <v>4021</v>
      </c>
      <c r="J181" s="176"/>
      <c r="K181" s="160" t="s">
        <v>6760</v>
      </c>
      <c r="L181" s="176"/>
      <c r="M181" s="264"/>
      <c r="N181" s="265"/>
      <c r="O181" s="266"/>
      <c r="P181" s="175"/>
      <c r="Q181" s="449"/>
      <c r="R181" s="409"/>
      <c r="S181" s="136"/>
      <c r="T181" s="137"/>
      <c r="U181" s="137"/>
      <c r="V181" s="137"/>
      <c r="W181" s="137"/>
      <c r="X181" s="137"/>
      <c r="Y181" s="212">
        <f t="shared" ref="Y181" si="2027">IF(OR(E179="",J181=""),0,J181&amp;E179)</f>
        <v>0</v>
      </c>
      <c r="Z181" s="212">
        <f>IF(Y181=0,0,COUNTIF($Y$7:Y181,Y181))</f>
        <v>0</v>
      </c>
      <c r="AD181" s="212">
        <f>IFERROR(VLOOKUP(J181,競技会設定!$T$2:$W$22,2,0),0)</f>
        <v>0</v>
      </c>
      <c r="AE181" s="212">
        <f t="shared" ref="AE181" si="2028">IF(E179="",0,IF(AD181=0,0,IF(AD181&lt;3,E179&amp;$AE$6,0)))</f>
        <v>0</v>
      </c>
      <c r="AF181" s="212">
        <f>IF(AE181=0,0,E179&amp;COUNTIF($AE$7:AE181,AE181))</f>
        <v>0</v>
      </c>
      <c r="AG181" s="212">
        <f t="shared" ref="AG181" si="2029">IF(E179="",0,IF(AD181=0,0,IF(AD181&gt;=3,E179&amp;$AG$6,0)))</f>
        <v>0</v>
      </c>
      <c r="AH181" s="212">
        <f>IF(AG181=0,0,E179&amp;COUNTIF($AG$7:AG181,AG181))</f>
        <v>0</v>
      </c>
      <c r="AI181" s="212">
        <f t="shared" ref="AI181" si="2030">IF($AD181=AI$6,$E179,0)</f>
        <v>0</v>
      </c>
      <c r="AJ181" s="212" t="b">
        <f>IF(AI181=0,FALSE,IF(COUNTIF(AI$7:AI181,AI181)&gt;1,TRUE,FALSE))</f>
        <v>0</v>
      </c>
      <c r="AK181" s="212">
        <f t="shared" ref="AK181" si="2031">IF($AD181=AK$6,$E179,0)</f>
        <v>0</v>
      </c>
      <c r="AL181" s="212" t="b">
        <f>IF(AK181=0,FALSE,IF(COUNTIF(AK$7:AK181,AK181)&gt;1,TRUE,FALSE))</f>
        <v>0</v>
      </c>
      <c r="AM181" s="212">
        <f t="shared" ref="AM181" si="2032">IF(COUNTIF(Y181,"*七種*")&gt;0,0,IF($AD181=AM$6,$E179,0))</f>
        <v>0</v>
      </c>
      <c r="AN181" s="212" t="b">
        <f>IF(AM181=0,FALSE,IF(COUNTIF(AM$7:AM181,AM181)&gt;1,TRUE,FALSE))</f>
        <v>0</v>
      </c>
      <c r="AO181" s="212">
        <f t="shared" ref="AO181" si="2033">IF($AD181=AO$6,$E179,0)</f>
        <v>0</v>
      </c>
      <c r="AP181" s="212" t="b">
        <f>IF(AO181=0,FALSE,IF(COUNTIF(AO$7:AO181,AO181)&gt;1,TRUE,FALSE))</f>
        <v>0</v>
      </c>
      <c r="AQ181" s="212">
        <f t="shared" ref="AQ181" si="2034">IF(COUNTIF(Y181,"*七種競技*")&gt;0,E179,0)</f>
        <v>0</v>
      </c>
      <c r="AR181" s="212" t="b">
        <f t="shared" si="1503"/>
        <v>0</v>
      </c>
      <c r="AT181" s="212" t="b">
        <f t="shared" si="1516"/>
        <v>0</v>
      </c>
      <c r="AX181" s="274"/>
      <c r="BD181" s="212" t="b">
        <f t="shared" si="1490"/>
        <v>0</v>
      </c>
      <c r="BF181" s="212" t="b">
        <f t="shared" ref="BF181" si="2035">IF(J181="",FALSE,IF(OR(AND(AU179,L181=""),AND(AU179,L181="",OR(M181&lt;&gt;"",N181&lt;&gt;"",O181&lt;&gt;"",P181&lt;&gt;""))),TRUE,FALSE))</f>
        <v>0</v>
      </c>
      <c r="BG181" s="212" t="b">
        <f t="shared" si="1492"/>
        <v>0</v>
      </c>
      <c r="BH181" s="212" t="b">
        <f t="shared" si="1505"/>
        <v>0</v>
      </c>
      <c r="BI181" s="212" t="b">
        <f t="shared" ref="BI181" si="2036">IF(J181="",FALSE,IF(L181=0,FALSE,IF(AND(AU179,NOT(BF181),OR(M181="",N181="",O181="")),TRUE,FALSE)))</f>
        <v>0</v>
      </c>
      <c r="BJ181" s="231" t="b">
        <f t="shared" si="1507"/>
        <v>0</v>
      </c>
      <c r="BK181" s="231" t="b">
        <f>IF(NOT(BJ181),FALSE,IF(AND(競技会設定!$C$5&lt;=BJ181,BJ181&lt;=競技会設定!$C$6),FALSE,TRUE))</f>
        <v>0</v>
      </c>
      <c r="BL181" s="212" t="b">
        <f>IF(J181="",FALSE,IF(L181=0,FALSE,IF(AND(AU179,NOT(BF181),NOT(BI181),P181=""),TRUE,FALSE)))</f>
        <v>0</v>
      </c>
    </row>
    <row r="182" spans="1:67" ht="18" customHeight="1" thickBot="1">
      <c r="A182" s="475"/>
      <c r="B182" s="387" t="s">
        <v>6764</v>
      </c>
      <c r="C182" s="387"/>
      <c r="D182" s="161"/>
      <c r="E182" s="467"/>
      <c r="F182" s="468"/>
      <c r="G182" s="469"/>
      <c r="H182" s="162"/>
      <c r="I182" s="161" t="s">
        <v>6759</v>
      </c>
      <c r="J182" s="177"/>
      <c r="K182" s="161" t="s">
        <v>6761</v>
      </c>
      <c r="L182" s="177"/>
      <c r="M182" s="267"/>
      <c r="N182" s="268"/>
      <c r="O182" s="269"/>
      <c r="P182" s="177"/>
      <c r="Q182" s="466"/>
      <c r="R182" s="410"/>
      <c r="S182" s="136"/>
      <c r="T182" s="137"/>
      <c r="U182" s="137"/>
      <c r="V182" s="137"/>
      <c r="W182" s="137"/>
      <c r="X182" s="137"/>
      <c r="Y182" s="212">
        <f t="shared" ref="Y182" si="2037">IF(OR(E179="",J182=""),0,J182&amp;E179)</f>
        <v>0</v>
      </c>
      <c r="Z182" s="212">
        <f>IF(Y182=0,0,COUNTIF($Y$7:Y182,Y182))</f>
        <v>0</v>
      </c>
      <c r="AD182" s="212">
        <f>IFERROR(VLOOKUP(J182,競技会設定!$T$2:$W$22,2,0),0)</f>
        <v>0</v>
      </c>
      <c r="AE182" s="212">
        <f t="shared" ref="AE182" si="2038">IF(E179="",0,IF(AD182=0,0,IF(AD182&lt;3,E179&amp;$AE$6,0)))</f>
        <v>0</v>
      </c>
      <c r="AF182" s="212">
        <f>IF(AE182=0,0,E179&amp;COUNTIF($AE$7:AE182,AE182))</f>
        <v>0</v>
      </c>
      <c r="AG182" s="212">
        <f t="shared" ref="AG182" si="2039">IF(E179="",0,IF(AD182=0,0,IF(AD182&gt;=3,E179&amp;$AG$6,0)))</f>
        <v>0</v>
      </c>
      <c r="AH182" s="212">
        <f>IF(AG182=0,0,E179&amp;COUNTIF($AG$7:AG182,AG182))</f>
        <v>0</v>
      </c>
      <c r="AI182" s="212">
        <f t="shared" ref="AI182" si="2040">IF($AD182=AI$6,$E179,0)</f>
        <v>0</v>
      </c>
      <c r="AJ182" s="212" t="b">
        <f>IF(AI182=0,FALSE,IF(COUNTIF(AI$7:AI182,AI182)&gt;1,TRUE,FALSE))</f>
        <v>0</v>
      </c>
      <c r="AK182" s="212">
        <f t="shared" ref="AK182" si="2041">IF($AD182=AK$6,$E179,0)</f>
        <v>0</v>
      </c>
      <c r="AL182" s="212" t="b">
        <f>IF(AK182=0,FALSE,IF(COUNTIF(AK$7:AK182,AK182)&gt;1,TRUE,FALSE))</f>
        <v>0</v>
      </c>
      <c r="AM182" s="212">
        <f t="shared" ref="AM182" si="2042">IF(COUNTIF(Y182,"*七種*")&gt;0,0,IF($AD182=AM$6,$E179,0))</f>
        <v>0</v>
      </c>
      <c r="AN182" s="212" t="b">
        <f>IF(AM182=0,FALSE,IF(COUNTIF(AM$7:AM182,AM182)&gt;1,TRUE,FALSE))</f>
        <v>0</v>
      </c>
      <c r="AO182" s="212">
        <f t="shared" ref="AO182" si="2043">IF($AD182=AO$6,$E179,0)</f>
        <v>0</v>
      </c>
      <c r="AP182" s="212" t="b">
        <f>IF(AO182=0,FALSE,IF(COUNTIF(AO$7:AO182,AO182)&gt;1,TRUE,FALSE))</f>
        <v>0</v>
      </c>
      <c r="AQ182" s="212">
        <f t="shared" ref="AQ182" si="2044">IF(COUNTIF(Y182,"*七種競技*")&gt;0,E179,0)</f>
        <v>0</v>
      </c>
      <c r="AR182" s="212" t="b">
        <f t="shared" si="1503"/>
        <v>0</v>
      </c>
      <c r="AT182" s="212" t="b">
        <f t="shared" si="1516"/>
        <v>0</v>
      </c>
      <c r="AX182" s="274"/>
      <c r="BD182" s="212" t="b">
        <f t="shared" si="1490"/>
        <v>0</v>
      </c>
      <c r="BF182" s="212" t="b">
        <f t="shared" ref="BF182" si="2045">IF(J182="",FALSE,IF(OR(AND(AU179,L182=""),AND(AU179,L182="",OR(M182&lt;&gt;"",N182&lt;&gt;"",O182&lt;&gt;"",P182&lt;&gt;""))),TRUE,FALSE))</f>
        <v>0</v>
      </c>
      <c r="BG182" s="212" t="b">
        <f t="shared" si="1492"/>
        <v>0</v>
      </c>
      <c r="BH182" s="212" t="b">
        <f t="shared" si="1505"/>
        <v>0</v>
      </c>
      <c r="BI182" s="212" t="b">
        <f t="shared" ref="BI182" si="2046">IF(J182="",FALSE,IF(L182=0,FALSE,IF(AND(AU179,NOT(BF182),OR(M182="",N182="",O182="")),TRUE,FALSE)))</f>
        <v>0</v>
      </c>
      <c r="BJ182" s="231" t="b">
        <f t="shared" si="1507"/>
        <v>0</v>
      </c>
      <c r="BK182" s="231" t="b">
        <f>IF(NOT(BJ182),FALSE,IF(AND(競技会設定!$C$5&lt;=BJ182,BJ182&lt;=競技会設定!$C$6),FALSE,TRUE))</f>
        <v>0</v>
      </c>
      <c r="BL182" s="212" t="b">
        <f>IF(J182="",FALSE,IF(L182=0,FALSE,IF(AND(AU179,NOT(BF182),NOT(BI182),P182=""),TRUE,FALSE)))</f>
        <v>0</v>
      </c>
    </row>
    <row r="183" spans="1:67" ht="18" customHeight="1" thickTop="1">
      <c r="A183" s="470">
        <v>45</v>
      </c>
      <c r="B183" s="401" t="s">
        <v>4018</v>
      </c>
      <c r="C183" s="403"/>
      <c r="D183" s="156" t="str">
        <f t="shared" ref="D183" si="2047">IF(C183="","",502&amp;TEXT(C183,"000000"))</f>
        <v/>
      </c>
      <c r="E183" s="473" t="str">
        <f>IF(D183="","",(VLOOKUP(D183,女子登録!$A$2:$N$2001,3,0)))</f>
        <v/>
      </c>
      <c r="F183" s="473" t="str">
        <f>IF(D183="","",(VLOOKUP(D183,女子登録!$A$2:$N$2001,4,0)))</f>
        <v/>
      </c>
      <c r="G183" s="156" t="str">
        <f>IF(C183="","",(VLOOKUP(D183,女子登録!$A$2:$N$2001,8,0)))</f>
        <v/>
      </c>
      <c r="H183" s="156">
        <f>IFERROR(VLOOKUP(D183,女子登録!$A$2:$N$2001,11,0),基本情報!$E$5)</f>
        <v>0</v>
      </c>
      <c r="I183" s="156" t="s">
        <v>4019</v>
      </c>
      <c r="J183" s="170"/>
      <c r="K183" s="156" t="s">
        <v>4022</v>
      </c>
      <c r="L183" s="170"/>
      <c r="M183" s="252"/>
      <c r="N183" s="253"/>
      <c r="O183" s="254"/>
      <c r="P183" s="170"/>
      <c r="Q183" s="457"/>
      <c r="R183" s="414"/>
      <c r="S183" s="136">
        <f t="shared" ref="S183" si="2048">IF(OR(E183="",Q183=""),0,E183)</f>
        <v>0</v>
      </c>
      <c r="T183" s="137">
        <f>IF(S183=0,0,COUNTIF($S$7:S183,"*"))</f>
        <v>0</v>
      </c>
      <c r="U183" s="137">
        <f>IF(S183=0,0,COUNTIF($S$7:S183,S183))</f>
        <v>0</v>
      </c>
      <c r="V183" s="137">
        <f t="shared" si="1719"/>
        <v>0</v>
      </c>
      <c r="W183" s="137">
        <f>IF(V183=0,0,COUNTIF($V$7:V183,"*"))</f>
        <v>0</v>
      </c>
      <c r="X183" s="137">
        <f>IF(V183=0,0,COUNTIF($V$7:V183,V183))</f>
        <v>0</v>
      </c>
      <c r="Y183" s="212">
        <f t="shared" ref="Y183" si="2049">IF(OR(E183="",J183=""),0,J183&amp;E183)</f>
        <v>0</v>
      </c>
      <c r="Z183" s="212">
        <f>IF(Y183=0,0,COUNTIF($Y$7:Y183,Y183))</f>
        <v>0</v>
      </c>
      <c r="AA183" s="212" t="b">
        <f>IF(COUNTIF(J183:J186,"七種競技")&gt;0,TRUE,FALSE)</f>
        <v>0</v>
      </c>
      <c r="AB183" s="212">
        <f>IF(E183="",0,IF(AA183,COUNTIF($AA$7:AA183,TRUE),0))</f>
        <v>0</v>
      </c>
      <c r="AC183" s="212">
        <f>IFERROR(VLOOKUP("七種競技",J183:L186,3,0),0)</f>
        <v>0</v>
      </c>
      <c r="AD183" s="212">
        <f>IFERROR(VLOOKUP(J183,競技会設定!$T$2:$W$22,2,0),0)</f>
        <v>0</v>
      </c>
      <c r="AE183" s="212">
        <f t="shared" ref="AE183" si="2050">IF(E183="",0,IF(AD183=0,0,IF(AD183&lt;3,E183&amp;$AE$6,0)))</f>
        <v>0</v>
      </c>
      <c r="AF183" s="212">
        <f>IF(AE183=0,0,E183&amp;COUNTIF($AE$7:AE183,AE183))</f>
        <v>0</v>
      </c>
      <c r="AG183" s="212">
        <f t="shared" ref="AG183" si="2051">IF(E183="",0,IF(AD183=0,0,IF(AD183&gt;=3,E183&amp;$AG$6,0)))</f>
        <v>0</v>
      </c>
      <c r="AH183" s="212">
        <f>IF(AG183=0,0,E183&amp;COUNTIF($AG$7:AG183,AG183))</f>
        <v>0</v>
      </c>
      <c r="AI183" s="212">
        <f t="shared" ref="AI183" si="2052">IF($AD183=AI$6,$E183,0)</f>
        <v>0</v>
      </c>
      <c r="AJ183" s="212" t="b">
        <f>IF(AI183=0,FALSE,IF(COUNTIF(AI$7:AI183,AI183)&gt;1,TRUE,FALSE))</f>
        <v>0</v>
      </c>
      <c r="AK183" s="212">
        <f t="shared" ref="AK183" si="2053">IF($AD183=AK$6,$E183,0)</f>
        <v>0</v>
      </c>
      <c r="AL183" s="212" t="b">
        <f>IF(AK183=0,FALSE,IF(COUNTIF(AK$7:AK183,AK183)&gt;1,TRUE,FALSE))</f>
        <v>0</v>
      </c>
      <c r="AM183" s="212">
        <f t="shared" ref="AM183" si="2054">IF(COUNTIF(Y183,"*七種*")&gt;0,0,IF($AD183=AM$6,$E183,0))</f>
        <v>0</v>
      </c>
      <c r="AN183" s="212" t="b">
        <f>IF(AM183=0,FALSE,IF(COUNTIF(AM$7:AM183,AM183)&gt;1,TRUE,FALSE))</f>
        <v>0</v>
      </c>
      <c r="AO183" s="212">
        <f t="shared" ref="AO183" si="2055">IF($AD183=AO$6,$E183,0)</f>
        <v>0</v>
      </c>
      <c r="AP183" s="212" t="b">
        <f>IF(AO183=0,FALSE,IF(COUNTIF(AO$7:AO183,AO183)&gt;1,TRUE,FALSE))</f>
        <v>0</v>
      </c>
      <c r="AQ183" s="212">
        <f t="shared" ref="AQ183" si="2056">IF(COUNTIF(Y183,"*七種競技*")&gt;0,E183,0)</f>
        <v>0</v>
      </c>
      <c r="AR183" s="212" t="b">
        <f t="shared" si="1503"/>
        <v>0</v>
      </c>
      <c r="AS183" s="212" t="b">
        <f t="shared" ref="AS183" si="2057">IF(AND(C183="",E183&lt;&gt;"",F183&lt;&gt;"",E185&lt;&gt;"",G183&lt;&gt;"",G184&lt;&gt;"",G185&lt;&gt;""),TRUE,FALSE)</f>
        <v>0</v>
      </c>
      <c r="AT183" s="212" t="b">
        <f t="shared" si="1516"/>
        <v>0</v>
      </c>
      <c r="AU183" s="212" t="b">
        <f>IFERROR(IF(E183&amp;F183&amp;E185&amp;G183&amp;G184&amp;G185&amp;J183&amp;J184&amp;J185&amp;J186&amp;L183&amp;L184&amp;L185&amp;L186&amp;M183&amp;M184&amp;M185&amp;M186&amp;P183&amp;P184&amp;P185&amp;P186&amp;Q183&amp;R183="",FALSE,TRUE),FALSE)</f>
        <v>0</v>
      </c>
      <c r="AV183" s="212" t="b">
        <f t="shared" ref="AV183" si="2058">IF(AS183,FALSE,IF(C183="",AU183,FALSE))</f>
        <v>0</v>
      </c>
      <c r="AW183" s="212" t="b">
        <f t="shared" ref="AW183" si="2059">IF(C183="",FALSE,IF(C183&lt;=2000,TRUE,FALSE))</f>
        <v>0</v>
      </c>
      <c r="AX183" s="274" t="b">
        <f>IF(H183=0,FALSE,IF(EXACT(基本情報!$E$5,H183)=TRUE,FALSE,TRUE))</f>
        <v>0</v>
      </c>
      <c r="AY183" s="212" t="b">
        <f>IF(C183="",FALSE,IF(ISNA(E183)=TRUE,TRUE,FALSE))</f>
        <v>0</v>
      </c>
      <c r="AZ183" s="274" t="b">
        <f>IFERROR(IF(E183="",FALSE,IF(COUNTIF($E$7:E183,E183)&gt;1,TRUE,FALSE)),FALSE)</f>
        <v>0</v>
      </c>
      <c r="BA183" s="212" t="b">
        <f t="shared" ref="BA183" si="2060">IF(OR(J183&amp;J184&amp;J185&amp;J186&amp;Q183&amp;R183="",AT183,AT184,AT185,AT186),AU183,FALSE)</f>
        <v>0</v>
      </c>
      <c r="BB183" s="212" t="b">
        <f>IF(U183&gt;1,TRUE,FALSE)</f>
        <v>0</v>
      </c>
      <c r="BC183" s="212" t="b">
        <f>IF(X183&gt;1,TRUE,FALSE)</f>
        <v>0</v>
      </c>
      <c r="BD183" s="212" t="b">
        <f t="shared" si="1490"/>
        <v>0</v>
      </c>
      <c r="BF183" s="212" t="b">
        <f t="shared" ref="BF183" si="2061">IF(J183="",FALSE,IF(OR(AND(AU183,L183=""),AND(AU183,L183="",OR(M183&lt;&gt;"",N183&lt;&gt;"",O183&lt;&gt;"",P183&lt;&gt;""))),TRUE,FALSE))</f>
        <v>0</v>
      </c>
      <c r="BG183" s="212" t="b">
        <f t="shared" si="1492"/>
        <v>0</v>
      </c>
      <c r="BH183" s="212" t="b">
        <f t="shared" si="1505"/>
        <v>0</v>
      </c>
      <c r="BI183" s="212" t="b">
        <f t="shared" ref="BI183" si="2062">IF(J183="",FALSE,IF(L183=0,FALSE,IF(AND(AU183,NOT(BF183),OR(M183="",N183="",O183="")),TRUE,FALSE)))</f>
        <v>0</v>
      </c>
      <c r="BJ183" s="231" t="b">
        <f t="shared" si="1507"/>
        <v>0</v>
      </c>
      <c r="BK183" s="231" t="b">
        <f>IF(NOT(BJ183),FALSE,IF(AND(競技会設定!$C$5&lt;=BJ183,BJ183&lt;=競技会設定!$C$6),FALSE,TRUE))</f>
        <v>0</v>
      </c>
      <c r="BL183" s="212" t="b">
        <f>IF(J183="",FALSE,IF(L183=0,FALSE,IF(AND(AU183,NOT(BF183),NOT(BI183),P183=""),TRUE,FALSE)))</f>
        <v>0</v>
      </c>
      <c r="BO183" s="274">
        <f t="shared" ref="BO183" si="2063">IF(AND(AU183,SUM(COUNTIF(AV183:BC183,TRUE),COUNTIF(BF183:BL186,TRUE),COUNTIF(BD183:BD186,TRUE))=0,NOT($BE$7)),1,0)</f>
        <v>0</v>
      </c>
    </row>
    <row r="184" spans="1:67" ht="17.399999999999999" customHeight="1">
      <c r="A184" s="471"/>
      <c r="B184" s="402"/>
      <c r="C184" s="404"/>
      <c r="D184" s="11"/>
      <c r="E184" s="474"/>
      <c r="F184" s="474"/>
      <c r="G184" s="11" t="str">
        <f>IF(C183="","",(VLOOKUP(D183,女子登録!$A$2:$N$2001,13,0)))</f>
        <v/>
      </c>
      <c r="H184" s="11"/>
      <c r="I184" s="11" t="s">
        <v>4020</v>
      </c>
      <c r="J184" s="171"/>
      <c r="K184" s="11" t="s">
        <v>4023</v>
      </c>
      <c r="L184" s="171"/>
      <c r="M184" s="255"/>
      <c r="N184" s="256"/>
      <c r="O184" s="257"/>
      <c r="P184" s="171"/>
      <c r="Q184" s="458"/>
      <c r="R184" s="415"/>
      <c r="S184" s="136"/>
      <c r="T184" s="137"/>
      <c r="U184" s="137"/>
      <c r="V184" s="137"/>
      <c r="W184" s="137"/>
      <c r="X184" s="137"/>
      <c r="Y184" s="212">
        <f t="shared" ref="Y184" si="2064">IF(OR(E183="",J184=""),0,J184&amp;E183)</f>
        <v>0</v>
      </c>
      <c r="Z184" s="212">
        <f>IF(Y184=0,0,COUNTIF($Y$7:Y184,Y184))</f>
        <v>0</v>
      </c>
      <c r="AD184" s="212">
        <f>IFERROR(VLOOKUP(J184,競技会設定!$T$2:$W$22,2,0),0)</f>
        <v>0</v>
      </c>
      <c r="AE184" s="212">
        <f t="shared" ref="AE184" si="2065">IF(E183="",0,IF(AD184=0,0,IF(AD184&lt;3,E183&amp;$AE$6,0)))</f>
        <v>0</v>
      </c>
      <c r="AF184" s="212">
        <f>IF(AE184=0,0,E183&amp;COUNTIF($AE$7:AE184,AE184))</f>
        <v>0</v>
      </c>
      <c r="AG184" s="212">
        <f t="shared" ref="AG184" si="2066">IF(E183="",0,IF(AD184=0,0,IF(AD184&gt;=3,E183&amp;$AG$6,0)))</f>
        <v>0</v>
      </c>
      <c r="AH184" s="212">
        <f>IF(AG184=0,0,E183&amp;COUNTIF($AG$7:AG184,AG184))</f>
        <v>0</v>
      </c>
      <c r="AI184" s="212">
        <f t="shared" ref="AI184" si="2067">IF($AD184=AI$6,$E183,0)</f>
        <v>0</v>
      </c>
      <c r="AJ184" s="212" t="b">
        <f>IF(AI184=0,FALSE,IF(COUNTIF(AI$7:AI184,AI184)&gt;1,TRUE,FALSE))</f>
        <v>0</v>
      </c>
      <c r="AK184" s="212">
        <f t="shared" ref="AK184" si="2068">IF($AD184=AK$6,$E183,0)</f>
        <v>0</v>
      </c>
      <c r="AL184" s="212" t="b">
        <f>IF(AK184=0,FALSE,IF(COUNTIF(AK$7:AK184,AK184)&gt;1,TRUE,FALSE))</f>
        <v>0</v>
      </c>
      <c r="AM184" s="212">
        <f t="shared" ref="AM184" si="2069">IF(COUNTIF(Y184,"*七種*")&gt;0,0,IF($AD184=AM$6,$E183,0))</f>
        <v>0</v>
      </c>
      <c r="AN184" s="212" t="b">
        <f>IF(AM184=0,FALSE,IF(COUNTIF(AM$7:AM184,AM184)&gt;1,TRUE,FALSE))</f>
        <v>0</v>
      </c>
      <c r="AO184" s="212">
        <f t="shared" ref="AO184" si="2070">IF($AD184=AO$6,$E183,0)</f>
        <v>0</v>
      </c>
      <c r="AP184" s="212" t="b">
        <f>IF(AO184=0,FALSE,IF(COUNTIF(AO$7:AO184,AO184)&gt;1,TRUE,FALSE))</f>
        <v>0</v>
      </c>
      <c r="AQ184" s="212">
        <f t="shared" ref="AQ184" si="2071">IF(COUNTIF(Y184,"*七種競技*")&gt;0,E183,0)</f>
        <v>0</v>
      </c>
      <c r="AR184" s="212" t="b">
        <f t="shared" si="1503"/>
        <v>0</v>
      </c>
      <c r="AT184" s="212" t="b">
        <f t="shared" si="1516"/>
        <v>0</v>
      </c>
      <c r="AX184" s="274"/>
      <c r="BD184" s="212" t="b">
        <f t="shared" si="1490"/>
        <v>0</v>
      </c>
      <c r="BF184" s="212" t="b">
        <f t="shared" ref="BF184" si="2072">IF(J184="",FALSE,IF(OR(AND(AU183,L184=""),AND(AU183,L184="",OR(M184&lt;&gt;"",N184&lt;&gt;"",O184&lt;&gt;"",P184&lt;&gt;""))),TRUE,FALSE))</f>
        <v>0</v>
      </c>
      <c r="BG184" s="212" t="b">
        <f t="shared" si="1492"/>
        <v>0</v>
      </c>
      <c r="BH184" s="212" t="b">
        <f t="shared" si="1505"/>
        <v>0</v>
      </c>
      <c r="BI184" s="212" t="b">
        <f t="shared" ref="BI184" si="2073">IF(J184="",FALSE,IF(L184=0,FALSE,IF(AND(AU183,NOT(BF184),OR(M184="",N184="",O184="")),TRUE,FALSE)))</f>
        <v>0</v>
      </c>
      <c r="BJ184" s="231" t="b">
        <f t="shared" si="1507"/>
        <v>0</v>
      </c>
      <c r="BK184" s="231" t="b">
        <f>IF(NOT(BJ184),FALSE,IF(AND(競技会設定!$C$5&lt;=BJ184,BJ184&lt;=競技会設定!$C$6),FALSE,TRUE))</f>
        <v>0</v>
      </c>
      <c r="BL184" s="212" t="b">
        <f>IF(J184="",FALSE,IF(L184=0,FALSE,IF(AND(AU183,NOT(BF184),NOT(BI184),P184=""),TRUE,FALSE)))</f>
        <v>0</v>
      </c>
    </row>
    <row r="185" spans="1:67" ht="17.399999999999999" customHeight="1">
      <c r="A185" s="471"/>
      <c r="B185" s="402"/>
      <c r="C185" s="404"/>
      <c r="D185" s="11"/>
      <c r="E185" s="348" t="str">
        <f>IF(C183="","",VLOOKUP(D183,女子登録!$A$2:$O$2001,14,0)&amp;" ("&amp;VLOOKUP(D183,女子登録!$A$2:$O$2001,15,0)&amp;")")</f>
        <v/>
      </c>
      <c r="F185" s="348"/>
      <c r="G185" s="13" t="str">
        <f>IF(C183="","",(VLOOKUP(D183,女子登録!$A$2:$N$2001,9,0)))</f>
        <v/>
      </c>
      <c r="H185" s="13"/>
      <c r="I185" s="13" t="s">
        <v>4021</v>
      </c>
      <c r="J185" s="172"/>
      <c r="K185" s="13" t="s">
        <v>6760</v>
      </c>
      <c r="L185" s="172"/>
      <c r="M185" s="255"/>
      <c r="N185" s="256"/>
      <c r="O185" s="257"/>
      <c r="P185" s="171"/>
      <c r="Q185" s="458"/>
      <c r="R185" s="415"/>
      <c r="S185" s="136"/>
      <c r="T185" s="137"/>
      <c r="U185" s="137"/>
      <c r="V185" s="137"/>
      <c r="W185" s="137"/>
      <c r="X185" s="137"/>
      <c r="Y185" s="212">
        <f t="shared" ref="Y185" si="2074">IF(OR(E183="",J185=""),0,J185&amp;E183)</f>
        <v>0</v>
      </c>
      <c r="Z185" s="212">
        <f>IF(Y185=0,0,COUNTIF($Y$7:Y185,Y185))</f>
        <v>0</v>
      </c>
      <c r="AD185" s="212">
        <f>IFERROR(VLOOKUP(J185,競技会設定!$T$2:$W$22,2,0),0)</f>
        <v>0</v>
      </c>
      <c r="AE185" s="212">
        <f t="shared" ref="AE185" si="2075">IF(E183="",0,IF(AD185=0,0,IF(AD185&lt;3,E183&amp;$AE$6,0)))</f>
        <v>0</v>
      </c>
      <c r="AF185" s="212">
        <f>IF(AE185=0,0,E183&amp;COUNTIF($AE$7:AE185,AE185))</f>
        <v>0</v>
      </c>
      <c r="AG185" s="212">
        <f t="shared" ref="AG185" si="2076">IF(E183="",0,IF(AD185=0,0,IF(AD185&gt;=3,E183&amp;$AG$6,0)))</f>
        <v>0</v>
      </c>
      <c r="AH185" s="212">
        <f>IF(AG185=0,0,E183&amp;COUNTIF($AG$7:AG185,AG185))</f>
        <v>0</v>
      </c>
      <c r="AI185" s="212">
        <f t="shared" ref="AI185" si="2077">IF($AD185=AI$6,$E183,0)</f>
        <v>0</v>
      </c>
      <c r="AJ185" s="212" t="b">
        <f>IF(AI185=0,FALSE,IF(COUNTIF(AI$7:AI185,AI185)&gt;1,TRUE,FALSE))</f>
        <v>0</v>
      </c>
      <c r="AK185" s="212">
        <f t="shared" ref="AK185" si="2078">IF($AD185=AK$6,$E183,0)</f>
        <v>0</v>
      </c>
      <c r="AL185" s="212" t="b">
        <f>IF(AK185=0,FALSE,IF(COUNTIF(AK$7:AK185,AK185)&gt;1,TRUE,FALSE))</f>
        <v>0</v>
      </c>
      <c r="AM185" s="212">
        <f t="shared" ref="AM185" si="2079">IF(COUNTIF(Y185,"*七種*")&gt;0,0,IF($AD185=AM$6,$E183,0))</f>
        <v>0</v>
      </c>
      <c r="AN185" s="212" t="b">
        <f>IF(AM185=0,FALSE,IF(COUNTIF(AM$7:AM185,AM185)&gt;1,TRUE,FALSE))</f>
        <v>0</v>
      </c>
      <c r="AO185" s="212">
        <f t="shared" ref="AO185" si="2080">IF($AD185=AO$6,$E183,0)</f>
        <v>0</v>
      </c>
      <c r="AP185" s="212" t="b">
        <f>IF(AO185=0,FALSE,IF(COUNTIF(AO$7:AO185,AO185)&gt;1,TRUE,FALSE))</f>
        <v>0</v>
      </c>
      <c r="AQ185" s="212">
        <f t="shared" ref="AQ185" si="2081">IF(COUNTIF(Y185,"*七種競技*")&gt;0,E183,0)</f>
        <v>0</v>
      </c>
      <c r="AR185" s="212" t="b">
        <f t="shared" si="1503"/>
        <v>0</v>
      </c>
      <c r="AT185" s="212" t="b">
        <f t="shared" si="1516"/>
        <v>0</v>
      </c>
      <c r="AX185" s="274"/>
      <c r="BD185" s="212" t="b">
        <f t="shared" si="1490"/>
        <v>0</v>
      </c>
      <c r="BF185" s="212" t="b">
        <f t="shared" ref="BF185" si="2082">IF(J185="",FALSE,IF(OR(AND(AU183,L185=""),AND(AU183,L185="",OR(M185&lt;&gt;"",N185&lt;&gt;"",O185&lt;&gt;"",P185&lt;&gt;""))),TRUE,FALSE))</f>
        <v>0</v>
      </c>
      <c r="BG185" s="212" t="b">
        <f t="shared" si="1492"/>
        <v>0</v>
      </c>
      <c r="BH185" s="212" t="b">
        <f t="shared" si="1505"/>
        <v>0</v>
      </c>
      <c r="BI185" s="212" t="b">
        <f t="shared" ref="BI185" si="2083">IF(J185="",FALSE,IF(L185=0,FALSE,IF(AND(AU183,NOT(BF185),OR(M185="",N185="",O185="")),TRUE,FALSE)))</f>
        <v>0</v>
      </c>
      <c r="BJ185" s="231" t="b">
        <f t="shared" si="1507"/>
        <v>0</v>
      </c>
      <c r="BK185" s="231" t="b">
        <f>IF(NOT(BJ185),FALSE,IF(AND(競技会設定!$C$5&lt;=BJ185,BJ185&lt;=競技会設定!$C$6),FALSE,TRUE))</f>
        <v>0</v>
      </c>
      <c r="BL185" s="212" t="b">
        <f>IF(J185="",FALSE,IF(L185=0,FALSE,IF(AND(AU183,NOT(BF185),NOT(BI185),P185=""),TRUE,FALSE)))</f>
        <v>0</v>
      </c>
    </row>
    <row r="186" spans="1:67" ht="18" customHeight="1" thickBot="1">
      <c r="A186" s="472"/>
      <c r="B186" s="395" t="s">
        <v>6764</v>
      </c>
      <c r="C186" s="395"/>
      <c r="D186" s="11"/>
      <c r="E186" s="460"/>
      <c r="F186" s="460"/>
      <c r="G186" s="460"/>
      <c r="H186" s="157"/>
      <c r="I186" s="157" t="s">
        <v>6759</v>
      </c>
      <c r="J186" s="173"/>
      <c r="K186" s="157" t="s">
        <v>6761</v>
      </c>
      <c r="L186" s="173"/>
      <c r="M186" s="258"/>
      <c r="N186" s="259"/>
      <c r="O186" s="260"/>
      <c r="P186" s="173"/>
      <c r="Q186" s="459"/>
      <c r="R186" s="416"/>
      <c r="S186" s="136"/>
      <c r="T186" s="137"/>
      <c r="U186" s="137"/>
      <c r="V186" s="137"/>
      <c r="W186" s="137"/>
      <c r="X186" s="137"/>
      <c r="Y186" s="212">
        <f t="shared" ref="Y186" si="2084">IF(OR(E183="",J186=""),0,J186&amp;E183)</f>
        <v>0</v>
      </c>
      <c r="Z186" s="212">
        <f>IF(Y186=0,0,COUNTIF($Y$7:Y186,Y186))</f>
        <v>0</v>
      </c>
      <c r="AD186" s="212">
        <f>IFERROR(VLOOKUP(J186,競技会設定!$T$2:$W$22,2,0),0)</f>
        <v>0</v>
      </c>
      <c r="AE186" s="212">
        <f t="shared" ref="AE186" si="2085">IF(E183="",0,IF(AD186=0,0,IF(AD186&lt;3,E183&amp;$AE$6,0)))</f>
        <v>0</v>
      </c>
      <c r="AF186" s="212">
        <f>IF(AE186=0,0,E183&amp;COUNTIF($AE$7:AE186,AE186))</f>
        <v>0</v>
      </c>
      <c r="AG186" s="212">
        <f t="shared" ref="AG186" si="2086">IF(E183="",0,IF(AD186=0,0,IF(AD186&gt;=3,E183&amp;$AG$6,0)))</f>
        <v>0</v>
      </c>
      <c r="AH186" s="212">
        <f>IF(AG186=0,0,E183&amp;COUNTIF($AG$7:AG186,AG186))</f>
        <v>0</v>
      </c>
      <c r="AI186" s="212">
        <f t="shared" ref="AI186" si="2087">IF($AD186=AI$6,$E183,0)</f>
        <v>0</v>
      </c>
      <c r="AJ186" s="212" t="b">
        <f>IF(AI186=0,FALSE,IF(COUNTIF(AI$7:AI186,AI186)&gt;1,TRUE,FALSE))</f>
        <v>0</v>
      </c>
      <c r="AK186" s="212">
        <f t="shared" ref="AK186" si="2088">IF($AD186=AK$6,$E183,0)</f>
        <v>0</v>
      </c>
      <c r="AL186" s="212" t="b">
        <f>IF(AK186=0,FALSE,IF(COUNTIF(AK$7:AK186,AK186)&gt;1,TRUE,FALSE))</f>
        <v>0</v>
      </c>
      <c r="AM186" s="212">
        <f t="shared" ref="AM186" si="2089">IF(COUNTIF(Y186,"*七種*")&gt;0,0,IF($AD186=AM$6,$E183,0))</f>
        <v>0</v>
      </c>
      <c r="AN186" s="212" t="b">
        <f>IF(AM186=0,FALSE,IF(COUNTIF(AM$7:AM186,AM186)&gt;1,TRUE,FALSE))</f>
        <v>0</v>
      </c>
      <c r="AO186" s="212">
        <f t="shared" ref="AO186" si="2090">IF($AD186=AO$6,$E183,0)</f>
        <v>0</v>
      </c>
      <c r="AP186" s="212" t="b">
        <f>IF(AO186=0,FALSE,IF(COUNTIF(AO$7:AO186,AO186)&gt;1,TRUE,FALSE))</f>
        <v>0</v>
      </c>
      <c r="AQ186" s="212">
        <f t="shared" ref="AQ186" si="2091">IF(COUNTIF(Y186,"*七種競技*")&gt;0,E183,0)</f>
        <v>0</v>
      </c>
      <c r="AR186" s="212" t="b">
        <f t="shared" si="1503"/>
        <v>0</v>
      </c>
      <c r="AT186" s="212" t="b">
        <f t="shared" si="1516"/>
        <v>0</v>
      </c>
      <c r="AX186" s="274"/>
      <c r="BD186" s="212" t="b">
        <f t="shared" si="1490"/>
        <v>0</v>
      </c>
      <c r="BF186" s="212" t="b">
        <f t="shared" ref="BF186" si="2092">IF(J186="",FALSE,IF(OR(AND(AU183,L186=""),AND(AU183,L186="",OR(M186&lt;&gt;"",N186&lt;&gt;"",O186&lt;&gt;"",P186&lt;&gt;""))),TRUE,FALSE))</f>
        <v>0</v>
      </c>
      <c r="BG186" s="212" t="b">
        <f t="shared" si="1492"/>
        <v>0</v>
      </c>
      <c r="BH186" s="212" t="b">
        <f t="shared" si="1505"/>
        <v>0</v>
      </c>
      <c r="BI186" s="212" t="b">
        <f t="shared" ref="BI186" si="2093">IF(J186="",FALSE,IF(L186=0,FALSE,IF(AND(AU183,NOT(BF186),OR(M186="",N186="",O186="")),TRUE,FALSE)))</f>
        <v>0</v>
      </c>
      <c r="BJ186" s="231" t="b">
        <f t="shared" si="1507"/>
        <v>0</v>
      </c>
      <c r="BK186" s="231" t="b">
        <f>IF(NOT(BJ186),FALSE,IF(AND(競技会設定!$C$5&lt;=BJ186,BJ186&lt;=競技会設定!$C$6),FALSE,TRUE))</f>
        <v>0</v>
      </c>
      <c r="BL186" s="212" t="b">
        <f>IF(J186="",FALSE,IF(L186=0,FALSE,IF(AND(AU183,NOT(BF186),NOT(BI186),P186=""),TRUE,FALSE)))</f>
        <v>0</v>
      </c>
    </row>
    <row r="187" spans="1:67" ht="18" customHeight="1" thickTop="1">
      <c r="A187" s="461">
        <v>46</v>
      </c>
      <c r="B187" s="373" t="s">
        <v>4018</v>
      </c>
      <c r="C187" s="375"/>
      <c r="D187" s="158" t="str">
        <f t="shared" ref="D187" si="2094">IF(C187="","",502&amp;TEXT(C187,"000000"))</f>
        <v/>
      </c>
      <c r="E187" s="464" t="str">
        <f>IF(D187="","",(VLOOKUP(D187,女子登録!$A$2:$N$2001,3,0)))</f>
        <v/>
      </c>
      <c r="F187" s="464" t="str">
        <f>IF(D187="","",(VLOOKUP(D187,女子登録!$A$2:$N$2001,4,0)))</f>
        <v/>
      </c>
      <c r="G187" s="158" t="str">
        <f>IF(C187="","",(VLOOKUP(D187,女子登録!$A$2:$N$2001,8,0)))</f>
        <v/>
      </c>
      <c r="H187" s="158">
        <f>IFERROR(VLOOKUP(D187,女子登録!$A$2:$N$2001,11,0),基本情報!$E$5)</f>
        <v>0</v>
      </c>
      <c r="I187" s="158" t="s">
        <v>4019</v>
      </c>
      <c r="J187" s="174"/>
      <c r="K187" s="158" t="s">
        <v>4022</v>
      </c>
      <c r="L187" s="174"/>
      <c r="M187" s="261"/>
      <c r="N187" s="262"/>
      <c r="O187" s="263"/>
      <c r="P187" s="174"/>
      <c r="Q187" s="448"/>
      <c r="R187" s="408"/>
      <c r="S187" s="136">
        <f t="shared" ref="S187" si="2095">IF(OR(E187="",Q187=""),0,E187)</f>
        <v>0</v>
      </c>
      <c r="T187" s="137">
        <f>IF(S187=0,0,COUNTIF($S$7:S187,"*"))</f>
        <v>0</v>
      </c>
      <c r="U187" s="137">
        <f>IF(S187=0,0,COUNTIF($S$7:S187,S187))</f>
        <v>0</v>
      </c>
      <c r="V187" s="137">
        <f t="shared" si="1719"/>
        <v>0</v>
      </c>
      <c r="W187" s="137">
        <f>IF(V187=0,0,COUNTIF($V$7:V187,"*"))</f>
        <v>0</v>
      </c>
      <c r="X187" s="137">
        <f>IF(V187=0,0,COUNTIF($V$7:V187,V187))</f>
        <v>0</v>
      </c>
      <c r="Y187" s="212">
        <f t="shared" ref="Y187" si="2096">IF(OR(E187="",J187=""),0,J187&amp;E187)</f>
        <v>0</v>
      </c>
      <c r="Z187" s="212">
        <f>IF(Y187=0,0,COUNTIF($Y$7:Y187,Y187))</f>
        <v>0</v>
      </c>
      <c r="AA187" s="212" t="b">
        <f>IF(COUNTIF(J187:J190,"七種競技")&gt;0,TRUE,FALSE)</f>
        <v>0</v>
      </c>
      <c r="AB187" s="212">
        <f>IF(E187="",0,IF(AA187,COUNTIF($AA$7:AA187,TRUE),0))</f>
        <v>0</v>
      </c>
      <c r="AC187" s="212">
        <f>IFERROR(VLOOKUP("七種競技",J187:L190,3,0),0)</f>
        <v>0</v>
      </c>
      <c r="AD187" s="212">
        <f>IFERROR(VLOOKUP(J187,競技会設定!$T$2:$W$22,2,0),0)</f>
        <v>0</v>
      </c>
      <c r="AE187" s="212">
        <f t="shared" ref="AE187" si="2097">IF(E187="",0,IF(AD187=0,0,IF(AD187&lt;3,E187&amp;$AE$6,0)))</f>
        <v>0</v>
      </c>
      <c r="AF187" s="212">
        <f>IF(AE187=0,0,E187&amp;COUNTIF($AE$7:AE187,AE187))</f>
        <v>0</v>
      </c>
      <c r="AG187" s="212">
        <f t="shared" ref="AG187" si="2098">IF(E187="",0,IF(AD187=0,0,IF(AD187&gt;=3,E187&amp;$AG$6,0)))</f>
        <v>0</v>
      </c>
      <c r="AH187" s="212">
        <f>IF(AG187=0,0,E187&amp;COUNTIF($AG$7:AG187,AG187))</f>
        <v>0</v>
      </c>
      <c r="AI187" s="212">
        <f t="shared" ref="AI187" si="2099">IF($AD187=AI$6,$E187,0)</f>
        <v>0</v>
      </c>
      <c r="AJ187" s="212" t="b">
        <f>IF(AI187=0,FALSE,IF(COUNTIF(AI$7:AI187,AI187)&gt;1,TRUE,FALSE))</f>
        <v>0</v>
      </c>
      <c r="AK187" s="212">
        <f t="shared" ref="AK187" si="2100">IF($AD187=AK$6,$E187,0)</f>
        <v>0</v>
      </c>
      <c r="AL187" s="212" t="b">
        <f>IF(AK187=0,FALSE,IF(COUNTIF(AK$7:AK187,AK187)&gt;1,TRUE,FALSE))</f>
        <v>0</v>
      </c>
      <c r="AM187" s="212">
        <f t="shared" ref="AM187" si="2101">IF(COUNTIF(Y187,"*七種*")&gt;0,0,IF($AD187=AM$6,$E187,0))</f>
        <v>0</v>
      </c>
      <c r="AN187" s="212" t="b">
        <f>IF(AM187=0,FALSE,IF(COUNTIF(AM$7:AM187,AM187)&gt;1,TRUE,FALSE))</f>
        <v>0</v>
      </c>
      <c r="AO187" s="212">
        <f t="shared" ref="AO187" si="2102">IF($AD187=AO$6,$E187,0)</f>
        <v>0</v>
      </c>
      <c r="AP187" s="212" t="b">
        <f>IF(AO187=0,FALSE,IF(COUNTIF(AO$7:AO187,AO187)&gt;1,TRUE,FALSE))</f>
        <v>0</v>
      </c>
      <c r="AQ187" s="212">
        <f t="shared" ref="AQ187" si="2103">IF(COUNTIF(Y187,"*七種競技*")&gt;0,E187,0)</f>
        <v>0</v>
      </c>
      <c r="AR187" s="212" t="b">
        <f t="shared" si="1503"/>
        <v>0</v>
      </c>
      <c r="AS187" s="212" t="b">
        <f t="shared" ref="AS187" si="2104">IF(AND(C187="",E187&lt;&gt;"",F187&lt;&gt;"",E189&lt;&gt;"",G187&lt;&gt;"",G188&lt;&gt;"",G189&lt;&gt;""),TRUE,FALSE)</f>
        <v>0</v>
      </c>
      <c r="AT187" s="212" t="b">
        <f t="shared" si="1516"/>
        <v>0</v>
      </c>
      <c r="AU187" s="212" t="b">
        <f>IFERROR(IF(E187&amp;F187&amp;E189&amp;G187&amp;G188&amp;G189&amp;J187&amp;J188&amp;J189&amp;J190&amp;L187&amp;L188&amp;L189&amp;L190&amp;M187&amp;M188&amp;M189&amp;M190&amp;P187&amp;P188&amp;P189&amp;P190&amp;Q187&amp;R187="",FALSE,TRUE),FALSE)</f>
        <v>0</v>
      </c>
      <c r="AV187" s="212" t="b">
        <f t="shared" ref="AV187" si="2105">IF(AS187,FALSE,IF(C187="",AU187,FALSE))</f>
        <v>0</v>
      </c>
      <c r="AW187" s="212" t="b">
        <f t="shared" ref="AW187" si="2106">IF(C187="",FALSE,IF(C187&lt;=2000,TRUE,FALSE))</f>
        <v>0</v>
      </c>
      <c r="AX187" s="274" t="b">
        <f>IF(H187=0,FALSE,IF(EXACT(基本情報!$E$5,H187)=TRUE,FALSE,TRUE))</f>
        <v>0</v>
      </c>
      <c r="AY187" s="212" t="b">
        <f>IF(C187="",FALSE,IF(ISNA(E187)=TRUE,TRUE,FALSE))</f>
        <v>0</v>
      </c>
      <c r="AZ187" s="274" t="b">
        <f>IFERROR(IF(E187="",FALSE,IF(COUNTIF($E$7:E187,E187)&gt;1,TRUE,FALSE)),FALSE)</f>
        <v>0</v>
      </c>
      <c r="BA187" s="212" t="b">
        <f t="shared" ref="BA187" si="2107">IF(OR(J187&amp;J188&amp;J189&amp;J190&amp;Q187&amp;R187="",AT187,AT188,AT189,AT190),AU187,FALSE)</f>
        <v>0</v>
      </c>
      <c r="BB187" s="212" t="b">
        <f>IF(U187&gt;1,TRUE,FALSE)</f>
        <v>0</v>
      </c>
      <c r="BC187" s="212" t="b">
        <f>IF(X187&gt;1,TRUE,FALSE)</f>
        <v>0</v>
      </c>
      <c r="BD187" s="212" t="b">
        <f t="shared" si="1490"/>
        <v>0</v>
      </c>
      <c r="BF187" s="212" t="b">
        <f t="shared" ref="BF187" si="2108">IF(J187="",FALSE,IF(OR(AND(AU187,L187=""),AND(AU187,L187="",OR(M187&lt;&gt;"",N187&lt;&gt;"",O187&lt;&gt;"",P187&lt;&gt;""))),TRUE,FALSE))</f>
        <v>0</v>
      </c>
      <c r="BG187" s="212" t="b">
        <f t="shared" si="1492"/>
        <v>0</v>
      </c>
      <c r="BH187" s="212" t="b">
        <f t="shared" si="1505"/>
        <v>0</v>
      </c>
      <c r="BI187" s="212" t="b">
        <f t="shared" ref="BI187" si="2109">IF(J187="",FALSE,IF(L187=0,FALSE,IF(AND(AU187,NOT(BF187),OR(M187="",N187="",O187="")),TRUE,FALSE)))</f>
        <v>0</v>
      </c>
      <c r="BJ187" s="231" t="b">
        <f t="shared" si="1507"/>
        <v>0</v>
      </c>
      <c r="BK187" s="231" t="b">
        <f>IF(NOT(BJ187),FALSE,IF(AND(競技会設定!$C$5&lt;=BJ187,BJ187&lt;=競技会設定!$C$6),FALSE,TRUE))</f>
        <v>0</v>
      </c>
      <c r="BL187" s="212" t="b">
        <f>IF(J187="",FALSE,IF(L187=0,FALSE,IF(AND(AU187,NOT(BF187),NOT(BI187),P187=""),TRUE,FALSE)))</f>
        <v>0</v>
      </c>
      <c r="BO187" s="274">
        <f t="shared" ref="BO187" si="2110">IF(AND(AU187,SUM(COUNTIF(AV187:BC187,TRUE),COUNTIF(BF187:BL190,TRUE),COUNTIF(BD187:BD190,TRUE))=0,NOT($BE$7)),1,0)</f>
        <v>0</v>
      </c>
    </row>
    <row r="188" spans="1:67" ht="17.399999999999999" customHeight="1">
      <c r="A188" s="462"/>
      <c r="B188" s="374"/>
      <c r="C188" s="376"/>
      <c r="D188" s="159"/>
      <c r="E188" s="465"/>
      <c r="F188" s="465"/>
      <c r="G188" s="159" t="str">
        <f>IF(C187="","",(VLOOKUP(D187,女子登録!$A$2:$N$2001,13,0)))</f>
        <v/>
      </c>
      <c r="H188" s="159"/>
      <c r="I188" s="159" t="s">
        <v>4020</v>
      </c>
      <c r="J188" s="175"/>
      <c r="K188" s="159" t="s">
        <v>4023</v>
      </c>
      <c r="L188" s="175"/>
      <c r="M188" s="264"/>
      <c r="N188" s="265"/>
      <c r="O188" s="266"/>
      <c r="P188" s="175"/>
      <c r="Q188" s="449"/>
      <c r="R188" s="409"/>
      <c r="S188" s="136"/>
      <c r="T188" s="137"/>
      <c r="U188" s="137"/>
      <c r="V188" s="137"/>
      <c r="W188" s="137"/>
      <c r="X188" s="137"/>
      <c r="Y188" s="212">
        <f t="shared" ref="Y188" si="2111">IF(OR(E187="",J188=""),0,J188&amp;E187)</f>
        <v>0</v>
      </c>
      <c r="Z188" s="212">
        <f>IF(Y188=0,0,COUNTIF($Y$7:Y188,Y188))</f>
        <v>0</v>
      </c>
      <c r="AD188" s="212">
        <f>IFERROR(VLOOKUP(J188,競技会設定!$T$2:$W$22,2,0),0)</f>
        <v>0</v>
      </c>
      <c r="AE188" s="212">
        <f t="shared" ref="AE188" si="2112">IF(E187="",0,IF(AD188=0,0,IF(AD188&lt;3,E187&amp;$AE$6,0)))</f>
        <v>0</v>
      </c>
      <c r="AF188" s="212">
        <f>IF(AE188=0,0,E187&amp;COUNTIF($AE$7:AE188,AE188))</f>
        <v>0</v>
      </c>
      <c r="AG188" s="212">
        <f t="shared" ref="AG188" si="2113">IF(E187="",0,IF(AD188=0,0,IF(AD188&gt;=3,E187&amp;$AG$6,0)))</f>
        <v>0</v>
      </c>
      <c r="AH188" s="212">
        <f>IF(AG188=0,0,E187&amp;COUNTIF($AG$7:AG188,AG188))</f>
        <v>0</v>
      </c>
      <c r="AI188" s="212">
        <f t="shared" ref="AI188" si="2114">IF($AD188=AI$6,$E187,0)</f>
        <v>0</v>
      </c>
      <c r="AJ188" s="212" t="b">
        <f>IF(AI188=0,FALSE,IF(COUNTIF(AI$7:AI188,AI188)&gt;1,TRUE,FALSE))</f>
        <v>0</v>
      </c>
      <c r="AK188" s="212">
        <f t="shared" ref="AK188" si="2115">IF($AD188=AK$6,$E187,0)</f>
        <v>0</v>
      </c>
      <c r="AL188" s="212" t="b">
        <f>IF(AK188=0,FALSE,IF(COUNTIF(AK$7:AK188,AK188)&gt;1,TRUE,FALSE))</f>
        <v>0</v>
      </c>
      <c r="AM188" s="212">
        <f t="shared" ref="AM188" si="2116">IF(COUNTIF(Y188,"*七種*")&gt;0,0,IF($AD188=AM$6,$E187,0))</f>
        <v>0</v>
      </c>
      <c r="AN188" s="212" t="b">
        <f>IF(AM188=0,FALSE,IF(COUNTIF(AM$7:AM188,AM188)&gt;1,TRUE,FALSE))</f>
        <v>0</v>
      </c>
      <c r="AO188" s="212">
        <f t="shared" ref="AO188" si="2117">IF($AD188=AO$6,$E187,0)</f>
        <v>0</v>
      </c>
      <c r="AP188" s="212" t="b">
        <f>IF(AO188=0,FALSE,IF(COUNTIF(AO$7:AO188,AO188)&gt;1,TRUE,FALSE))</f>
        <v>0</v>
      </c>
      <c r="AQ188" s="212">
        <f t="shared" ref="AQ188" si="2118">IF(COUNTIF(Y188,"*七種競技*")&gt;0,E187,0)</f>
        <v>0</v>
      </c>
      <c r="AR188" s="212" t="b">
        <f t="shared" si="1503"/>
        <v>0</v>
      </c>
      <c r="AT188" s="212" t="b">
        <f t="shared" si="1516"/>
        <v>0</v>
      </c>
      <c r="AX188" s="274"/>
      <c r="BD188" s="212" t="b">
        <f t="shared" si="1490"/>
        <v>0</v>
      </c>
      <c r="BF188" s="212" t="b">
        <f t="shared" ref="BF188" si="2119">IF(J188="",FALSE,IF(OR(AND(AU187,L188=""),AND(AU187,L188="",OR(M188&lt;&gt;"",N188&lt;&gt;"",O188&lt;&gt;"",P188&lt;&gt;""))),TRUE,FALSE))</f>
        <v>0</v>
      </c>
      <c r="BG188" s="212" t="b">
        <f t="shared" si="1492"/>
        <v>0</v>
      </c>
      <c r="BH188" s="212" t="b">
        <f t="shared" si="1505"/>
        <v>0</v>
      </c>
      <c r="BI188" s="212" t="b">
        <f t="shared" ref="BI188" si="2120">IF(J188="",FALSE,IF(L188=0,FALSE,IF(AND(AU187,NOT(BF188),OR(M188="",N188="",O188="")),TRUE,FALSE)))</f>
        <v>0</v>
      </c>
      <c r="BJ188" s="231" t="b">
        <f t="shared" si="1507"/>
        <v>0</v>
      </c>
      <c r="BK188" s="231" t="b">
        <f>IF(NOT(BJ188),FALSE,IF(AND(競技会設定!$C$5&lt;=BJ188,BJ188&lt;=競技会設定!$C$6),FALSE,TRUE))</f>
        <v>0</v>
      </c>
      <c r="BL188" s="212" t="b">
        <f>IF(J188="",FALSE,IF(L188=0,FALSE,IF(AND(AU187,NOT(BF188),NOT(BI188),P188=""),TRUE,FALSE)))</f>
        <v>0</v>
      </c>
    </row>
    <row r="189" spans="1:67" ht="17.399999999999999" customHeight="1">
      <c r="A189" s="462"/>
      <c r="B189" s="374"/>
      <c r="C189" s="376"/>
      <c r="D189" s="160"/>
      <c r="E189" s="452" t="str">
        <f>IF(C187="","",VLOOKUP(D187,女子登録!$A$2:$O$2001,14,0)&amp;" ("&amp;VLOOKUP(D187,女子登録!$A$2:$O$2001,15,0)&amp;")")</f>
        <v/>
      </c>
      <c r="F189" s="453"/>
      <c r="G189" s="160" t="str">
        <f>IF(C187="","",(VLOOKUP(D187,女子登録!$A$2:$N$2001,9,0)))</f>
        <v/>
      </c>
      <c r="H189" s="160"/>
      <c r="I189" s="160" t="s">
        <v>4021</v>
      </c>
      <c r="J189" s="176"/>
      <c r="K189" s="160" t="s">
        <v>6760</v>
      </c>
      <c r="L189" s="176"/>
      <c r="M189" s="264"/>
      <c r="N189" s="265"/>
      <c r="O189" s="266"/>
      <c r="P189" s="175"/>
      <c r="Q189" s="449"/>
      <c r="R189" s="409"/>
      <c r="S189" s="136"/>
      <c r="T189" s="137"/>
      <c r="U189" s="137"/>
      <c r="V189" s="137"/>
      <c r="W189" s="137"/>
      <c r="X189" s="137"/>
      <c r="Y189" s="212">
        <f t="shared" ref="Y189" si="2121">IF(OR(E187="",J189=""),0,J189&amp;E187)</f>
        <v>0</v>
      </c>
      <c r="Z189" s="212">
        <f>IF(Y189=0,0,COUNTIF($Y$7:Y189,Y189))</f>
        <v>0</v>
      </c>
      <c r="AD189" s="212">
        <f>IFERROR(VLOOKUP(J189,競技会設定!$T$2:$W$22,2,0),0)</f>
        <v>0</v>
      </c>
      <c r="AE189" s="212">
        <f t="shared" ref="AE189" si="2122">IF(E187="",0,IF(AD189=0,0,IF(AD189&lt;3,E187&amp;$AE$6,0)))</f>
        <v>0</v>
      </c>
      <c r="AF189" s="212">
        <f>IF(AE189=0,0,E187&amp;COUNTIF($AE$7:AE189,AE189))</f>
        <v>0</v>
      </c>
      <c r="AG189" s="212">
        <f t="shared" ref="AG189" si="2123">IF(E187="",0,IF(AD189=0,0,IF(AD189&gt;=3,E187&amp;$AG$6,0)))</f>
        <v>0</v>
      </c>
      <c r="AH189" s="212">
        <f>IF(AG189=0,0,E187&amp;COUNTIF($AG$7:AG189,AG189))</f>
        <v>0</v>
      </c>
      <c r="AI189" s="212">
        <f t="shared" ref="AI189" si="2124">IF($AD189=AI$6,$E187,0)</f>
        <v>0</v>
      </c>
      <c r="AJ189" s="212" t="b">
        <f>IF(AI189=0,FALSE,IF(COUNTIF(AI$7:AI189,AI189)&gt;1,TRUE,FALSE))</f>
        <v>0</v>
      </c>
      <c r="AK189" s="212">
        <f t="shared" ref="AK189" si="2125">IF($AD189=AK$6,$E187,0)</f>
        <v>0</v>
      </c>
      <c r="AL189" s="212" t="b">
        <f>IF(AK189=0,FALSE,IF(COUNTIF(AK$7:AK189,AK189)&gt;1,TRUE,FALSE))</f>
        <v>0</v>
      </c>
      <c r="AM189" s="212">
        <f t="shared" ref="AM189" si="2126">IF(COUNTIF(Y189,"*七種*")&gt;0,0,IF($AD189=AM$6,$E187,0))</f>
        <v>0</v>
      </c>
      <c r="AN189" s="212" t="b">
        <f>IF(AM189=0,FALSE,IF(COUNTIF(AM$7:AM189,AM189)&gt;1,TRUE,FALSE))</f>
        <v>0</v>
      </c>
      <c r="AO189" s="212">
        <f t="shared" ref="AO189" si="2127">IF($AD189=AO$6,$E187,0)</f>
        <v>0</v>
      </c>
      <c r="AP189" s="212" t="b">
        <f>IF(AO189=0,FALSE,IF(COUNTIF(AO$7:AO189,AO189)&gt;1,TRUE,FALSE))</f>
        <v>0</v>
      </c>
      <c r="AQ189" s="212">
        <f t="shared" ref="AQ189" si="2128">IF(COUNTIF(Y189,"*七種競技*")&gt;0,E187,0)</f>
        <v>0</v>
      </c>
      <c r="AR189" s="212" t="b">
        <f t="shared" si="1503"/>
        <v>0</v>
      </c>
      <c r="AT189" s="212" t="b">
        <f t="shared" si="1516"/>
        <v>0</v>
      </c>
      <c r="AX189" s="274"/>
      <c r="BD189" s="212" t="b">
        <f t="shared" si="1490"/>
        <v>0</v>
      </c>
      <c r="BF189" s="212" t="b">
        <f t="shared" ref="BF189" si="2129">IF(J189="",FALSE,IF(OR(AND(AU187,L189=""),AND(AU187,L189="",OR(M189&lt;&gt;"",N189&lt;&gt;"",O189&lt;&gt;"",P189&lt;&gt;""))),TRUE,FALSE))</f>
        <v>0</v>
      </c>
      <c r="BG189" s="212" t="b">
        <f t="shared" si="1492"/>
        <v>0</v>
      </c>
      <c r="BH189" s="212" t="b">
        <f t="shared" si="1505"/>
        <v>0</v>
      </c>
      <c r="BI189" s="212" t="b">
        <f t="shared" ref="BI189" si="2130">IF(J189="",FALSE,IF(L189=0,FALSE,IF(AND(AU187,NOT(BF189),OR(M189="",N189="",O189="")),TRUE,FALSE)))</f>
        <v>0</v>
      </c>
      <c r="BJ189" s="231" t="b">
        <f t="shared" si="1507"/>
        <v>0</v>
      </c>
      <c r="BK189" s="231" t="b">
        <f>IF(NOT(BJ189),FALSE,IF(AND(競技会設定!$C$5&lt;=BJ189,BJ189&lt;=競技会設定!$C$6),FALSE,TRUE))</f>
        <v>0</v>
      </c>
      <c r="BL189" s="212" t="b">
        <f>IF(J189="",FALSE,IF(L189=0,FALSE,IF(AND(AU187,NOT(BF189),NOT(BI189),P189=""),TRUE,FALSE)))</f>
        <v>0</v>
      </c>
    </row>
    <row r="190" spans="1:67" ht="18" customHeight="1" thickBot="1">
      <c r="A190" s="475"/>
      <c r="B190" s="387" t="s">
        <v>6764</v>
      </c>
      <c r="C190" s="387"/>
      <c r="D190" s="161"/>
      <c r="E190" s="467"/>
      <c r="F190" s="468"/>
      <c r="G190" s="469"/>
      <c r="H190" s="162"/>
      <c r="I190" s="161" t="s">
        <v>6759</v>
      </c>
      <c r="J190" s="177"/>
      <c r="K190" s="161" t="s">
        <v>6761</v>
      </c>
      <c r="L190" s="177"/>
      <c r="M190" s="267"/>
      <c r="N190" s="268"/>
      <c r="O190" s="269"/>
      <c r="P190" s="177"/>
      <c r="Q190" s="466"/>
      <c r="R190" s="410"/>
      <c r="S190" s="136"/>
      <c r="T190" s="137"/>
      <c r="U190" s="137"/>
      <c r="V190" s="137"/>
      <c r="W190" s="137"/>
      <c r="X190" s="137"/>
      <c r="Y190" s="212">
        <f t="shared" ref="Y190" si="2131">IF(OR(E187="",J190=""),0,J190&amp;E187)</f>
        <v>0</v>
      </c>
      <c r="Z190" s="212">
        <f>IF(Y190=0,0,COUNTIF($Y$7:Y190,Y190))</f>
        <v>0</v>
      </c>
      <c r="AD190" s="212">
        <f>IFERROR(VLOOKUP(J190,競技会設定!$T$2:$W$22,2,0),0)</f>
        <v>0</v>
      </c>
      <c r="AE190" s="212">
        <f t="shared" ref="AE190" si="2132">IF(E187="",0,IF(AD190=0,0,IF(AD190&lt;3,E187&amp;$AE$6,0)))</f>
        <v>0</v>
      </c>
      <c r="AF190" s="212">
        <f>IF(AE190=0,0,E187&amp;COUNTIF($AE$7:AE190,AE190))</f>
        <v>0</v>
      </c>
      <c r="AG190" s="212">
        <f t="shared" ref="AG190" si="2133">IF(E187="",0,IF(AD190=0,0,IF(AD190&gt;=3,E187&amp;$AG$6,0)))</f>
        <v>0</v>
      </c>
      <c r="AH190" s="212">
        <f>IF(AG190=0,0,E187&amp;COUNTIF($AG$7:AG190,AG190))</f>
        <v>0</v>
      </c>
      <c r="AI190" s="212">
        <f t="shared" ref="AI190" si="2134">IF($AD190=AI$6,$E187,0)</f>
        <v>0</v>
      </c>
      <c r="AJ190" s="212" t="b">
        <f>IF(AI190=0,FALSE,IF(COUNTIF(AI$7:AI190,AI190)&gt;1,TRUE,FALSE))</f>
        <v>0</v>
      </c>
      <c r="AK190" s="212">
        <f t="shared" ref="AK190" si="2135">IF($AD190=AK$6,$E187,0)</f>
        <v>0</v>
      </c>
      <c r="AL190" s="212" t="b">
        <f>IF(AK190=0,FALSE,IF(COUNTIF(AK$7:AK190,AK190)&gt;1,TRUE,FALSE))</f>
        <v>0</v>
      </c>
      <c r="AM190" s="212">
        <f t="shared" ref="AM190" si="2136">IF(COUNTIF(Y190,"*七種*")&gt;0,0,IF($AD190=AM$6,$E187,0))</f>
        <v>0</v>
      </c>
      <c r="AN190" s="212" t="b">
        <f>IF(AM190=0,FALSE,IF(COUNTIF(AM$7:AM190,AM190)&gt;1,TRUE,FALSE))</f>
        <v>0</v>
      </c>
      <c r="AO190" s="212">
        <f t="shared" ref="AO190" si="2137">IF($AD190=AO$6,$E187,0)</f>
        <v>0</v>
      </c>
      <c r="AP190" s="212" t="b">
        <f>IF(AO190=0,FALSE,IF(COUNTIF(AO$7:AO190,AO190)&gt;1,TRUE,FALSE))</f>
        <v>0</v>
      </c>
      <c r="AQ190" s="212">
        <f t="shared" ref="AQ190" si="2138">IF(COUNTIF(Y190,"*七種競技*")&gt;0,E187,0)</f>
        <v>0</v>
      </c>
      <c r="AR190" s="212" t="b">
        <f t="shared" si="1503"/>
        <v>0</v>
      </c>
      <c r="AT190" s="212" t="b">
        <f t="shared" si="1516"/>
        <v>0</v>
      </c>
      <c r="AX190" s="274"/>
      <c r="BD190" s="212" t="b">
        <f t="shared" si="1490"/>
        <v>0</v>
      </c>
      <c r="BF190" s="212" t="b">
        <f t="shared" ref="BF190" si="2139">IF(J190="",FALSE,IF(OR(AND(AU187,L190=""),AND(AU187,L190="",OR(M190&lt;&gt;"",N190&lt;&gt;"",O190&lt;&gt;"",P190&lt;&gt;""))),TRUE,FALSE))</f>
        <v>0</v>
      </c>
      <c r="BG190" s="212" t="b">
        <f t="shared" si="1492"/>
        <v>0</v>
      </c>
      <c r="BH190" s="212" t="b">
        <f t="shared" si="1505"/>
        <v>0</v>
      </c>
      <c r="BI190" s="212" t="b">
        <f t="shared" ref="BI190" si="2140">IF(J190="",FALSE,IF(L190=0,FALSE,IF(AND(AU187,NOT(BF190),OR(M190="",N190="",O190="")),TRUE,FALSE)))</f>
        <v>0</v>
      </c>
      <c r="BJ190" s="231" t="b">
        <f t="shared" si="1507"/>
        <v>0</v>
      </c>
      <c r="BK190" s="231" t="b">
        <f>IF(NOT(BJ190),FALSE,IF(AND(競技会設定!$C$5&lt;=BJ190,BJ190&lt;=競技会設定!$C$6),FALSE,TRUE))</f>
        <v>0</v>
      </c>
      <c r="BL190" s="212" t="b">
        <f>IF(J190="",FALSE,IF(L190=0,FALSE,IF(AND(AU187,NOT(BF190),NOT(BI190),P190=""),TRUE,FALSE)))</f>
        <v>0</v>
      </c>
    </row>
    <row r="191" spans="1:67" ht="18" customHeight="1" thickTop="1">
      <c r="A191" s="470">
        <v>47</v>
      </c>
      <c r="B191" s="401" t="s">
        <v>4018</v>
      </c>
      <c r="C191" s="403"/>
      <c r="D191" s="156" t="str">
        <f t="shared" ref="D191" si="2141">IF(C191="","",502&amp;TEXT(C191,"000000"))</f>
        <v/>
      </c>
      <c r="E191" s="473" t="str">
        <f>IF(D191="","",(VLOOKUP(D191,女子登録!$A$2:$N$2001,3,0)))</f>
        <v/>
      </c>
      <c r="F191" s="473" t="str">
        <f>IF(D191="","",(VLOOKUP(D191,女子登録!$A$2:$N$2001,4,0)))</f>
        <v/>
      </c>
      <c r="G191" s="156" t="str">
        <f>IF(C191="","",(VLOOKUP(D191,女子登録!$A$2:$N$2001,8,0)))</f>
        <v/>
      </c>
      <c r="H191" s="156">
        <f>IFERROR(VLOOKUP(D191,女子登録!$A$2:$N$2001,11,0),基本情報!$E$5)</f>
        <v>0</v>
      </c>
      <c r="I191" s="156" t="s">
        <v>4019</v>
      </c>
      <c r="J191" s="170"/>
      <c r="K191" s="156" t="s">
        <v>4022</v>
      </c>
      <c r="L191" s="170"/>
      <c r="M191" s="252"/>
      <c r="N191" s="253"/>
      <c r="O191" s="254"/>
      <c r="P191" s="170"/>
      <c r="Q191" s="457"/>
      <c r="R191" s="414"/>
      <c r="S191" s="136">
        <f t="shared" ref="S191" si="2142">IF(OR(E191="",Q191=""),0,E191)</f>
        <v>0</v>
      </c>
      <c r="T191" s="137">
        <f>IF(S191=0,0,COUNTIF($S$7:S191,"*"))</f>
        <v>0</v>
      </c>
      <c r="U191" s="137">
        <f>IF(S191=0,0,COUNTIF($S$7:S191,S191))</f>
        <v>0</v>
      </c>
      <c r="V191" s="137">
        <f t="shared" si="1719"/>
        <v>0</v>
      </c>
      <c r="W191" s="137">
        <f>IF(V191=0,0,COUNTIF($V$7:V191,"*"))</f>
        <v>0</v>
      </c>
      <c r="X191" s="137">
        <f>IF(V191=0,0,COUNTIF($V$7:V191,V191))</f>
        <v>0</v>
      </c>
      <c r="Y191" s="212">
        <f t="shared" ref="Y191" si="2143">IF(OR(E191="",J191=""),0,J191&amp;E191)</f>
        <v>0</v>
      </c>
      <c r="Z191" s="212">
        <f>IF(Y191=0,0,COUNTIF($Y$7:Y191,Y191))</f>
        <v>0</v>
      </c>
      <c r="AA191" s="212" t="b">
        <f>IF(COUNTIF(J191:J194,"七種競技")&gt;0,TRUE,FALSE)</f>
        <v>0</v>
      </c>
      <c r="AB191" s="212">
        <f>IF(E191="",0,IF(AA191,COUNTIF($AA$7:AA191,TRUE),0))</f>
        <v>0</v>
      </c>
      <c r="AC191" s="212">
        <f>IFERROR(VLOOKUP("七種競技",J191:L194,3,0),0)</f>
        <v>0</v>
      </c>
      <c r="AD191" s="212">
        <f>IFERROR(VLOOKUP(J191,競技会設定!$T$2:$W$22,2,0),0)</f>
        <v>0</v>
      </c>
      <c r="AE191" s="212">
        <f t="shared" ref="AE191" si="2144">IF(E191="",0,IF(AD191=0,0,IF(AD191&lt;3,E191&amp;$AE$6,0)))</f>
        <v>0</v>
      </c>
      <c r="AF191" s="212">
        <f>IF(AE191=0,0,E191&amp;COUNTIF($AE$7:AE191,AE191))</f>
        <v>0</v>
      </c>
      <c r="AG191" s="212">
        <f t="shared" ref="AG191" si="2145">IF(E191="",0,IF(AD191=0,0,IF(AD191&gt;=3,E191&amp;$AG$6,0)))</f>
        <v>0</v>
      </c>
      <c r="AH191" s="212">
        <f>IF(AG191=0,0,E191&amp;COUNTIF($AG$7:AG191,AG191))</f>
        <v>0</v>
      </c>
      <c r="AI191" s="212">
        <f t="shared" ref="AI191" si="2146">IF($AD191=AI$6,$E191,0)</f>
        <v>0</v>
      </c>
      <c r="AJ191" s="212" t="b">
        <f>IF(AI191=0,FALSE,IF(COUNTIF(AI$7:AI191,AI191)&gt;1,TRUE,FALSE))</f>
        <v>0</v>
      </c>
      <c r="AK191" s="212">
        <f t="shared" ref="AK191" si="2147">IF($AD191=AK$6,$E191,0)</f>
        <v>0</v>
      </c>
      <c r="AL191" s="212" t="b">
        <f>IF(AK191=0,FALSE,IF(COUNTIF(AK$7:AK191,AK191)&gt;1,TRUE,FALSE))</f>
        <v>0</v>
      </c>
      <c r="AM191" s="212">
        <f t="shared" ref="AM191" si="2148">IF(COUNTIF(Y191,"*七種*")&gt;0,0,IF($AD191=AM$6,$E191,0))</f>
        <v>0</v>
      </c>
      <c r="AN191" s="212" t="b">
        <f>IF(AM191=0,FALSE,IF(COUNTIF(AM$7:AM191,AM191)&gt;1,TRUE,FALSE))</f>
        <v>0</v>
      </c>
      <c r="AO191" s="212">
        <f t="shared" ref="AO191" si="2149">IF($AD191=AO$6,$E191,0)</f>
        <v>0</v>
      </c>
      <c r="AP191" s="212" t="b">
        <f>IF(AO191=0,FALSE,IF(COUNTIF(AO$7:AO191,AO191)&gt;1,TRUE,FALSE))</f>
        <v>0</v>
      </c>
      <c r="AQ191" s="212">
        <f t="shared" ref="AQ191" si="2150">IF(COUNTIF(Y191,"*七種競技*")&gt;0,E191,0)</f>
        <v>0</v>
      </c>
      <c r="AR191" s="212" t="b">
        <f t="shared" si="1503"/>
        <v>0</v>
      </c>
      <c r="AS191" s="212" t="b">
        <f t="shared" ref="AS191" si="2151">IF(AND(C191="",E191&lt;&gt;"",F191&lt;&gt;"",E193&lt;&gt;"",G191&lt;&gt;"",G192&lt;&gt;"",G193&lt;&gt;""),TRUE,FALSE)</f>
        <v>0</v>
      </c>
      <c r="AT191" s="212" t="b">
        <f t="shared" si="1516"/>
        <v>0</v>
      </c>
      <c r="AU191" s="212" t="b">
        <f>IFERROR(IF(E191&amp;F191&amp;E193&amp;G191&amp;G192&amp;G193&amp;J191&amp;J192&amp;J193&amp;J194&amp;L191&amp;L192&amp;L193&amp;L194&amp;M191&amp;M192&amp;M193&amp;M194&amp;P191&amp;P192&amp;P193&amp;P194&amp;Q191&amp;R191="",FALSE,TRUE),FALSE)</f>
        <v>0</v>
      </c>
      <c r="AV191" s="212" t="b">
        <f t="shared" ref="AV191" si="2152">IF(AS191,FALSE,IF(C191="",AU191,FALSE))</f>
        <v>0</v>
      </c>
      <c r="AW191" s="212" t="b">
        <f t="shared" ref="AW191" si="2153">IF(C191="",FALSE,IF(C191&lt;=2000,TRUE,FALSE))</f>
        <v>0</v>
      </c>
      <c r="AX191" s="274" t="b">
        <f>IF(H191=0,FALSE,IF(EXACT(基本情報!$E$5,H191)=TRUE,FALSE,TRUE))</f>
        <v>0</v>
      </c>
      <c r="AY191" s="212" t="b">
        <f>IF(C191="",FALSE,IF(ISNA(E191)=TRUE,TRUE,FALSE))</f>
        <v>0</v>
      </c>
      <c r="AZ191" s="274" t="b">
        <f>IFERROR(IF(E191="",FALSE,IF(COUNTIF($E$7:E191,E191)&gt;1,TRUE,FALSE)),FALSE)</f>
        <v>0</v>
      </c>
      <c r="BA191" s="212" t="b">
        <f t="shared" ref="BA191" si="2154">IF(OR(J191&amp;J192&amp;J193&amp;J194&amp;Q191&amp;R191="",AT191,AT192,AT193,AT194),AU191,FALSE)</f>
        <v>0</v>
      </c>
      <c r="BB191" s="212" t="b">
        <f>IF(U191&gt;1,TRUE,FALSE)</f>
        <v>0</v>
      </c>
      <c r="BC191" s="212" t="b">
        <f>IF(X191&gt;1,TRUE,FALSE)</f>
        <v>0</v>
      </c>
      <c r="BD191" s="212" t="b">
        <f t="shared" si="1490"/>
        <v>0</v>
      </c>
      <c r="BF191" s="212" t="b">
        <f t="shared" ref="BF191" si="2155">IF(J191="",FALSE,IF(OR(AND(AU191,L191=""),AND(AU191,L191="",OR(M191&lt;&gt;"",N191&lt;&gt;"",O191&lt;&gt;"",P191&lt;&gt;""))),TRUE,FALSE))</f>
        <v>0</v>
      </c>
      <c r="BG191" s="212" t="b">
        <f t="shared" si="1492"/>
        <v>0</v>
      </c>
      <c r="BH191" s="212" t="b">
        <f t="shared" si="1505"/>
        <v>0</v>
      </c>
      <c r="BI191" s="212" t="b">
        <f t="shared" ref="BI191" si="2156">IF(J191="",FALSE,IF(L191=0,FALSE,IF(AND(AU191,NOT(BF191),OR(M191="",N191="",O191="")),TRUE,FALSE)))</f>
        <v>0</v>
      </c>
      <c r="BJ191" s="231" t="b">
        <f t="shared" si="1507"/>
        <v>0</v>
      </c>
      <c r="BK191" s="231" t="b">
        <f>IF(NOT(BJ191),FALSE,IF(AND(競技会設定!$C$5&lt;=BJ191,BJ191&lt;=競技会設定!$C$6),FALSE,TRUE))</f>
        <v>0</v>
      </c>
      <c r="BL191" s="212" t="b">
        <f>IF(J191="",FALSE,IF(L191=0,FALSE,IF(AND(AU191,NOT(BF191),NOT(BI191),P191=""),TRUE,FALSE)))</f>
        <v>0</v>
      </c>
      <c r="BO191" s="274">
        <f t="shared" ref="BO191" si="2157">IF(AND(AU191,SUM(COUNTIF(AV191:BC191,TRUE),COUNTIF(BF191:BL194,TRUE),COUNTIF(BD191:BD194,TRUE))=0,NOT($BE$7)),1,0)</f>
        <v>0</v>
      </c>
    </row>
    <row r="192" spans="1:67" ht="17.399999999999999" customHeight="1">
      <c r="A192" s="471"/>
      <c r="B192" s="402"/>
      <c r="C192" s="404"/>
      <c r="D192" s="11"/>
      <c r="E192" s="474"/>
      <c r="F192" s="474"/>
      <c r="G192" s="11" t="str">
        <f>IF(C191="","",(VLOOKUP(D191,女子登録!$A$2:$N$2001,13,0)))</f>
        <v/>
      </c>
      <c r="H192" s="11"/>
      <c r="I192" s="11" t="s">
        <v>4020</v>
      </c>
      <c r="J192" s="171"/>
      <c r="K192" s="11" t="s">
        <v>4023</v>
      </c>
      <c r="L192" s="171"/>
      <c r="M192" s="255"/>
      <c r="N192" s="256"/>
      <c r="O192" s="257"/>
      <c r="P192" s="171"/>
      <c r="Q192" s="458"/>
      <c r="R192" s="415"/>
      <c r="S192" s="136"/>
      <c r="T192" s="137"/>
      <c r="U192" s="137"/>
      <c r="V192" s="137"/>
      <c r="W192" s="137"/>
      <c r="X192" s="137"/>
      <c r="Y192" s="212">
        <f t="shared" ref="Y192" si="2158">IF(OR(E191="",J192=""),0,J192&amp;E191)</f>
        <v>0</v>
      </c>
      <c r="Z192" s="212">
        <f>IF(Y192=0,0,COUNTIF($Y$7:Y192,Y192))</f>
        <v>0</v>
      </c>
      <c r="AD192" s="212">
        <f>IFERROR(VLOOKUP(J192,競技会設定!$T$2:$W$22,2,0),0)</f>
        <v>0</v>
      </c>
      <c r="AE192" s="212">
        <f t="shared" ref="AE192" si="2159">IF(E191="",0,IF(AD192=0,0,IF(AD192&lt;3,E191&amp;$AE$6,0)))</f>
        <v>0</v>
      </c>
      <c r="AF192" s="212">
        <f>IF(AE192=0,0,E191&amp;COUNTIF($AE$7:AE192,AE192))</f>
        <v>0</v>
      </c>
      <c r="AG192" s="212">
        <f t="shared" ref="AG192" si="2160">IF(E191="",0,IF(AD192=0,0,IF(AD192&gt;=3,E191&amp;$AG$6,0)))</f>
        <v>0</v>
      </c>
      <c r="AH192" s="212">
        <f>IF(AG192=0,0,E191&amp;COUNTIF($AG$7:AG192,AG192))</f>
        <v>0</v>
      </c>
      <c r="AI192" s="212">
        <f t="shared" ref="AI192" si="2161">IF($AD192=AI$6,$E191,0)</f>
        <v>0</v>
      </c>
      <c r="AJ192" s="212" t="b">
        <f>IF(AI192=0,FALSE,IF(COUNTIF(AI$7:AI192,AI192)&gt;1,TRUE,FALSE))</f>
        <v>0</v>
      </c>
      <c r="AK192" s="212">
        <f t="shared" ref="AK192" si="2162">IF($AD192=AK$6,$E191,0)</f>
        <v>0</v>
      </c>
      <c r="AL192" s="212" t="b">
        <f>IF(AK192=0,FALSE,IF(COUNTIF(AK$7:AK192,AK192)&gt;1,TRUE,FALSE))</f>
        <v>0</v>
      </c>
      <c r="AM192" s="212">
        <f t="shared" ref="AM192" si="2163">IF(COUNTIF(Y192,"*七種*")&gt;0,0,IF($AD192=AM$6,$E191,0))</f>
        <v>0</v>
      </c>
      <c r="AN192" s="212" t="b">
        <f>IF(AM192=0,FALSE,IF(COUNTIF(AM$7:AM192,AM192)&gt;1,TRUE,FALSE))</f>
        <v>0</v>
      </c>
      <c r="AO192" s="212">
        <f t="shared" ref="AO192" si="2164">IF($AD192=AO$6,$E191,0)</f>
        <v>0</v>
      </c>
      <c r="AP192" s="212" t="b">
        <f>IF(AO192=0,FALSE,IF(COUNTIF(AO$7:AO192,AO192)&gt;1,TRUE,FALSE))</f>
        <v>0</v>
      </c>
      <c r="AQ192" s="212">
        <f t="shared" ref="AQ192" si="2165">IF(COUNTIF(Y192,"*七種競技*")&gt;0,E191,0)</f>
        <v>0</v>
      </c>
      <c r="AR192" s="212" t="b">
        <f t="shared" si="1503"/>
        <v>0</v>
      </c>
      <c r="AT192" s="212" t="b">
        <f t="shared" si="1516"/>
        <v>0</v>
      </c>
      <c r="AX192" s="274"/>
      <c r="BD192" s="212" t="b">
        <f t="shared" si="1490"/>
        <v>0</v>
      </c>
      <c r="BF192" s="212" t="b">
        <f t="shared" ref="BF192" si="2166">IF(J192="",FALSE,IF(OR(AND(AU191,L192=""),AND(AU191,L192="",OR(M192&lt;&gt;"",N192&lt;&gt;"",O192&lt;&gt;"",P192&lt;&gt;""))),TRUE,FALSE))</f>
        <v>0</v>
      </c>
      <c r="BG192" s="212" t="b">
        <f t="shared" si="1492"/>
        <v>0</v>
      </c>
      <c r="BH192" s="212" t="b">
        <f t="shared" si="1505"/>
        <v>0</v>
      </c>
      <c r="BI192" s="212" t="b">
        <f t="shared" ref="BI192" si="2167">IF(J192="",FALSE,IF(L192=0,FALSE,IF(AND(AU191,NOT(BF192),OR(M192="",N192="",O192="")),TRUE,FALSE)))</f>
        <v>0</v>
      </c>
      <c r="BJ192" s="231" t="b">
        <f t="shared" si="1507"/>
        <v>0</v>
      </c>
      <c r="BK192" s="231" t="b">
        <f>IF(NOT(BJ192),FALSE,IF(AND(競技会設定!$C$5&lt;=BJ192,BJ192&lt;=競技会設定!$C$6),FALSE,TRUE))</f>
        <v>0</v>
      </c>
      <c r="BL192" s="212" t="b">
        <f>IF(J192="",FALSE,IF(L192=0,FALSE,IF(AND(AU191,NOT(BF192),NOT(BI192),P192=""),TRUE,FALSE)))</f>
        <v>0</v>
      </c>
    </row>
    <row r="193" spans="1:67" ht="17.399999999999999" customHeight="1">
      <c r="A193" s="471"/>
      <c r="B193" s="402"/>
      <c r="C193" s="404"/>
      <c r="D193" s="11"/>
      <c r="E193" s="348" t="str">
        <f>IF(C191="","",VLOOKUP(D191,女子登録!$A$2:$O$2001,14,0)&amp;" ("&amp;VLOOKUP(D191,女子登録!$A$2:$O$2001,15,0)&amp;")")</f>
        <v/>
      </c>
      <c r="F193" s="348"/>
      <c r="G193" s="13" t="str">
        <f>IF(C191="","",(VLOOKUP(D191,女子登録!$A$2:$N$2001,9,0)))</f>
        <v/>
      </c>
      <c r="H193" s="13"/>
      <c r="I193" s="13" t="s">
        <v>4021</v>
      </c>
      <c r="J193" s="172"/>
      <c r="K193" s="13" t="s">
        <v>6760</v>
      </c>
      <c r="L193" s="172"/>
      <c r="M193" s="255"/>
      <c r="N193" s="256"/>
      <c r="O193" s="257"/>
      <c r="P193" s="171"/>
      <c r="Q193" s="458"/>
      <c r="R193" s="415"/>
      <c r="S193" s="136"/>
      <c r="T193" s="137"/>
      <c r="U193" s="137"/>
      <c r="V193" s="137"/>
      <c r="W193" s="137"/>
      <c r="X193" s="137"/>
      <c r="Y193" s="212">
        <f t="shared" ref="Y193" si="2168">IF(OR(E191="",J193=""),0,J193&amp;E191)</f>
        <v>0</v>
      </c>
      <c r="Z193" s="212">
        <f>IF(Y193=0,0,COUNTIF($Y$7:Y193,Y193))</f>
        <v>0</v>
      </c>
      <c r="AD193" s="212">
        <f>IFERROR(VLOOKUP(J193,競技会設定!$T$2:$W$22,2,0),0)</f>
        <v>0</v>
      </c>
      <c r="AE193" s="212">
        <f t="shared" ref="AE193" si="2169">IF(E191="",0,IF(AD193=0,0,IF(AD193&lt;3,E191&amp;$AE$6,0)))</f>
        <v>0</v>
      </c>
      <c r="AF193" s="212">
        <f>IF(AE193=0,0,E191&amp;COUNTIF($AE$7:AE193,AE193))</f>
        <v>0</v>
      </c>
      <c r="AG193" s="212">
        <f t="shared" ref="AG193" si="2170">IF(E191="",0,IF(AD193=0,0,IF(AD193&gt;=3,E191&amp;$AG$6,0)))</f>
        <v>0</v>
      </c>
      <c r="AH193" s="212">
        <f>IF(AG193=0,0,E191&amp;COUNTIF($AG$7:AG193,AG193))</f>
        <v>0</v>
      </c>
      <c r="AI193" s="212">
        <f t="shared" ref="AI193" si="2171">IF($AD193=AI$6,$E191,0)</f>
        <v>0</v>
      </c>
      <c r="AJ193" s="212" t="b">
        <f>IF(AI193=0,FALSE,IF(COUNTIF(AI$7:AI193,AI193)&gt;1,TRUE,FALSE))</f>
        <v>0</v>
      </c>
      <c r="AK193" s="212">
        <f t="shared" ref="AK193" si="2172">IF($AD193=AK$6,$E191,0)</f>
        <v>0</v>
      </c>
      <c r="AL193" s="212" t="b">
        <f>IF(AK193=0,FALSE,IF(COUNTIF(AK$7:AK193,AK193)&gt;1,TRUE,FALSE))</f>
        <v>0</v>
      </c>
      <c r="AM193" s="212">
        <f t="shared" ref="AM193" si="2173">IF(COUNTIF(Y193,"*七種*")&gt;0,0,IF($AD193=AM$6,$E191,0))</f>
        <v>0</v>
      </c>
      <c r="AN193" s="212" t="b">
        <f>IF(AM193=0,FALSE,IF(COUNTIF(AM$7:AM193,AM193)&gt;1,TRUE,FALSE))</f>
        <v>0</v>
      </c>
      <c r="AO193" s="212">
        <f t="shared" ref="AO193" si="2174">IF($AD193=AO$6,$E191,0)</f>
        <v>0</v>
      </c>
      <c r="AP193" s="212" t="b">
        <f>IF(AO193=0,FALSE,IF(COUNTIF(AO$7:AO193,AO193)&gt;1,TRUE,FALSE))</f>
        <v>0</v>
      </c>
      <c r="AQ193" s="212">
        <f t="shared" ref="AQ193" si="2175">IF(COUNTIF(Y193,"*七種競技*")&gt;0,E191,0)</f>
        <v>0</v>
      </c>
      <c r="AR193" s="212" t="b">
        <f t="shared" si="1503"/>
        <v>0</v>
      </c>
      <c r="AT193" s="212" t="b">
        <f t="shared" si="1516"/>
        <v>0</v>
      </c>
      <c r="AX193" s="274"/>
      <c r="BD193" s="212" t="b">
        <f t="shared" si="1490"/>
        <v>0</v>
      </c>
      <c r="BF193" s="212" t="b">
        <f t="shared" ref="BF193" si="2176">IF(J193="",FALSE,IF(OR(AND(AU191,L193=""),AND(AU191,L193="",OR(M193&lt;&gt;"",N193&lt;&gt;"",O193&lt;&gt;"",P193&lt;&gt;""))),TRUE,FALSE))</f>
        <v>0</v>
      </c>
      <c r="BG193" s="212" t="b">
        <f t="shared" si="1492"/>
        <v>0</v>
      </c>
      <c r="BH193" s="212" t="b">
        <f t="shared" si="1505"/>
        <v>0</v>
      </c>
      <c r="BI193" s="212" t="b">
        <f t="shared" ref="BI193" si="2177">IF(J193="",FALSE,IF(L193=0,FALSE,IF(AND(AU191,NOT(BF193),OR(M193="",N193="",O193="")),TRUE,FALSE)))</f>
        <v>0</v>
      </c>
      <c r="BJ193" s="231" t="b">
        <f t="shared" si="1507"/>
        <v>0</v>
      </c>
      <c r="BK193" s="231" t="b">
        <f>IF(NOT(BJ193),FALSE,IF(AND(競技会設定!$C$5&lt;=BJ193,BJ193&lt;=競技会設定!$C$6),FALSE,TRUE))</f>
        <v>0</v>
      </c>
      <c r="BL193" s="212" t="b">
        <f>IF(J193="",FALSE,IF(L193=0,FALSE,IF(AND(AU191,NOT(BF193),NOT(BI193),P193=""),TRUE,FALSE)))</f>
        <v>0</v>
      </c>
    </row>
    <row r="194" spans="1:67" ht="18" customHeight="1" thickBot="1">
      <c r="A194" s="472"/>
      <c r="B194" s="395" t="s">
        <v>6764</v>
      </c>
      <c r="C194" s="395"/>
      <c r="D194" s="11"/>
      <c r="E194" s="460"/>
      <c r="F194" s="460"/>
      <c r="G194" s="460"/>
      <c r="H194" s="157"/>
      <c r="I194" s="157" t="s">
        <v>6759</v>
      </c>
      <c r="J194" s="173"/>
      <c r="K194" s="157" t="s">
        <v>6761</v>
      </c>
      <c r="L194" s="173"/>
      <c r="M194" s="258"/>
      <c r="N194" s="259"/>
      <c r="O194" s="260"/>
      <c r="P194" s="173"/>
      <c r="Q194" s="459"/>
      <c r="R194" s="416"/>
      <c r="S194" s="136"/>
      <c r="T194" s="137"/>
      <c r="U194" s="137"/>
      <c r="V194" s="137"/>
      <c r="W194" s="137"/>
      <c r="X194" s="137"/>
      <c r="Y194" s="212">
        <f t="shared" ref="Y194" si="2178">IF(OR(E191="",J194=""),0,J194&amp;E191)</f>
        <v>0</v>
      </c>
      <c r="Z194" s="212">
        <f>IF(Y194=0,0,COUNTIF($Y$7:Y194,Y194))</f>
        <v>0</v>
      </c>
      <c r="AD194" s="212">
        <f>IFERROR(VLOOKUP(J194,競技会設定!$T$2:$W$22,2,0),0)</f>
        <v>0</v>
      </c>
      <c r="AE194" s="212">
        <f t="shared" ref="AE194" si="2179">IF(E191="",0,IF(AD194=0,0,IF(AD194&lt;3,E191&amp;$AE$6,0)))</f>
        <v>0</v>
      </c>
      <c r="AF194" s="212">
        <f>IF(AE194=0,0,E191&amp;COUNTIF($AE$7:AE194,AE194))</f>
        <v>0</v>
      </c>
      <c r="AG194" s="212">
        <f t="shared" ref="AG194" si="2180">IF(E191="",0,IF(AD194=0,0,IF(AD194&gt;=3,E191&amp;$AG$6,0)))</f>
        <v>0</v>
      </c>
      <c r="AH194" s="212">
        <f>IF(AG194=0,0,E191&amp;COUNTIF($AG$7:AG194,AG194))</f>
        <v>0</v>
      </c>
      <c r="AI194" s="212">
        <f t="shared" ref="AI194" si="2181">IF($AD194=AI$6,$E191,0)</f>
        <v>0</v>
      </c>
      <c r="AJ194" s="212" t="b">
        <f>IF(AI194=0,FALSE,IF(COUNTIF(AI$7:AI194,AI194)&gt;1,TRUE,FALSE))</f>
        <v>0</v>
      </c>
      <c r="AK194" s="212">
        <f t="shared" ref="AK194" si="2182">IF($AD194=AK$6,$E191,0)</f>
        <v>0</v>
      </c>
      <c r="AL194" s="212" t="b">
        <f>IF(AK194=0,FALSE,IF(COUNTIF(AK$7:AK194,AK194)&gt;1,TRUE,FALSE))</f>
        <v>0</v>
      </c>
      <c r="AM194" s="212">
        <f t="shared" ref="AM194" si="2183">IF(COUNTIF(Y194,"*七種*")&gt;0,0,IF($AD194=AM$6,$E191,0))</f>
        <v>0</v>
      </c>
      <c r="AN194" s="212" t="b">
        <f>IF(AM194=0,FALSE,IF(COUNTIF(AM$7:AM194,AM194)&gt;1,TRUE,FALSE))</f>
        <v>0</v>
      </c>
      <c r="AO194" s="212">
        <f t="shared" ref="AO194" si="2184">IF($AD194=AO$6,$E191,0)</f>
        <v>0</v>
      </c>
      <c r="AP194" s="212" t="b">
        <f>IF(AO194=0,FALSE,IF(COUNTIF(AO$7:AO194,AO194)&gt;1,TRUE,FALSE))</f>
        <v>0</v>
      </c>
      <c r="AQ194" s="212">
        <f t="shared" ref="AQ194" si="2185">IF(COUNTIF(Y194,"*七種競技*")&gt;0,E191,0)</f>
        <v>0</v>
      </c>
      <c r="AR194" s="212" t="b">
        <f t="shared" si="1503"/>
        <v>0</v>
      </c>
      <c r="AT194" s="212" t="b">
        <f t="shared" si="1516"/>
        <v>0</v>
      </c>
      <c r="AX194" s="274"/>
      <c r="BD194" s="212" t="b">
        <f t="shared" si="1490"/>
        <v>0</v>
      </c>
      <c r="BF194" s="212" t="b">
        <f t="shared" ref="BF194" si="2186">IF(J194="",FALSE,IF(OR(AND(AU191,L194=""),AND(AU191,L194="",OR(M194&lt;&gt;"",N194&lt;&gt;"",O194&lt;&gt;"",P194&lt;&gt;""))),TRUE,FALSE))</f>
        <v>0</v>
      </c>
      <c r="BG194" s="212" t="b">
        <f t="shared" si="1492"/>
        <v>0</v>
      </c>
      <c r="BH194" s="212" t="b">
        <f t="shared" si="1505"/>
        <v>0</v>
      </c>
      <c r="BI194" s="212" t="b">
        <f t="shared" ref="BI194" si="2187">IF(J194="",FALSE,IF(L194=0,FALSE,IF(AND(AU191,NOT(BF194),OR(M194="",N194="",O194="")),TRUE,FALSE)))</f>
        <v>0</v>
      </c>
      <c r="BJ194" s="231" t="b">
        <f t="shared" si="1507"/>
        <v>0</v>
      </c>
      <c r="BK194" s="231" t="b">
        <f>IF(NOT(BJ194),FALSE,IF(AND(競技会設定!$C$5&lt;=BJ194,BJ194&lt;=競技会設定!$C$6),FALSE,TRUE))</f>
        <v>0</v>
      </c>
      <c r="BL194" s="212" t="b">
        <f>IF(J194="",FALSE,IF(L194=0,FALSE,IF(AND(AU191,NOT(BF194),NOT(BI194),P194=""),TRUE,FALSE)))</f>
        <v>0</v>
      </c>
    </row>
    <row r="195" spans="1:67" ht="18" customHeight="1" thickTop="1">
      <c r="A195" s="461">
        <v>48</v>
      </c>
      <c r="B195" s="373" t="s">
        <v>4018</v>
      </c>
      <c r="C195" s="375"/>
      <c r="D195" s="158" t="str">
        <f t="shared" ref="D195" si="2188">IF(C195="","",502&amp;TEXT(C195,"000000"))</f>
        <v/>
      </c>
      <c r="E195" s="464" t="str">
        <f>IF(D195="","",(VLOOKUP(D195,女子登録!$A$2:$N$2001,3,0)))</f>
        <v/>
      </c>
      <c r="F195" s="464" t="str">
        <f>IF(D195="","",(VLOOKUP(D195,女子登録!$A$2:$N$2001,4,0)))</f>
        <v/>
      </c>
      <c r="G195" s="158" t="str">
        <f>IF(C195="","",(VLOOKUP(D195,女子登録!$A$2:$N$2001,8,0)))</f>
        <v/>
      </c>
      <c r="H195" s="158">
        <f>IFERROR(VLOOKUP(D195,女子登録!$A$2:$N$2001,11,0),基本情報!$E$5)</f>
        <v>0</v>
      </c>
      <c r="I195" s="158" t="s">
        <v>4019</v>
      </c>
      <c r="J195" s="174"/>
      <c r="K195" s="158" t="s">
        <v>4022</v>
      </c>
      <c r="L195" s="174"/>
      <c r="M195" s="261"/>
      <c r="N195" s="262"/>
      <c r="O195" s="263"/>
      <c r="P195" s="174"/>
      <c r="Q195" s="448"/>
      <c r="R195" s="408"/>
      <c r="S195" s="136">
        <f t="shared" ref="S195" si="2189">IF(OR(E195="",Q195=""),0,E195)</f>
        <v>0</v>
      </c>
      <c r="T195" s="137">
        <f>IF(S195=0,0,COUNTIF($S$7:S195,"*"))</f>
        <v>0</v>
      </c>
      <c r="U195" s="137">
        <f>IF(S195=0,0,COUNTIF($S$7:S195,S195))</f>
        <v>0</v>
      </c>
      <c r="V195" s="137">
        <f t="shared" si="1719"/>
        <v>0</v>
      </c>
      <c r="W195" s="137">
        <f>IF(V195=0,0,COUNTIF($V$7:V195,"*"))</f>
        <v>0</v>
      </c>
      <c r="X195" s="137">
        <f>IF(V195=0,0,COUNTIF($V$7:V195,V195))</f>
        <v>0</v>
      </c>
      <c r="Y195" s="212">
        <f t="shared" ref="Y195" si="2190">IF(OR(E195="",J195=""),0,J195&amp;E195)</f>
        <v>0</v>
      </c>
      <c r="Z195" s="212">
        <f>IF(Y195=0,0,COUNTIF($Y$7:Y195,Y195))</f>
        <v>0</v>
      </c>
      <c r="AA195" s="212" t="b">
        <f>IF(COUNTIF(J195:J198,"七種競技")&gt;0,TRUE,FALSE)</f>
        <v>0</v>
      </c>
      <c r="AB195" s="212">
        <f>IF(E195="",0,IF(AA195,COUNTIF($AA$7:AA195,TRUE),0))</f>
        <v>0</v>
      </c>
      <c r="AC195" s="212">
        <f>IFERROR(VLOOKUP("七種競技",J195:L198,3,0),0)</f>
        <v>0</v>
      </c>
      <c r="AD195" s="212">
        <f>IFERROR(VLOOKUP(J195,競技会設定!$T$2:$W$22,2,0),0)</f>
        <v>0</v>
      </c>
      <c r="AE195" s="212">
        <f t="shared" ref="AE195" si="2191">IF(E195="",0,IF(AD195=0,0,IF(AD195&lt;3,E195&amp;$AE$6,0)))</f>
        <v>0</v>
      </c>
      <c r="AF195" s="212">
        <f>IF(AE195=0,0,E195&amp;COUNTIF($AE$7:AE195,AE195))</f>
        <v>0</v>
      </c>
      <c r="AG195" s="212">
        <f t="shared" ref="AG195" si="2192">IF(E195="",0,IF(AD195=0,0,IF(AD195&gt;=3,E195&amp;$AG$6,0)))</f>
        <v>0</v>
      </c>
      <c r="AH195" s="212">
        <f>IF(AG195=0,0,E195&amp;COUNTIF($AG$7:AG195,AG195))</f>
        <v>0</v>
      </c>
      <c r="AI195" s="212">
        <f t="shared" ref="AI195" si="2193">IF($AD195=AI$6,$E195,0)</f>
        <v>0</v>
      </c>
      <c r="AJ195" s="212" t="b">
        <f>IF(AI195=0,FALSE,IF(COUNTIF(AI$7:AI195,AI195)&gt;1,TRUE,FALSE))</f>
        <v>0</v>
      </c>
      <c r="AK195" s="212">
        <f t="shared" ref="AK195" si="2194">IF($AD195=AK$6,$E195,0)</f>
        <v>0</v>
      </c>
      <c r="AL195" s="212" t="b">
        <f>IF(AK195=0,FALSE,IF(COUNTIF(AK$7:AK195,AK195)&gt;1,TRUE,FALSE))</f>
        <v>0</v>
      </c>
      <c r="AM195" s="212">
        <f t="shared" ref="AM195" si="2195">IF(COUNTIF(Y195,"*七種*")&gt;0,0,IF($AD195=AM$6,$E195,0))</f>
        <v>0</v>
      </c>
      <c r="AN195" s="212" t="b">
        <f>IF(AM195=0,FALSE,IF(COUNTIF(AM$7:AM195,AM195)&gt;1,TRUE,FALSE))</f>
        <v>0</v>
      </c>
      <c r="AO195" s="212">
        <f t="shared" ref="AO195" si="2196">IF($AD195=AO$6,$E195,0)</f>
        <v>0</v>
      </c>
      <c r="AP195" s="212" t="b">
        <f>IF(AO195=0,FALSE,IF(COUNTIF(AO$7:AO195,AO195)&gt;1,TRUE,FALSE))</f>
        <v>0</v>
      </c>
      <c r="AQ195" s="212">
        <f t="shared" ref="AQ195" si="2197">IF(COUNTIF(Y195,"*七種競技*")&gt;0,E195,0)</f>
        <v>0</v>
      </c>
      <c r="AR195" s="212" t="b">
        <f t="shared" si="1503"/>
        <v>0</v>
      </c>
      <c r="AS195" s="212" t="b">
        <f t="shared" ref="AS195" si="2198">IF(AND(C195="",E195&lt;&gt;"",F195&lt;&gt;"",E197&lt;&gt;"",G195&lt;&gt;"",G196&lt;&gt;"",G197&lt;&gt;""),TRUE,FALSE)</f>
        <v>0</v>
      </c>
      <c r="AT195" s="212" t="b">
        <f t="shared" si="1516"/>
        <v>0</v>
      </c>
      <c r="AU195" s="212" t="b">
        <f>IFERROR(IF(E195&amp;F195&amp;E197&amp;G195&amp;G196&amp;G197&amp;J195&amp;J196&amp;J197&amp;J198&amp;L195&amp;L196&amp;L197&amp;L198&amp;M195&amp;M196&amp;M197&amp;M198&amp;P195&amp;P196&amp;P197&amp;P198&amp;Q195&amp;R195="",FALSE,TRUE),FALSE)</f>
        <v>0</v>
      </c>
      <c r="AV195" s="212" t="b">
        <f t="shared" ref="AV195" si="2199">IF(AS195,FALSE,IF(C195="",AU195,FALSE))</f>
        <v>0</v>
      </c>
      <c r="AW195" s="212" t="b">
        <f t="shared" ref="AW195" si="2200">IF(C195="",FALSE,IF(C195&lt;=2000,TRUE,FALSE))</f>
        <v>0</v>
      </c>
      <c r="AX195" s="274" t="b">
        <f>IF(H195=0,FALSE,IF(EXACT(基本情報!$E$5,H195)=TRUE,FALSE,TRUE))</f>
        <v>0</v>
      </c>
      <c r="AY195" s="212" t="b">
        <f>IF(C195="",FALSE,IF(ISNA(E195)=TRUE,TRUE,FALSE))</f>
        <v>0</v>
      </c>
      <c r="AZ195" s="274" t="b">
        <f>IFERROR(IF(E195="",FALSE,IF(COUNTIF($E$7:E195,E195)&gt;1,TRUE,FALSE)),FALSE)</f>
        <v>0</v>
      </c>
      <c r="BA195" s="212" t="b">
        <f t="shared" ref="BA195" si="2201">IF(OR(J195&amp;J196&amp;J197&amp;J198&amp;Q195&amp;R195="",AT195,AT196,AT197,AT198),AU195,FALSE)</f>
        <v>0</v>
      </c>
      <c r="BB195" s="212" t="b">
        <f>IF(U195&gt;1,TRUE,FALSE)</f>
        <v>0</v>
      </c>
      <c r="BC195" s="212" t="b">
        <f>IF(X195&gt;1,TRUE,FALSE)</f>
        <v>0</v>
      </c>
      <c r="BD195" s="212" t="b">
        <f t="shared" si="1490"/>
        <v>0</v>
      </c>
      <c r="BF195" s="212" t="b">
        <f t="shared" ref="BF195" si="2202">IF(J195="",FALSE,IF(OR(AND(AU195,L195=""),AND(AU195,L195="",OR(M195&lt;&gt;"",N195&lt;&gt;"",O195&lt;&gt;"",P195&lt;&gt;""))),TRUE,FALSE))</f>
        <v>0</v>
      </c>
      <c r="BG195" s="212" t="b">
        <f t="shared" si="1492"/>
        <v>0</v>
      </c>
      <c r="BH195" s="212" t="b">
        <f t="shared" si="1505"/>
        <v>0</v>
      </c>
      <c r="BI195" s="212" t="b">
        <f t="shared" ref="BI195" si="2203">IF(J195="",FALSE,IF(L195=0,FALSE,IF(AND(AU195,NOT(BF195),OR(M195="",N195="",O195="")),TRUE,FALSE)))</f>
        <v>0</v>
      </c>
      <c r="BJ195" s="231" t="b">
        <f t="shared" si="1507"/>
        <v>0</v>
      </c>
      <c r="BK195" s="231" t="b">
        <f>IF(NOT(BJ195),FALSE,IF(AND(競技会設定!$C$5&lt;=BJ195,BJ195&lt;=競技会設定!$C$6),FALSE,TRUE))</f>
        <v>0</v>
      </c>
      <c r="BL195" s="212" t="b">
        <f>IF(J195="",FALSE,IF(L195=0,FALSE,IF(AND(AU195,NOT(BF195),NOT(BI195),P195=""),TRUE,FALSE)))</f>
        <v>0</v>
      </c>
      <c r="BO195" s="274">
        <f t="shared" ref="BO195" si="2204">IF(AND(AU195,SUM(COUNTIF(AV195:BC195,TRUE),COUNTIF(BF195:BL198,TRUE),COUNTIF(BD195:BD198,TRUE))=0,NOT($BE$7)),1,0)</f>
        <v>0</v>
      </c>
    </row>
    <row r="196" spans="1:67" ht="17.399999999999999" customHeight="1">
      <c r="A196" s="462"/>
      <c r="B196" s="374"/>
      <c r="C196" s="376"/>
      <c r="D196" s="159"/>
      <c r="E196" s="465"/>
      <c r="F196" s="465"/>
      <c r="G196" s="159" t="str">
        <f>IF(C195="","",(VLOOKUP(D195,女子登録!$A$2:$N$2001,13,0)))</f>
        <v/>
      </c>
      <c r="H196" s="159"/>
      <c r="I196" s="159" t="s">
        <v>4020</v>
      </c>
      <c r="J196" s="175"/>
      <c r="K196" s="159" t="s">
        <v>4023</v>
      </c>
      <c r="L196" s="175"/>
      <c r="M196" s="264"/>
      <c r="N196" s="265"/>
      <c r="O196" s="266"/>
      <c r="P196" s="175"/>
      <c r="Q196" s="449"/>
      <c r="R196" s="409"/>
      <c r="S196" s="136"/>
      <c r="T196" s="137"/>
      <c r="U196" s="137"/>
      <c r="V196" s="137"/>
      <c r="W196" s="137"/>
      <c r="X196" s="137"/>
      <c r="Y196" s="212">
        <f t="shared" ref="Y196" si="2205">IF(OR(E195="",J196=""),0,J196&amp;E195)</f>
        <v>0</v>
      </c>
      <c r="Z196" s="212">
        <f>IF(Y196=0,0,COUNTIF($Y$7:Y196,Y196))</f>
        <v>0</v>
      </c>
      <c r="AD196" s="212">
        <f>IFERROR(VLOOKUP(J196,競技会設定!$T$2:$W$22,2,0),0)</f>
        <v>0</v>
      </c>
      <c r="AE196" s="212">
        <f t="shared" ref="AE196" si="2206">IF(E195="",0,IF(AD196=0,0,IF(AD196&lt;3,E195&amp;$AE$6,0)))</f>
        <v>0</v>
      </c>
      <c r="AF196" s="212">
        <f>IF(AE196=0,0,E195&amp;COUNTIF($AE$7:AE196,AE196))</f>
        <v>0</v>
      </c>
      <c r="AG196" s="212">
        <f t="shared" ref="AG196" si="2207">IF(E195="",0,IF(AD196=0,0,IF(AD196&gt;=3,E195&amp;$AG$6,0)))</f>
        <v>0</v>
      </c>
      <c r="AH196" s="212">
        <f>IF(AG196=0,0,E195&amp;COUNTIF($AG$7:AG196,AG196))</f>
        <v>0</v>
      </c>
      <c r="AI196" s="212">
        <f t="shared" ref="AI196" si="2208">IF($AD196=AI$6,$E195,0)</f>
        <v>0</v>
      </c>
      <c r="AJ196" s="212" t="b">
        <f>IF(AI196=0,FALSE,IF(COUNTIF(AI$7:AI196,AI196)&gt;1,TRUE,FALSE))</f>
        <v>0</v>
      </c>
      <c r="AK196" s="212">
        <f t="shared" ref="AK196" si="2209">IF($AD196=AK$6,$E195,0)</f>
        <v>0</v>
      </c>
      <c r="AL196" s="212" t="b">
        <f>IF(AK196=0,FALSE,IF(COUNTIF(AK$7:AK196,AK196)&gt;1,TRUE,FALSE))</f>
        <v>0</v>
      </c>
      <c r="AM196" s="212">
        <f t="shared" ref="AM196" si="2210">IF(COUNTIF(Y196,"*七種*")&gt;0,0,IF($AD196=AM$6,$E195,0))</f>
        <v>0</v>
      </c>
      <c r="AN196" s="212" t="b">
        <f>IF(AM196=0,FALSE,IF(COUNTIF(AM$7:AM196,AM196)&gt;1,TRUE,FALSE))</f>
        <v>0</v>
      </c>
      <c r="AO196" s="212">
        <f t="shared" ref="AO196" si="2211">IF($AD196=AO$6,$E195,0)</f>
        <v>0</v>
      </c>
      <c r="AP196" s="212" t="b">
        <f>IF(AO196=0,FALSE,IF(COUNTIF(AO$7:AO196,AO196)&gt;1,TRUE,FALSE))</f>
        <v>0</v>
      </c>
      <c r="AQ196" s="212">
        <f t="shared" ref="AQ196" si="2212">IF(COUNTIF(Y196,"*七種競技*")&gt;0,E195,0)</f>
        <v>0</v>
      </c>
      <c r="AR196" s="212" t="b">
        <f t="shared" si="1503"/>
        <v>0</v>
      </c>
      <c r="AT196" s="212" t="b">
        <f t="shared" si="1516"/>
        <v>0</v>
      </c>
      <c r="AX196" s="274"/>
      <c r="BD196" s="212" t="b">
        <f t="shared" si="1490"/>
        <v>0</v>
      </c>
      <c r="BF196" s="212" t="b">
        <f t="shared" ref="BF196" si="2213">IF(J196="",FALSE,IF(OR(AND(AU195,L196=""),AND(AU195,L196="",OR(M196&lt;&gt;"",N196&lt;&gt;"",O196&lt;&gt;"",P196&lt;&gt;""))),TRUE,FALSE))</f>
        <v>0</v>
      </c>
      <c r="BG196" s="212" t="b">
        <f t="shared" si="1492"/>
        <v>0</v>
      </c>
      <c r="BH196" s="212" t="b">
        <f t="shared" si="1505"/>
        <v>0</v>
      </c>
      <c r="BI196" s="212" t="b">
        <f t="shared" ref="BI196" si="2214">IF(J196="",FALSE,IF(L196=0,FALSE,IF(AND(AU195,NOT(BF196),OR(M196="",N196="",O196="")),TRUE,FALSE)))</f>
        <v>0</v>
      </c>
      <c r="BJ196" s="231" t="b">
        <f t="shared" si="1507"/>
        <v>0</v>
      </c>
      <c r="BK196" s="231" t="b">
        <f>IF(NOT(BJ196),FALSE,IF(AND(競技会設定!$C$5&lt;=BJ196,BJ196&lt;=競技会設定!$C$6),FALSE,TRUE))</f>
        <v>0</v>
      </c>
      <c r="BL196" s="212" t="b">
        <f>IF(J196="",FALSE,IF(L196=0,FALSE,IF(AND(AU195,NOT(BF196),NOT(BI196),P196=""),TRUE,FALSE)))</f>
        <v>0</v>
      </c>
    </row>
    <row r="197" spans="1:67" ht="17.399999999999999" customHeight="1">
      <c r="A197" s="462"/>
      <c r="B197" s="374"/>
      <c r="C197" s="376"/>
      <c r="D197" s="160"/>
      <c r="E197" s="452" t="str">
        <f>IF(C195="","",VLOOKUP(D195,女子登録!$A$2:$O$2001,14,0)&amp;" ("&amp;VLOOKUP(D195,女子登録!$A$2:$O$2001,15,0)&amp;")")</f>
        <v/>
      </c>
      <c r="F197" s="453"/>
      <c r="G197" s="160" t="str">
        <f>IF(C195="","",(VLOOKUP(D195,女子登録!$A$2:$N$2001,9,0)))</f>
        <v/>
      </c>
      <c r="H197" s="160"/>
      <c r="I197" s="160" t="s">
        <v>4021</v>
      </c>
      <c r="J197" s="176"/>
      <c r="K197" s="160" t="s">
        <v>6760</v>
      </c>
      <c r="L197" s="176"/>
      <c r="M197" s="264"/>
      <c r="N197" s="265"/>
      <c r="O197" s="266"/>
      <c r="P197" s="175"/>
      <c r="Q197" s="449"/>
      <c r="R197" s="409"/>
      <c r="S197" s="136"/>
      <c r="T197" s="137"/>
      <c r="U197" s="137"/>
      <c r="V197" s="137"/>
      <c r="W197" s="137"/>
      <c r="X197" s="137"/>
      <c r="Y197" s="212">
        <f t="shared" ref="Y197" si="2215">IF(OR(E195="",J197=""),0,J197&amp;E195)</f>
        <v>0</v>
      </c>
      <c r="Z197" s="212">
        <f>IF(Y197=0,0,COUNTIF($Y$7:Y197,Y197))</f>
        <v>0</v>
      </c>
      <c r="AD197" s="212">
        <f>IFERROR(VLOOKUP(J197,競技会設定!$T$2:$W$22,2,0),0)</f>
        <v>0</v>
      </c>
      <c r="AE197" s="212">
        <f t="shared" ref="AE197" si="2216">IF(E195="",0,IF(AD197=0,0,IF(AD197&lt;3,E195&amp;$AE$6,0)))</f>
        <v>0</v>
      </c>
      <c r="AF197" s="212">
        <f>IF(AE197=0,0,E195&amp;COUNTIF($AE$7:AE197,AE197))</f>
        <v>0</v>
      </c>
      <c r="AG197" s="212">
        <f t="shared" ref="AG197" si="2217">IF(E195="",0,IF(AD197=0,0,IF(AD197&gt;=3,E195&amp;$AG$6,0)))</f>
        <v>0</v>
      </c>
      <c r="AH197" s="212">
        <f>IF(AG197=0,0,E195&amp;COUNTIF($AG$7:AG197,AG197))</f>
        <v>0</v>
      </c>
      <c r="AI197" s="212">
        <f t="shared" ref="AI197" si="2218">IF($AD197=AI$6,$E195,0)</f>
        <v>0</v>
      </c>
      <c r="AJ197" s="212" t="b">
        <f>IF(AI197=0,FALSE,IF(COUNTIF(AI$7:AI197,AI197)&gt;1,TRUE,FALSE))</f>
        <v>0</v>
      </c>
      <c r="AK197" s="212">
        <f t="shared" ref="AK197" si="2219">IF($AD197=AK$6,$E195,0)</f>
        <v>0</v>
      </c>
      <c r="AL197" s="212" t="b">
        <f>IF(AK197=0,FALSE,IF(COUNTIF(AK$7:AK197,AK197)&gt;1,TRUE,FALSE))</f>
        <v>0</v>
      </c>
      <c r="AM197" s="212">
        <f t="shared" ref="AM197" si="2220">IF(COUNTIF(Y197,"*七種*")&gt;0,0,IF($AD197=AM$6,$E195,0))</f>
        <v>0</v>
      </c>
      <c r="AN197" s="212" t="b">
        <f>IF(AM197=0,FALSE,IF(COUNTIF(AM$7:AM197,AM197)&gt;1,TRUE,FALSE))</f>
        <v>0</v>
      </c>
      <c r="AO197" s="212">
        <f t="shared" ref="AO197" si="2221">IF($AD197=AO$6,$E195,0)</f>
        <v>0</v>
      </c>
      <c r="AP197" s="212" t="b">
        <f>IF(AO197=0,FALSE,IF(COUNTIF(AO$7:AO197,AO197)&gt;1,TRUE,FALSE))</f>
        <v>0</v>
      </c>
      <c r="AQ197" s="212">
        <f t="shared" ref="AQ197" si="2222">IF(COUNTIF(Y197,"*七種競技*")&gt;0,E195,0)</f>
        <v>0</v>
      </c>
      <c r="AR197" s="212" t="b">
        <f t="shared" si="1503"/>
        <v>0</v>
      </c>
      <c r="AT197" s="212" t="b">
        <f t="shared" si="1516"/>
        <v>0</v>
      </c>
      <c r="AX197" s="274"/>
      <c r="BD197" s="212" t="b">
        <f t="shared" si="1490"/>
        <v>0</v>
      </c>
      <c r="BF197" s="212" t="b">
        <f t="shared" ref="BF197" si="2223">IF(J197="",FALSE,IF(OR(AND(AU195,L197=""),AND(AU195,L197="",OR(M197&lt;&gt;"",N197&lt;&gt;"",O197&lt;&gt;"",P197&lt;&gt;""))),TRUE,FALSE))</f>
        <v>0</v>
      </c>
      <c r="BG197" s="212" t="b">
        <f t="shared" si="1492"/>
        <v>0</v>
      </c>
      <c r="BH197" s="212" t="b">
        <f t="shared" si="1505"/>
        <v>0</v>
      </c>
      <c r="BI197" s="212" t="b">
        <f t="shared" ref="BI197" si="2224">IF(J197="",FALSE,IF(L197=0,FALSE,IF(AND(AU195,NOT(BF197),OR(M197="",N197="",O197="")),TRUE,FALSE)))</f>
        <v>0</v>
      </c>
      <c r="BJ197" s="231" t="b">
        <f t="shared" si="1507"/>
        <v>0</v>
      </c>
      <c r="BK197" s="231" t="b">
        <f>IF(NOT(BJ197),FALSE,IF(AND(競技会設定!$C$5&lt;=BJ197,BJ197&lt;=競技会設定!$C$6),FALSE,TRUE))</f>
        <v>0</v>
      </c>
      <c r="BL197" s="212" t="b">
        <f>IF(J197="",FALSE,IF(L197=0,FALSE,IF(AND(AU195,NOT(BF197),NOT(BI197),P197=""),TRUE,FALSE)))</f>
        <v>0</v>
      </c>
    </row>
    <row r="198" spans="1:67" ht="18" customHeight="1" thickBot="1">
      <c r="A198" s="475"/>
      <c r="B198" s="387" t="s">
        <v>6764</v>
      </c>
      <c r="C198" s="387"/>
      <c r="D198" s="161"/>
      <c r="E198" s="467"/>
      <c r="F198" s="468"/>
      <c r="G198" s="469"/>
      <c r="H198" s="162"/>
      <c r="I198" s="161" t="s">
        <v>6759</v>
      </c>
      <c r="J198" s="177"/>
      <c r="K198" s="161" t="s">
        <v>6761</v>
      </c>
      <c r="L198" s="177"/>
      <c r="M198" s="267"/>
      <c r="N198" s="268"/>
      <c r="O198" s="269"/>
      <c r="P198" s="177"/>
      <c r="Q198" s="466"/>
      <c r="R198" s="410"/>
      <c r="S198" s="136"/>
      <c r="T198" s="137"/>
      <c r="U198" s="137"/>
      <c r="V198" s="137"/>
      <c r="W198" s="137"/>
      <c r="X198" s="137"/>
      <c r="Y198" s="212">
        <f t="shared" ref="Y198" si="2225">IF(OR(E195="",J198=""),0,J198&amp;E195)</f>
        <v>0</v>
      </c>
      <c r="Z198" s="212">
        <f>IF(Y198=0,0,COUNTIF($Y$7:Y198,Y198))</f>
        <v>0</v>
      </c>
      <c r="AD198" s="212">
        <f>IFERROR(VLOOKUP(J198,競技会設定!$T$2:$W$22,2,0),0)</f>
        <v>0</v>
      </c>
      <c r="AE198" s="212">
        <f t="shared" ref="AE198" si="2226">IF(E195="",0,IF(AD198=0,0,IF(AD198&lt;3,E195&amp;$AE$6,0)))</f>
        <v>0</v>
      </c>
      <c r="AF198" s="212">
        <f>IF(AE198=0,0,E195&amp;COUNTIF($AE$7:AE198,AE198))</f>
        <v>0</v>
      </c>
      <c r="AG198" s="212">
        <f t="shared" ref="AG198" si="2227">IF(E195="",0,IF(AD198=0,0,IF(AD198&gt;=3,E195&amp;$AG$6,0)))</f>
        <v>0</v>
      </c>
      <c r="AH198" s="212">
        <f>IF(AG198=0,0,E195&amp;COUNTIF($AG$7:AG198,AG198))</f>
        <v>0</v>
      </c>
      <c r="AI198" s="212">
        <f t="shared" ref="AI198" si="2228">IF($AD198=AI$6,$E195,0)</f>
        <v>0</v>
      </c>
      <c r="AJ198" s="212" t="b">
        <f>IF(AI198=0,FALSE,IF(COUNTIF(AI$7:AI198,AI198)&gt;1,TRUE,FALSE))</f>
        <v>0</v>
      </c>
      <c r="AK198" s="212">
        <f t="shared" ref="AK198" si="2229">IF($AD198=AK$6,$E195,0)</f>
        <v>0</v>
      </c>
      <c r="AL198" s="212" t="b">
        <f>IF(AK198=0,FALSE,IF(COUNTIF(AK$7:AK198,AK198)&gt;1,TRUE,FALSE))</f>
        <v>0</v>
      </c>
      <c r="AM198" s="212">
        <f t="shared" ref="AM198" si="2230">IF(COUNTIF(Y198,"*七種*")&gt;0,0,IF($AD198=AM$6,$E195,0))</f>
        <v>0</v>
      </c>
      <c r="AN198" s="212" t="b">
        <f>IF(AM198=0,FALSE,IF(COUNTIF(AM$7:AM198,AM198)&gt;1,TRUE,FALSE))</f>
        <v>0</v>
      </c>
      <c r="AO198" s="212">
        <f t="shared" ref="AO198" si="2231">IF($AD198=AO$6,$E195,0)</f>
        <v>0</v>
      </c>
      <c r="AP198" s="212" t="b">
        <f>IF(AO198=0,FALSE,IF(COUNTIF(AO$7:AO198,AO198)&gt;1,TRUE,FALSE))</f>
        <v>0</v>
      </c>
      <c r="AQ198" s="212">
        <f t="shared" ref="AQ198" si="2232">IF(COUNTIF(Y198,"*七種競技*")&gt;0,E195,0)</f>
        <v>0</v>
      </c>
      <c r="AR198" s="212" t="b">
        <f t="shared" si="1503"/>
        <v>0</v>
      </c>
      <c r="AT198" s="212" t="b">
        <f t="shared" si="1516"/>
        <v>0</v>
      </c>
      <c r="AX198" s="274"/>
      <c r="BD198" s="212" t="b">
        <f t="shared" si="1490"/>
        <v>0</v>
      </c>
      <c r="BF198" s="212" t="b">
        <f t="shared" ref="BF198" si="2233">IF(J198="",FALSE,IF(OR(AND(AU195,L198=""),AND(AU195,L198="",OR(M198&lt;&gt;"",N198&lt;&gt;"",O198&lt;&gt;"",P198&lt;&gt;""))),TRUE,FALSE))</f>
        <v>0</v>
      </c>
      <c r="BG198" s="212" t="b">
        <f t="shared" si="1492"/>
        <v>0</v>
      </c>
      <c r="BH198" s="212" t="b">
        <f t="shared" si="1505"/>
        <v>0</v>
      </c>
      <c r="BI198" s="212" t="b">
        <f t="shared" ref="BI198" si="2234">IF(J198="",FALSE,IF(L198=0,FALSE,IF(AND(AU195,NOT(BF198),OR(M198="",N198="",O198="")),TRUE,FALSE)))</f>
        <v>0</v>
      </c>
      <c r="BJ198" s="231" t="b">
        <f t="shared" si="1507"/>
        <v>0</v>
      </c>
      <c r="BK198" s="231" t="b">
        <f>IF(NOT(BJ198),FALSE,IF(AND(競技会設定!$C$5&lt;=BJ198,BJ198&lt;=競技会設定!$C$6),FALSE,TRUE))</f>
        <v>0</v>
      </c>
      <c r="BL198" s="212" t="b">
        <f>IF(J198="",FALSE,IF(L198=0,FALSE,IF(AND(AU195,NOT(BF198),NOT(BI198),P198=""),TRUE,FALSE)))</f>
        <v>0</v>
      </c>
    </row>
    <row r="199" spans="1:67" ht="18" customHeight="1" thickTop="1">
      <c r="A199" s="470">
        <v>49</v>
      </c>
      <c r="B199" s="401" t="s">
        <v>4018</v>
      </c>
      <c r="C199" s="403"/>
      <c r="D199" s="156" t="str">
        <f t="shared" ref="D199" si="2235">IF(C199="","",502&amp;TEXT(C199,"000000"))</f>
        <v/>
      </c>
      <c r="E199" s="473" t="str">
        <f>IF(D199="","",(VLOOKUP(D199,女子登録!$A$2:$N$2001,3,0)))</f>
        <v/>
      </c>
      <c r="F199" s="473" t="str">
        <f>IF(D199="","",(VLOOKUP(D199,女子登録!$A$2:$N$2001,4,0)))</f>
        <v/>
      </c>
      <c r="G199" s="156" t="str">
        <f>IF(C199="","",(VLOOKUP(D199,女子登録!$A$2:$N$2001,8,0)))</f>
        <v/>
      </c>
      <c r="H199" s="156">
        <f>IFERROR(VLOOKUP(D199,女子登録!$A$2:$N$2001,11,0),基本情報!$E$5)</f>
        <v>0</v>
      </c>
      <c r="I199" s="156" t="s">
        <v>4019</v>
      </c>
      <c r="J199" s="170"/>
      <c r="K199" s="156" t="s">
        <v>4022</v>
      </c>
      <c r="L199" s="170"/>
      <c r="M199" s="252"/>
      <c r="N199" s="253"/>
      <c r="O199" s="254"/>
      <c r="P199" s="170"/>
      <c r="Q199" s="457"/>
      <c r="R199" s="414"/>
      <c r="S199" s="136">
        <f t="shared" ref="S199" si="2236">IF(OR(E199="",Q199=""),0,E199)</f>
        <v>0</v>
      </c>
      <c r="T199" s="137">
        <f>IF(S199=0,0,COUNTIF($S$7:S199,"*"))</f>
        <v>0</v>
      </c>
      <c r="U199" s="137">
        <f>IF(S199=0,0,COUNTIF($S$7:S199,S199))</f>
        <v>0</v>
      </c>
      <c r="V199" s="137">
        <f t="shared" si="1719"/>
        <v>0</v>
      </c>
      <c r="W199" s="137">
        <f>IF(V199=0,0,COUNTIF($V$7:V199,"*"))</f>
        <v>0</v>
      </c>
      <c r="X199" s="137">
        <f>IF(V199=0,0,COUNTIF($V$7:V199,V199))</f>
        <v>0</v>
      </c>
      <c r="Y199" s="212">
        <f t="shared" ref="Y199" si="2237">IF(OR(E199="",J199=""),0,J199&amp;E199)</f>
        <v>0</v>
      </c>
      <c r="Z199" s="212">
        <f>IF(Y199=0,0,COUNTIF($Y$7:Y199,Y199))</f>
        <v>0</v>
      </c>
      <c r="AA199" s="212" t="b">
        <f>IF(COUNTIF(J199:J202,"七種競技")&gt;0,TRUE,FALSE)</f>
        <v>0</v>
      </c>
      <c r="AB199" s="212">
        <f>IF(E199="",0,IF(AA199,COUNTIF($AA$7:AA199,TRUE),0))</f>
        <v>0</v>
      </c>
      <c r="AC199" s="212">
        <f>IFERROR(VLOOKUP("七種競技",J199:L202,3,0),0)</f>
        <v>0</v>
      </c>
      <c r="AD199" s="212">
        <f>IFERROR(VLOOKUP(J199,競技会設定!$T$2:$W$22,2,0),0)</f>
        <v>0</v>
      </c>
      <c r="AE199" s="212">
        <f t="shared" ref="AE199" si="2238">IF(E199="",0,IF(AD199=0,0,IF(AD199&lt;3,E199&amp;$AE$6,0)))</f>
        <v>0</v>
      </c>
      <c r="AF199" s="212">
        <f>IF(AE199=0,0,E199&amp;COUNTIF($AE$7:AE199,AE199))</f>
        <v>0</v>
      </c>
      <c r="AG199" s="212">
        <f t="shared" ref="AG199" si="2239">IF(E199="",0,IF(AD199=0,0,IF(AD199&gt;=3,E199&amp;$AG$6,0)))</f>
        <v>0</v>
      </c>
      <c r="AH199" s="212">
        <f>IF(AG199=0,0,E199&amp;COUNTIF($AG$7:AG199,AG199))</f>
        <v>0</v>
      </c>
      <c r="AI199" s="212">
        <f t="shared" ref="AI199" si="2240">IF($AD199=AI$6,$E199,0)</f>
        <v>0</v>
      </c>
      <c r="AJ199" s="212" t="b">
        <f>IF(AI199=0,FALSE,IF(COUNTIF(AI$7:AI199,AI199)&gt;1,TRUE,FALSE))</f>
        <v>0</v>
      </c>
      <c r="AK199" s="212">
        <f t="shared" ref="AK199" si="2241">IF($AD199=AK$6,$E199,0)</f>
        <v>0</v>
      </c>
      <c r="AL199" s="212" t="b">
        <f>IF(AK199=0,FALSE,IF(COUNTIF(AK$7:AK199,AK199)&gt;1,TRUE,FALSE))</f>
        <v>0</v>
      </c>
      <c r="AM199" s="212">
        <f t="shared" ref="AM199" si="2242">IF(COUNTIF(Y199,"*七種*")&gt;0,0,IF($AD199=AM$6,$E199,0))</f>
        <v>0</v>
      </c>
      <c r="AN199" s="212" t="b">
        <f>IF(AM199=0,FALSE,IF(COUNTIF(AM$7:AM199,AM199)&gt;1,TRUE,FALSE))</f>
        <v>0</v>
      </c>
      <c r="AO199" s="212">
        <f t="shared" ref="AO199" si="2243">IF($AD199=AO$6,$E199,0)</f>
        <v>0</v>
      </c>
      <c r="AP199" s="212" t="b">
        <f>IF(AO199=0,FALSE,IF(COUNTIF(AO$7:AO199,AO199)&gt;1,TRUE,FALSE))</f>
        <v>0</v>
      </c>
      <c r="AQ199" s="212">
        <f t="shared" ref="AQ199" si="2244">IF(COUNTIF(Y199,"*七種競技*")&gt;0,E199,0)</f>
        <v>0</v>
      </c>
      <c r="AR199" s="212" t="b">
        <f t="shared" si="1503"/>
        <v>0</v>
      </c>
      <c r="AS199" s="212" t="b">
        <f t="shared" ref="AS199" si="2245">IF(AND(C199="",E199&lt;&gt;"",F199&lt;&gt;"",E201&lt;&gt;"",G199&lt;&gt;"",G200&lt;&gt;"",G201&lt;&gt;""),TRUE,FALSE)</f>
        <v>0</v>
      </c>
      <c r="AT199" s="212" t="b">
        <f t="shared" si="1516"/>
        <v>0</v>
      </c>
      <c r="AU199" s="212" t="b">
        <f>IFERROR(IF(E199&amp;F199&amp;E201&amp;G199&amp;G200&amp;G201&amp;J199&amp;J200&amp;J201&amp;J202&amp;L199&amp;L200&amp;L201&amp;L202&amp;M199&amp;M200&amp;M201&amp;M202&amp;P199&amp;P200&amp;P201&amp;P202&amp;Q199&amp;R199="",FALSE,TRUE),FALSE)</f>
        <v>0</v>
      </c>
      <c r="AV199" s="212" t="b">
        <f t="shared" ref="AV199" si="2246">IF(AS199,FALSE,IF(C199="",AU199,FALSE))</f>
        <v>0</v>
      </c>
      <c r="AW199" s="212" t="b">
        <f t="shared" ref="AW199" si="2247">IF(C199="",FALSE,IF(C199&lt;=2000,TRUE,FALSE))</f>
        <v>0</v>
      </c>
      <c r="AX199" s="274" t="b">
        <f>IF(H199=0,FALSE,IF(EXACT(基本情報!$E$5,H199)=TRUE,FALSE,TRUE))</f>
        <v>0</v>
      </c>
      <c r="AY199" s="212" t="b">
        <f>IF(C199="",FALSE,IF(ISNA(E199)=TRUE,TRUE,FALSE))</f>
        <v>0</v>
      </c>
      <c r="AZ199" s="274" t="b">
        <f>IFERROR(IF(E199="",FALSE,IF(COUNTIF($E$7:E199,E199)&gt;1,TRUE,FALSE)),FALSE)</f>
        <v>0</v>
      </c>
      <c r="BA199" s="212" t="b">
        <f t="shared" ref="BA199" si="2248">IF(OR(J199&amp;J200&amp;J201&amp;J202&amp;Q199&amp;R199="",AT199,AT200,AT201,AT202),AU199,FALSE)</f>
        <v>0</v>
      </c>
      <c r="BB199" s="212" t="b">
        <f>IF(U199&gt;1,TRUE,FALSE)</f>
        <v>0</v>
      </c>
      <c r="BC199" s="212" t="b">
        <f>IF(X199&gt;1,TRUE,FALSE)</f>
        <v>0</v>
      </c>
      <c r="BD199" s="212" t="b">
        <f t="shared" ref="BD199:BD262" si="2249">IF(Z199&gt;1,TRUE,FALSE)</f>
        <v>0</v>
      </c>
      <c r="BF199" s="212" t="b">
        <f t="shared" ref="BF199" si="2250">IF(J199="",FALSE,IF(OR(AND(AU199,L199=""),AND(AU199,L199="",OR(M199&lt;&gt;"",N199&lt;&gt;"",O199&lt;&gt;"",P199&lt;&gt;""))),TRUE,FALSE))</f>
        <v>0</v>
      </c>
      <c r="BG199" s="212" t="b">
        <f t="shared" ref="BG199:BG262" si="2251">IF(J199="",FALSE,IF(ISNUMBER(L199)&lt;&gt;TRUE,TRUE,IFERROR(IF(MOD(L199,1)=0,FALSE,TRUE),FALSE)))</f>
        <v>0</v>
      </c>
      <c r="BH199" s="212" t="b">
        <f t="shared" si="1505"/>
        <v>0</v>
      </c>
      <c r="BI199" s="212" t="b">
        <f t="shared" ref="BI199" si="2252">IF(J199="",FALSE,IF(L199=0,FALSE,IF(AND(AU199,NOT(BF199),OR(M199="",N199="",O199="")),TRUE,FALSE)))</f>
        <v>0</v>
      </c>
      <c r="BJ199" s="231" t="b">
        <f t="shared" si="1507"/>
        <v>0</v>
      </c>
      <c r="BK199" s="231" t="b">
        <f>IF(NOT(BJ199),FALSE,IF(AND(競技会設定!$C$5&lt;=BJ199,BJ199&lt;=競技会設定!$C$6),FALSE,TRUE))</f>
        <v>0</v>
      </c>
      <c r="BL199" s="212" t="b">
        <f>IF(J199="",FALSE,IF(L199=0,FALSE,IF(AND(AU199,NOT(BF199),NOT(BI199),P199=""),TRUE,FALSE)))</f>
        <v>0</v>
      </c>
      <c r="BO199" s="274">
        <f t="shared" ref="BO199" si="2253">IF(AND(AU199,SUM(COUNTIF(AV199:BC199,TRUE),COUNTIF(BF199:BL202,TRUE),COUNTIF(BD199:BD202,TRUE))=0,NOT($BE$7)),1,0)</f>
        <v>0</v>
      </c>
    </row>
    <row r="200" spans="1:67" ht="17.399999999999999" customHeight="1">
      <c r="A200" s="471"/>
      <c r="B200" s="402"/>
      <c r="C200" s="404"/>
      <c r="D200" s="11"/>
      <c r="E200" s="474"/>
      <c r="F200" s="474"/>
      <c r="G200" s="11" t="str">
        <f>IF(C199="","",(VLOOKUP(D199,女子登録!$A$2:$N$2001,13,0)))</f>
        <v/>
      </c>
      <c r="H200" s="11"/>
      <c r="I200" s="11" t="s">
        <v>4020</v>
      </c>
      <c r="J200" s="171"/>
      <c r="K200" s="11" t="s">
        <v>4023</v>
      </c>
      <c r="L200" s="171"/>
      <c r="M200" s="255"/>
      <c r="N200" s="256"/>
      <c r="O200" s="257"/>
      <c r="P200" s="171"/>
      <c r="Q200" s="458"/>
      <c r="R200" s="415"/>
      <c r="S200" s="136"/>
      <c r="T200" s="137"/>
      <c r="U200" s="137"/>
      <c r="V200" s="137"/>
      <c r="W200" s="137"/>
      <c r="X200" s="137"/>
      <c r="Y200" s="212">
        <f t="shared" ref="Y200" si="2254">IF(OR(E199="",J200=""),0,J200&amp;E199)</f>
        <v>0</v>
      </c>
      <c r="Z200" s="212">
        <f>IF(Y200=0,0,COUNTIF($Y$7:Y200,Y200))</f>
        <v>0</v>
      </c>
      <c r="AD200" s="212">
        <f>IFERROR(VLOOKUP(J200,競技会設定!$T$2:$W$22,2,0),0)</f>
        <v>0</v>
      </c>
      <c r="AE200" s="212">
        <f t="shared" ref="AE200" si="2255">IF(E199="",0,IF(AD200=0,0,IF(AD200&lt;3,E199&amp;$AE$6,0)))</f>
        <v>0</v>
      </c>
      <c r="AF200" s="212">
        <f>IF(AE200=0,0,E199&amp;COUNTIF($AE$7:AE200,AE200))</f>
        <v>0</v>
      </c>
      <c r="AG200" s="212">
        <f t="shared" ref="AG200" si="2256">IF(E199="",0,IF(AD200=0,0,IF(AD200&gt;=3,E199&amp;$AG$6,0)))</f>
        <v>0</v>
      </c>
      <c r="AH200" s="212">
        <f>IF(AG200=0,0,E199&amp;COUNTIF($AG$7:AG200,AG200))</f>
        <v>0</v>
      </c>
      <c r="AI200" s="212">
        <f t="shared" ref="AI200" si="2257">IF($AD200=AI$6,$E199,0)</f>
        <v>0</v>
      </c>
      <c r="AJ200" s="212" t="b">
        <f>IF(AI200=0,FALSE,IF(COUNTIF(AI$7:AI200,AI200)&gt;1,TRUE,FALSE))</f>
        <v>0</v>
      </c>
      <c r="AK200" s="212">
        <f t="shared" ref="AK200" si="2258">IF($AD200=AK$6,$E199,0)</f>
        <v>0</v>
      </c>
      <c r="AL200" s="212" t="b">
        <f>IF(AK200=0,FALSE,IF(COUNTIF(AK$7:AK200,AK200)&gt;1,TRUE,FALSE))</f>
        <v>0</v>
      </c>
      <c r="AM200" s="212">
        <f t="shared" ref="AM200" si="2259">IF(COUNTIF(Y200,"*七種*")&gt;0,0,IF($AD200=AM$6,$E199,0))</f>
        <v>0</v>
      </c>
      <c r="AN200" s="212" t="b">
        <f>IF(AM200=0,FALSE,IF(COUNTIF(AM$7:AM200,AM200)&gt;1,TRUE,FALSE))</f>
        <v>0</v>
      </c>
      <c r="AO200" s="212">
        <f t="shared" ref="AO200" si="2260">IF($AD200=AO$6,$E199,0)</f>
        <v>0</v>
      </c>
      <c r="AP200" s="212" t="b">
        <f>IF(AO200=0,FALSE,IF(COUNTIF(AO$7:AO200,AO200)&gt;1,TRUE,FALSE))</f>
        <v>0</v>
      </c>
      <c r="AQ200" s="212">
        <f t="shared" ref="AQ200" si="2261">IF(COUNTIF(Y200,"*七種競技*")&gt;0,E199,0)</f>
        <v>0</v>
      </c>
      <c r="AR200" s="212" t="b">
        <f t="shared" ref="AR200:AR263" si="2262">IF(AQ200=0,FALSE,IF(OR(COUNTIF($AM$7:$AM$406,AQ200)+COUNTIF($AQ$7:$AQ$406,AQ200)&gt;1,COUNTIF($AO$7:$AO$406,AQ200)+COUNTIF($AQ$7:$AQ$406,AQ200)&gt;1),TRUE,FALSE))</f>
        <v>0</v>
      </c>
      <c r="AT200" s="212" t="b">
        <f t="shared" si="1516"/>
        <v>0</v>
      </c>
      <c r="AX200" s="274"/>
      <c r="BD200" s="212" t="b">
        <f t="shared" si="2249"/>
        <v>0</v>
      </c>
      <c r="BF200" s="212" t="b">
        <f t="shared" ref="BF200" si="2263">IF(J200="",FALSE,IF(OR(AND(AU199,L200=""),AND(AU199,L200="",OR(M200&lt;&gt;"",N200&lt;&gt;"",O200&lt;&gt;"",P200&lt;&gt;""))),TRUE,FALSE))</f>
        <v>0</v>
      </c>
      <c r="BG200" s="212" t="b">
        <f t="shared" si="2251"/>
        <v>0</v>
      </c>
      <c r="BH200" s="212" t="b">
        <f t="shared" ref="BH200:BH263" si="2264">IF(COUNTIF(J200,"*m*")=0,FALSE,IF(VALUE(RIGHT(INT(L200/100),2))&gt;59,TRUE,IF(VALUE(RIGHT(INT(L200/10000),2))&gt;59,TRUE,FALSE)))</f>
        <v>0</v>
      </c>
      <c r="BI200" s="212" t="b">
        <f t="shared" ref="BI200" si="2265">IF(J200="",FALSE,IF(L200=0,FALSE,IF(AND(AU199,NOT(BF200),OR(M200="",N200="",O200="")),TRUE,FALSE)))</f>
        <v>0</v>
      </c>
      <c r="BJ200" s="231" t="b">
        <f t="shared" ref="BJ200:BJ263" si="2266">IF(OR(M200="",N200="",O200=""),FALSE,DATE(M200,N200,O200))</f>
        <v>0</v>
      </c>
      <c r="BK200" s="231" t="b">
        <f>IF(NOT(BJ200),FALSE,IF(AND(競技会設定!$C$5&lt;=BJ200,BJ200&lt;=競技会設定!$C$6),FALSE,TRUE))</f>
        <v>0</v>
      </c>
      <c r="BL200" s="212" t="b">
        <f>IF(J200="",FALSE,IF(L200=0,FALSE,IF(AND(AU199,NOT(BF200),NOT(BI200),P200=""),TRUE,FALSE)))</f>
        <v>0</v>
      </c>
    </row>
    <row r="201" spans="1:67" ht="17.399999999999999" customHeight="1">
      <c r="A201" s="471"/>
      <c r="B201" s="402"/>
      <c r="C201" s="404"/>
      <c r="D201" s="11"/>
      <c r="E201" s="348" t="str">
        <f>IF(C199="","",VLOOKUP(D199,女子登録!$A$2:$O$2001,14,0)&amp;" ("&amp;VLOOKUP(D199,女子登録!$A$2:$O$2001,15,0)&amp;")")</f>
        <v/>
      </c>
      <c r="F201" s="348"/>
      <c r="G201" s="13" t="str">
        <f>IF(C199="","",(VLOOKUP(D199,女子登録!$A$2:$N$2001,9,0)))</f>
        <v/>
      </c>
      <c r="H201" s="13"/>
      <c r="I201" s="13" t="s">
        <v>4021</v>
      </c>
      <c r="J201" s="172"/>
      <c r="K201" s="13" t="s">
        <v>6760</v>
      </c>
      <c r="L201" s="172"/>
      <c r="M201" s="255"/>
      <c r="N201" s="256"/>
      <c r="O201" s="257"/>
      <c r="P201" s="171"/>
      <c r="Q201" s="458"/>
      <c r="R201" s="415"/>
      <c r="S201" s="136"/>
      <c r="T201" s="137"/>
      <c r="U201" s="137"/>
      <c r="V201" s="137"/>
      <c r="W201" s="137"/>
      <c r="X201" s="137"/>
      <c r="Y201" s="212">
        <f t="shared" ref="Y201" si="2267">IF(OR(E199="",J201=""),0,J201&amp;E199)</f>
        <v>0</v>
      </c>
      <c r="Z201" s="212">
        <f>IF(Y201=0,0,COUNTIF($Y$7:Y201,Y201))</f>
        <v>0</v>
      </c>
      <c r="AD201" s="212">
        <f>IFERROR(VLOOKUP(J201,競技会設定!$T$2:$W$22,2,0),0)</f>
        <v>0</v>
      </c>
      <c r="AE201" s="212">
        <f t="shared" ref="AE201" si="2268">IF(E199="",0,IF(AD201=0,0,IF(AD201&lt;3,E199&amp;$AE$6,0)))</f>
        <v>0</v>
      </c>
      <c r="AF201" s="212">
        <f>IF(AE201=0,0,E199&amp;COUNTIF($AE$7:AE201,AE201))</f>
        <v>0</v>
      </c>
      <c r="AG201" s="212">
        <f t="shared" ref="AG201" si="2269">IF(E199="",0,IF(AD201=0,0,IF(AD201&gt;=3,E199&amp;$AG$6,0)))</f>
        <v>0</v>
      </c>
      <c r="AH201" s="212">
        <f>IF(AG201=0,0,E199&amp;COUNTIF($AG$7:AG201,AG201))</f>
        <v>0</v>
      </c>
      <c r="AI201" s="212">
        <f t="shared" ref="AI201" si="2270">IF($AD201=AI$6,$E199,0)</f>
        <v>0</v>
      </c>
      <c r="AJ201" s="212" t="b">
        <f>IF(AI201=0,FALSE,IF(COUNTIF(AI$7:AI201,AI201)&gt;1,TRUE,FALSE))</f>
        <v>0</v>
      </c>
      <c r="AK201" s="212">
        <f t="shared" ref="AK201" si="2271">IF($AD201=AK$6,$E199,0)</f>
        <v>0</v>
      </c>
      <c r="AL201" s="212" t="b">
        <f>IF(AK201=0,FALSE,IF(COUNTIF(AK$7:AK201,AK201)&gt;1,TRUE,FALSE))</f>
        <v>0</v>
      </c>
      <c r="AM201" s="212">
        <f t="shared" ref="AM201" si="2272">IF(COUNTIF(Y201,"*七種*")&gt;0,0,IF($AD201=AM$6,$E199,0))</f>
        <v>0</v>
      </c>
      <c r="AN201" s="212" t="b">
        <f>IF(AM201=0,FALSE,IF(COUNTIF(AM$7:AM201,AM201)&gt;1,TRUE,FALSE))</f>
        <v>0</v>
      </c>
      <c r="AO201" s="212">
        <f t="shared" ref="AO201" si="2273">IF($AD201=AO$6,$E199,0)</f>
        <v>0</v>
      </c>
      <c r="AP201" s="212" t="b">
        <f>IF(AO201=0,FALSE,IF(COUNTIF(AO$7:AO201,AO201)&gt;1,TRUE,FALSE))</f>
        <v>0</v>
      </c>
      <c r="AQ201" s="212">
        <f t="shared" ref="AQ201" si="2274">IF(COUNTIF(Y201,"*七種競技*")&gt;0,E199,0)</f>
        <v>0</v>
      </c>
      <c r="AR201" s="212" t="b">
        <f t="shared" si="2262"/>
        <v>0</v>
      </c>
      <c r="AT201" s="212" t="b">
        <f t="shared" ref="AT201:AT264" si="2275">IF(AND(J201="",OR(L201&lt;&gt;"",M201&lt;&gt;"",P201&lt;&gt;"")),TRUE,FALSE)</f>
        <v>0</v>
      </c>
      <c r="AX201" s="274"/>
      <c r="BD201" s="212" t="b">
        <f t="shared" si="2249"/>
        <v>0</v>
      </c>
      <c r="BF201" s="212" t="b">
        <f t="shared" ref="BF201" si="2276">IF(J201="",FALSE,IF(OR(AND(AU199,L201=""),AND(AU199,L201="",OR(M201&lt;&gt;"",N201&lt;&gt;"",O201&lt;&gt;"",P201&lt;&gt;""))),TRUE,FALSE))</f>
        <v>0</v>
      </c>
      <c r="BG201" s="212" t="b">
        <f t="shared" si="2251"/>
        <v>0</v>
      </c>
      <c r="BH201" s="212" t="b">
        <f t="shared" si="2264"/>
        <v>0</v>
      </c>
      <c r="BI201" s="212" t="b">
        <f t="shared" ref="BI201" si="2277">IF(J201="",FALSE,IF(L201=0,FALSE,IF(AND(AU199,NOT(BF201),OR(M201="",N201="",O201="")),TRUE,FALSE)))</f>
        <v>0</v>
      </c>
      <c r="BJ201" s="231" t="b">
        <f t="shared" si="2266"/>
        <v>0</v>
      </c>
      <c r="BK201" s="231" t="b">
        <f>IF(NOT(BJ201),FALSE,IF(AND(競技会設定!$C$5&lt;=BJ201,BJ201&lt;=競技会設定!$C$6),FALSE,TRUE))</f>
        <v>0</v>
      </c>
      <c r="BL201" s="212" t="b">
        <f>IF(J201="",FALSE,IF(L201=0,FALSE,IF(AND(AU199,NOT(BF201),NOT(BI201),P201=""),TRUE,FALSE)))</f>
        <v>0</v>
      </c>
    </row>
    <row r="202" spans="1:67" ht="18" customHeight="1" thickBot="1">
      <c r="A202" s="472"/>
      <c r="B202" s="395" t="s">
        <v>6764</v>
      </c>
      <c r="C202" s="395"/>
      <c r="D202" s="11"/>
      <c r="E202" s="460"/>
      <c r="F202" s="460"/>
      <c r="G202" s="460"/>
      <c r="H202" s="157"/>
      <c r="I202" s="157" t="s">
        <v>6759</v>
      </c>
      <c r="J202" s="173"/>
      <c r="K202" s="157" t="s">
        <v>6761</v>
      </c>
      <c r="L202" s="173"/>
      <c r="M202" s="258"/>
      <c r="N202" s="259"/>
      <c r="O202" s="260"/>
      <c r="P202" s="173"/>
      <c r="Q202" s="459"/>
      <c r="R202" s="416"/>
      <c r="S202" s="136"/>
      <c r="T202" s="137"/>
      <c r="U202" s="137"/>
      <c r="V202" s="137"/>
      <c r="W202" s="137"/>
      <c r="X202" s="137"/>
      <c r="Y202" s="212">
        <f t="shared" ref="Y202" si="2278">IF(OR(E199="",J202=""),0,J202&amp;E199)</f>
        <v>0</v>
      </c>
      <c r="Z202" s="212">
        <f>IF(Y202=0,0,COUNTIF($Y$7:Y202,Y202))</f>
        <v>0</v>
      </c>
      <c r="AD202" s="212">
        <f>IFERROR(VLOOKUP(J202,競技会設定!$T$2:$W$22,2,0),0)</f>
        <v>0</v>
      </c>
      <c r="AE202" s="212">
        <f t="shared" ref="AE202" si="2279">IF(E199="",0,IF(AD202=0,0,IF(AD202&lt;3,E199&amp;$AE$6,0)))</f>
        <v>0</v>
      </c>
      <c r="AF202" s="212">
        <f>IF(AE202=0,0,E199&amp;COUNTIF($AE$7:AE202,AE202))</f>
        <v>0</v>
      </c>
      <c r="AG202" s="212">
        <f t="shared" ref="AG202" si="2280">IF(E199="",0,IF(AD202=0,0,IF(AD202&gt;=3,E199&amp;$AG$6,0)))</f>
        <v>0</v>
      </c>
      <c r="AH202" s="212">
        <f>IF(AG202=0,0,E199&amp;COUNTIF($AG$7:AG202,AG202))</f>
        <v>0</v>
      </c>
      <c r="AI202" s="212">
        <f t="shared" ref="AI202" si="2281">IF($AD202=AI$6,$E199,0)</f>
        <v>0</v>
      </c>
      <c r="AJ202" s="212" t="b">
        <f>IF(AI202=0,FALSE,IF(COUNTIF(AI$7:AI202,AI202)&gt;1,TRUE,FALSE))</f>
        <v>0</v>
      </c>
      <c r="AK202" s="212">
        <f t="shared" ref="AK202" si="2282">IF($AD202=AK$6,$E199,0)</f>
        <v>0</v>
      </c>
      <c r="AL202" s="212" t="b">
        <f>IF(AK202=0,FALSE,IF(COUNTIF(AK$7:AK202,AK202)&gt;1,TRUE,FALSE))</f>
        <v>0</v>
      </c>
      <c r="AM202" s="212">
        <f t="shared" ref="AM202" si="2283">IF(COUNTIF(Y202,"*七種*")&gt;0,0,IF($AD202=AM$6,$E199,0))</f>
        <v>0</v>
      </c>
      <c r="AN202" s="212" t="b">
        <f>IF(AM202=0,FALSE,IF(COUNTIF(AM$7:AM202,AM202)&gt;1,TRUE,FALSE))</f>
        <v>0</v>
      </c>
      <c r="AO202" s="212">
        <f t="shared" ref="AO202" si="2284">IF($AD202=AO$6,$E199,0)</f>
        <v>0</v>
      </c>
      <c r="AP202" s="212" t="b">
        <f>IF(AO202=0,FALSE,IF(COUNTIF(AO$7:AO202,AO202)&gt;1,TRUE,FALSE))</f>
        <v>0</v>
      </c>
      <c r="AQ202" s="212">
        <f t="shared" ref="AQ202" si="2285">IF(COUNTIF(Y202,"*七種競技*")&gt;0,E199,0)</f>
        <v>0</v>
      </c>
      <c r="AR202" s="212" t="b">
        <f t="shared" si="2262"/>
        <v>0</v>
      </c>
      <c r="AT202" s="212" t="b">
        <f t="shared" si="2275"/>
        <v>0</v>
      </c>
      <c r="AX202" s="274"/>
      <c r="BD202" s="212" t="b">
        <f t="shared" si="2249"/>
        <v>0</v>
      </c>
      <c r="BF202" s="212" t="b">
        <f t="shared" ref="BF202" si="2286">IF(J202="",FALSE,IF(OR(AND(AU199,L202=""),AND(AU199,L202="",OR(M202&lt;&gt;"",N202&lt;&gt;"",O202&lt;&gt;"",P202&lt;&gt;""))),TRUE,FALSE))</f>
        <v>0</v>
      </c>
      <c r="BG202" s="212" t="b">
        <f t="shared" si="2251"/>
        <v>0</v>
      </c>
      <c r="BH202" s="212" t="b">
        <f t="shared" si="2264"/>
        <v>0</v>
      </c>
      <c r="BI202" s="212" t="b">
        <f t="shared" ref="BI202" si="2287">IF(J202="",FALSE,IF(L202=0,FALSE,IF(AND(AU199,NOT(BF202),OR(M202="",N202="",O202="")),TRUE,FALSE)))</f>
        <v>0</v>
      </c>
      <c r="BJ202" s="231" t="b">
        <f t="shared" si="2266"/>
        <v>0</v>
      </c>
      <c r="BK202" s="231" t="b">
        <f>IF(NOT(BJ202),FALSE,IF(AND(競技会設定!$C$5&lt;=BJ202,BJ202&lt;=競技会設定!$C$6),FALSE,TRUE))</f>
        <v>0</v>
      </c>
      <c r="BL202" s="212" t="b">
        <f>IF(J202="",FALSE,IF(L202=0,FALSE,IF(AND(AU199,NOT(BF202),NOT(BI202),P202=""),TRUE,FALSE)))</f>
        <v>0</v>
      </c>
    </row>
    <row r="203" spans="1:67" ht="18" customHeight="1" thickTop="1">
      <c r="A203" s="461">
        <v>50</v>
      </c>
      <c r="B203" s="373" t="s">
        <v>4018</v>
      </c>
      <c r="C203" s="375"/>
      <c r="D203" s="158" t="str">
        <f t="shared" ref="D203" si="2288">IF(C203="","",502&amp;TEXT(C203,"000000"))</f>
        <v/>
      </c>
      <c r="E203" s="464" t="str">
        <f>IF(D203="","",(VLOOKUP(D203,女子登録!$A$2:$N$2001,3,0)))</f>
        <v/>
      </c>
      <c r="F203" s="464" t="str">
        <f>IF(D203="","",(VLOOKUP(D203,女子登録!$A$2:$N$2001,4,0)))</f>
        <v/>
      </c>
      <c r="G203" s="158" t="str">
        <f>IF(C203="","",(VLOOKUP(D203,女子登録!$A$2:$N$2001,8,0)))</f>
        <v/>
      </c>
      <c r="H203" s="158">
        <f>IFERROR(VLOOKUP(D203,女子登録!$A$2:$N$2001,11,0),基本情報!$E$5)</f>
        <v>0</v>
      </c>
      <c r="I203" s="158" t="s">
        <v>4019</v>
      </c>
      <c r="J203" s="174"/>
      <c r="K203" s="158" t="s">
        <v>4022</v>
      </c>
      <c r="L203" s="174"/>
      <c r="M203" s="261"/>
      <c r="N203" s="262"/>
      <c r="O203" s="263"/>
      <c r="P203" s="174"/>
      <c r="Q203" s="448"/>
      <c r="R203" s="408"/>
      <c r="S203" s="136">
        <f t="shared" ref="S203" si="2289">IF(OR(E203="",Q203=""),0,E203)</f>
        <v>0</v>
      </c>
      <c r="T203" s="137">
        <f>IF(S203=0,0,COUNTIF($S$7:S203,"*"))</f>
        <v>0</v>
      </c>
      <c r="U203" s="137">
        <f>IF(S203=0,0,COUNTIF($S$7:S203,S203))</f>
        <v>0</v>
      </c>
      <c r="V203" s="137">
        <f t="shared" si="1719"/>
        <v>0</v>
      </c>
      <c r="W203" s="137">
        <f>IF(V203=0,0,COUNTIF($V$7:V203,"*"))</f>
        <v>0</v>
      </c>
      <c r="X203" s="137">
        <f>IF(V203=0,0,COUNTIF($V$7:V203,V203))</f>
        <v>0</v>
      </c>
      <c r="Y203" s="212">
        <f t="shared" ref="Y203" si="2290">IF(OR(E203="",J203=""),0,J203&amp;E203)</f>
        <v>0</v>
      </c>
      <c r="Z203" s="212">
        <f>IF(Y203=0,0,COUNTIF($Y$7:Y203,Y203))</f>
        <v>0</v>
      </c>
      <c r="AA203" s="212" t="b">
        <f>IF(COUNTIF(J203:J206,"七種競技")&gt;0,TRUE,FALSE)</f>
        <v>0</v>
      </c>
      <c r="AB203" s="212">
        <f>IF(E203="",0,IF(AA203,COUNTIF($AA$7:AA203,TRUE),0))</f>
        <v>0</v>
      </c>
      <c r="AC203" s="212">
        <f>IFERROR(VLOOKUP("七種競技",J203:L206,3,0),0)</f>
        <v>0</v>
      </c>
      <c r="AD203" s="212">
        <f>IFERROR(VLOOKUP(J203,競技会設定!$T$2:$W$22,2,0),0)</f>
        <v>0</v>
      </c>
      <c r="AE203" s="212">
        <f t="shared" ref="AE203" si="2291">IF(E203="",0,IF(AD203=0,0,IF(AD203&lt;3,E203&amp;$AE$6,0)))</f>
        <v>0</v>
      </c>
      <c r="AF203" s="212">
        <f>IF(AE203=0,0,E203&amp;COUNTIF($AE$7:AE203,AE203))</f>
        <v>0</v>
      </c>
      <c r="AG203" s="212">
        <f t="shared" ref="AG203" si="2292">IF(E203="",0,IF(AD203=0,0,IF(AD203&gt;=3,E203&amp;$AG$6,0)))</f>
        <v>0</v>
      </c>
      <c r="AH203" s="212">
        <f>IF(AG203=0,0,E203&amp;COUNTIF($AG$7:AG203,AG203))</f>
        <v>0</v>
      </c>
      <c r="AI203" s="212">
        <f t="shared" ref="AI203" si="2293">IF($AD203=AI$6,$E203,0)</f>
        <v>0</v>
      </c>
      <c r="AJ203" s="212" t="b">
        <f>IF(AI203=0,FALSE,IF(COUNTIF(AI$7:AI203,AI203)&gt;1,TRUE,FALSE))</f>
        <v>0</v>
      </c>
      <c r="AK203" s="212">
        <f t="shared" ref="AK203" si="2294">IF($AD203=AK$6,$E203,0)</f>
        <v>0</v>
      </c>
      <c r="AL203" s="212" t="b">
        <f>IF(AK203=0,FALSE,IF(COUNTIF(AK$7:AK203,AK203)&gt;1,TRUE,FALSE))</f>
        <v>0</v>
      </c>
      <c r="AM203" s="212">
        <f t="shared" ref="AM203" si="2295">IF(COUNTIF(Y203,"*七種*")&gt;0,0,IF($AD203=AM$6,$E203,0))</f>
        <v>0</v>
      </c>
      <c r="AN203" s="212" t="b">
        <f>IF(AM203=0,FALSE,IF(COUNTIF(AM$7:AM203,AM203)&gt;1,TRUE,FALSE))</f>
        <v>0</v>
      </c>
      <c r="AO203" s="212">
        <f t="shared" ref="AO203" si="2296">IF($AD203=AO$6,$E203,0)</f>
        <v>0</v>
      </c>
      <c r="AP203" s="212" t="b">
        <f>IF(AO203=0,FALSE,IF(COUNTIF(AO$7:AO203,AO203)&gt;1,TRUE,FALSE))</f>
        <v>0</v>
      </c>
      <c r="AQ203" s="212">
        <f t="shared" ref="AQ203" si="2297">IF(COUNTIF(Y203,"*七種競技*")&gt;0,E203,0)</f>
        <v>0</v>
      </c>
      <c r="AR203" s="212" t="b">
        <f t="shared" si="2262"/>
        <v>0</v>
      </c>
      <c r="AS203" s="212" t="b">
        <f t="shared" ref="AS203" si="2298">IF(AND(C203="",E203&lt;&gt;"",F203&lt;&gt;"",E205&lt;&gt;"",G203&lt;&gt;"",G204&lt;&gt;"",G205&lt;&gt;""),TRUE,FALSE)</f>
        <v>0</v>
      </c>
      <c r="AT203" s="212" t="b">
        <f t="shared" si="2275"/>
        <v>0</v>
      </c>
      <c r="AU203" s="212" t="b">
        <f>IFERROR(IF(E203&amp;F203&amp;E205&amp;G203&amp;G204&amp;G205&amp;J203&amp;J204&amp;J205&amp;J206&amp;L203&amp;L204&amp;L205&amp;L206&amp;M203&amp;M204&amp;M205&amp;M206&amp;P203&amp;P204&amp;P205&amp;P206&amp;Q203&amp;R203="",FALSE,TRUE),FALSE)</f>
        <v>0</v>
      </c>
      <c r="AV203" s="212" t="b">
        <f t="shared" ref="AV203" si="2299">IF(AS203,FALSE,IF(C203="",AU203,FALSE))</f>
        <v>0</v>
      </c>
      <c r="AW203" s="212" t="b">
        <f t="shared" ref="AW203" si="2300">IF(C203="",FALSE,IF(C203&lt;=2000,TRUE,FALSE))</f>
        <v>0</v>
      </c>
      <c r="AX203" s="274" t="b">
        <f>IF(H203=0,FALSE,IF(EXACT(基本情報!$E$5,H203)=TRUE,FALSE,TRUE))</f>
        <v>0</v>
      </c>
      <c r="AY203" s="212" t="b">
        <f>IF(C203="",FALSE,IF(ISNA(E203)=TRUE,TRUE,FALSE))</f>
        <v>0</v>
      </c>
      <c r="AZ203" s="274" t="b">
        <f>IFERROR(IF(E203="",FALSE,IF(COUNTIF($E$7:E203,E203)&gt;1,TRUE,FALSE)),FALSE)</f>
        <v>0</v>
      </c>
      <c r="BA203" s="212" t="b">
        <f t="shared" ref="BA203" si="2301">IF(OR(J203&amp;J204&amp;J205&amp;J206&amp;Q203&amp;R203="",AT203,AT204,AT205,AT206),AU203,FALSE)</f>
        <v>0</v>
      </c>
      <c r="BB203" s="212" t="b">
        <f>IF(U203&gt;1,TRUE,FALSE)</f>
        <v>0</v>
      </c>
      <c r="BC203" s="212" t="b">
        <f>IF(X203&gt;1,TRUE,FALSE)</f>
        <v>0</v>
      </c>
      <c r="BD203" s="212" t="b">
        <f t="shared" si="2249"/>
        <v>0</v>
      </c>
      <c r="BF203" s="212" t="b">
        <f t="shared" ref="BF203" si="2302">IF(J203="",FALSE,IF(OR(AND(AU203,L203=""),AND(AU203,L203="",OR(M203&lt;&gt;"",N203&lt;&gt;"",O203&lt;&gt;"",P203&lt;&gt;""))),TRUE,FALSE))</f>
        <v>0</v>
      </c>
      <c r="BG203" s="212" t="b">
        <f t="shared" si="2251"/>
        <v>0</v>
      </c>
      <c r="BH203" s="212" t="b">
        <f t="shared" si="2264"/>
        <v>0</v>
      </c>
      <c r="BI203" s="212" t="b">
        <f t="shared" ref="BI203" si="2303">IF(J203="",FALSE,IF(L203=0,FALSE,IF(AND(AU203,NOT(BF203),OR(M203="",N203="",O203="")),TRUE,FALSE)))</f>
        <v>0</v>
      </c>
      <c r="BJ203" s="231" t="b">
        <f t="shared" si="2266"/>
        <v>0</v>
      </c>
      <c r="BK203" s="231" t="b">
        <f>IF(NOT(BJ203),FALSE,IF(AND(競技会設定!$C$5&lt;=BJ203,BJ203&lt;=競技会設定!$C$6),FALSE,TRUE))</f>
        <v>0</v>
      </c>
      <c r="BL203" s="212" t="b">
        <f>IF(J203="",FALSE,IF(L203=0,FALSE,IF(AND(AU203,NOT(BF203),NOT(BI203),P203=""),TRUE,FALSE)))</f>
        <v>0</v>
      </c>
      <c r="BO203" s="274">
        <f t="shared" ref="BO203" si="2304">IF(AND(AU203,SUM(COUNTIF(AV203:BC203,TRUE),COUNTIF(BF203:BL206,TRUE),COUNTIF(BD203:BD206,TRUE))=0,NOT($BE$7)),1,0)</f>
        <v>0</v>
      </c>
    </row>
    <row r="204" spans="1:67" ht="17.399999999999999" customHeight="1">
      <c r="A204" s="462"/>
      <c r="B204" s="374"/>
      <c r="C204" s="376"/>
      <c r="D204" s="159"/>
      <c r="E204" s="465"/>
      <c r="F204" s="465"/>
      <c r="G204" s="159" t="str">
        <f>IF(C203="","",(VLOOKUP(D203,女子登録!$A$2:$N$2001,13,0)))</f>
        <v/>
      </c>
      <c r="H204" s="159"/>
      <c r="I204" s="159" t="s">
        <v>4020</v>
      </c>
      <c r="J204" s="175"/>
      <c r="K204" s="159" t="s">
        <v>4023</v>
      </c>
      <c r="L204" s="175"/>
      <c r="M204" s="264"/>
      <c r="N204" s="265"/>
      <c r="O204" s="266"/>
      <c r="P204" s="175"/>
      <c r="Q204" s="449"/>
      <c r="R204" s="409"/>
      <c r="S204" s="136"/>
      <c r="T204" s="137"/>
      <c r="U204" s="137"/>
      <c r="V204" s="137"/>
      <c r="W204" s="137"/>
      <c r="X204" s="137"/>
      <c r="Y204" s="212">
        <f t="shared" ref="Y204" si="2305">IF(OR(E203="",J204=""),0,J204&amp;E203)</f>
        <v>0</v>
      </c>
      <c r="Z204" s="212">
        <f>IF(Y204=0,0,COUNTIF($Y$7:Y204,Y204))</f>
        <v>0</v>
      </c>
      <c r="AD204" s="212">
        <f>IFERROR(VLOOKUP(J204,競技会設定!$T$2:$W$22,2,0),0)</f>
        <v>0</v>
      </c>
      <c r="AE204" s="212">
        <f t="shared" ref="AE204" si="2306">IF(E203="",0,IF(AD204=0,0,IF(AD204&lt;3,E203&amp;$AE$6,0)))</f>
        <v>0</v>
      </c>
      <c r="AF204" s="212">
        <f>IF(AE204=0,0,E203&amp;COUNTIF($AE$7:AE204,AE204))</f>
        <v>0</v>
      </c>
      <c r="AG204" s="212">
        <f t="shared" ref="AG204" si="2307">IF(E203="",0,IF(AD204=0,0,IF(AD204&gt;=3,E203&amp;$AG$6,0)))</f>
        <v>0</v>
      </c>
      <c r="AH204" s="212">
        <f>IF(AG204=0,0,E203&amp;COUNTIF($AG$7:AG204,AG204))</f>
        <v>0</v>
      </c>
      <c r="AI204" s="212">
        <f t="shared" ref="AI204" si="2308">IF($AD204=AI$6,$E203,0)</f>
        <v>0</v>
      </c>
      <c r="AJ204" s="212" t="b">
        <f>IF(AI204=0,FALSE,IF(COUNTIF(AI$7:AI204,AI204)&gt;1,TRUE,FALSE))</f>
        <v>0</v>
      </c>
      <c r="AK204" s="212">
        <f t="shared" ref="AK204" si="2309">IF($AD204=AK$6,$E203,0)</f>
        <v>0</v>
      </c>
      <c r="AL204" s="212" t="b">
        <f>IF(AK204=0,FALSE,IF(COUNTIF(AK$7:AK204,AK204)&gt;1,TRUE,FALSE))</f>
        <v>0</v>
      </c>
      <c r="AM204" s="212">
        <f t="shared" ref="AM204" si="2310">IF(COUNTIF(Y204,"*七種*")&gt;0,0,IF($AD204=AM$6,$E203,0))</f>
        <v>0</v>
      </c>
      <c r="AN204" s="212" t="b">
        <f>IF(AM204=0,FALSE,IF(COUNTIF(AM$7:AM204,AM204)&gt;1,TRUE,FALSE))</f>
        <v>0</v>
      </c>
      <c r="AO204" s="212">
        <f t="shared" ref="AO204" si="2311">IF($AD204=AO$6,$E203,0)</f>
        <v>0</v>
      </c>
      <c r="AP204" s="212" t="b">
        <f>IF(AO204=0,FALSE,IF(COUNTIF(AO$7:AO204,AO204)&gt;1,TRUE,FALSE))</f>
        <v>0</v>
      </c>
      <c r="AQ204" s="212">
        <f t="shared" ref="AQ204" si="2312">IF(COUNTIF(Y204,"*七種競技*")&gt;0,E203,0)</f>
        <v>0</v>
      </c>
      <c r="AR204" s="212" t="b">
        <f t="shared" si="2262"/>
        <v>0</v>
      </c>
      <c r="AT204" s="212" t="b">
        <f t="shared" si="2275"/>
        <v>0</v>
      </c>
      <c r="AX204" s="274"/>
      <c r="BD204" s="212" t="b">
        <f t="shared" si="2249"/>
        <v>0</v>
      </c>
      <c r="BF204" s="212" t="b">
        <f t="shared" ref="BF204" si="2313">IF(J204="",FALSE,IF(OR(AND(AU203,L204=""),AND(AU203,L204="",OR(M204&lt;&gt;"",N204&lt;&gt;"",O204&lt;&gt;"",P204&lt;&gt;""))),TRUE,FALSE))</f>
        <v>0</v>
      </c>
      <c r="BG204" s="212" t="b">
        <f t="shared" si="2251"/>
        <v>0</v>
      </c>
      <c r="BH204" s="212" t="b">
        <f t="shared" si="2264"/>
        <v>0</v>
      </c>
      <c r="BI204" s="212" t="b">
        <f t="shared" ref="BI204" si="2314">IF(J204="",FALSE,IF(L204=0,FALSE,IF(AND(AU203,NOT(BF204),OR(M204="",N204="",O204="")),TRUE,FALSE)))</f>
        <v>0</v>
      </c>
      <c r="BJ204" s="231" t="b">
        <f t="shared" si="2266"/>
        <v>0</v>
      </c>
      <c r="BK204" s="231" t="b">
        <f>IF(NOT(BJ204),FALSE,IF(AND(競技会設定!$C$5&lt;=BJ204,BJ204&lt;=競技会設定!$C$6),FALSE,TRUE))</f>
        <v>0</v>
      </c>
      <c r="BL204" s="212" t="b">
        <f>IF(J204="",FALSE,IF(L204=0,FALSE,IF(AND(AU203,NOT(BF204),NOT(BI204),P204=""),TRUE,FALSE)))</f>
        <v>0</v>
      </c>
    </row>
    <row r="205" spans="1:67" ht="17.399999999999999" customHeight="1">
      <c r="A205" s="462"/>
      <c r="B205" s="374"/>
      <c r="C205" s="376"/>
      <c r="D205" s="160"/>
      <c r="E205" s="452" t="str">
        <f>IF(C203="","",VLOOKUP(D203,女子登録!$A$2:$O$2001,14,0)&amp;" ("&amp;VLOOKUP(D203,女子登録!$A$2:$O$2001,15,0)&amp;")")</f>
        <v/>
      </c>
      <c r="F205" s="453"/>
      <c r="G205" s="160" t="str">
        <f>IF(C203="","",(VLOOKUP(D203,女子登録!$A$2:$N$2001,9,0)))</f>
        <v/>
      </c>
      <c r="H205" s="160"/>
      <c r="I205" s="160" t="s">
        <v>4021</v>
      </c>
      <c r="J205" s="176"/>
      <c r="K205" s="160" t="s">
        <v>6760</v>
      </c>
      <c r="L205" s="176"/>
      <c r="M205" s="264"/>
      <c r="N205" s="265"/>
      <c r="O205" s="266"/>
      <c r="P205" s="175"/>
      <c r="Q205" s="449"/>
      <c r="R205" s="409"/>
      <c r="S205" s="136"/>
      <c r="T205" s="137"/>
      <c r="U205" s="137"/>
      <c r="V205" s="137"/>
      <c r="W205" s="137"/>
      <c r="X205" s="137"/>
      <c r="Y205" s="212">
        <f t="shared" ref="Y205" si="2315">IF(OR(E203="",J205=""),0,J205&amp;E203)</f>
        <v>0</v>
      </c>
      <c r="Z205" s="212">
        <f>IF(Y205=0,0,COUNTIF($Y$7:Y205,Y205))</f>
        <v>0</v>
      </c>
      <c r="AD205" s="212">
        <f>IFERROR(VLOOKUP(J205,競技会設定!$T$2:$W$22,2,0),0)</f>
        <v>0</v>
      </c>
      <c r="AE205" s="212">
        <f t="shared" ref="AE205" si="2316">IF(E203="",0,IF(AD205=0,0,IF(AD205&lt;3,E203&amp;$AE$6,0)))</f>
        <v>0</v>
      </c>
      <c r="AF205" s="212">
        <f>IF(AE205=0,0,E203&amp;COUNTIF($AE$7:AE205,AE205))</f>
        <v>0</v>
      </c>
      <c r="AG205" s="212">
        <f t="shared" ref="AG205" si="2317">IF(E203="",0,IF(AD205=0,0,IF(AD205&gt;=3,E203&amp;$AG$6,0)))</f>
        <v>0</v>
      </c>
      <c r="AH205" s="212">
        <f>IF(AG205=0,0,E203&amp;COUNTIF($AG$7:AG205,AG205))</f>
        <v>0</v>
      </c>
      <c r="AI205" s="212">
        <f t="shared" ref="AI205" si="2318">IF($AD205=AI$6,$E203,0)</f>
        <v>0</v>
      </c>
      <c r="AJ205" s="212" t="b">
        <f>IF(AI205=0,FALSE,IF(COUNTIF(AI$7:AI205,AI205)&gt;1,TRUE,FALSE))</f>
        <v>0</v>
      </c>
      <c r="AK205" s="212">
        <f t="shared" ref="AK205" si="2319">IF($AD205=AK$6,$E203,0)</f>
        <v>0</v>
      </c>
      <c r="AL205" s="212" t="b">
        <f>IF(AK205=0,FALSE,IF(COUNTIF(AK$7:AK205,AK205)&gt;1,TRUE,FALSE))</f>
        <v>0</v>
      </c>
      <c r="AM205" s="212">
        <f t="shared" ref="AM205" si="2320">IF(COUNTIF(Y205,"*七種*")&gt;0,0,IF($AD205=AM$6,$E203,0))</f>
        <v>0</v>
      </c>
      <c r="AN205" s="212" t="b">
        <f>IF(AM205=0,FALSE,IF(COUNTIF(AM$7:AM205,AM205)&gt;1,TRUE,FALSE))</f>
        <v>0</v>
      </c>
      <c r="AO205" s="212">
        <f t="shared" ref="AO205" si="2321">IF($AD205=AO$6,$E203,0)</f>
        <v>0</v>
      </c>
      <c r="AP205" s="212" t="b">
        <f>IF(AO205=0,FALSE,IF(COUNTIF(AO$7:AO205,AO205)&gt;1,TRUE,FALSE))</f>
        <v>0</v>
      </c>
      <c r="AQ205" s="212">
        <f t="shared" ref="AQ205" si="2322">IF(COUNTIF(Y205,"*七種競技*")&gt;0,E203,0)</f>
        <v>0</v>
      </c>
      <c r="AR205" s="212" t="b">
        <f t="shared" si="2262"/>
        <v>0</v>
      </c>
      <c r="AT205" s="212" t="b">
        <f t="shared" si="2275"/>
        <v>0</v>
      </c>
      <c r="AX205" s="274"/>
      <c r="BD205" s="212" t="b">
        <f t="shared" si="2249"/>
        <v>0</v>
      </c>
      <c r="BF205" s="212" t="b">
        <f t="shared" ref="BF205" si="2323">IF(J205="",FALSE,IF(OR(AND(AU203,L205=""),AND(AU203,L205="",OR(M205&lt;&gt;"",N205&lt;&gt;"",O205&lt;&gt;"",P205&lt;&gt;""))),TRUE,FALSE))</f>
        <v>0</v>
      </c>
      <c r="BG205" s="212" t="b">
        <f t="shared" si="2251"/>
        <v>0</v>
      </c>
      <c r="BH205" s="212" t="b">
        <f t="shared" si="2264"/>
        <v>0</v>
      </c>
      <c r="BI205" s="212" t="b">
        <f t="shared" ref="BI205" si="2324">IF(J205="",FALSE,IF(L205=0,FALSE,IF(AND(AU203,NOT(BF205),OR(M205="",N205="",O205="")),TRUE,FALSE)))</f>
        <v>0</v>
      </c>
      <c r="BJ205" s="231" t="b">
        <f t="shared" si="2266"/>
        <v>0</v>
      </c>
      <c r="BK205" s="231" t="b">
        <f>IF(NOT(BJ205),FALSE,IF(AND(競技会設定!$C$5&lt;=BJ205,BJ205&lt;=競技会設定!$C$6),FALSE,TRUE))</f>
        <v>0</v>
      </c>
      <c r="BL205" s="212" t="b">
        <f>IF(J205="",FALSE,IF(L205=0,FALSE,IF(AND(AU203,NOT(BF205),NOT(BI205),P205=""),TRUE,FALSE)))</f>
        <v>0</v>
      </c>
    </row>
    <row r="206" spans="1:67" ht="18" customHeight="1" thickBot="1">
      <c r="A206" s="475"/>
      <c r="B206" s="387" t="s">
        <v>6764</v>
      </c>
      <c r="C206" s="387"/>
      <c r="D206" s="161"/>
      <c r="E206" s="467"/>
      <c r="F206" s="468"/>
      <c r="G206" s="469"/>
      <c r="H206" s="162"/>
      <c r="I206" s="161" t="s">
        <v>6759</v>
      </c>
      <c r="J206" s="177"/>
      <c r="K206" s="161" t="s">
        <v>6761</v>
      </c>
      <c r="L206" s="177"/>
      <c r="M206" s="267"/>
      <c r="N206" s="268"/>
      <c r="O206" s="269"/>
      <c r="P206" s="177"/>
      <c r="Q206" s="466"/>
      <c r="R206" s="410"/>
      <c r="S206" s="136"/>
      <c r="T206" s="137"/>
      <c r="U206" s="137"/>
      <c r="V206" s="137"/>
      <c r="W206" s="137"/>
      <c r="X206" s="137"/>
      <c r="Y206" s="212">
        <f t="shared" ref="Y206" si="2325">IF(OR(E203="",J206=""),0,J206&amp;E203)</f>
        <v>0</v>
      </c>
      <c r="Z206" s="212">
        <f>IF(Y206=0,0,COUNTIF($Y$7:Y206,Y206))</f>
        <v>0</v>
      </c>
      <c r="AD206" s="212">
        <f>IFERROR(VLOOKUP(J206,競技会設定!$T$2:$W$22,2,0),0)</f>
        <v>0</v>
      </c>
      <c r="AE206" s="212">
        <f t="shared" ref="AE206" si="2326">IF(E203="",0,IF(AD206=0,0,IF(AD206&lt;3,E203&amp;$AE$6,0)))</f>
        <v>0</v>
      </c>
      <c r="AF206" s="212">
        <f>IF(AE206=0,0,E203&amp;COUNTIF($AE$7:AE206,AE206))</f>
        <v>0</v>
      </c>
      <c r="AG206" s="212">
        <f t="shared" ref="AG206" si="2327">IF(E203="",0,IF(AD206=0,0,IF(AD206&gt;=3,E203&amp;$AG$6,0)))</f>
        <v>0</v>
      </c>
      <c r="AH206" s="212">
        <f>IF(AG206=0,0,E203&amp;COUNTIF($AG$7:AG206,AG206))</f>
        <v>0</v>
      </c>
      <c r="AI206" s="212">
        <f t="shared" ref="AI206" si="2328">IF($AD206=AI$6,$E203,0)</f>
        <v>0</v>
      </c>
      <c r="AJ206" s="212" t="b">
        <f>IF(AI206=0,FALSE,IF(COUNTIF(AI$7:AI206,AI206)&gt;1,TRUE,FALSE))</f>
        <v>0</v>
      </c>
      <c r="AK206" s="212">
        <f t="shared" ref="AK206" si="2329">IF($AD206=AK$6,$E203,0)</f>
        <v>0</v>
      </c>
      <c r="AL206" s="212" t="b">
        <f>IF(AK206=0,FALSE,IF(COUNTIF(AK$7:AK206,AK206)&gt;1,TRUE,FALSE))</f>
        <v>0</v>
      </c>
      <c r="AM206" s="212">
        <f t="shared" ref="AM206" si="2330">IF(COUNTIF(Y206,"*七種*")&gt;0,0,IF($AD206=AM$6,$E203,0))</f>
        <v>0</v>
      </c>
      <c r="AN206" s="212" t="b">
        <f>IF(AM206=0,FALSE,IF(COUNTIF(AM$7:AM206,AM206)&gt;1,TRUE,FALSE))</f>
        <v>0</v>
      </c>
      <c r="AO206" s="212">
        <f t="shared" ref="AO206" si="2331">IF($AD206=AO$6,$E203,0)</f>
        <v>0</v>
      </c>
      <c r="AP206" s="212" t="b">
        <f>IF(AO206=0,FALSE,IF(COUNTIF(AO$7:AO206,AO206)&gt;1,TRUE,FALSE))</f>
        <v>0</v>
      </c>
      <c r="AQ206" s="212">
        <f t="shared" ref="AQ206" si="2332">IF(COUNTIF(Y206,"*七種競技*")&gt;0,E203,0)</f>
        <v>0</v>
      </c>
      <c r="AR206" s="212" t="b">
        <f t="shared" si="2262"/>
        <v>0</v>
      </c>
      <c r="AT206" s="212" t="b">
        <f t="shared" si="2275"/>
        <v>0</v>
      </c>
      <c r="AX206" s="274"/>
      <c r="BD206" s="212" t="b">
        <f t="shared" si="2249"/>
        <v>0</v>
      </c>
      <c r="BF206" s="212" t="b">
        <f t="shared" ref="BF206" si="2333">IF(J206="",FALSE,IF(OR(AND(AU203,L206=""),AND(AU203,L206="",OR(M206&lt;&gt;"",N206&lt;&gt;"",O206&lt;&gt;"",P206&lt;&gt;""))),TRUE,FALSE))</f>
        <v>0</v>
      </c>
      <c r="BG206" s="212" t="b">
        <f t="shared" si="2251"/>
        <v>0</v>
      </c>
      <c r="BH206" s="212" t="b">
        <f t="shared" si="2264"/>
        <v>0</v>
      </c>
      <c r="BI206" s="212" t="b">
        <f t="shared" ref="BI206" si="2334">IF(J206="",FALSE,IF(L206=0,FALSE,IF(AND(AU203,NOT(BF206),OR(M206="",N206="",O206="")),TRUE,FALSE)))</f>
        <v>0</v>
      </c>
      <c r="BJ206" s="231" t="b">
        <f t="shared" si="2266"/>
        <v>0</v>
      </c>
      <c r="BK206" s="231" t="b">
        <f>IF(NOT(BJ206),FALSE,IF(AND(競技会設定!$C$5&lt;=BJ206,BJ206&lt;=競技会設定!$C$6),FALSE,TRUE))</f>
        <v>0</v>
      </c>
      <c r="BL206" s="212" t="b">
        <f>IF(J206="",FALSE,IF(L206=0,FALSE,IF(AND(AU203,NOT(BF206),NOT(BI206),P206=""),TRUE,FALSE)))</f>
        <v>0</v>
      </c>
    </row>
    <row r="207" spans="1:67" ht="18" customHeight="1" thickTop="1">
      <c r="A207" s="470">
        <v>51</v>
      </c>
      <c r="B207" s="401" t="s">
        <v>4018</v>
      </c>
      <c r="C207" s="403"/>
      <c r="D207" s="156" t="str">
        <f t="shared" ref="D207" si="2335">IF(C207="","",502&amp;TEXT(C207,"000000"))</f>
        <v/>
      </c>
      <c r="E207" s="473" t="str">
        <f>IF(D207="","",(VLOOKUP(D207,女子登録!$A$2:$N$2001,3,0)))</f>
        <v/>
      </c>
      <c r="F207" s="473" t="str">
        <f>IF(D207="","",(VLOOKUP(D207,女子登録!$A$2:$N$2001,4,0)))</f>
        <v/>
      </c>
      <c r="G207" s="156" t="str">
        <f>IF(C207="","",(VLOOKUP(D207,女子登録!$A$2:$N$2001,8,0)))</f>
        <v/>
      </c>
      <c r="H207" s="156">
        <f>IFERROR(VLOOKUP(D207,女子登録!$A$2:$N$2001,11,0),基本情報!$E$5)</f>
        <v>0</v>
      </c>
      <c r="I207" s="156" t="s">
        <v>4019</v>
      </c>
      <c r="J207" s="170"/>
      <c r="K207" s="156" t="s">
        <v>4022</v>
      </c>
      <c r="L207" s="170"/>
      <c r="M207" s="252"/>
      <c r="N207" s="253"/>
      <c r="O207" s="254"/>
      <c r="P207" s="170"/>
      <c r="Q207" s="457"/>
      <c r="R207" s="414"/>
      <c r="S207" s="136">
        <f t="shared" ref="S207" si="2336">IF(OR(E207="",Q207=""),0,E207)</f>
        <v>0</v>
      </c>
      <c r="T207" s="137">
        <f>IF(S207=0,0,COUNTIF($S$7:S207,"*"))</f>
        <v>0</v>
      </c>
      <c r="U207" s="137">
        <f>IF(S207=0,0,COUNTIF($S$7:S207,S207))</f>
        <v>0</v>
      </c>
      <c r="V207" s="137">
        <f t="shared" si="1719"/>
        <v>0</v>
      </c>
      <c r="W207" s="137">
        <f>IF(V207=0,0,COUNTIF($V$7:V207,"*"))</f>
        <v>0</v>
      </c>
      <c r="X207" s="137">
        <f>IF(V207=0,0,COUNTIF($V$7:V207,V207))</f>
        <v>0</v>
      </c>
      <c r="Y207" s="212">
        <f t="shared" ref="Y207" si="2337">IF(OR(E207="",J207=""),0,J207&amp;E207)</f>
        <v>0</v>
      </c>
      <c r="Z207" s="212">
        <f>IF(Y207=0,0,COUNTIF($Y$7:Y207,Y207))</f>
        <v>0</v>
      </c>
      <c r="AA207" s="212" t="b">
        <f>IF(COUNTIF(J207:J210,"七種競技")&gt;0,TRUE,FALSE)</f>
        <v>0</v>
      </c>
      <c r="AB207" s="212">
        <f>IF(E207="",0,IF(AA207,COUNTIF($AA$7:AA207,TRUE),0))</f>
        <v>0</v>
      </c>
      <c r="AC207" s="212">
        <f>IFERROR(VLOOKUP("七種競技",J207:L210,3,0),0)</f>
        <v>0</v>
      </c>
      <c r="AD207" s="212">
        <f>IFERROR(VLOOKUP(J207,競技会設定!$T$2:$W$22,2,0),0)</f>
        <v>0</v>
      </c>
      <c r="AE207" s="212">
        <f t="shared" ref="AE207" si="2338">IF(E207="",0,IF(AD207=0,0,IF(AD207&lt;3,E207&amp;$AE$6,0)))</f>
        <v>0</v>
      </c>
      <c r="AF207" s="212">
        <f>IF(AE207=0,0,E207&amp;COUNTIF($AE$7:AE207,AE207))</f>
        <v>0</v>
      </c>
      <c r="AG207" s="212">
        <f t="shared" ref="AG207" si="2339">IF(E207="",0,IF(AD207=0,0,IF(AD207&gt;=3,E207&amp;$AG$6,0)))</f>
        <v>0</v>
      </c>
      <c r="AH207" s="212">
        <f>IF(AG207=0,0,E207&amp;COUNTIF($AG$7:AG207,AG207))</f>
        <v>0</v>
      </c>
      <c r="AI207" s="212">
        <f t="shared" ref="AI207" si="2340">IF($AD207=AI$6,$E207,0)</f>
        <v>0</v>
      </c>
      <c r="AJ207" s="212" t="b">
        <f>IF(AI207=0,FALSE,IF(COUNTIF(AI$7:AI207,AI207)&gt;1,TRUE,FALSE))</f>
        <v>0</v>
      </c>
      <c r="AK207" s="212">
        <f t="shared" ref="AK207" si="2341">IF($AD207=AK$6,$E207,0)</f>
        <v>0</v>
      </c>
      <c r="AL207" s="212" t="b">
        <f>IF(AK207=0,FALSE,IF(COUNTIF(AK$7:AK207,AK207)&gt;1,TRUE,FALSE))</f>
        <v>0</v>
      </c>
      <c r="AM207" s="212">
        <f t="shared" ref="AM207" si="2342">IF(COUNTIF(Y207,"*七種*")&gt;0,0,IF($AD207=AM$6,$E207,0))</f>
        <v>0</v>
      </c>
      <c r="AN207" s="212" t="b">
        <f>IF(AM207=0,FALSE,IF(COUNTIF(AM$7:AM207,AM207)&gt;1,TRUE,FALSE))</f>
        <v>0</v>
      </c>
      <c r="AO207" s="212">
        <f t="shared" ref="AO207" si="2343">IF($AD207=AO$6,$E207,0)</f>
        <v>0</v>
      </c>
      <c r="AP207" s="212" t="b">
        <f>IF(AO207=0,FALSE,IF(COUNTIF(AO$7:AO207,AO207)&gt;1,TRUE,FALSE))</f>
        <v>0</v>
      </c>
      <c r="AQ207" s="212">
        <f t="shared" ref="AQ207" si="2344">IF(COUNTIF(Y207,"*七種競技*")&gt;0,E207,0)</f>
        <v>0</v>
      </c>
      <c r="AR207" s="212" t="b">
        <f t="shared" si="2262"/>
        <v>0</v>
      </c>
      <c r="AS207" s="212" t="b">
        <f t="shared" ref="AS207" si="2345">IF(AND(C207="",E207&lt;&gt;"",F207&lt;&gt;"",E209&lt;&gt;"",G207&lt;&gt;"",G208&lt;&gt;"",G209&lt;&gt;""),TRUE,FALSE)</f>
        <v>0</v>
      </c>
      <c r="AT207" s="212" t="b">
        <f t="shared" si="2275"/>
        <v>0</v>
      </c>
      <c r="AU207" s="212" t="b">
        <f>IFERROR(IF(E207&amp;F207&amp;E209&amp;G207&amp;G208&amp;G209&amp;J207&amp;J208&amp;J209&amp;J210&amp;L207&amp;L208&amp;L209&amp;L210&amp;M207&amp;M208&amp;M209&amp;M210&amp;P207&amp;P208&amp;P209&amp;P210&amp;Q207&amp;R207="",FALSE,TRUE),FALSE)</f>
        <v>0</v>
      </c>
      <c r="AV207" s="212" t="b">
        <f t="shared" ref="AV207" si="2346">IF(AS207,FALSE,IF(C207="",AU207,FALSE))</f>
        <v>0</v>
      </c>
      <c r="AW207" s="212" t="b">
        <f t="shared" ref="AW207" si="2347">IF(C207="",FALSE,IF(C207&lt;=2000,TRUE,FALSE))</f>
        <v>0</v>
      </c>
      <c r="AX207" s="274" t="b">
        <f>IF(H207=0,FALSE,IF(EXACT(基本情報!$E$5,H207)=TRUE,FALSE,TRUE))</f>
        <v>0</v>
      </c>
      <c r="AY207" s="212" t="b">
        <f>IF(C207="",FALSE,IF(ISNA(E207)=TRUE,TRUE,FALSE))</f>
        <v>0</v>
      </c>
      <c r="AZ207" s="274" t="b">
        <f>IFERROR(IF(E207="",FALSE,IF(COUNTIF($E$7:E207,E207)&gt;1,TRUE,FALSE)),FALSE)</f>
        <v>0</v>
      </c>
      <c r="BA207" s="212" t="b">
        <f t="shared" ref="BA207" si="2348">IF(OR(J207&amp;J208&amp;J209&amp;J210&amp;Q207&amp;R207="",AT207,AT208,AT209,AT210),AU207,FALSE)</f>
        <v>0</v>
      </c>
      <c r="BB207" s="212" t="b">
        <f>IF(U207&gt;1,TRUE,FALSE)</f>
        <v>0</v>
      </c>
      <c r="BC207" s="212" t="b">
        <f>IF(X207&gt;1,TRUE,FALSE)</f>
        <v>0</v>
      </c>
      <c r="BD207" s="212" t="b">
        <f t="shared" si="2249"/>
        <v>0</v>
      </c>
      <c r="BF207" s="212" t="b">
        <f t="shared" ref="BF207" si="2349">IF(J207="",FALSE,IF(OR(AND(AU207,L207=""),AND(AU207,L207="",OR(M207&lt;&gt;"",N207&lt;&gt;"",O207&lt;&gt;"",P207&lt;&gt;""))),TRUE,FALSE))</f>
        <v>0</v>
      </c>
      <c r="BG207" s="212" t="b">
        <f t="shared" si="2251"/>
        <v>0</v>
      </c>
      <c r="BH207" s="212" t="b">
        <f t="shared" si="2264"/>
        <v>0</v>
      </c>
      <c r="BI207" s="212" t="b">
        <f t="shared" ref="BI207" si="2350">IF(J207="",FALSE,IF(L207=0,FALSE,IF(AND(AU207,NOT(BF207),OR(M207="",N207="",O207="")),TRUE,FALSE)))</f>
        <v>0</v>
      </c>
      <c r="BJ207" s="231" t="b">
        <f t="shared" si="2266"/>
        <v>0</v>
      </c>
      <c r="BK207" s="231" t="b">
        <f>IF(NOT(BJ207),FALSE,IF(AND(競技会設定!$C$5&lt;=BJ207,BJ207&lt;=競技会設定!$C$6),FALSE,TRUE))</f>
        <v>0</v>
      </c>
      <c r="BL207" s="212" t="b">
        <f>IF(J207="",FALSE,IF(L207=0,FALSE,IF(AND(AU207,NOT(BF207),NOT(BI207),P207=""),TRUE,FALSE)))</f>
        <v>0</v>
      </c>
      <c r="BO207" s="274">
        <f t="shared" ref="BO207" si="2351">IF(AND(AU207,SUM(COUNTIF(AV207:BC207,TRUE),COUNTIF(BF207:BL210,TRUE),COUNTIF(BD207:BD210,TRUE))=0,NOT($BE$7)),1,0)</f>
        <v>0</v>
      </c>
    </row>
    <row r="208" spans="1:67" ht="17.399999999999999" customHeight="1">
      <c r="A208" s="471"/>
      <c r="B208" s="402"/>
      <c r="C208" s="404"/>
      <c r="D208" s="11"/>
      <c r="E208" s="474"/>
      <c r="F208" s="474"/>
      <c r="G208" s="11" t="str">
        <f>IF(C207="","",(VLOOKUP(D207,女子登録!$A$2:$N$2001,13,0)))</f>
        <v/>
      </c>
      <c r="H208" s="11"/>
      <c r="I208" s="11" t="s">
        <v>4020</v>
      </c>
      <c r="J208" s="171"/>
      <c r="K208" s="11" t="s">
        <v>4023</v>
      </c>
      <c r="L208" s="171"/>
      <c r="M208" s="255"/>
      <c r="N208" s="256"/>
      <c r="O208" s="257"/>
      <c r="P208" s="171"/>
      <c r="Q208" s="458"/>
      <c r="R208" s="415"/>
      <c r="S208" s="136"/>
      <c r="T208" s="137"/>
      <c r="U208" s="137"/>
      <c r="V208" s="137"/>
      <c r="W208" s="137"/>
      <c r="X208" s="137"/>
      <c r="Y208" s="212">
        <f t="shared" ref="Y208" si="2352">IF(OR(E207="",J208=""),0,J208&amp;E207)</f>
        <v>0</v>
      </c>
      <c r="Z208" s="212">
        <f>IF(Y208=0,0,COUNTIF($Y$7:Y208,Y208))</f>
        <v>0</v>
      </c>
      <c r="AD208" s="212">
        <f>IFERROR(VLOOKUP(J208,競技会設定!$T$2:$W$22,2,0),0)</f>
        <v>0</v>
      </c>
      <c r="AE208" s="212">
        <f t="shared" ref="AE208" si="2353">IF(E207="",0,IF(AD208=0,0,IF(AD208&lt;3,E207&amp;$AE$6,0)))</f>
        <v>0</v>
      </c>
      <c r="AF208" s="212">
        <f>IF(AE208=0,0,E207&amp;COUNTIF($AE$7:AE208,AE208))</f>
        <v>0</v>
      </c>
      <c r="AG208" s="212">
        <f t="shared" ref="AG208" si="2354">IF(E207="",0,IF(AD208=0,0,IF(AD208&gt;=3,E207&amp;$AG$6,0)))</f>
        <v>0</v>
      </c>
      <c r="AH208" s="212">
        <f>IF(AG208=0,0,E207&amp;COUNTIF($AG$7:AG208,AG208))</f>
        <v>0</v>
      </c>
      <c r="AI208" s="212">
        <f t="shared" ref="AI208" si="2355">IF($AD208=AI$6,$E207,0)</f>
        <v>0</v>
      </c>
      <c r="AJ208" s="212" t="b">
        <f>IF(AI208=0,FALSE,IF(COUNTIF(AI$7:AI208,AI208)&gt;1,TRUE,FALSE))</f>
        <v>0</v>
      </c>
      <c r="AK208" s="212">
        <f t="shared" ref="AK208" si="2356">IF($AD208=AK$6,$E207,0)</f>
        <v>0</v>
      </c>
      <c r="AL208" s="212" t="b">
        <f>IF(AK208=0,FALSE,IF(COUNTIF(AK$7:AK208,AK208)&gt;1,TRUE,FALSE))</f>
        <v>0</v>
      </c>
      <c r="AM208" s="212">
        <f t="shared" ref="AM208" si="2357">IF(COUNTIF(Y208,"*七種*")&gt;0,0,IF($AD208=AM$6,$E207,0))</f>
        <v>0</v>
      </c>
      <c r="AN208" s="212" t="b">
        <f>IF(AM208=0,FALSE,IF(COUNTIF(AM$7:AM208,AM208)&gt;1,TRUE,FALSE))</f>
        <v>0</v>
      </c>
      <c r="AO208" s="212">
        <f t="shared" ref="AO208" si="2358">IF($AD208=AO$6,$E207,0)</f>
        <v>0</v>
      </c>
      <c r="AP208" s="212" t="b">
        <f>IF(AO208=0,FALSE,IF(COUNTIF(AO$7:AO208,AO208)&gt;1,TRUE,FALSE))</f>
        <v>0</v>
      </c>
      <c r="AQ208" s="212">
        <f t="shared" ref="AQ208" si="2359">IF(COUNTIF(Y208,"*七種競技*")&gt;0,E207,0)</f>
        <v>0</v>
      </c>
      <c r="AR208" s="212" t="b">
        <f t="shared" si="2262"/>
        <v>0</v>
      </c>
      <c r="AT208" s="212" t="b">
        <f t="shared" si="2275"/>
        <v>0</v>
      </c>
      <c r="AX208" s="274"/>
      <c r="BD208" s="212" t="b">
        <f t="shared" si="2249"/>
        <v>0</v>
      </c>
      <c r="BF208" s="212" t="b">
        <f t="shared" ref="BF208" si="2360">IF(J208="",FALSE,IF(OR(AND(AU207,L208=""),AND(AU207,L208="",OR(M208&lt;&gt;"",N208&lt;&gt;"",O208&lt;&gt;"",P208&lt;&gt;""))),TRUE,FALSE))</f>
        <v>0</v>
      </c>
      <c r="BG208" s="212" t="b">
        <f t="shared" si="2251"/>
        <v>0</v>
      </c>
      <c r="BH208" s="212" t="b">
        <f t="shared" si="2264"/>
        <v>0</v>
      </c>
      <c r="BI208" s="212" t="b">
        <f t="shared" ref="BI208" si="2361">IF(J208="",FALSE,IF(L208=0,FALSE,IF(AND(AU207,NOT(BF208),OR(M208="",N208="",O208="")),TRUE,FALSE)))</f>
        <v>0</v>
      </c>
      <c r="BJ208" s="231" t="b">
        <f t="shared" si="2266"/>
        <v>0</v>
      </c>
      <c r="BK208" s="231" t="b">
        <f>IF(NOT(BJ208),FALSE,IF(AND(競技会設定!$C$5&lt;=BJ208,BJ208&lt;=競技会設定!$C$6),FALSE,TRUE))</f>
        <v>0</v>
      </c>
      <c r="BL208" s="212" t="b">
        <f>IF(J208="",FALSE,IF(L208=0,FALSE,IF(AND(AU207,NOT(BF208),NOT(BI208),P208=""),TRUE,FALSE)))</f>
        <v>0</v>
      </c>
    </row>
    <row r="209" spans="1:67" ht="17.399999999999999" customHeight="1">
      <c r="A209" s="471"/>
      <c r="B209" s="402"/>
      <c r="C209" s="404"/>
      <c r="D209" s="11"/>
      <c r="E209" s="348" t="str">
        <f>IF(C207="","",VLOOKUP(D207,女子登録!$A$2:$O$2001,14,0)&amp;" ("&amp;VLOOKUP(D207,女子登録!$A$2:$O$2001,15,0)&amp;")")</f>
        <v/>
      </c>
      <c r="F209" s="348"/>
      <c r="G209" s="13" t="str">
        <f>IF(C207="","",(VLOOKUP(D207,女子登録!$A$2:$N$2001,9,0)))</f>
        <v/>
      </c>
      <c r="H209" s="13"/>
      <c r="I209" s="13" t="s">
        <v>4021</v>
      </c>
      <c r="J209" s="172"/>
      <c r="K209" s="13" t="s">
        <v>6760</v>
      </c>
      <c r="L209" s="172"/>
      <c r="M209" s="255"/>
      <c r="N209" s="256"/>
      <c r="O209" s="257"/>
      <c r="P209" s="171"/>
      <c r="Q209" s="458"/>
      <c r="R209" s="415"/>
      <c r="S209" s="136"/>
      <c r="T209" s="137"/>
      <c r="U209" s="137"/>
      <c r="V209" s="137"/>
      <c r="W209" s="137"/>
      <c r="X209" s="137"/>
      <c r="Y209" s="212">
        <f t="shared" ref="Y209" si="2362">IF(OR(E207="",J209=""),0,J209&amp;E207)</f>
        <v>0</v>
      </c>
      <c r="Z209" s="212">
        <f>IF(Y209=0,0,COUNTIF($Y$7:Y209,Y209))</f>
        <v>0</v>
      </c>
      <c r="AD209" s="212">
        <f>IFERROR(VLOOKUP(J209,競技会設定!$T$2:$W$22,2,0),0)</f>
        <v>0</v>
      </c>
      <c r="AE209" s="212">
        <f t="shared" ref="AE209" si="2363">IF(E207="",0,IF(AD209=0,0,IF(AD209&lt;3,E207&amp;$AE$6,0)))</f>
        <v>0</v>
      </c>
      <c r="AF209" s="212">
        <f>IF(AE209=0,0,E207&amp;COUNTIF($AE$7:AE209,AE209))</f>
        <v>0</v>
      </c>
      <c r="AG209" s="212">
        <f t="shared" ref="AG209" si="2364">IF(E207="",0,IF(AD209=0,0,IF(AD209&gt;=3,E207&amp;$AG$6,0)))</f>
        <v>0</v>
      </c>
      <c r="AH209" s="212">
        <f>IF(AG209=0,0,E207&amp;COUNTIF($AG$7:AG209,AG209))</f>
        <v>0</v>
      </c>
      <c r="AI209" s="212">
        <f t="shared" ref="AI209" si="2365">IF($AD209=AI$6,$E207,0)</f>
        <v>0</v>
      </c>
      <c r="AJ209" s="212" t="b">
        <f>IF(AI209=0,FALSE,IF(COUNTIF(AI$7:AI209,AI209)&gt;1,TRUE,FALSE))</f>
        <v>0</v>
      </c>
      <c r="AK209" s="212">
        <f t="shared" ref="AK209" si="2366">IF($AD209=AK$6,$E207,0)</f>
        <v>0</v>
      </c>
      <c r="AL209" s="212" t="b">
        <f>IF(AK209=0,FALSE,IF(COUNTIF(AK$7:AK209,AK209)&gt;1,TRUE,FALSE))</f>
        <v>0</v>
      </c>
      <c r="AM209" s="212">
        <f t="shared" ref="AM209" si="2367">IF(COUNTIF(Y209,"*七種*")&gt;0,0,IF($AD209=AM$6,$E207,0))</f>
        <v>0</v>
      </c>
      <c r="AN209" s="212" t="b">
        <f>IF(AM209=0,FALSE,IF(COUNTIF(AM$7:AM209,AM209)&gt;1,TRUE,FALSE))</f>
        <v>0</v>
      </c>
      <c r="AO209" s="212">
        <f t="shared" ref="AO209" si="2368">IF($AD209=AO$6,$E207,0)</f>
        <v>0</v>
      </c>
      <c r="AP209" s="212" t="b">
        <f>IF(AO209=0,FALSE,IF(COUNTIF(AO$7:AO209,AO209)&gt;1,TRUE,FALSE))</f>
        <v>0</v>
      </c>
      <c r="AQ209" s="212">
        <f t="shared" ref="AQ209" si="2369">IF(COUNTIF(Y209,"*七種競技*")&gt;0,E207,0)</f>
        <v>0</v>
      </c>
      <c r="AR209" s="212" t="b">
        <f t="shared" si="2262"/>
        <v>0</v>
      </c>
      <c r="AT209" s="212" t="b">
        <f t="shared" si="2275"/>
        <v>0</v>
      </c>
      <c r="AX209" s="274"/>
      <c r="BD209" s="212" t="b">
        <f t="shared" si="2249"/>
        <v>0</v>
      </c>
      <c r="BF209" s="212" t="b">
        <f t="shared" ref="BF209" si="2370">IF(J209="",FALSE,IF(OR(AND(AU207,L209=""),AND(AU207,L209="",OR(M209&lt;&gt;"",N209&lt;&gt;"",O209&lt;&gt;"",P209&lt;&gt;""))),TRUE,FALSE))</f>
        <v>0</v>
      </c>
      <c r="BG209" s="212" t="b">
        <f t="shared" si="2251"/>
        <v>0</v>
      </c>
      <c r="BH209" s="212" t="b">
        <f t="shared" si="2264"/>
        <v>0</v>
      </c>
      <c r="BI209" s="212" t="b">
        <f t="shared" ref="BI209" si="2371">IF(J209="",FALSE,IF(L209=0,FALSE,IF(AND(AU207,NOT(BF209),OR(M209="",N209="",O209="")),TRUE,FALSE)))</f>
        <v>0</v>
      </c>
      <c r="BJ209" s="231" t="b">
        <f t="shared" si="2266"/>
        <v>0</v>
      </c>
      <c r="BK209" s="231" t="b">
        <f>IF(NOT(BJ209),FALSE,IF(AND(競技会設定!$C$5&lt;=BJ209,BJ209&lt;=競技会設定!$C$6),FALSE,TRUE))</f>
        <v>0</v>
      </c>
      <c r="BL209" s="212" t="b">
        <f>IF(J209="",FALSE,IF(L209=0,FALSE,IF(AND(AU207,NOT(BF209),NOT(BI209),P209=""),TRUE,FALSE)))</f>
        <v>0</v>
      </c>
    </row>
    <row r="210" spans="1:67" ht="18" customHeight="1" thickBot="1">
      <c r="A210" s="472"/>
      <c r="B210" s="395" t="s">
        <v>6764</v>
      </c>
      <c r="C210" s="395"/>
      <c r="D210" s="11"/>
      <c r="E210" s="460"/>
      <c r="F210" s="460"/>
      <c r="G210" s="460"/>
      <c r="H210" s="157"/>
      <c r="I210" s="157" t="s">
        <v>6759</v>
      </c>
      <c r="J210" s="173"/>
      <c r="K210" s="157" t="s">
        <v>6761</v>
      </c>
      <c r="L210" s="173"/>
      <c r="M210" s="258"/>
      <c r="N210" s="259"/>
      <c r="O210" s="260"/>
      <c r="P210" s="173"/>
      <c r="Q210" s="459"/>
      <c r="R210" s="416"/>
      <c r="S210" s="136"/>
      <c r="T210" s="137"/>
      <c r="U210" s="137"/>
      <c r="V210" s="137"/>
      <c r="W210" s="137"/>
      <c r="X210" s="137"/>
      <c r="Y210" s="212">
        <f t="shared" ref="Y210" si="2372">IF(OR(E207="",J210=""),0,J210&amp;E207)</f>
        <v>0</v>
      </c>
      <c r="Z210" s="212">
        <f>IF(Y210=0,0,COUNTIF($Y$7:Y210,Y210))</f>
        <v>0</v>
      </c>
      <c r="AD210" s="212">
        <f>IFERROR(VLOOKUP(J210,競技会設定!$T$2:$W$22,2,0),0)</f>
        <v>0</v>
      </c>
      <c r="AE210" s="212">
        <f t="shared" ref="AE210" si="2373">IF(E207="",0,IF(AD210=0,0,IF(AD210&lt;3,E207&amp;$AE$6,0)))</f>
        <v>0</v>
      </c>
      <c r="AF210" s="212">
        <f>IF(AE210=0,0,E207&amp;COUNTIF($AE$7:AE210,AE210))</f>
        <v>0</v>
      </c>
      <c r="AG210" s="212">
        <f t="shared" ref="AG210" si="2374">IF(E207="",0,IF(AD210=0,0,IF(AD210&gt;=3,E207&amp;$AG$6,0)))</f>
        <v>0</v>
      </c>
      <c r="AH210" s="212">
        <f>IF(AG210=0,0,E207&amp;COUNTIF($AG$7:AG210,AG210))</f>
        <v>0</v>
      </c>
      <c r="AI210" s="212">
        <f t="shared" ref="AI210" si="2375">IF($AD210=AI$6,$E207,0)</f>
        <v>0</v>
      </c>
      <c r="AJ210" s="212" t="b">
        <f>IF(AI210=0,FALSE,IF(COUNTIF(AI$7:AI210,AI210)&gt;1,TRUE,FALSE))</f>
        <v>0</v>
      </c>
      <c r="AK210" s="212">
        <f t="shared" ref="AK210" si="2376">IF($AD210=AK$6,$E207,0)</f>
        <v>0</v>
      </c>
      <c r="AL210" s="212" t="b">
        <f>IF(AK210=0,FALSE,IF(COUNTIF(AK$7:AK210,AK210)&gt;1,TRUE,FALSE))</f>
        <v>0</v>
      </c>
      <c r="AM210" s="212">
        <f t="shared" ref="AM210" si="2377">IF(COUNTIF(Y210,"*七種*")&gt;0,0,IF($AD210=AM$6,$E207,0))</f>
        <v>0</v>
      </c>
      <c r="AN210" s="212" t="b">
        <f>IF(AM210=0,FALSE,IF(COUNTIF(AM$7:AM210,AM210)&gt;1,TRUE,FALSE))</f>
        <v>0</v>
      </c>
      <c r="AO210" s="212">
        <f t="shared" ref="AO210" si="2378">IF($AD210=AO$6,$E207,0)</f>
        <v>0</v>
      </c>
      <c r="AP210" s="212" t="b">
        <f>IF(AO210=0,FALSE,IF(COUNTIF(AO$7:AO210,AO210)&gt;1,TRUE,FALSE))</f>
        <v>0</v>
      </c>
      <c r="AQ210" s="212">
        <f t="shared" ref="AQ210" si="2379">IF(COUNTIF(Y210,"*七種競技*")&gt;0,E207,0)</f>
        <v>0</v>
      </c>
      <c r="AR210" s="212" t="b">
        <f t="shared" si="2262"/>
        <v>0</v>
      </c>
      <c r="AT210" s="212" t="b">
        <f t="shared" si="2275"/>
        <v>0</v>
      </c>
      <c r="AX210" s="274"/>
      <c r="BD210" s="212" t="b">
        <f t="shared" si="2249"/>
        <v>0</v>
      </c>
      <c r="BF210" s="212" t="b">
        <f t="shared" ref="BF210" si="2380">IF(J210="",FALSE,IF(OR(AND(AU207,L210=""),AND(AU207,L210="",OR(M210&lt;&gt;"",N210&lt;&gt;"",O210&lt;&gt;"",P210&lt;&gt;""))),TRUE,FALSE))</f>
        <v>0</v>
      </c>
      <c r="BG210" s="212" t="b">
        <f t="shared" si="2251"/>
        <v>0</v>
      </c>
      <c r="BH210" s="212" t="b">
        <f t="shared" si="2264"/>
        <v>0</v>
      </c>
      <c r="BI210" s="212" t="b">
        <f t="shared" ref="BI210" si="2381">IF(J210="",FALSE,IF(L210=0,FALSE,IF(AND(AU207,NOT(BF210),OR(M210="",N210="",O210="")),TRUE,FALSE)))</f>
        <v>0</v>
      </c>
      <c r="BJ210" s="231" t="b">
        <f t="shared" si="2266"/>
        <v>0</v>
      </c>
      <c r="BK210" s="231" t="b">
        <f>IF(NOT(BJ210),FALSE,IF(AND(競技会設定!$C$5&lt;=BJ210,BJ210&lt;=競技会設定!$C$6),FALSE,TRUE))</f>
        <v>0</v>
      </c>
      <c r="BL210" s="212" t="b">
        <f>IF(J210="",FALSE,IF(L210=0,FALSE,IF(AND(AU207,NOT(BF210),NOT(BI210),P210=""),TRUE,FALSE)))</f>
        <v>0</v>
      </c>
    </row>
    <row r="211" spans="1:67" ht="18" customHeight="1" thickTop="1">
      <c r="A211" s="461">
        <v>52</v>
      </c>
      <c r="B211" s="373" t="s">
        <v>4018</v>
      </c>
      <c r="C211" s="375"/>
      <c r="D211" s="158" t="str">
        <f t="shared" ref="D211" si="2382">IF(C211="","",502&amp;TEXT(C211,"000000"))</f>
        <v/>
      </c>
      <c r="E211" s="464" t="str">
        <f>IF(D211="","",(VLOOKUP(D211,女子登録!$A$2:$N$2001,3,0)))</f>
        <v/>
      </c>
      <c r="F211" s="464" t="str">
        <f>IF(D211="","",(VLOOKUP(D211,女子登録!$A$2:$N$2001,4,0)))</f>
        <v/>
      </c>
      <c r="G211" s="158" t="str">
        <f>IF(C211="","",(VLOOKUP(D211,女子登録!$A$2:$N$2001,8,0)))</f>
        <v/>
      </c>
      <c r="H211" s="158">
        <f>IFERROR(VLOOKUP(D211,女子登録!$A$2:$N$2001,11,0),基本情報!$E$5)</f>
        <v>0</v>
      </c>
      <c r="I211" s="158" t="s">
        <v>4019</v>
      </c>
      <c r="J211" s="174"/>
      <c r="K211" s="158" t="s">
        <v>4022</v>
      </c>
      <c r="L211" s="174"/>
      <c r="M211" s="261"/>
      <c r="N211" s="262"/>
      <c r="O211" s="263"/>
      <c r="P211" s="174"/>
      <c r="Q211" s="448"/>
      <c r="R211" s="408"/>
      <c r="S211" s="136">
        <f t="shared" ref="S211" si="2383">IF(OR(E211="",Q211=""),0,E211)</f>
        <v>0</v>
      </c>
      <c r="T211" s="137">
        <f>IF(S211=0,0,COUNTIF($S$7:S211,"*"))</f>
        <v>0</v>
      </c>
      <c r="U211" s="137">
        <f>IF(S211=0,0,COUNTIF($S$7:S211,S211))</f>
        <v>0</v>
      </c>
      <c r="V211" s="137">
        <f t="shared" si="1719"/>
        <v>0</v>
      </c>
      <c r="W211" s="137">
        <f>IF(V211=0,0,COUNTIF($V$7:V211,"*"))</f>
        <v>0</v>
      </c>
      <c r="X211" s="137">
        <f>IF(V211=0,0,COUNTIF($V$7:V211,V211))</f>
        <v>0</v>
      </c>
      <c r="Y211" s="212">
        <f t="shared" ref="Y211" si="2384">IF(OR(E211="",J211=""),0,J211&amp;E211)</f>
        <v>0</v>
      </c>
      <c r="Z211" s="212">
        <f>IF(Y211=0,0,COUNTIF($Y$7:Y211,Y211))</f>
        <v>0</v>
      </c>
      <c r="AA211" s="212" t="b">
        <f>IF(COUNTIF(J211:J214,"七種競技")&gt;0,TRUE,FALSE)</f>
        <v>0</v>
      </c>
      <c r="AB211" s="212">
        <f>IF(E211="",0,IF(AA211,COUNTIF($AA$7:AA211,TRUE),0))</f>
        <v>0</v>
      </c>
      <c r="AC211" s="212">
        <f>IFERROR(VLOOKUP("七種競技",J211:L214,3,0),0)</f>
        <v>0</v>
      </c>
      <c r="AD211" s="212">
        <f>IFERROR(VLOOKUP(J211,競技会設定!$T$2:$W$22,2,0),0)</f>
        <v>0</v>
      </c>
      <c r="AE211" s="212">
        <f t="shared" ref="AE211" si="2385">IF(E211="",0,IF(AD211=0,0,IF(AD211&lt;3,E211&amp;$AE$6,0)))</f>
        <v>0</v>
      </c>
      <c r="AF211" s="212">
        <f>IF(AE211=0,0,E211&amp;COUNTIF($AE$7:AE211,AE211))</f>
        <v>0</v>
      </c>
      <c r="AG211" s="212">
        <f t="shared" ref="AG211" si="2386">IF(E211="",0,IF(AD211=0,0,IF(AD211&gt;=3,E211&amp;$AG$6,0)))</f>
        <v>0</v>
      </c>
      <c r="AH211" s="212">
        <f>IF(AG211=0,0,E211&amp;COUNTIF($AG$7:AG211,AG211))</f>
        <v>0</v>
      </c>
      <c r="AI211" s="212">
        <f t="shared" ref="AI211" si="2387">IF($AD211=AI$6,$E211,0)</f>
        <v>0</v>
      </c>
      <c r="AJ211" s="212" t="b">
        <f>IF(AI211=0,FALSE,IF(COUNTIF(AI$7:AI211,AI211)&gt;1,TRUE,FALSE))</f>
        <v>0</v>
      </c>
      <c r="AK211" s="212">
        <f t="shared" ref="AK211" si="2388">IF($AD211=AK$6,$E211,0)</f>
        <v>0</v>
      </c>
      <c r="AL211" s="212" t="b">
        <f>IF(AK211=0,FALSE,IF(COUNTIF(AK$7:AK211,AK211)&gt;1,TRUE,FALSE))</f>
        <v>0</v>
      </c>
      <c r="AM211" s="212">
        <f t="shared" ref="AM211" si="2389">IF(COUNTIF(Y211,"*七種*")&gt;0,0,IF($AD211=AM$6,$E211,0))</f>
        <v>0</v>
      </c>
      <c r="AN211" s="212" t="b">
        <f>IF(AM211=0,FALSE,IF(COUNTIF(AM$7:AM211,AM211)&gt;1,TRUE,FALSE))</f>
        <v>0</v>
      </c>
      <c r="AO211" s="212">
        <f t="shared" ref="AO211" si="2390">IF($AD211=AO$6,$E211,0)</f>
        <v>0</v>
      </c>
      <c r="AP211" s="212" t="b">
        <f>IF(AO211=0,FALSE,IF(COUNTIF(AO$7:AO211,AO211)&gt;1,TRUE,FALSE))</f>
        <v>0</v>
      </c>
      <c r="AQ211" s="212">
        <f t="shared" ref="AQ211" si="2391">IF(COUNTIF(Y211,"*七種競技*")&gt;0,E211,0)</f>
        <v>0</v>
      </c>
      <c r="AR211" s="212" t="b">
        <f t="shared" si="2262"/>
        <v>0</v>
      </c>
      <c r="AS211" s="212" t="b">
        <f t="shared" ref="AS211" si="2392">IF(AND(C211="",E211&lt;&gt;"",F211&lt;&gt;"",E213&lt;&gt;"",G211&lt;&gt;"",G212&lt;&gt;"",G213&lt;&gt;""),TRUE,FALSE)</f>
        <v>0</v>
      </c>
      <c r="AT211" s="212" t="b">
        <f t="shared" si="2275"/>
        <v>0</v>
      </c>
      <c r="AU211" s="212" t="b">
        <f>IFERROR(IF(E211&amp;F211&amp;E213&amp;G211&amp;G212&amp;G213&amp;J211&amp;J212&amp;J213&amp;J214&amp;L211&amp;L212&amp;L213&amp;L214&amp;M211&amp;M212&amp;M213&amp;M214&amp;P211&amp;P212&amp;P213&amp;P214&amp;Q211&amp;R211="",FALSE,TRUE),FALSE)</f>
        <v>0</v>
      </c>
      <c r="AV211" s="212" t="b">
        <f t="shared" ref="AV211" si="2393">IF(AS211,FALSE,IF(C211="",AU211,FALSE))</f>
        <v>0</v>
      </c>
      <c r="AW211" s="212" t="b">
        <f t="shared" ref="AW211" si="2394">IF(C211="",FALSE,IF(C211&lt;=2000,TRUE,FALSE))</f>
        <v>0</v>
      </c>
      <c r="AX211" s="274" t="b">
        <f>IF(H211=0,FALSE,IF(EXACT(基本情報!$E$5,H211)=TRUE,FALSE,TRUE))</f>
        <v>0</v>
      </c>
      <c r="AY211" s="212" t="b">
        <f>IF(C211="",FALSE,IF(ISNA(E211)=TRUE,TRUE,FALSE))</f>
        <v>0</v>
      </c>
      <c r="AZ211" s="274" t="b">
        <f>IFERROR(IF(E211="",FALSE,IF(COUNTIF($E$7:E211,E211)&gt;1,TRUE,FALSE)),FALSE)</f>
        <v>0</v>
      </c>
      <c r="BA211" s="212" t="b">
        <f t="shared" ref="BA211" si="2395">IF(OR(J211&amp;J212&amp;J213&amp;J214&amp;Q211&amp;R211="",AT211,AT212,AT213,AT214),AU211,FALSE)</f>
        <v>0</v>
      </c>
      <c r="BB211" s="212" t="b">
        <f>IF(U211&gt;1,TRUE,FALSE)</f>
        <v>0</v>
      </c>
      <c r="BC211" s="212" t="b">
        <f>IF(X211&gt;1,TRUE,FALSE)</f>
        <v>0</v>
      </c>
      <c r="BD211" s="212" t="b">
        <f t="shared" si="2249"/>
        <v>0</v>
      </c>
      <c r="BF211" s="212" t="b">
        <f t="shared" ref="BF211" si="2396">IF(J211="",FALSE,IF(OR(AND(AU211,L211=""),AND(AU211,L211="",OR(M211&lt;&gt;"",N211&lt;&gt;"",O211&lt;&gt;"",P211&lt;&gt;""))),TRUE,FALSE))</f>
        <v>0</v>
      </c>
      <c r="BG211" s="212" t="b">
        <f t="shared" si="2251"/>
        <v>0</v>
      </c>
      <c r="BH211" s="212" t="b">
        <f t="shared" si="2264"/>
        <v>0</v>
      </c>
      <c r="BI211" s="212" t="b">
        <f t="shared" ref="BI211" si="2397">IF(J211="",FALSE,IF(L211=0,FALSE,IF(AND(AU211,NOT(BF211),OR(M211="",N211="",O211="")),TRUE,FALSE)))</f>
        <v>0</v>
      </c>
      <c r="BJ211" s="231" t="b">
        <f t="shared" si="2266"/>
        <v>0</v>
      </c>
      <c r="BK211" s="231" t="b">
        <f>IF(NOT(BJ211),FALSE,IF(AND(競技会設定!$C$5&lt;=BJ211,BJ211&lt;=競技会設定!$C$6),FALSE,TRUE))</f>
        <v>0</v>
      </c>
      <c r="BL211" s="212" t="b">
        <f>IF(J211="",FALSE,IF(L211=0,FALSE,IF(AND(AU211,NOT(BF211),NOT(BI211),P211=""),TRUE,FALSE)))</f>
        <v>0</v>
      </c>
      <c r="BO211" s="274">
        <f t="shared" ref="BO211" si="2398">IF(AND(AU211,SUM(COUNTIF(AV211:BC211,TRUE),COUNTIF(BF211:BL214,TRUE),COUNTIF(BD211:BD214,TRUE))=0,NOT($BE$7)),1,0)</f>
        <v>0</v>
      </c>
    </row>
    <row r="212" spans="1:67" ht="17.399999999999999" customHeight="1">
      <c r="A212" s="462"/>
      <c r="B212" s="374"/>
      <c r="C212" s="376"/>
      <c r="D212" s="159"/>
      <c r="E212" s="465"/>
      <c r="F212" s="465"/>
      <c r="G212" s="159" t="str">
        <f>IF(C211="","",(VLOOKUP(D211,女子登録!$A$2:$N$2001,13,0)))</f>
        <v/>
      </c>
      <c r="H212" s="159"/>
      <c r="I212" s="159" t="s">
        <v>4020</v>
      </c>
      <c r="J212" s="175"/>
      <c r="K212" s="159" t="s">
        <v>4023</v>
      </c>
      <c r="L212" s="175"/>
      <c r="M212" s="264"/>
      <c r="N212" s="265"/>
      <c r="O212" s="266"/>
      <c r="P212" s="175"/>
      <c r="Q212" s="449"/>
      <c r="R212" s="409"/>
      <c r="S212" s="136"/>
      <c r="T212" s="137"/>
      <c r="U212" s="137"/>
      <c r="V212" s="137"/>
      <c r="W212" s="137"/>
      <c r="X212" s="137"/>
      <c r="Y212" s="212">
        <f t="shared" ref="Y212" si="2399">IF(OR(E211="",J212=""),0,J212&amp;E211)</f>
        <v>0</v>
      </c>
      <c r="Z212" s="212">
        <f>IF(Y212=0,0,COUNTIF($Y$7:Y212,Y212))</f>
        <v>0</v>
      </c>
      <c r="AD212" s="212">
        <f>IFERROR(VLOOKUP(J212,競技会設定!$T$2:$W$22,2,0),0)</f>
        <v>0</v>
      </c>
      <c r="AE212" s="212">
        <f t="shared" ref="AE212" si="2400">IF(E211="",0,IF(AD212=0,0,IF(AD212&lt;3,E211&amp;$AE$6,0)))</f>
        <v>0</v>
      </c>
      <c r="AF212" s="212">
        <f>IF(AE212=0,0,E211&amp;COUNTIF($AE$7:AE212,AE212))</f>
        <v>0</v>
      </c>
      <c r="AG212" s="212">
        <f t="shared" ref="AG212" si="2401">IF(E211="",0,IF(AD212=0,0,IF(AD212&gt;=3,E211&amp;$AG$6,0)))</f>
        <v>0</v>
      </c>
      <c r="AH212" s="212">
        <f>IF(AG212=0,0,E211&amp;COUNTIF($AG$7:AG212,AG212))</f>
        <v>0</v>
      </c>
      <c r="AI212" s="212">
        <f t="shared" ref="AI212" si="2402">IF($AD212=AI$6,$E211,0)</f>
        <v>0</v>
      </c>
      <c r="AJ212" s="212" t="b">
        <f>IF(AI212=0,FALSE,IF(COUNTIF(AI$7:AI212,AI212)&gt;1,TRUE,FALSE))</f>
        <v>0</v>
      </c>
      <c r="AK212" s="212">
        <f t="shared" ref="AK212" si="2403">IF($AD212=AK$6,$E211,0)</f>
        <v>0</v>
      </c>
      <c r="AL212" s="212" t="b">
        <f>IF(AK212=0,FALSE,IF(COUNTIF(AK$7:AK212,AK212)&gt;1,TRUE,FALSE))</f>
        <v>0</v>
      </c>
      <c r="AM212" s="212">
        <f t="shared" ref="AM212" si="2404">IF(COUNTIF(Y212,"*七種*")&gt;0,0,IF($AD212=AM$6,$E211,0))</f>
        <v>0</v>
      </c>
      <c r="AN212" s="212" t="b">
        <f>IF(AM212=0,FALSE,IF(COUNTIF(AM$7:AM212,AM212)&gt;1,TRUE,FALSE))</f>
        <v>0</v>
      </c>
      <c r="AO212" s="212">
        <f t="shared" ref="AO212" si="2405">IF($AD212=AO$6,$E211,0)</f>
        <v>0</v>
      </c>
      <c r="AP212" s="212" t="b">
        <f>IF(AO212=0,FALSE,IF(COUNTIF(AO$7:AO212,AO212)&gt;1,TRUE,FALSE))</f>
        <v>0</v>
      </c>
      <c r="AQ212" s="212">
        <f t="shared" ref="AQ212" si="2406">IF(COUNTIF(Y212,"*七種競技*")&gt;0,E211,0)</f>
        <v>0</v>
      </c>
      <c r="AR212" s="212" t="b">
        <f t="shared" si="2262"/>
        <v>0</v>
      </c>
      <c r="AT212" s="212" t="b">
        <f t="shared" si="2275"/>
        <v>0</v>
      </c>
      <c r="AX212" s="274"/>
      <c r="BD212" s="212" t="b">
        <f t="shared" si="2249"/>
        <v>0</v>
      </c>
      <c r="BF212" s="212" t="b">
        <f t="shared" ref="BF212" si="2407">IF(J212="",FALSE,IF(OR(AND(AU211,L212=""),AND(AU211,L212="",OR(M212&lt;&gt;"",N212&lt;&gt;"",O212&lt;&gt;"",P212&lt;&gt;""))),TRUE,FALSE))</f>
        <v>0</v>
      </c>
      <c r="BG212" s="212" t="b">
        <f t="shared" si="2251"/>
        <v>0</v>
      </c>
      <c r="BH212" s="212" t="b">
        <f t="shared" si="2264"/>
        <v>0</v>
      </c>
      <c r="BI212" s="212" t="b">
        <f t="shared" ref="BI212" si="2408">IF(J212="",FALSE,IF(L212=0,FALSE,IF(AND(AU211,NOT(BF212),OR(M212="",N212="",O212="")),TRUE,FALSE)))</f>
        <v>0</v>
      </c>
      <c r="BJ212" s="231" t="b">
        <f t="shared" si="2266"/>
        <v>0</v>
      </c>
      <c r="BK212" s="231" t="b">
        <f>IF(NOT(BJ212),FALSE,IF(AND(競技会設定!$C$5&lt;=BJ212,BJ212&lt;=競技会設定!$C$6),FALSE,TRUE))</f>
        <v>0</v>
      </c>
      <c r="BL212" s="212" t="b">
        <f>IF(J212="",FALSE,IF(L212=0,FALSE,IF(AND(AU211,NOT(BF212),NOT(BI212),P212=""),TRUE,FALSE)))</f>
        <v>0</v>
      </c>
    </row>
    <row r="213" spans="1:67" ht="17.399999999999999" customHeight="1">
      <c r="A213" s="462"/>
      <c r="B213" s="374"/>
      <c r="C213" s="376"/>
      <c r="D213" s="160"/>
      <c r="E213" s="452" t="str">
        <f>IF(C211="","",VLOOKUP(D211,女子登録!$A$2:$O$2001,14,0)&amp;" ("&amp;VLOOKUP(D211,女子登録!$A$2:$O$2001,15,0)&amp;")")</f>
        <v/>
      </c>
      <c r="F213" s="453"/>
      <c r="G213" s="160" t="str">
        <f>IF(C211="","",(VLOOKUP(D211,女子登録!$A$2:$N$2001,9,0)))</f>
        <v/>
      </c>
      <c r="H213" s="160"/>
      <c r="I213" s="160" t="s">
        <v>4021</v>
      </c>
      <c r="J213" s="176"/>
      <c r="K213" s="160" t="s">
        <v>6760</v>
      </c>
      <c r="L213" s="176"/>
      <c r="M213" s="264"/>
      <c r="N213" s="265"/>
      <c r="O213" s="266"/>
      <c r="P213" s="175"/>
      <c r="Q213" s="449"/>
      <c r="R213" s="409"/>
      <c r="S213" s="136"/>
      <c r="T213" s="137"/>
      <c r="U213" s="137"/>
      <c r="V213" s="137"/>
      <c r="W213" s="137"/>
      <c r="X213" s="137"/>
      <c r="Y213" s="212">
        <f t="shared" ref="Y213" si="2409">IF(OR(E211="",J213=""),0,J213&amp;E211)</f>
        <v>0</v>
      </c>
      <c r="Z213" s="212">
        <f>IF(Y213=0,0,COUNTIF($Y$7:Y213,Y213))</f>
        <v>0</v>
      </c>
      <c r="AD213" s="212">
        <f>IFERROR(VLOOKUP(J213,競技会設定!$T$2:$W$22,2,0),0)</f>
        <v>0</v>
      </c>
      <c r="AE213" s="212">
        <f t="shared" ref="AE213" si="2410">IF(E211="",0,IF(AD213=0,0,IF(AD213&lt;3,E211&amp;$AE$6,0)))</f>
        <v>0</v>
      </c>
      <c r="AF213" s="212">
        <f>IF(AE213=0,0,E211&amp;COUNTIF($AE$7:AE213,AE213))</f>
        <v>0</v>
      </c>
      <c r="AG213" s="212">
        <f t="shared" ref="AG213" si="2411">IF(E211="",0,IF(AD213=0,0,IF(AD213&gt;=3,E211&amp;$AG$6,0)))</f>
        <v>0</v>
      </c>
      <c r="AH213" s="212">
        <f>IF(AG213=0,0,E211&amp;COUNTIF($AG$7:AG213,AG213))</f>
        <v>0</v>
      </c>
      <c r="AI213" s="212">
        <f t="shared" ref="AI213" si="2412">IF($AD213=AI$6,$E211,0)</f>
        <v>0</v>
      </c>
      <c r="AJ213" s="212" t="b">
        <f>IF(AI213=0,FALSE,IF(COUNTIF(AI$7:AI213,AI213)&gt;1,TRUE,FALSE))</f>
        <v>0</v>
      </c>
      <c r="AK213" s="212">
        <f t="shared" ref="AK213" si="2413">IF($AD213=AK$6,$E211,0)</f>
        <v>0</v>
      </c>
      <c r="AL213" s="212" t="b">
        <f>IF(AK213=0,FALSE,IF(COUNTIF(AK$7:AK213,AK213)&gt;1,TRUE,FALSE))</f>
        <v>0</v>
      </c>
      <c r="AM213" s="212">
        <f t="shared" ref="AM213" si="2414">IF(COUNTIF(Y213,"*七種*")&gt;0,0,IF($AD213=AM$6,$E211,0))</f>
        <v>0</v>
      </c>
      <c r="AN213" s="212" t="b">
        <f>IF(AM213=0,FALSE,IF(COUNTIF(AM$7:AM213,AM213)&gt;1,TRUE,FALSE))</f>
        <v>0</v>
      </c>
      <c r="AO213" s="212">
        <f t="shared" ref="AO213" si="2415">IF($AD213=AO$6,$E211,0)</f>
        <v>0</v>
      </c>
      <c r="AP213" s="212" t="b">
        <f>IF(AO213=0,FALSE,IF(COUNTIF(AO$7:AO213,AO213)&gt;1,TRUE,FALSE))</f>
        <v>0</v>
      </c>
      <c r="AQ213" s="212">
        <f t="shared" ref="AQ213" si="2416">IF(COUNTIF(Y213,"*七種競技*")&gt;0,E211,0)</f>
        <v>0</v>
      </c>
      <c r="AR213" s="212" t="b">
        <f t="shared" si="2262"/>
        <v>0</v>
      </c>
      <c r="AT213" s="212" t="b">
        <f t="shared" si="2275"/>
        <v>0</v>
      </c>
      <c r="AX213" s="274"/>
      <c r="BD213" s="212" t="b">
        <f t="shared" si="2249"/>
        <v>0</v>
      </c>
      <c r="BF213" s="212" t="b">
        <f t="shared" ref="BF213" si="2417">IF(J213="",FALSE,IF(OR(AND(AU211,L213=""),AND(AU211,L213="",OR(M213&lt;&gt;"",N213&lt;&gt;"",O213&lt;&gt;"",P213&lt;&gt;""))),TRUE,FALSE))</f>
        <v>0</v>
      </c>
      <c r="BG213" s="212" t="b">
        <f t="shared" si="2251"/>
        <v>0</v>
      </c>
      <c r="BH213" s="212" t="b">
        <f t="shared" si="2264"/>
        <v>0</v>
      </c>
      <c r="BI213" s="212" t="b">
        <f t="shared" ref="BI213" si="2418">IF(J213="",FALSE,IF(L213=0,FALSE,IF(AND(AU211,NOT(BF213),OR(M213="",N213="",O213="")),TRUE,FALSE)))</f>
        <v>0</v>
      </c>
      <c r="BJ213" s="231" t="b">
        <f t="shared" si="2266"/>
        <v>0</v>
      </c>
      <c r="BK213" s="231" t="b">
        <f>IF(NOT(BJ213),FALSE,IF(AND(競技会設定!$C$5&lt;=BJ213,BJ213&lt;=競技会設定!$C$6),FALSE,TRUE))</f>
        <v>0</v>
      </c>
      <c r="BL213" s="212" t="b">
        <f>IF(J213="",FALSE,IF(L213=0,FALSE,IF(AND(AU211,NOT(BF213),NOT(BI213),P213=""),TRUE,FALSE)))</f>
        <v>0</v>
      </c>
    </row>
    <row r="214" spans="1:67" ht="18" customHeight="1" thickBot="1">
      <c r="A214" s="475"/>
      <c r="B214" s="387" t="s">
        <v>6764</v>
      </c>
      <c r="C214" s="387"/>
      <c r="D214" s="161"/>
      <c r="E214" s="467"/>
      <c r="F214" s="468"/>
      <c r="G214" s="469"/>
      <c r="H214" s="162"/>
      <c r="I214" s="161" t="s">
        <v>6759</v>
      </c>
      <c r="J214" s="177"/>
      <c r="K214" s="161" t="s">
        <v>6761</v>
      </c>
      <c r="L214" s="177"/>
      <c r="M214" s="267"/>
      <c r="N214" s="268"/>
      <c r="O214" s="269"/>
      <c r="P214" s="177"/>
      <c r="Q214" s="466"/>
      <c r="R214" s="410"/>
      <c r="S214" s="136"/>
      <c r="T214" s="137"/>
      <c r="U214" s="137"/>
      <c r="V214" s="137"/>
      <c r="W214" s="137"/>
      <c r="X214" s="137"/>
      <c r="Y214" s="212">
        <f t="shared" ref="Y214" si="2419">IF(OR(E211="",J214=""),0,J214&amp;E211)</f>
        <v>0</v>
      </c>
      <c r="Z214" s="212">
        <f>IF(Y214=0,0,COUNTIF($Y$7:Y214,Y214))</f>
        <v>0</v>
      </c>
      <c r="AD214" s="212">
        <f>IFERROR(VLOOKUP(J214,競技会設定!$T$2:$W$22,2,0),0)</f>
        <v>0</v>
      </c>
      <c r="AE214" s="212">
        <f t="shared" ref="AE214" si="2420">IF(E211="",0,IF(AD214=0,0,IF(AD214&lt;3,E211&amp;$AE$6,0)))</f>
        <v>0</v>
      </c>
      <c r="AF214" s="212">
        <f>IF(AE214=0,0,E211&amp;COUNTIF($AE$7:AE214,AE214))</f>
        <v>0</v>
      </c>
      <c r="AG214" s="212">
        <f t="shared" ref="AG214" si="2421">IF(E211="",0,IF(AD214=0,0,IF(AD214&gt;=3,E211&amp;$AG$6,0)))</f>
        <v>0</v>
      </c>
      <c r="AH214" s="212">
        <f>IF(AG214=0,0,E211&amp;COUNTIF($AG$7:AG214,AG214))</f>
        <v>0</v>
      </c>
      <c r="AI214" s="212">
        <f t="shared" ref="AI214" si="2422">IF($AD214=AI$6,$E211,0)</f>
        <v>0</v>
      </c>
      <c r="AJ214" s="212" t="b">
        <f>IF(AI214=0,FALSE,IF(COUNTIF(AI$7:AI214,AI214)&gt;1,TRUE,FALSE))</f>
        <v>0</v>
      </c>
      <c r="AK214" s="212">
        <f t="shared" ref="AK214" si="2423">IF($AD214=AK$6,$E211,0)</f>
        <v>0</v>
      </c>
      <c r="AL214" s="212" t="b">
        <f>IF(AK214=0,FALSE,IF(COUNTIF(AK$7:AK214,AK214)&gt;1,TRUE,FALSE))</f>
        <v>0</v>
      </c>
      <c r="AM214" s="212">
        <f t="shared" ref="AM214" si="2424">IF(COUNTIF(Y214,"*七種*")&gt;0,0,IF($AD214=AM$6,$E211,0))</f>
        <v>0</v>
      </c>
      <c r="AN214" s="212" t="b">
        <f>IF(AM214=0,FALSE,IF(COUNTIF(AM$7:AM214,AM214)&gt;1,TRUE,FALSE))</f>
        <v>0</v>
      </c>
      <c r="AO214" s="212">
        <f t="shared" ref="AO214" si="2425">IF($AD214=AO$6,$E211,0)</f>
        <v>0</v>
      </c>
      <c r="AP214" s="212" t="b">
        <f>IF(AO214=0,FALSE,IF(COUNTIF(AO$7:AO214,AO214)&gt;1,TRUE,FALSE))</f>
        <v>0</v>
      </c>
      <c r="AQ214" s="212">
        <f t="shared" ref="AQ214" si="2426">IF(COUNTIF(Y214,"*七種競技*")&gt;0,E211,0)</f>
        <v>0</v>
      </c>
      <c r="AR214" s="212" t="b">
        <f t="shared" si="2262"/>
        <v>0</v>
      </c>
      <c r="AT214" s="212" t="b">
        <f t="shared" si="2275"/>
        <v>0</v>
      </c>
      <c r="AX214" s="274"/>
      <c r="BD214" s="212" t="b">
        <f t="shared" si="2249"/>
        <v>0</v>
      </c>
      <c r="BF214" s="212" t="b">
        <f t="shared" ref="BF214" si="2427">IF(J214="",FALSE,IF(OR(AND(AU211,L214=""),AND(AU211,L214="",OR(M214&lt;&gt;"",N214&lt;&gt;"",O214&lt;&gt;"",P214&lt;&gt;""))),TRUE,FALSE))</f>
        <v>0</v>
      </c>
      <c r="BG214" s="212" t="b">
        <f t="shared" si="2251"/>
        <v>0</v>
      </c>
      <c r="BH214" s="212" t="b">
        <f t="shared" si="2264"/>
        <v>0</v>
      </c>
      <c r="BI214" s="212" t="b">
        <f t="shared" ref="BI214" si="2428">IF(J214="",FALSE,IF(L214=0,FALSE,IF(AND(AU211,NOT(BF214),OR(M214="",N214="",O214="")),TRUE,FALSE)))</f>
        <v>0</v>
      </c>
      <c r="BJ214" s="231" t="b">
        <f t="shared" si="2266"/>
        <v>0</v>
      </c>
      <c r="BK214" s="231" t="b">
        <f>IF(NOT(BJ214),FALSE,IF(AND(競技会設定!$C$5&lt;=BJ214,BJ214&lt;=競技会設定!$C$6),FALSE,TRUE))</f>
        <v>0</v>
      </c>
      <c r="BL214" s="212" t="b">
        <f>IF(J214="",FALSE,IF(L214=0,FALSE,IF(AND(AU211,NOT(BF214),NOT(BI214),P214=""),TRUE,FALSE)))</f>
        <v>0</v>
      </c>
    </row>
    <row r="215" spans="1:67" ht="18" customHeight="1" thickTop="1">
      <c r="A215" s="470">
        <v>53</v>
      </c>
      <c r="B215" s="401" t="s">
        <v>4018</v>
      </c>
      <c r="C215" s="403"/>
      <c r="D215" s="156" t="str">
        <f t="shared" ref="D215" si="2429">IF(C215="","",502&amp;TEXT(C215,"000000"))</f>
        <v/>
      </c>
      <c r="E215" s="473" t="str">
        <f>IF(D215="","",(VLOOKUP(D215,女子登録!$A$2:$N$2001,3,0)))</f>
        <v/>
      </c>
      <c r="F215" s="473" t="str">
        <f>IF(D215="","",(VLOOKUP(D215,女子登録!$A$2:$N$2001,4,0)))</f>
        <v/>
      </c>
      <c r="G215" s="156" t="str">
        <f>IF(C215="","",(VLOOKUP(D215,女子登録!$A$2:$N$2001,8,0)))</f>
        <v/>
      </c>
      <c r="H215" s="156">
        <f>IFERROR(VLOOKUP(D215,女子登録!$A$2:$N$2001,11,0),基本情報!$E$5)</f>
        <v>0</v>
      </c>
      <c r="I215" s="156" t="s">
        <v>4019</v>
      </c>
      <c r="J215" s="170"/>
      <c r="K215" s="156" t="s">
        <v>4022</v>
      </c>
      <c r="L215" s="170"/>
      <c r="M215" s="252"/>
      <c r="N215" s="253"/>
      <c r="O215" s="254"/>
      <c r="P215" s="170"/>
      <c r="Q215" s="457"/>
      <c r="R215" s="414"/>
      <c r="S215" s="136">
        <f t="shared" ref="S215" si="2430">IF(OR(E215="",Q215=""),0,E215)</f>
        <v>0</v>
      </c>
      <c r="T215" s="137">
        <f>IF(S215=0,0,COUNTIF($S$7:S215,"*"))</f>
        <v>0</v>
      </c>
      <c r="U215" s="137">
        <f>IF(S215=0,0,COUNTIF($S$7:S215,S215))</f>
        <v>0</v>
      </c>
      <c r="V215" s="137">
        <f t="shared" si="1719"/>
        <v>0</v>
      </c>
      <c r="W215" s="137">
        <f>IF(V215=0,0,COUNTIF($V$7:V215,"*"))</f>
        <v>0</v>
      </c>
      <c r="X215" s="137">
        <f>IF(V215=0,0,COUNTIF($V$7:V215,V215))</f>
        <v>0</v>
      </c>
      <c r="Y215" s="212">
        <f t="shared" ref="Y215" si="2431">IF(OR(E215="",J215=""),0,J215&amp;E215)</f>
        <v>0</v>
      </c>
      <c r="Z215" s="212">
        <f>IF(Y215=0,0,COUNTIF($Y$7:Y215,Y215))</f>
        <v>0</v>
      </c>
      <c r="AA215" s="212" t="b">
        <f>IF(COUNTIF(J215:J218,"七種競技")&gt;0,TRUE,FALSE)</f>
        <v>0</v>
      </c>
      <c r="AB215" s="212">
        <f>IF(E215="",0,IF(AA215,COUNTIF($AA$7:AA215,TRUE),0))</f>
        <v>0</v>
      </c>
      <c r="AC215" s="212">
        <f>IFERROR(VLOOKUP("七種競技",J215:L218,3,0),0)</f>
        <v>0</v>
      </c>
      <c r="AD215" s="212">
        <f>IFERROR(VLOOKUP(J215,競技会設定!$T$2:$W$22,2,0),0)</f>
        <v>0</v>
      </c>
      <c r="AE215" s="212">
        <f t="shared" ref="AE215" si="2432">IF(E215="",0,IF(AD215=0,0,IF(AD215&lt;3,E215&amp;$AE$6,0)))</f>
        <v>0</v>
      </c>
      <c r="AF215" s="212">
        <f>IF(AE215=0,0,E215&amp;COUNTIF($AE$7:AE215,AE215))</f>
        <v>0</v>
      </c>
      <c r="AG215" s="212">
        <f t="shared" ref="AG215" si="2433">IF(E215="",0,IF(AD215=0,0,IF(AD215&gt;=3,E215&amp;$AG$6,0)))</f>
        <v>0</v>
      </c>
      <c r="AH215" s="212">
        <f>IF(AG215=0,0,E215&amp;COUNTIF($AG$7:AG215,AG215))</f>
        <v>0</v>
      </c>
      <c r="AI215" s="212">
        <f t="shared" ref="AI215" si="2434">IF($AD215=AI$6,$E215,0)</f>
        <v>0</v>
      </c>
      <c r="AJ215" s="212" t="b">
        <f>IF(AI215=0,FALSE,IF(COUNTIF(AI$7:AI215,AI215)&gt;1,TRUE,FALSE))</f>
        <v>0</v>
      </c>
      <c r="AK215" s="212">
        <f t="shared" ref="AK215" si="2435">IF($AD215=AK$6,$E215,0)</f>
        <v>0</v>
      </c>
      <c r="AL215" s="212" t="b">
        <f>IF(AK215=0,FALSE,IF(COUNTIF(AK$7:AK215,AK215)&gt;1,TRUE,FALSE))</f>
        <v>0</v>
      </c>
      <c r="AM215" s="212">
        <f t="shared" ref="AM215" si="2436">IF(COUNTIF(Y215,"*七種*")&gt;0,0,IF($AD215=AM$6,$E215,0))</f>
        <v>0</v>
      </c>
      <c r="AN215" s="212" t="b">
        <f>IF(AM215=0,FALSE,IF(COUNTIF(AM$7:AM215,AM215)&gt;1,TRUE,FALSE))</f>
        <v>0</v>
      </c>
      <c r="AO215" s="212">
        <f t="shared" ref="AO215" si="2437">IF($AD215=AO$6,$E215,0)</f>
        <v>0</v>
      </c>
      <c r="AP215" s="212" t="b">
        <f>IF(AO215=0,FALSE,IF(COUNTIF(AO$7:AO215,AO215)&gt;1,TRUE,FALSE))</f>
        <v>0</v>
      </c>
      <c r="AQ215" s="212">
        <f t="shared" ref="AQ215" si="2438">IF(COUNTIF(Y215,"*七種競技*")&gt;0,E215,0)</f>
        <v>0</v>
      </c>
      <c r="AR215" s="212" t="b">
        <f t="shared" si="2262"/>
        <v>0</v>
      </c>
      <c r="AS215" s="212" t="b">
        <f t="shared" ref="AS215" si="2439">IF(AND(C215="",E215&lt;&gt;"",F215&lt;&gt;"",E217&lt;&gt;"",G215&lt;&gt;"",G216&lt;&gt;"",G217&lt;&gt;""),TRUE,FALSE)</f>
        <v>0</v>
      </c>
      <c r="AT215" s="212" t="b">
        <f t="shared" si="2275"/>
        <v>0</v>
      </c>
      <c r="AU215" s="212" t="b">
        <f>IFERROR(IF(E215&amp;F215&amp;E217&amp;G215&amp;G216&amp;G217&amp;J215&amp;J216&amp;J217&amp;J218&amp;L215&amp;L216&amp;L217&amp;L218&amp;M215&amp;M216&amp;M217&amp;M218&amp;P215&amp;P216&amp;P217&amp;P218&amp;Q215&amp;R215="",FALSE,TRUE),FALSE)</f>
        <v>0</v>
      </c>
      <c r="AV215" s="212" t="b">
        <f t="shared" ref="AV215" si="2440">IF(AS215,FALSE,IF(C215="",AU215,FALSE))</f>
        <v>0</v>
      </c>
      <c r="AW215" s="212" t="b">
        <f t="shared" ref="AW215" si="2441">IF(C215="",FALSE,IF(C215&lt;=2000,TRUE,FALSE))</f>
        <v>0</v>
      </c>
      <c r="AX215" s="274" t="b">
        <f>IF(H215=0,FALSE,IF(EXACT(基本情報!$E$5,H215)=TRUE,FALSE,TRUE))</f>
        <v>0</v>
      </c>
      <c r="AY215" s="212" t="b">
        <f>IF(C215="",FALSE,IF(ISNA(E215)=TRUE,TRUE,FALSE))</f>
        <v>0</v>
      </c>
      <c r="AZ215" s="274" t="b">
        <f>IFERROR(IF(E215="",FALSE,IF(COUNTIF($E$7:E215,E215)&gt;1,TRUE,FALSE)),FALSE)</f>
        <v>0</v>
      </c>
      <c r="BA215" s="212" t="b">
        <f t="shared" ref="BA215" si="2442">IF(OR(J215&amp;J216&amp;J217&amp;J218&amp;Q215&amp;R215="",AT215,AT216,AT217,AT218),AU215,FALSE)</f>
        <v>0</v>
      </c>
      <c r="BB215" s="212" t="b">
        <f>IF(U215&gt;1,TRUE,FALSE)</f>
        <v>0</v>
      </c>
      <c r="BC215" s="212" t="b">
        <f>IF(X215&gt;1,TRUE,FALSE)</f>
        <v>0</v>
      </c>
      <c r="BD215" s="212" t="b">
        <f t="shared" si="2249"/>
        <v>0</v>
      </c>
      <c r="BF215" s="212" t="b">
        <f t="shared" ref="BF215" si="2443">IF(J215="",FALSE,IF(OR(AND(AU215,L215=""),AND(AU215,L215="",OR(M215&lt;&gt;"",N215&lt;&gt;"",O215&lt;&gt;"",P215&lt;&gt;""))),TRUE,FALSE))</f>
        <v>0</v>
      </c>
      <c r="BG215" s="212" t="b">
        <f t="shared" si="2251"/>
        <v>0</v>
      </c>
      <c r="BH215" s="212" t="b">
        <f t="shared" si="2264"/>
        <v>0</v>
      </c>
      <c r="BI215" s="212" t="b">
        <f t="shared" ref="BI215" si="2444">IF(J215="",FALSE,IF(L215=0,FALSE,IF(AND(AU215,NOT(BF215),OR(M215="",N215="",O215="")),TRUE,FALSE)))</f>
        <v>0</v>
      </c>
      <c r="BJ215" s="231" t="b">
        <f t="shared" si="2266"/>
        <v>0</v>
      </c>
      <c r="BK215" s="231" t="b">
        <f>IF(NOT(BJ215),FALSE,IF(AND(競技会設定!$C$5&lt;=BJ215,BJ215&lt;=競技会設定!$C$6),FALSE,TRUE))</f>
        <v>0</v>
      </c>
      <c r="BL215" s="212" t="b">
        <f>IF(J215="",FALSE,IF(L215=0,FALSE,IF(AND(AU215,NOT(BF215),NOT(BI215),P215=""),TRUE,FALSE)))</f>
        <v>0</v>
      </c>
      <c r="BO215" s="274">
        <f t="shared" ref="BO215" si="2445">IF(AND(AU215,SUM(COUNTIF(AV215:BC215,TRUE),COUNTIF(BF215:BL218,TRUE),COUNTIF(BD215:BD218,TRUE))=0,NOT($BE$7)),1,0)</f>
        <v>0</v>
      </c>
    </row>
    <row r="216" spans="1:67" ht="17.399999999999999" customHeight="1">
      <c r="A216" s="471"/>
      <c r="B216" s="402"/>
      <c r="C216" s="404"/>
      <c r="D216" s="11"/>
      <c r="E216" s="474"/>
      <c r="F216" s="474"/>
      <c r="G216" s="11" t="str">
        <f>IF(C215="","",(VLOOKUP(D215,女子登録!$A$2:$N$2001,13,0)))</f>
        <v/>
      </c>
      <c r="H216" s="11"/>
      <c r="I216" s="11" t="s">
        <v>4020</v>
      </c>
      <c r="J216" s="171"/>
      <c r="K216" s="11" t="s">
        <v>4023</v>
      </c>
      <c r="L216" s="171"/>
      <c r="M216" s="255"/>
      <c r="N216" s="256"/>
      <c r="O216" s="257"/>
      <c r="P216" s="171"/>
      <c r="Q216" s="458"/>
      <c r="R216" s="415"/>
      <c r="S216" s="136"/>
      <c r="T216" s="137"/>
      <c r="U216" s="137"/>
      <c r="V216" s="137"/>
      <c r="W216" s="137"/>
      <c r="X216" s="137"/>
      <c r="Y216" s="212">
        <f t="shared" ref="Y216" si="2446">IF(OR(E215="",J216=""),0,J216&amp;E215)</f>
        <v>0</v>
      </c>
      <c r="Z216" s="212">
        <f>IF(Y216=0,0,COUNTIF($Y$7:Y216,Y216))</f>
        <v>0</v>
      </c>
      <c r="AD216" s="212">
        <f>IFERROR(VLOOKUP(J216,競技会設定!$T$2:$W$22,2,0),0)</f>
        <v>0</v>
      </c>
      <c r="AE216" s="212">
        <f t="shared" ref="AE216" si="2447">IF(E215="",0,IF(AD216=0,0,IF(AD216&lt;3,E215&amp;$AE$6,0)))</f>
        <v>0</v>
      </c>
      <c r="AF216" s="212">
        <f>IF(AE216=0,0,E215&amp;COUNTIF($AE$7:AE216,AE216))</f>
        <v>0</v>
      </c>
      <c r="AG216" s="212">
        <f t="shared" ref="AG216" si="2448">IF(E215="",0,IF(AD216=0,0,IF(AD216&gt;=3,E215&amp;$AG$6,0)))</f>
        <v>0</v>
      </c>
      <c r="AH216" s="212">
        <f>IF(AG216=0,0,E215&amp;COUNTIF($AG$7:AG216,AG216))</f>
        <v>0</v>
      </c>
      <c r="AI216" s="212">
        <f t="shared" ref="AI216" si="2449">IF($AD216=AI$6,$E215,0)</f>
        <v>0</v>
      </c>
      <c r="AJ216" s="212" t="b">
        <f>IF(AI216=0,FALSE,IF(COUNTIF(AI$7:AI216,AI216)&gt;1,TRUE,FALSE))</f>
        <v>0</v>
      </c>
      <c r="AK216" s="212">
        <f t="shared" ref="AK216" si="2450">IF($AD216=AK$6,$E215,0)</f>
        <v>0</v>
      </c>
      <c r="AL216" s="212" t="b">
        <f>IF(AK216=0,FALSE,IF(COUNTIF(AK$7:AK216,AK216)&gt;1,TRUE,FALSE))</f>
        <v>0</v>
      </c>
      <c r="AM216" s="212">
        <f t="shared" ref="AM216" si="2451">IF(COUNTIF(Y216,"*七種*")&gt;0,0,IF($AD216=AM$6,$E215,0))</f>
        <v>0</v>
      </c>
      <c r="AN216" s="212" t="b">
        <f>IF(AM216=0,FALSE,IF(COUNTIF(AM$7:AM216,AM216)&gt;1,TRUE,FALSE))</f>
        <v>0</v>
      </c>
      <c r="AO216" s="212">
        <f t="shared" ref="AO216" si="2452">IF($AD216=AO$6,$E215,0)</f>
        <v>0</v>
      </c>
      <c r="AP216" s="212" t="b">
        <f>IF(AO216=0,FALSE,IF(COUNTIF(AO$7:AO216,AO216)&gt;1,TRUE,FALSE))</f>
        <v>0</v>
      </c>
      <c r="AQ216" s="212">
        <f t="shared" ref="AQ216" si="2453">IF(COUNTIF(Y216,"*七種競技*")&gt;0,E215,0)</f>
        <v>0</v>
      </c>
      <c r="AR216" s="212" t="b">
        <f t="shared" si="2262"/>
        <v>0</v>
      </c>
      <c r="AT216" s="212" t="b">
        <f t="shared" si="2275"/>
        <v>0</v>
      </c>
      <c r="AX216" s="274"/>
      <c r="BD216" s="212" t="b">
        <f t="shared" si="2249"/>
        <v>0</v>
      </c>
      <c r="BF216" s="212" t="b">
        <f t="shared" ref="BF216" si="2454">IF(J216="",FALSE,IF(OR(AND(AU215,L216=""),AND(AU215,L216="",OR(M216&lt;&gt;"",N216&lt;&gt;"",O216&lt;&gt;"",P216&lt;&gt;""))),TRUE,FALSE))</f>
        <v>0</v>
      </c>
      <c r="BG216" s="212" t="b">
        <f t="shared" si="2251"/>
        <v>0</v>
      </c>
      <c r="BH216" s="212" t="b">
        <f t="shared" si="2264"/>
        <v>0</v>
      </c>
      <c r="BI216" s="212" t="b">
        <f t="shared" ref="BI216" si="2455">IF(J216="",FALSE,IF(L216=0,FALSE,IF(AND(AU215,NOT(BF216),OR(M216="",N216="",O216="")),TRUE,FALSE)))</f>
        <v>0</v>
      </c>
      <c r="BJ216" s="231" t="b">
        <f t="shared" si="2266"/>
        <v>0</v>
      </c>
      <c r="BK216" s="231" t="b">
        <f>IF(NOT(BJ216),FALSE,IF(AND(競技会設定!$C$5&lt;=BJ216,BJ216&lt;=競技会設定!$C$6),FALSE,TRUE))</f>
        <v>0</v>
      </c>
      <c r="BL216" s="212" t="b">
        <f>IF(J216="",FALSE,IF(L216=0,FALSE,IF(AND(AU215,NOT(BF216),NOT(BI216),P216=""),TRUE,FALSE)))</f>
        <v>0</v>
      </c>
    </row>
    <row r="217" spans="1:67" ht="17.399999999999999" customHeight="1">
      <c r="A217" s="471"/>
      <c r="B217" s="402"/>
      <c r="C217" s="404"/>
      <c r="D217" s="11"/>
      <c r="E217" s="348" t="str">
        <f>IF(C215="","",VLOOKUP(D215,女子登録!$A$2:$O$2001,14,0)&amp;" ("&amp;VLOOKUP(D215,女子登録!$A$2:$O$2001,15,0)&amp;")")</f>
        <v/>
      </c>
      <c r="F217" s="348"/>
      <c r="G217" s="13" t="str">
        <f>IF(C215="","",(VLOOKUP(D215,女子登録!$A$2:$N$2001,9,0)))</f>
        <v/>
      </c>
      <c r="H217" s="13"/>
      <c r="I217" s="13" t="s">
        <v>4021</v>
      </c>
      <c r="J217" s="172"/>
      <c r="K217" s="13" t="s">
        <v>6760</v>
      </c>
      <c r="L217" s="172"/>
      <c r="M217" s="255"/>
      <c r="N217" s="256"/>
      <c r="O217" s="257"/>
      <c r="P217" s="171"/>
      <c r="Q217" s="458"/>
      <c r="R217" s="415"/>
      <c r="S217" s="136"/>
      <c r="T217" s="137"/>
      <c r="U217" s="137"/>
      <c r="V217" s="137"/>
      <c r="W217" s="137"/>
      <c r="X217" s="137"/>
      <c r="Y217" s="212">
        <f t="shared" ref="Y217" si="2456">IF(OR(E215="",J217=""),0,J217&amp;E215)</f>
        <v>0</v>
      </c>
      <c r="Z217" s="212">
        <f>IF(Y217=0,0,COUNTIF($Y$7:Y217,Y217))</f>
        <v>0</v>
      </c>
      <c r="AD217" s="212">
        <f>IFERROR(VLOOKUP(J217,競技会設定!$T$2:$W$22,2,0),0)</f>
        <v>0</v>
      </c>
      <c r="AE217" s="212">
        <f t="shared" ref="AE217" si="2457">IF(E215="",0,IF(AD217=0,0,IF(AD217&lt;3,E215&amp;$AE$6,0)))</f>
        <v>0</v>
      </c>
      <c r="AF217" s="212">
        <f>IF(AE217=0,0,E215&amp;COUNTIF($AE$7:AE217,AE217))</f>
        <v>0</v>
      </c>
      <c r="AG217" s="212">
        <f t="shared" ref="AG217" si="2458">IF(E215="",0,IF(AD217=0,0,IF(AD217&gt;=3,E215&amp;$AG$6,0)))</f>
        <v>0</v>
      </c>
      <c r="AH217" s="212">
        <f>IF(AG217=0,0,E215&amp;COUNTIF($AG$7:AG217,AG217))</f>
        <v>0</v>
      </c>
      <c r="AI217" s="212">
        <f t="shared" ref="AI217" si="2459">IF($AD217=AI$6,$E215,0)</f>
        <v>0</v>
      </c>
      <c r="AJ217" s="212" t="b">
        <f>IF(AI217=0,FALSE,IF(COUNTIF(AI$7:AI217,AI217)&gt;1,TRUE,FALSE))</f>
        <v>0</v>
      </c>
      <c r="AK217" s="212">
        <f t="shared" ref="AK217" si="2460">IF($AD217=AK$6,$E215,0)</f>
        <v>0</v>
      </c>
      <c r="AL217" s="212" t="b">
        <f>IF(AK217=0,FALSE,IF(COUNTIF(AK$7:AK217,AK217)&gt;1,TRUE,FALSE))</f>
        <v>0</v>
      </c>
      <c r="AM217" s="212">
        <f t="shared" ref="AM217" si="2461">IF(COUNTIF(Y217,"*七種*")&gt;0,0,IF($AD217=AM$6,$E215,0))</f>
        <v>0</v>
      </c>
      <c r="AN217" s="212" t="b">
        <f>IF(AM217=0,FALSE,IF(COUNTIF(AM$7:AM217,AM217)&gt;1,TRUE,FALSE))</f>
        <v>0</v>
      </c>
      <c r="AO217" s="212">
        <f t="shared" ref="AO217" si="2462">IF($AD217=AO$6,$E215,0)</f>
        <v>0</v>
      </c>
      <c r="AP217" s="212" t="b">
        <f>IF(AO217=0,FALSE,IF(COUNTIF(AO$7:AO217,AO217)&gt;1,TRUE,FALSE))</f>
        <v>0</v>
      </c>
      <c r="AQ217" s="212">
        <f t="shared" ref="AQ217" si="2463">IF(COUNTIF(Y217,"*七種競技*")&gt;0,E215,0)</f>
        <v>0</v>
      </c>
      <c r="AR217" s="212" t="b">
        <f t="shared" si="2262"/>
        <v>0</v>
      </c>
      <c r="AT217" s="212" t="b">
        <f t="shared" si="2275"/>
        <v>0</v>
      </c>
      <c r="AX217" s="274"/>
      <c r="BD217" s="212" t="b">
        <f t="shared" si="2249"/>
        <v>0</v>
      </c>
      <c r="BF217" s="212" t="b">
        <f t="shared" ref="BF217" si="2464">IF(J217="",FALSE,IF(OR(AND(AU215,L217=""),AND(AU215,L217="",OR(M217&lt;&gt;"",N217&lt;&gt;"",O217&lt;&gt;"",P217&lt;&gt;""))),TRUE,FALSE))</f>
        <v>0</v>
      </c>
      <c r="BG217" s="212" t="b">
        <f t="shared" si="2251"/>
        <v>0</v>
      </c>
      <c r="BH217" s="212" t="b">
        <f t="shared" si="2264"/>
        <v>0</v>
      </c>
      <c r="BI217" s="212" t="b">
        <f t="shared" ref="BI217" si="2465">IF(J217="",FALSE,IF(L217=0,FALSE,IF(AND(AU215,NOT(BF217),OR(M217="",N217="",O217="")),TRUE,FALSE)))</f>
        <v>0</v>
      </c>
      <c r="BJ217" s="231" t="b">
        <f t="shared" si="2266"/>
        <v>0</v>
      </c>
      <c r="BK217" s="231" t="b">
        <f>IF(NOT(BJ217),FALSE,IF(AND(競技会設定!$C$5&lt;=BJ217,BJ217&lt;=競技会設定!$C$6),FALSE,TRUE))</f>
        <v>0</v>
      </c>
      <c r="BL217" s="212" t="b">
        <f>IF(J217="",FALSE,IF(L217=0,FALSE,IF(AND(AU215,NOT(BF217),NOT(BI217),P217=""),TRUE,FALSE)))</f>
        <v>0</v>
      </c>
    </row>
    <row r="218" spans="1:67" ht="18" customHeight="1" thickBot="1">
      <c r="A218" s="472"/>
      <c r="B218" s="395" t="s">
        <v>6764</v>
      </c>
      <c r="C218" s="395"/>
      <c r="D218" s="11"/>
      <c r="E218" s="460"/>
      <c r="F218" s="460"/>
      <c r="G218" s="460"/>
      <c r="H218" s="157"/>
      <c r="I218" s="157" t="s">
        <v>6759</v>
      </c>
      <c r="J218" s="173"/>
      <c r="K218" s="157" t="s">
        <v>6761</v>
      </c>
      <c r="L218" s="173"/>
      <c r="M218" s="258"/>
      <c r="N218" s="259"/>
      <c r="O218" s="260"/>
      <c r="P218" s="173"/>
      <c r="Q218" s="459"/>
      <c r="R218" s="416"/>
      <c r="S218" s="136"/>
      <c r="T218" s="137"/>
      <c r="U218" s="137"/>
      <c r="V218" s="137"/>
      <c r="W218" s="137"/>
      <c r="X218" s="137"/>
      <c r="Y218" s="212">
        <f t="shared" ref="Y218" si="2466">IF(OR(E215="",J218=""),0,J218&amp;E215)</f>
        <v>0</v>
      </c>
      <c r="Z218" s="212">
        <f>IF(Y218=0,0,COUNTIF($Y$7:Y218,Y218))</f>
        <v>0</v>
      </c>
      <c r="AD218" s="212">
        <f>IFERROR(VLOOKUP(J218,競技会設定!$T$2:$W$22,2,0),0)</f>
        <v>0</v>
      </c>
      <c r="AE218" s="212">
        <f t="shared" ref="AE218" si="2467">IF(E215="",0,IF(AD218=0,0,IF(AD218&lt;3,E215&amp;$AE$6,0)))</f>
        <v>0</v>
      </c>
      <c r="AF218" s="212">
        <f>IF(AE218=0,0,E215&amp;COUNTIF($AE$7:AE218,AE218))</f>
        <v>0</v>
      </c>
      <c r="AG218" s="212">
        <f t="shared" ref="AG218" si="2468">IF(E215="",0,IF(AD218=0,0,IF(AD218&gt;=3,E215&amp;$AG$6,0)))</f>
        <v>0</v>
      </c>
      <c r="AH218" s="212">
        <f>IF(AG218=0,0,E215&amp;COUNTIF($AG$7:AG218,AG218))</f>
        <v>0</v>
      </c>
      <c r="AI218" s="212">
        <f t="shared" ref="AI218" si="2469">IF($AD218=AI$6,$E215,0)</f>
        <v>0</v>
      </c>
      <c r="AJ218" s="212" t="b">
        <f>IF(AI218=0,FALSE,IF(COUNTIF(AI$7:AI218,AI218)&gt;1,TRUE,FALSE))</f>
        <v>0</v>
      </c>
      <c r="AK218" s="212">
        <f t="shared" ref="AK218" si="2470">IF($AD218=AK$6,$E215,0)</f>
        <v>0</v>
      </c>
      <c r="AL218" s="212" t="b">
        <f>IF(AK218=0,FALSE,IF(COUNTIF(AK$7:AK218,AK218)&gt;1,TRUE,FALSE))</f>
        <v>0</v>
      </c>
      <c r="AM218" s="212">
        <f t="shared" ref="AM218" si="2471">IF(COUNTIF(Y218,"*七種*")&gt;0,0,IF($AD218=AM$6,$E215,0))</f>
        <v>0</v>
      </c>
      <c r="AN218" s="212" t="b">
        <f>IF(AM218=0,FALSE,IF(COUNTIF(AM$7:AM218,AM218)&gt;1,TRUE,FALSE))</f>
        <v>0</v>
      </c>
      <c r="AO218" s="212">
        <f t="shared" ref="AO218" si="2472">IF($AD218=AO$6,$E215,0)</f>
        <v>0</v>
      </c>
      <c r="AP218" s="212" t="b">
        <f>IF(AO218=0,FALSE,IF(COUNTIF(AO$7:AO218,AO218)&gt;1,TRUE,FALSE))</f>
        <v>0</v>
      </c>
      <c r="AQ218" s="212">
        <f t="shared" ref="AQ218" si="2473">IF(COUNTIF(Y218,"*七種競技*")&gt;0,E215,0)</f>
        <v>0</v>
      </c>
      <c r="AR218" s="212" t="b">
        <f t="shared" si="2262"/>
        <v>0</v>
      </c>
      <c r="AT218" s="212" t="b">
        <f t="shared" si="2275"/>
        <v>0</v>
      </c>
      <c r="AX218" s="274"/>
      <c r="BD218" s="212" t="b">
        <f t="shared" si="2249"/>
        <v>0</v>
      </c>
      <c r="BF218" s="212" t="b">
        <f t="shared" ref="BF218" si="2474">IF(J218="",FALSE,IF(OR(AND(AU215,L218=""),AND(AU215,L218="",OR(M218&lt;&gt;"",N218&lt;&gt;"",O218&lt;&gt;"",P218&lt;&gt;""))),TRUE,FALSE))</f>
        <v>0</v>
      </c>
      <c r="BG218" s="212" t="b">
        <f t="shared" si="2251"/>
        <v>0</v>
      </c>
      <c r="BH218" s="212" t="b">
        <f t="shared" si="2264"/>
        <v>0</v>
      </c>
      <c r="BI218" s="212" t="b">
        <f t="shared" ref="BI218" si="2475">IF(J218="",FALSE,IF(L218=0,FALSE,IF(AND(AU215,NOT(BF218),OR(M218="",N218="",O218="")),TRUE,FALSE)))</f>
        <v>0</v>
      </c>
      <c r="BJ218" s="231" t="b">
        <f t="shared" si="2266"/>
        <v>0</v>
      </c>
      <c r="BK218" s="231" t="b">
        <f>IF(NOT(BJ218),FALSE,IF(AND(競技会設定!$C$5&lt;=BJ218,BJ218&lt;=競技会設定!$C$6),FALSE,TRUE))</f>
        <v>0</v>
      </c>
      <c r="BL218" s="212" t="b">
        <f>IF(J218="",FALSE,IF(L218=0,FALSE,IF(AND(AU215,NOT(BF218),NOT(BI218),P218=""),TRUE,FALSE)))</f>
        <v>0</v>
      </c>
    </row>
    <row r="219" spans="1:67" ht="18" customHeight="1" thickTop="1">
      <c r="A219" s="461">
        <v>54</v>
      </c>
      <c r="B219" s="373" t="s">
        <v>4018</v>
      </c>
      <c r="C219" s="375"/>
      <c r="D219" s="158" t="str">
        <f t="shared" ref="D219" si="2476">IF(C219="","",502&amp;TEXT(C219,"000000"))</f>
        <v/>
      </c>
      <c r="E219" s="464" t="str">
        <f>IF(D219="","",(VLOOKUP(D219,女子登録!$A$2:$N$2001,3,0)))</f>
        <v/>
      </c>
      <c r="F219" s="464" t="str">
        <f>IF(D219="","",(VLOOKUP(D219,女子登録!$A$2:$N$2001,4,0)))</f>
        <v/>
      </c>
      <c r="G219" s="158" t="str">
        <f>IF(C219="","",(VLOOKUP(D219,女子登録!$A$2:$N$2001,8,0)))</f>
        <v/>
      </c>
      <c r="H219" s="158">
        <f>IFERROR(VLOOKUP(D219,女子登録!$A$2:$N$2001,11,0),基本情報!$E$5)</f>
        <v>0</v>
      </c>
      <c r="I219" s="158" t="s">
        <v>4019</v>
      </c>
      <c r="J219" s="174"/>
      <c r="K219" s="158" t="s">
        <v>4022</v>
      </c>
      <c r="L219" s="174"/>
      <c r="M219" s="261"/>
      <c r="N219" s="262"/>
      <c r="O219" s="263"/>
      <c r="P219" s="174"/>
      <c r="Q219" s="448"/>
      <c r="R219" s="408"/>
      <c r="S219" s="136">
        <f t="shared" ref="S219" si="2477">IF(OR(E219="",Q219=""),0,E219)</f>
        <v>0</v>
      </c>
      <c r="T219" s="137">
        <f>IF(S219=0,0,COUNTIF($S$7:S219,"*"))</f>
        <v>0</v>
      </c>
      <c r="U219" s="137">
        <f>IF(S219=0,0,COUNTIF($S$7:S219,S219))</f>
        <v>0</v>
      </c>
      <c r="V219" s="137">
        <f t="shared" ref="V219:V279" si="2478">IF(OR(E219="",R219=""),0,E219&amp;MAX(COUNTIF($AG$7:$AG$406,E219&amp;"nans21v"))+1)</f>
        <v>0</v>
      </c>
      <c r="W219" s="137">
        <f>IF(V219=0,0,COUNTIF($V$7:V219,"*"))</f>
        <v>0</v>
      </c>
      <c r="X219" s="137">
        <f>IF(V219=0,0,COUNTIF($V$7:V219,V219))</f>
        <v>0</v>
      </c>
      <c r="Y219" s="212">
        <f t="shared" ref="Y219" si="2479">IF(OR(E219="",J219=""),0,J219&amp;E219)</f>
        <v>0</v>
      </c>
      <c r="Z219" s="212">
        <f>IF(Y219=0,0,COUNTIF($Y$7:Y219,Y219))</f>
        <v>0</v>
      </c>
      <c r="AA219" s="212" t="b">
        <f>IF(COUNTIF(J219:J222,"七種競技")&gt;0,TRUE,FALSE)</f>
        <v>0</v>
      </c>
      <c r="AB219" s="212">
        <f>IF(E219="",0,IF(AA219,COUNTIF($AA$7:AA219,TRUE),0))</f>
        <v>0</v>
      </c>
      <c r="AC219" s="212">
        <f>IFERROR(VLOOKUP("七種競技",J219:L222,3,0),0)</f>
        <v>0</v>
      </c>
      <c r="AD219" s="212">
        <f>IFERROR(VLOOKUP(J219,競技会設定!$T$2:$W$22,2,0),0)</f>
        <v>0</v>
      </c>
      <c r="AE219" s="212">
        <f t="shared" ref="AE219" si="2480">IF(E219="",0,IF(AD219=0,0,IF(AD219&lt;3,E219&amp;$AE$6,0)))</f>
        <v>0</v>
      </c>
      <c r="AF219" s="212">
        <f>IF(AE219=0,0,E219&amp;COUNTIF($AE$7:AE219,AE219))</f>
        <v>0</v>
      </c>
      <c r="AG219" s="212">
        <f t="shared" ref="AG219" si="2481">IF(E219="",0,IF(AD219=0,0,IF(AD219&gt;=3,E219&amp;$AG$6,0)))</f>
        <v>0</v>
      </c>
      <c r="AH219" s="212">
        <f>IF(AG219=0,0,E219&amp;COUNTIF($AG$7:AG219,AG219))</f>
        <v>0</v>
      </c>
      <c r="AI219" s="212">
        <f t="shared" ref="AI219" si="2482">IF($AD219=AI$6,$E219,0)</f>
        <v>0</v>
      </c>
      <c r="AJ219" s="212" t="b">
        <f>IF(AI219=0,FALSE,IF(COUNTIF(AI$7:AI219,AI219)&gt;1,TRUE,FALSE))</f>
        <v>0</v>
      </c>
      <c r="AK219" s="212">
        <f t="shared" ref="AK219" si="2483">IF($AD219=AK$6,$E219,0)</f>
        <v>0</v>
      </c>
      <c r="AL219" s="212" t="b">
        <f>IF(AK219=0,FALSE,IF(COUNTIF(AK$7:AK219,AK219)&gt;1,TRUE,FALSE))</f>
        <v>0</v>
      </c>
      <c r="AM219" s="212">
        <f t="shared" ref="AM219" si="2484">IF(COUNTIF(Y219,"*七種*")&gt;0,0,IF($AD219=AM$6,$E219,0))</f>
        <v>0</v>
      </c>
      <c r="AN219" s="212" t="b">
        <f>IF(AM219=0,FALSE,IF(COUNTIF(AM$7:AM219,AM219)&gt;1,TRUE,FALSE))</f>
        <v>0</v>
      </c>
      <c r="AO219" s="212">
        <f t="shared" ref="AO219" si="2485">IF($AD219=AO$6,$E219,0)</f>
        <v>0</v>
      </c>
      <c r="AP219" s="212" t="b">
        <f>IF(AO219=0,FALSE,IF(COUNTIF(AO$7:AO219,AO219)&gt;1,TRUE,FALSE))</f>
        <v>0</v>
      </c>
      <c r="AQ219" s="212">
        <f t="shared" ref="AQ219" si="2486">IF(COUNTIF(Y219,"*七種競技*")&gt;0,E219,0)</f>
        <v>0</v>
      </c>
      <c r="AR219" s="212" t="b">
        <f t="shared" si="2262"/>
        <v>0</v>
      </c>
      <c r="AS219" s="212" t="b">
        <f t="shared" ref="AS219" si="2487">IF(AND(C219="",E219&lt;&gt;"",F219&lt;&gt;"",E221&lt;&gt;"",G219&lt;&gt;"",G220&lt;&gt;"",G221&lt;&gt;""),TRUE,FALSE)</f>
        <v>0</v>
      </c>
      <c r="AT219" s="212" t="b">
        <f t="shared" si="2275"/>
        <v>0</v>
      </c>
      <c r="AU219" s="212" t="b">
        <f>IFERROR(IF(E219&amp;F219&amp;E221&amp;G219&amp;G220&amp;G221&amp;J219&amp;J220&amp;J221&amp;J222&amp;L219&amp;L220&amp;L221&amp;L222&amp;M219&amp;M220&amp;M221&amp;M222&amp;P219&amp;P220&amp;P221&amp;P222&amp;Q219&amp;R219="",FALSE,TRUE),FALSE)</f>
        <v>0</v>
      </c>
      <c r="AV219" s="212" t="b">
        <f t="shared" ref="AV219" si="2488">IF(AS219,FALSE,IF(C219="",AU219,FALSE))</f>
        <v>0</v>
      </c>
      <c r="AW219" s="212" t="b">
        <f t="shared" ref="AW219" si="2489">IF(C219="",FALSE,IF(C219&lt;=2000,TRUE,FALSE))</f>
        <v>0</v>
      </c>
      <c r="AX219" s="274" t="b">
        <f>IF(H219=0,FALSE,IF(EXACT(基本情報!$E$5,H219)=TRUE,FALSE,TRUE))</f>
        <v>0</v>
      </c>
      <c r="AY219" s="212" t="b">
        <f>IF(C219="",FALSE,IF(ISNA(E219)=TRUE,TRUE,FALSE))</f>
        <v>0</v>
      </c>
      <c r="AZ219" s="274" t="b">
        <f>IFERROR(IF(E219="",FALSE,IF(COUNTIF($E$7:E219,E219)&gt;1,TRUE,FALSE)),FALSE)</f>
        <v>0</v>
      </c>
      <c r="BA219" s="212" t="b">
        <f t="shared" ref="BA219" si="2490">IF(OR(J219&amp;J220&amp;J221&amp;J222&amp;Q219&amp;R219="",AT219,AT220,AT221,AT222),AU219,FALSE)</f>
        <v>0</v>
      </c>
      <c r="BB219" s="212" t="b">
        <f>IF(U219&gt;1,TRUE,FALSE)</f>
        <v>0</v>
      </c>
      <c r="BC219" s="212" t="b">
        <f>IF(X219&gt;1,TRUE,FALSE)</f>
        <v>0</v>
      </c>
      <c r="BD219" s="212" t="b">
        <f t="shared" si="2249"/>
        <v>0</v>
      </c>
      <c r="BF219" s="212" t="b">
        <f t="shared" ref="BF219" si="2491">IF(J219="",FALSE,IF(OR(AND(AU219,L219=""),AND(AU219,L219="",OR(M219&lt;&gt;"",N219&lt;&gt;"",O219&lt;&gt;"",P219&lt;&gt;""))),TRUE,FALSE))</f>
        <v>0</v>
      </c>
      <c r="BG219" s="212" t="b">
        <f t="shared" si="2251"/>
        <v>0</v>
      </c>
      <c r="BH219" s="212" t="b">
        <f t="shared" si="2264"/>
        <v>0</v>
      </c>
      <c r="BI219" s="212" t="b">
        <f t="shared" ref="BI219" si="2492">IF(J219="",FALSE,IF(L219=0,FALSE,IF(AND(AU219,NOT(BF219),OR(M219="",N219="",O219="")),TRUE,FALSE)))</f>
        <v>0</v>
      </c>
      <c r="BJ219" s="231" t="b">
        <f t="shared" si="2266"/>
        <v>0</v>
      </c>
      <c r="BK219" s="231" t="b">
        <f>IF(NOT(BJ219),FALSE,IF(AND(競技会設定!$C$5&lt;=BJ219,BJ219&lt;=競技会設定!$C$6),FALSE,TRUE))</f>
        <v>0</v>
      </c>
      <c r="BL219" s="212" t="b">
        <f>IF(J219="",FALSE,IF(L219=0,FALSE,IF(AND(AU219,NOT(BF219),NOT(BI219),P219=""),TRUE,FALSE)))</f>
        <v>0</v>
      </c>
      <c r="BO219" s="274">
        <f t="shared" ref="BO219" si="2493">IF(AND(AU219,SUM(COUNTIF(AV219:BC219,TRUE),COUNTIF(BF219:BL222,TRUE),COUNTIF(BD219:BD222,TRUE))=0,NOT($BE$7)),1,0)</f>
        <v>0</v>
      </c>
    </row>
    <row r="220" spans="1:67" ht="17.399999999999999" customHeight="1">
      <c r="A220" s="462"/>
      <c r="B220" s="374"/>
      <c r="C220" s="376"/>
      <c r="D220" s="159"/>
      <c r="E220" s="465"/>
      <c r="F220" s="465"/>
      <c r="G220" s="159" t="str">
        <f>IF(C219="","",(VLOOKUP(D219,女子登録!$A$2:$N$2001,13,0)))</f>
        <v/>
      </c>
      <c r="H220" s="159"/>
      <c r="I220" s="159" t="s">
        <v>4020</v>
      </c>
      <c r="J220" s="175"/>
      <c r="K220" s="159" t="s">
        <v>4023</v>
      </c>
      <c r="L220" s="175"/>
      <c r="M220" s="264"/>
      <c r="N220" s="265"/>
      <c r="O220" s="266"/>
      <c r="P220" s="175"/>
      <c r="Q220" s="449"/>
      <c r="R220" s="409"/>
      <c r="S220" s="136"/>
      <c r="T220" s="137"/>
      <c r="U220" s="137"/>
      <c r="V220" s="137"/>
      <c r="W220" s="137"/>
      <c r="X220" s="137"/>
      <c r="Y220" s="212">
        <f t="shared" ref="Y220" si="2494">IF(OR(E219="",J220=""),0,J220&amp;E219)</f>
        <v>0</v>
      </c>
      <c r="Z220" s="212">
        <f>IF(Y220=0,0,COUNTIF($Y$7:Y220,Y220))</f>
        <v>0</v>
      </c>
      <c r="AD220" s="212">
        <f>IFERROR(VLOOKUP(J220,競技会設定!$T$2:$W$22,2,0),0)</f>
        <v>0</v>
      </c>
      <c r="AE220" s="212">
        <f t="shared" ref="AE220" si="2495">IF(E219="",0,IF(AD220=0,0,IF(AD220&lt;3,E219&amp;$AE$6,0)))</f>
        <v>0</v>
      </c>
      <c r="AF220" s="212">
        <f>IF(AE220=0,0,E219&amp;COUNTIF($AE$7:AE220,AE220))</f>
        <v>0</v>
      </c>
      <c r="AG220" s="212">
        <f t="shared" ref="AG220" si="2496">IF(E219="",0,IF(AD220=0,0,IF(AD220&gt;=3,E219&amp;$AG$6,0)))</f>
        <v>0</v>
      </c>
      <c r="AH220" s="212">
        <f>IF(AG220=0,0,E219&amp;COUNTIF($AG$7:AG220,AG220))</f>
        <v>0</v>
      </c>
      <c r="AI220" s="212">
        <f t="shared" ref="AI220" si="2497">IF($AD220=AI$6,$E219,0)</f>
        <v>0</v>
      </c>
      <c r="AJ220" s="212" t="b">
        <f>IF(AI220=0,FALSE,IF(COUNTIF(AI$7:AI220,AI220)&gt;1,TRUE,FALSE))</f>
        <v>0</v>
      </c>
      <c r="AK220" s="212">
        <f t="shared" ref="AK220" si="2498">IF($AD220=AK$6,$E219,0)</f>
        <v>0</v>
      </c>
      <c r="AL220" s="212" t="b">
        <f>IF(AK220=0,FALSE,IF(COUNTIF(AK$7:AK220,AK220)&gt;1,TRUE,FALSE))</f>
        <v>0</v>
      </c>
      <c r="AM220" s="212">
        <f t="shared" ref="AM220" si="2499">IF(COUNTIF(Y220,"*七種*")&gt;0,0,IF($AD220=AM$6,$E219,0))</f>
        <v>0</v>
      </c>
      <c r="AN220" s="212" t="b">
        <f>IF(AM220=0,FALSE,IF(COUNTIF(AM$7:AM220,AM220)&gt;1,TRUE,FALSE))</f>
        <v>0</v>
      </c>
      <c r="AO220" s="212">
        <f t="shared" ref="AO220" si="2500">IF($AD220=AO$6,$E219,0)</f>
        <v>0</v>
      </c>
      <c r="AP220" s="212" t="b">
        <f>IF(AO220=0,FALSE,IF(COUNTIF(AO$7:AO220,AO220)&gt;1,TRUE,FALSE))</f>
        <v>0</v>
      </c>
      <c r="AQ220" s="212">
        <f t="shared" ref="AQ220" si="2501">IF(COUNTIF(Y220,"*七種競技*")&gt;0,E219,0)</f>
        <v>0</v>
      </c>
      <c r="AR220" s="212" t="b">
        <f t="shared" si="2262"/>
        <v>0</v>
      </c>
      <c r="AT220" s="212" t="b">
        <f t="shared" si="2275"/>
        <v>0</v>
      </c>
      <c r="AX220" s="274"/>
      <c r="BD220" s="212" t="b">
        <f t="shared" si="2249"/>
        <v>0</v>
      </c>
      <c r="BF220" s="212" t="b">
        <f t="shared" ref="BF220" si="2502">IF(J220="",FALSE,IF(OR(AND(AU219,L220=""),AND(AU219,L220="",OR(M220&lt;&gt;"",N220&lt;&gt;"",O220&lt;&gt;"",P220&lt;&gt;""))),TRUE,FALSE))</f>
        <v>0</v>
      </c>
      <c r="BG220" s="212" t="b">
        <f t="shared" si="2251"/>
        <v>0</v>
      </c>
      <c r="BH220" s="212" t="b">
        <f t="shared" si="2264"/>
        <v>0</v>
      </c>
      <c r="BI220" s="212" t="b">
        <f t="shared" ref="BI220" si="2503">IF(J220="",FALSE,IF(L220=0,FALSE,IF(AND(AU219,NOT(BF220),OR(M220="",N220="",O220="")),TRUE,FALSE)))</f>
        <v>0</v>
      </c>
      <c r="BJ220" s="231" t="b">
        <f t="shared" si="2266"/>
        <v>0</v>
      </c>
      <c r="BK220" s="231" t="b">
        <f>IF(NOT(BJ220),FALSE,IF(AND(競技会設定!$C$5&lt;=BJ220,BJ220&lt;=競技会設定!$C$6),FALSE,TRUE))</f>
        <v>0</v>
      </c>
      <c r="BL220" s="212" t="b">
        <f>IF(J220="",FALSE,IF(L220=0,FALSE,IF(AND(AU219,NOT(BF220),NOT(BI220),P220=""),TRUE,FALSE)))</f>
        <v>0</v>
      </c>
    </row>
    <row r="221" spans="1:67" ht="17.399999999999999" customHeight="1">
      <c r="A221" s="462"/>
      <c r="B221" s="374"/>
      <c r="C221" s="376"/>
      <c r="D221" s="160"/>
      <c r="E221" s="452" t="str">
        <f>IF(C219="","",VLOOKUP(D219,女子登録!$A$2:$O$2001,14,0)&amp;" ("&amp;VLOOKUP(D219,女子登録!$A$2:$O$2001,15,0)&amp;")")</f>
        <v/>
      </c>
      <c r="F221" s="453"/>
      <c r="G221" s="160" t="str">
        <f>IF(C219="","",(VLOOKUP(D219,女子登録!$A$2:$N$2001,9,0)))</f>
        <v/>
      </c>
      <c r="H221" s="160"/>
      <c r="I221" s="160" t="s">
        <v>4021</v>
      </c>
      <c r="J221" s="176"/>
      <c r="K221" s="160" t="s">
        <v>6760</v>
      </c>
      <c r="L221" s="176"/>
      <c r="M221" s="264"/>
      <c r="N221" s="265"/>
      <c r="O221" s="266"/>
      <c r="P221" s="175"/>
      <c r="Q221" s="449"/>
      <c r="R221" s="409"/>
      <c r="S221" s="136"/>
      <c r="T221" s="137"/>
      <c r="U221" s="137"/>
      <c r="V221" s="137"/>
      <c r="W221" s="137"/>
      <c r="X221" s="137"/>
      <c r="Y221" s="212">
        <f t="shared" ref="Y221" si="2504">IF(OR(E219="",J221=""),0,J221&amp;E219)</f>
        <v>0</v>
      </c>
      <c r="Z221" s="212">
        <f>IF(Y221=0,0,COUNTIF($Y$7:Y221,Y221))</f>
        <v>0</v>
      </c>
      <c r="AD221" s="212">
        <f>IFERROR(VLOOKUP(J221,競技会設定!$T$2:$W$22,2,0),0)</f>
        <v>0</v>
      </c>
      <c r="AE221" s="212">
        <f t="shared" ref="AE221" si="2505">IF(E219="",0,IF(AD221=0,0,IF(AD221&lt;3,E219&amp;$AE$6,0)))</f>
        <v>0</v>
      </c>
      <c r="AF221" s="212">
        <f>IF(AE221=0,0,E219&amp;COUNTIF($AE$7:AE221,AE221))</f>
        <v>0</v>
      </c>
      <c r="AG221" s="212">
        <f t="shared" ref="AG221" si="2506">IF(E219="",0,IF(AD221=0,0,IF(AD221&gt;=3,E219&amp;$AG$6,0)))</f>
        <v>0</v>
      </c>
      <c r="AH221" s="212">
        <f>IF(AG221=0,0,E219&amp;COUNTIF($AG$7:AG221,AG221))</f>
        <v>0</v>
      </c>
      <c r="AI221" s="212">
        <f t="shared" ref="AI221" si="2507">IF($AD221=AI$6,$E219,0)</f>
        <v>0</v>
      </c>
      <c r="AJ221" s="212" t="b">
        <f>IF(AI221=0,FALSE,IF(COUNTIF(AI$7:AI221,AI221)&gt;1,TRUE,FALSE))</f>
        <v>0</v>
      </c>
      <c r="AK221" s="212">
        <f t="shared" ref="AK221" si="2508">IF($AD221=AK$6,$E219,0)</f>
        <v>0</v>
      </c>
      <c r="AL221" s="212" t="b">
        <f>IF(AK221=0,FALSE,IF(COUNTIF(AK$7:AK221,AK221)&gt;1,TRUE,FALSE))</f>
        <v>0</v>
      </c>
      <c r="AM221" s="212">
        <f t="shared" ref="AM221" si="2509">IF(COUNTIF(Y221,"*七種*")&gt;0,0,IF($AD221=AM$6,$E219,0))</f>
        <v>0</v>
      </c>
      <c r="AN221" s="212" t="b">
        <f>IF(AM221=0,FALSE,IF(COUNTIF(AM$7:AM221,AM221)&gt;1,TRUE,FALSE))</f>
        <v>0</v>
      </c>
      <c r="AO221" s="212">
        <f t="shared" ref="AO221" si="2510">IF($AD221=AO$6,$E219,0)</f>
        <v>0</v>
      </c>
      <c r="AP221" s="212" t="b">
        <f>IF(AO221=0,FALSE,IF(COUNTIF(AO$7:AO221,AO221)&gt;1,TRUE,FALSE))</f>
        <v>0</v>
      </c>
      <c r="AQ221" s="212">
        <f t="shared" ref="AQ221" si="2511">IF(COUNTIF(Y221,"*七種競技*")&gt;0,E219,0)</f>
        <v>0</v>
      </c>
      <c r="AR221" s="212" t="b">
        <f t="shared" si="2262"/>
        <v>0</v>
      </c>
      <c r="AT221" s="212" t="b">
        <f t="shared" si="2275"/>
        <v>0</v>
      </c>
      <c r="AX221" s="274"/>
      <c r="BD221" s="212" t="b">
        <f t="shared" si="2249"/>
        <v>0</v>
      </c>
      <c r="BF221" s="212" t="b">
        <f t="shared" ref="BF221" si="2512">IF(J221="",FALSE,IF(OR(AND(AU219,L221=""),AND(AU219,L221="",OR(M221&lt;&gt;"",N221&lt;&gt;"",O221&lt;&gt;"",P221&lt;&gt;""))),TRUE,FALSE))</f>
        <v>0</v>
      </c>
      <c r="BG221" s="212" t="b">
        <f t="shared" si="2251"/>
        <v>0</v>
      </c>
      <c r="BH221" s="212" t="b">
        <f t="shared" si="2264"/>
        <v>0</v>
      </c>
      <c r="BI221" s="212" t="b">
        <f t="shared" ref="BI221" si="2513">IF(J221="",FALSE,IF(L221=0,FALSE,IF(AND(AU219,NOT(BF221),OR(M221="",N221="",O221="")),TRUE,FALSE)))</f>
        <v>0</v>
      </c>
      <c r="BJ221" s="231" t="b">
        <f t="shared" si="2266"/>
        <v>0</v>
      </c>
      <c r="BK221" s="231" t="b">
        <f>IF(NOT(BJ221),FALSE,IF(AND(競技会設定!$C$5&lt;=BJ221,BJ221&lt;=競技会設定!$C$6),FALSE,TRUE))</f>
        <v>0</v>
      </c>
      <c r="BL221" s="212" t="b">
        <f>IF(J221="",FALSE,IF(L221=0,FALSE,IF(AND(AU219,NOT(BF221),NOT(BI221),P221=""),TRUE,FALSE)))</f>
        <v>0</v>
      </c>
    </row>
    <row r="222" spans="1:67" ht="18" customHeight="1" thickBot="1">
      <c r="A222" s="475"/>
      <c r="B222" s="387" t="s">
        <v>6764</v>
      </c>
      <c r="C222" s="387"/>
      <c r="D222" s="161"/>
      <c r="E222" s="467"/>
      <c r="F222" s="468"/>
      <c r="G222" s="469"/>
      <c r="H222" s="162"/>
      <c r="I222" s="161" t="s">
        <v>6759</v>
      </c>
      <c r="J222" s="177"/>
      <c r="K222" s="161" t="s">
        <v>6761</v>
      </c>
      <c r="L222" s="177"/>
      <c r="M222" s="267"/>
      <c r="N222" s="268"/>
      <c r="O222" s="269"/>
      <c r="P222" s="177"/>
      <c r="Q222" s="466"/>
      <c r="R222" s="410"/>
      <c r="S222" s="136"/>
      <c r="T222" s="137"/>
      <c r="U222" s="137"/>
      <c r="V222" s="137"/>
      <c r="W222" s="137"/>
      <c r="X222" s="137"/>
      <c r="Y222" s="212">
        <f t="shared" ref="Y222" si="2514">IF(OR(E219="",J222=""),0,J222&amp;E219)</f>
        <v>0</v>
      </c>
      <c r="Z222" s="212">
        <f>IF(Y222=0,0,COUNTIF($Y$7:Y222,Y222))</f>
        <v>0</v>
      </c>
      <c r="AD222" s="212">
        <f>IFERROR(VLOOKUP(J222,競技会設定!$T$2:$W$22,2,0),0)</f>
        <v>0</v>
      </c>
      <c r="AE222" s="212">
        <f t="shared" ref="AE222" si="2515">IF(E219="",0,IF(AD222=0,0,IF(AD222&lt;3,E219&amp;$AE$6,0)))</f>
        <v>0</v>
      </c>
      <c r="AF222" s="212">
        <f>IF(AE222=0,0,E219&amp;COUNTIF($AE$7:AE222,AE222))</f>
        <v>0</v>
      </c>
      <c r="AG222" s="212">
        <f t="shared" ref="AG222" si="2516">IF(E219="",0,IF(AD222=0,0,IF(AD222&gt;=3,E219&amp;$AG$6,0)))</f>
        <v>0</v>
      </c>
      <c r="AH222" s="212">
        <f>IF(AG222=0,0,E219&amp;COUNTIF($AG$7:AG222,AG222))</f>
        <v>0</v>
      </c>
      <c r="AI222" s="212">
        <f t="shared" ref="AI222" si="2517">IF($AD222=AI$6,$E219,0)</f>
        <v>0</v>
      </c>
      <c r="AJ222" s="212" t="b">
        <f>IF(AI222=0,FALSE,IF(COUNTIF(AI$7:AI222,AI222)&gt;1,TRUE,FALSE))</f>
        <v>0</v>
      </c>
      <c r="AK222" s="212">
        <f t="shared" ref="AK222" si="2518">IF($AD222=AK$6,$E219,0)</f>
        <v>0</v>
      </c>
      <c r="AL222" s="212" t="b">
        <f>IF(AK222=0,FALSE,IF(COUNTIF(AK$7:AK222,AK222)&gt;1,TRUE,FALSE))</f>
        <v>0</v>
      </c>
      <c r="AM222" s="212">
        <f t="shared" ref="AM222" si="2519">IF(COUNTIF(Y222,"*七種*")&gt;0,0,IF($AD222=AM$6,$E219,0))</f>
        <v>0</v>
      </c>
      <c r="AN222" s="212" t="b">
        <f>IF(AM222=0,FALSE,IF(COUNTIF(AM$7:AM222,AM222)&gt;1,TRUE,FALSE))</f>
        <v>0</v>
      </c>
      <c r="AO222" s="212">
        <f t="shared" ref="AO222" si="2520">IF($AD222=AO$6,$E219,0)</f>
        <v>0</v>
      </c>
      <c r="AP222" s="212" t="b">
        <f>IF(AO222=0,FALSE,IF(COUNTIF(AO$7:AO222,AO222)&gt;1,TRUE,FALSE))</f>
        <v>0</v>
      </c>
      <c r="AQ222" s="212">
        <f t="shared" ref="AQ222" si="2521">IF(COUNTIF(Y222,"*七種競技*")&gt;0,E219,0)</f>
        <v>0</v>
      </c>
      <c r="AR222" s="212" t="b">
        <f t="shared" si="2262"/>
        <v>0</v>
      </c>
      <c r="AT222" s="212" t="b">
        <f t="shared" si="2275"/>
        <v>0</v>
      </c>
      <c r="AX222" s="274"/>
      <c r="BD222" s="212" t="b">
        <f t="shared" si="2249"/>
        <v>0</v>
      </c>
      <c r="BF222" s="212" t="b">
        <f t="shared" ref="BF222" si="2522">IF(J222="",FALSE,IF(OR(AND(AU219,L222=""),AND(AU219,L222="",OR(M222&lt;&gt;"",N222&lt;&gt;"",O222&lt;&gt;"",P222&lt;&gt;""))),TRUE,FALSE))</f>
        <v>0</v>
      </c>
      <c r="BG222" s="212" t="b">
        <f t="shared" si="2251"/>
        <v>0</v>
      </c>
      <c r="BH222" s="212" t="b">
        <f t="shared" si="2264"/>
        <v>0</v>
      </c>
      <c r="BI222" s="212" t="b">
        <f t="shared" ref="BI222" si="2523">IF(J222="",FALSE,IF(L222=0,FALSE,IF(AND(AU219,NOT(BF222),OR(M222="",N222="",O222="")),TRUE,FALSE)))</f>
        <v>0</v>
      </c>
      <c r="BJ222" s="231" t="b">
        <f t="shared" si="2266"/>
        <v>0</v>
      </c>
      <c r="BK222" s="231" t="b">
        <f>IF(NOT(BJ222),FALSE,IF(AND(競技会設定!$C$5&lt;=BJ222,BJ222&lt;=競技会設定!$C$6),FALSE,TRUE))</f>
        <v>0</v>
      </c>
      <c r="BL222" s="212" t="b">
        <f>IF(J222="",FALSE,IF(L222=0,FALSE,IF(AND(AU219,NOT(BF222),NOT(BI222),P222=""),TRUE,FALSE)))</f>
        <v>0</v>
      </c>
    </row>
    <row r="223" spans="1:67" ht="18" customHeight="1" thickTop="1">
      <c r="A223" s="470">
        <v>55</v>
      </c>
      <c r="B223" s="401" t="s">
        <v>4018</v>
      </c>
      <c r="C223" s="403"/>
      <c r="D223" s="156" t="str">
        <f t="shared" ref="D223" si="2524">IF(C223="","",502&amp;TEXT(C223,"000000"))</f>
        <v/>
      </c>
      <c r="E223" s="473" t="str">
        <f>IF(D223="","",(VLOOKUP(D223,女子登録!$A$2:$N$2001,3,0)))</f>
        <v/>
      </c>
      <c r="F223" s="473" t="str">
        <f>IF(D223="","",(VLOOKUP(D223,女子登録!$A$2:$N$2001,4,0)))</f>
        <v/>
      </c>
      <c r="G223" s="156" t="str">
        <f>IF(C223="","",(VLOOKUP(D223,女子登録!$A$2:$N$2001,8,0)))</f>
        <v/>
      </c>
      <c r="H223" s="156">
        <f>IFERROR(VLOOKUP(D223,女子登録!$A$2:$N$2001,11,0),基本情報!$E$5)</f>
        <v>0</v>
      </c>
      <c r="I223" s="156" t="s">
        <v>4019</v>
      </c>
      <c r="J223" s="170"/>
      <c r="K223" s="156" t="s">
        <v>4022</v>
      </c>
      <c r="L223" s="170"/>
      <c r="M223" s="252"/>
      <c r="N223" s="253"/>
      <c r="O223" s="254"/>
      <c r="P223" s="170"/>
      <c r="Q223" s="457"/>
      <c r="R223" s="414"/>
      <c r="S223" s="136">
        <f t="shared" ref="S223" si="2525">IF(OR(E223="",Q223=""),0,E223)</f>
        <v>0</v>
      </c>
      <c r="T223" s="137">
        <f>IF(S223=0,0,COUNTIF($S$7:S223,"*"))</f>
        <v>0</v>
      </c>
      <c r="U223" s="137">
        <f>IF(S223=0,0,COUNTIF($S$7:S223,S223))</f>
        <v>0</v>
      </c>
      <c r="V223" s="137">
        <f t="shared" si="2478"/>
        <v>0</v>
      </c>
      <c r="W223" s="137">
        <f>IF(V223=0,0,COUNTIF($V$7:V223,"*"))</f>
        <v>0</v>
      </c>
      <c r="X223" s="137">
        <f>IF(V223=0,0,COUNTIF($V$7:V223,V223))</f>
        <v>0</v>
      </c>
      <c r="Y223" s="212">
        <f t="shared" ref="Y223" si="2526">IF(OR(E223="",J223=""),0,J223&amp;E223)</f>
        <v>0</v>
      </c>
      <c r="Z223" s="212">
        <f>IF(Y223=0,0,COUNTIF($Y$7:Y223,Y223))</f>
        <v>0</v>
      </c>
      <c r="AA223" s="212" t="b">
        <f>IF(COUNTIF(J223:J226,"七種競技")&gt;0,TRUE,FALSE)</f>
        <v>0</v>
      </c>
      <c r="AB223" s="212">
        <f>IF(E223="",0,IF(AA223,COUNTIF($AA$7:AA223,TRUE),0))</f>
        <v>0</v>
      </c>
      <c r="AC223" s="212">
        <f>IFERROR(VLOOKUP("七種競技",J223:L226,3,0),0)</f>
        <v>0</v>
      </c>
      <c r="AD223" s="212">
        <f>IFERROR(VLOOKUP(J223,競技会設定!$T$2:$W$22,2,0),0)</f>
        <v>0</v>
      </c>
      <c r="AE223" s="212">
        <f t="shared" ref="AE223" si="2527">IF(E223="",0,IF(AD223=0,0,IF(AD223&lt;3,E223&amp;$AE$6,0)))</f>
        <v>0</v>
      </c>
      <c r="AF223" s="212">
        <f>IF(AE223=0,0,E223&amp;COUNTIF($AE$7:AE223,AE223))</f>
        <v>0</v>
      </c>
      <c r="AG223" s="212">
        <f t="shared" ref="AG223" si="2528">IF(E223="",0,IF(AD223=0,0,IF(AD223&gt;=3,E223&amp;$AG$6,0)))</f>
        <v>0</v>
      </c>
      <c r="AH223" s="212">
        <f>IF(AG223=0,0,E223&amp;COUNTIF($AG$7:AG223,AG223))</f>
        <v>0</v>
      </c>
      <c r="AI223" s="212">
        <f t="shared" ref="AI223" si="2529">IF($AD223=AI$6,$E223,0)</f>
        <v>0</v>
      </c>
      <c r="AJ223" s="212" t="b">
        <f>IF(AI223=0,FALSE,IF(COUNTIF(AI$7:AI223,AI223)&gt;1,TRUE,FALSE))</f>
        <v>0</v>
      </c>
      <c r="AK223" s="212">
        <f t="shared" ref="AK223" si="2530">IF($AD223=AK$6,$E223,0)</f>
        <v>0</v>
      </c>
      <c r="AL223" s="212" t="b">
        <f>IF(AK223=0,FALSE,IF(COUNTIF(AK$7:AK223,AK223)&gt;1,TRUE,FALSE))</f>
        <v>0</v>
      </c>
      <c r="AM223" s="212">
        <f t="shared" ref="AM223" si="2531">IF(COUNTIF(Y223,"*七種*")&gt;0,0,IF($AD223=AM$6,$E223,0))</f>
        <v>0</v>
      </c>
      <c r="AN223" s="212" t="b">
        <f>IF(AM223=0,FALSE,IF(COUNTIF(AM$7:AM223,AM223)&gt;1,TRUE,FALSE))</f>
        <v>0</v>
      </c>
      <c r="AO223" s="212">
        <f t="shared" ref="AO223" si="2532">IF($AD223=AO$6,$E223,0)</f>
        <v>0</v>
      </c>
      <c r="AP223" s="212" t="b">
        <f>IF(AO223=0,FALSE,IF(COUNTIF(AO$7:AO223,AO223)&gt;1,TRUE,FALSE))</f>
        <v>0</v>
      </c>
      <c r="AQ223" s="212">
        <f t="shared" ref="AQ223" si="2533">IF(COUNTIF(Y223,"*七種競技*")&gt;0,E223,0)</f>
        <v>0</v>
      </c>
      <c r="AR223" s="212" t="b">
        <f t="shared" si="2262"/>
        <v>0</v>
      </c>
      <c r="AS223" s="212" t="b">
        <f t="shared" ref="AS223" si="2534">IF(AND(C223="",E223&lt;&gt;"",F223&lt;&gt;"",E225&lt;&gt;"",G223&lt;&gt;"",G224&lt;&gt;"",G225&lt;&gt;""),TRUE,FALSE)</f>
        <v>0</v>
      </c>
      <c r="AT223" s="212" t="b">
        <f t="shared" si="2275"/>
        <v>0</v>
      </c>
      <c r="AU223" s="212" t="b">
        <f>IFERROR(IF(E223&amp;F223&amp;E225&amp;G223&amp;G224&amp;G225&amp;J223&amp;J224&amp;J225&amp;J226&amp;L223&amp;L224&amp;L225&amp;L226&amp;M223&amp;M224&amp;M225&amp;M226&amp;P223&amp;P224&amp;P225&amp;P226&amp;Q223&amp;R223="",FALSE,TRUE),FALSE)</f>
        <v>0</v>
      </c>
      <c r="AV223" s="212" t="b">
        <f t="shared" ref="AV223" si="2535">IF(AS223,FALSE,IF(C223="",AU223,FALSE))</f>
        <v>0</v>
      </c>
      <c r="AW223" s="212" t="b">
        <f t="shared" ref="AW223" si="2536">IF(C223="",FALSE,IF(C223&lt;=2000,TRUE,FALSE))</f>
        <v>0</v>
      </c>
      <c r="AX223" s="274" t="b">
        <f>IF(H223=0,FALSE,IF(EXACT(基本情報!$E$5,H223)=TRUE,FALSE,TRUE))</f>
        <v>0</v>
      </c>
      <c r="AY223" s="212" t="b">
        <f>IF(C223="",FALSE,IF(ISNA(E223)=TRUE,TRUE,FALSE))</f>
        <v>0</v>
      </c>
      <c r="AZ223" s="274" t="b">
        <f>IFERROR(IF(E223="",FALSE,IF(COUNTIF($E$7:E223,E223)&gt;1,TRUE,FALSE)),FALSE)</f>
        <v>0</v>
      </c>
      <c r="BA223" s="212" t="b">
        <f t="shared" ref="BA223" si="2537">IF(OR(J223&amp;J224&amp;J225&amp;J226&amp;Q223&amp;R223="",AT223,AT224,AT225,AT226),AU223,FALSE)</f>
        <v>0</v>
      </c>
      <c r="BB223" s="212" t="b">
        <f>IF(U223&gt;1,TRUE,FALSE)</f>
        <v>0</v>
      </c>
      <c r="BC223" s="212" t="b">
        <f>IF(X223&gt;1,TRUE,FALSE)</f>
        <v>0</v>
      </c>
      <c r="BD223" s="212" t="b">
        <f t="shared" si="2249"/>
        <v>0</v>
      </c>
      <c r="BF223" s="212" t="b">
        <f t="shared" ref="BF223" si="2538">IF(J223="",FALSE,IF(OR(AND(AU223,L223=""),AND(AU223,L223="",OR(M223&lt;&gt;"",N223&lt;&gt;"",O223&lt;&gt;"",P223&lt;&gt;""))),TRUE,FALSE))</f>
        <v>0</v>
      </c>
      <c r="BG223" s="212" t="b">
        <f t="shared" si="2251"/>
        <v>0</v>
      </c>
      <c r="BH223" s="212" t="b">
        <f t="shared" si="2264"/>
        <v>0</v>
      </c>
      <c r="BI223" s="212" t="b">
        <f t="shared" ref="BI223" si="2539">IF(J223="",FALSE,IF(L223=0,FALSE,IF(AND(AU223,NOT(BF223),OR(M223="",N223="",O223="")),TRUE,FALSE)))</f>
        <v>0</v>
      </c>
      <c r="BJ223" s="231" t="b">
        <f t="shared" si="2266"/>
        <v>0</v>
      </c>
      <c r="BK223" s="231" t="b">
        <f>IF(NOT(BJ223),FALSE,IF(AND(競技会設定!$C$5&lt;=BJ223,BJ223&lt;=競技会設定!$C$6),FALSE,TRUE))</f>
        <v>0</v>
      </c>
      <c r="BL223" s="212" t="b">
        <f>IF(J223="",FALSE,IF(L223=0,FALSE,IF(AND(AU223,NOT(BF223),NOT(BI223),P223=""),TRUE,FALSE)))</f>
        <v>0</v>
      </c>
      <c r="BO223" s="274">
        <f t="shared" ref="BO223" si="2540">IF(AND(AU223,SUM(COUNTIF(AV223:BC223,TRUE),COUNTIF(BF223:BL226,TRUE),COUNTIF(BD223:BD226,TRUE))=0,NOT($BE$7)),1,0)</f>
        <v>0</v>
      </c>
    </row>
    <row r="224" spans="1:67" ht="17.399999999999999" customHeight="1">
      <c r="A224" s="471"/>
      <c r="B224" s="402"/>
      <c r="C224" s="404"/>
      <c r="D224" s="11"/>
      <c r="E224" s="474"/>
      <c r="F224" s="474"/>
      <c r="G224" s="11" t="str">
        <f>IF(C223="","",(VLOOKUP(D223,女子登録!$A$2:$N$2001,13,0)))</f>
        <v/>
      </c>
      <c r="H224" s="11"/>
      <c r="I224" s="11" t="s">
        <v>4020</v>
      </c>
      <c r="J224" s="171"/>
      <c r="K224" s="11" t="s">
        <v>4023</v>
      </c>
      <c r="L224" s="171"/>
      <c r="M224" s="255"/>
      <c r="N224" s="256"/>
      <c r="O224" s="257"/>
      <c r="P224" s="171"/>
      <c r="Q224" s="458"/>
      <c r="R224" s="415"/>
      <c r="S224" s="136"/>
      <c r="T224" s="137"/>
      <c r="U224" s="137"/>
      <c r="V224" s="137"/>
      <c r="W224" s="137"/>
      <c r="X224" s="137"/>
      <c r="Y224" s="212">
        <f t="shared" ref="Y224" si="2541">IF(OR(E223="",J224=""),0,J224&amp;E223)</f>
        <v>0</v>
      </c>
      <c r="Z224" s="212">
        <f>IF(Y224=0,0,COUNTIF($Y$7:Y224,Y224))</f>
        <v>0</v>
      </c>
      <c r="AD224" s="212">
        <f>IFERROR(VLOOKUP(J224,競技会設定!$T$2:$W$22,2,0),0)</f>
        <v>0</v>
      </c>
      <c r="AE224" s="212">
        <f t="shared" ref="AE224" si="2542">IF(E223="",0,IF(AD224=0,0,IF(AD224&lt;3,E223&amp;$AE$6,0)))</f>
        <v>0</v>
      </c>
      <c r="AF224" s="212">
        <f>IF(AE224=0,0,E223&amp;COUNTIF($AE$7:AE224,AE224))</f>
        <v>0</v>
      </c>
      <c r="AG224" s="212">
        <f t="shared" ref="AG224" si="2543">IF(E223="",0,IF(AD224=0,0,IF(AD224&gt;=3,E223&amp;$AG$6,0)))</f>
        <v>0</v>
      </c>
      <c r="AH224" s="212">
        <f>IF(AG224=0,0,E223&amp;COUNTIF($AG$7:AG224,AG224))</f>
        <v>0</v>
      </c>
      <c r="AI224" s="212">
        <f t="shared" ref="AI224" si="2544">IF($AD224=AI$6,$E223,0)</f>
        <v>0</v>
      </c>
      <c r="AJ224" s="212" t="b">
        <f>IF(AI224=0,FALSE,IF(COUNTIF(AI$7:AI224,AI224)&gt;1,TRUE,FALSE))</f>
        <v>0</v>
      </c>
      <c r="AK224" s="212">
        <f t="shared" ref="AK224" si="2545">IF($AD224=AK$6,$E223,0)</f>
        <v>0</v>
      </c>
      <c r="AL224" s="212" t="b">
        <f>IF(AK224=0,FALSE,IF(COUNTIF(AK$7:AK224,AK224)&gt;1,TRUE,FALSE))</f>
        <v>0</v>
      </c>
      <c r="AM224" s="212">
        <f t="shared" ref="AM224" si="2546">IF(COUNTIF(Y224,"*七種*")&gt;0,0,IF($AD224=AM$6,$E223,0))</f>
        <v>0</v>
      </c>
      <c r="AN224" s="212" t="b">
        <f>IF(AM224=0,FALSE,IF(COUNTIF(AM$7:AM224,AM224)&gt;1,TRUE,FALSE))</f>
        <v>0</v>
      </c>
      <c r="AO224" s="212">
        <f t="shared" ref="AO224" si="2547">IF($AD224=AO$6,$E223,0)</f>
        <v>0</v>
      </c>
      <c r="AP224" s="212" t="b">
        <f>IF(AO224=0,FALSE,IF(COUNTIF(AO$7:AO224,AO224)&gt;1,TRUE,FALSE))</f>
        <v>0</v>
      </c>
      <c r="AQ224" s="212">
        <f t="shared" ref="AQ224" si="2548">IF(COUNTIF(Y224,"*七種競技*")&gt;0,E223,0)</f>
        <v>0</v>
      </c>
      <c r="AR224" s="212" t="b">
        <f t="shared" si="2262"/>
        <v>0</v>
      </c>
      <c r="AT224" s="212" t="b">
        <f t="shared" si="2275"/>
        <v>0</v>
      </c>
      <c r="AX224" s="274"/>
      <c r="BD224" s="212" t="b">
        <f t="shared" si="2249"/>
        <v>0</v>
      </c>
      <c r="BF224" s="212" t="b">
        <f t="shared" ref="BF224" si="2549">IF(J224="",FALSE,IF(OR(AND(AU223,L224=""),AND(AU223,L224="",OR(M224&lt;&gt;"",N224&lt;&gt;"",O224&lt;&gt;"",P224&lt;&gt;""))),TRUE,FALSE))</f>
        <v>0</v>
      </c>
      <c r="BG224" s="212" t="b">
        <f t="shared" si="2251"/>
        <v>0</v>
      </c>
      <c r="BH224" s="212" t="b">
        <f t="shared" si="2264"/>
        <v>0</v>
      </c>
      <c r="BI224" s="212" t="b">
        <f t="shared" ref="BI224" si="2550">IF(J224="",FALSE,IF(L224=0,FALSE,IF(AND(AU223,NOT(BF224),OR(M224="",N224="",O224="")),TRUE,FALSE)))</f>
        <v>0</v>
      </c>
      <c r="BJ224" s="231" t="b">
        <f t="shared" si="2266"/>
        <v>0</v>
      </c>
      <c r="BK224" s="231" t="b">
        <f>IF(NOT(BJ224),FALSE,IF(AND(競技会設定!$C$5&lt;=BJ224,BJ224&lt;=競技会設定!$C$6),FALSE,TRUE))</f>
        <v>0</v>
      </c>
      <c r="BL224" s="212" t="b">
        <f>IF(J224="",FALSE,IF(L224=0,FALSE,IF(AND(AU223,NOT(BF224),NOT(BI224),P224=""),TRUE,FALSE)))</f>
        <v>0</v>
      </c>
    </row>
    <row r="225" spans="1:67" ht="17.399999999999999" customHeight="1">
      <c r="A225" s="471"/>
      <c r="B225" s="402"/>
      <c r="C225" s="404"/>
      <c r="D225" s="11"/>
      <c r="E225" s="348" t="str">
        <f>IF(C223="","",VLOOKUP(D223,女子登録!$A$2:$O$2001,14,0)&amp;" ("&amp;VLOOKUP(D223,女子登録!$A$2:$O$2001,15,0)&amp;")")</f>
        <v/>
      </c>
      <c r="F225" s="348"/>
      <c r="G225" s="13" t="str">
        <f>IF(C223="","",(VLOOKUP(D223,女子登録!$A$2:$N$2001,9,0)))</f>
        <v/>
      </c>
      <c r="H225" s="13"/>
      <c r="I225" s="13" t="s">
        <v>4021</v>
      </c>
      <c r="J225" s="172"/>
      <c r="K225" s="13" t="s">
        <v>6760</v>
      </c>
      <c r="L225" s="172"/>
      <c r="M225" s="255"/>
      <c r="N225" s="256"/>
      <c r="O225" s="257"/>
      <c r="P225" s="171"/>
      <c r="Q225" s="458"/>
      <c r="R225" s="415"/>
      <c r="S225" s="136"/>
      <c r="T225" s="137"/>
      <c r="U225" s="137"/>
      <c r="V225" s="137"/>
      <c r="W225" s="137"/>
      <c r="X225" s="137"/>
      <c r="Y225" s="212">
        <f t="shared" ref="Y225" si="2551">IF(OR(E223="",J225=""),0,J225&amp;E223)</f>
        <v>0</v>
      </c>
      <c r="Z225" s="212">
        <f>IF(Y225=0,0,COUNTIF($Y$7:Y225,Y225))</f>
        <v>0</v>
      </c>
      <c r="AD225" s="212">
        <f>IFERROR(VLOOKUP(J225,競技会設定!$T$2:$W$22,2,0),0)</f>
        <v>0</v>
      </c>
      <c r="AE225" s="212">
        <f t="shared" ref="AE225" si="2552">IF(E223="",0,IF(AD225=0,0,IF(AD225&lt;3,E223&amp;$AE$6,0)))</f>
        <v>0</v>
      </c>
      <c r="AF225" s="212">
        <f>IF(AE225=0,0,E223&amp;COUNTIF($AE$7:AE225,AE225))</f>
        <v>0</v>
      </c>
      <c r="AG225" s="212">
        <f t="shared" ref="AG225" si="2553">IF(E223="",0,IF(AD225=0,0,IF(AD225&gt;=3,E223&amp;$AG$6,0)))</f>
        <v>0</v>
      </c>
      <c r="AH225" s="212">
        <f>IF(AG225=0,0,E223&amp;COUNTIF($AG$7:AG225,AG225))</f>
        <v>0</v>
      </c>
      <c r="AI225" s="212">
        <f t="shared" ref="AI225" si="2554">IF($AD225=AI$6,$E223,0)</f>
        <v>0</v>
      </c>
      <c r="AJ225" s="212" t="b">
        <f>IF(AI225=0,FALSE,IF(COUNTIF(AI$7:AI225,AI225)&gt;1,TRUE,FALSE))</f>
        <v>0</v>
      </c>
      <c r="AK225" s="212">
        <f t="shared" ref="AK225" si="2555">IF($AD225=AK$6,$E223,0)</f>
        <v>0</v>
      </c>
      <c r="AL225" s="212" t="b">
        <f>IF(AK225=0,FALSE,IF(COUNTIF(AK$7:AK225,AK225)&gt;1,TRUE,FALSE))</f>
        <v>0</v>
      </c>
      <c r="AM225" s="212">
        <f t="shared" ref="AM225" si="2556">IF(COUNTIF(Y225,"*七種*")&gt;0,0,IF($AD225=AM$6,$E223,0))</f>
        <v>0</v>
      </c>
      <c r="AN225" s="212" t="b">
        <f>IF(AM225=0,FALSE,IF(COUNTIF(AM$7:AM225,AM225)&gt;1,TRUE,FALSE))</f>
        <v>0</v>
      </c>
      <c r="AO225" s="212">
        <f t="shared" ref="AO225" si="2557">IF($AD225=AO$6,$E223,0)</f>
        <v>0</v>
      </c>
      <c r="AP225" s="212" t="b">
        <f>IF(AO225=0,FALSE,IF(COUNTIF(AO$7:AO225,AO225)&gt;1,TRUE,FALSE))</f>
        <v>0</v>
      </c>
      <c r="AQ225" s="212">
        <f t="shared" ref="AQ225" si="2558">IF(COUNTIF(Y225,"*七種競技*")&gt;0,E223,0)</f>
        <v>0</v>
      </c>
      <c r="AR225" s="212" t="b">
        <f t="shared" si="2262"/>
        <v>0</v>
      </c>
      <c r="AT225" s="212" t="b">
        <f t="shared" si="2275"/>
        <v>0</v>
      </c>
      <c r="AX225" s="274"/>
      <c r="BD225" s="212" t="b">
        <f t="shared" si="2249"/>
        <v>0</v>
      </c>
      <c r="BF225" s="212" t="b">
        <f t="shared" ref="BF225" si="2559">IF(J225="",FALSE,IF(OR(AND(AU223,L225=""),AND(AU223,L225="",OR(M225&lt;&gt;"",N225&lt;&gt;"",O225&lt;&gt;"",P225&lt;&gt;""))),TRUE,FALSE))</f>
        <v>0</v>
      </c>
      <c r="BG225" s="212" t="b">
        <f t="shared" si="2251"/>
        <v>0</v>
      </c>
      <c r="BH225" s="212" t="b">
        <f t="shared" si="2264"/>
        <v>0</v>
      </c>
      <c r="BI225" s="212" t="b">
        <f t="shared" ref="BI225" si="2560">IF(J225="",FALSE,IF(L225=0,FALSE,IF(AND(AU223,NOT(BF225),OR(M225="",N225="",O225="")),TRUE,FALSE)))</f>
        <v>0</v>
      </c>
      <c r="BJ225" s="231" t="b">
        <f t="shared" si="2266"/>
        <v>0</v>
      </c>
      <c r="BK225" s="231" t="b">
        <f>IF(NOT(BJ225),FALSE,IF(AND(競技会設定!$C$5&lt;=BJ225,BJ225&lt;=競技会設定!$C$6),FALSE,TRUE))</f>
        <v>0</v>
      </c>
      <c r="BL225" s="212" t="b">
        <f>IF(J225="",FALSE,IF(L225=0,FALSE,IF(AND(AU223,NOT(BF225),NOT(BI225),P225=""),TRUE,FALSE)))</f>
        <v>0</v>
      </c>
    </row>
    <row r="226" spans="1:67" ht="18" customHeight="1" thickBot="1">
      <c r="A226" s="472"/>
      <c r="B226" s="395" t="s">
        <v>6764</v>
      </c>
      <c r="C226" s="395"/>
      <c r="D226" s="11"/>
      <c r="E226" s="460"/>
      <c r="F226" s="460"/>
      <c r="G226" s="460"/>
      <c r="H226" s="157"/>
      <c r="I226" s="157" t="s">
        <v>6759</v>
      </c>
      <c r="J226" s="173"/>
      <c r="K226" s="157" t="s">
        <v>6761</v>
      </c>
      <c r="L226" s="173"/>
      <c r="M226" s="258"/>
      <c r="N226" s="259"/>
      <c r="O226" s="260"/>
      <c r="P226" s="173"/>
      <c r="Q226" s="459"/>
      <c r="R226" s="416"/>
      <c r="S226" s="136"/>
      <c r="T226" s="137"/>
      <c r="U226" s="137"/>
      <c r="V226" s="137"/>
      <c r="W226" s="137"/>
      <c r="X226" s="137"/>
      <c r="Y226" s="212">
        <f t="shared" ref="Y226" si="2561">IF(OR(E223="",J226=""),0,J226&amp;E223)</f>
        <v>0</v>
      </c>
      <c r="Z226" s="212">
        <f>IF(Y226=0,0,COUNTIF($Y$7:Y226,Y226))</f>
        <v>0</v>
      </c>
      <c r="AD226" s="212">
        <f>IFERROR(VLOOKUP(J226,競技会設定!$T$2:$W$22,2,0),0)</f>
        <v>0</v>
      </c>
      <c r="AE226" s="212">
        <f t="shared" ref="AE226" si="2562">IF(E223="",0,IF(AD226=0,0,IF(AD226&lt;3,E223&amp;$AE$6,0)))</f>
        <v>0</v>
      </c>
      <c r="AF226" s="212">
        <f>IF(AE226=0,0,E223&amp;COUNTIF($AE$7:AE226,AE226))</f>
        <v>0</v>
      </c>
      <c r="AG226" s="212">
        <f t="shared" ref="AG226" si="2563">IF(E223="",0,IF(AD226=0,0,IF(AD226&gt;=3,E223&amp;$AG$6,0)))</f>
        <v>0</v>
      </c>
      <c r="AH226" s="212">
        <f>IF(AG226=0,0,E223&amp;COUNTIF($AG$7:AG226,AG226))</f>
        <v>0</v>
      </c>
      <c r="AI226" s="212">
        <f t="shared" ref="AI226" si="2564">IF($AD226=AI$6,$E223,0)</f>
        <v>0</v>
      </c>
      <c r="AJ226" s="212" t="b">
        <f>IF(AI226=0,FALSE,IF(COUNTIF(AI$7:AI226,AI226)&gt;1,TRUE,FALSE))</f>
        <v>0</v>
      </c>
      <c r="AK226" s="212">
        <f t="shared" ref="AK226" si="2565">IF($AD226=AK$6,$E223,0)</f>
        <v>0</v>
      </c>
      <c r="AL226" s="212" t="b">
        <f>IF(AK226=0,FALSE,IF(COUNTIF(AK$7:AK226,AK226)&gt;1,TRUE,FALSE))</f>
        <v>0</v>
      </c>
      <c r="AM226" s="212">
        <f t="shared" ref="AM226" si="2566">IF(COUNTIF(Y226,"*七種*")&gt;0,0,IF($AD226=AM$6,$E223,0))</f>
        <v>0</v>
      </c>
      <c r="AN226" s="212" t="b">
        <f>IF(AM226=0,FALSE,IF(COUNTIF(AM$7:AM226,AM226)&gt;1,TRUE,FALSE))</f>
        <v>0</v>
      </c>
      <c r="AO226" s="212">
        <f t="shared" ref="AO226" si="2567">IF($AD226=AO$6,$E223,0)</f>
        <v>0</v>
      </c>
      <c r="AP226" s="212" t="b">
        <f>IF(AO226=0,FALSE,IF(COUNTIF(AO$7:AO226,AO226)&gt;1,TRUE,FALSE))</f>
        <v>0</v>
      </c>
      <c r="AQ226" s="212">
        <f t="shared" ref="AQ226" si="2568">IF(COUNTIF(Y226,"*七種競技*")&gt;0,E223,0)</f>
        <v>0</v>
      </c>
      <c r="AR226" s="212" t="b">
        <f t="shared" si="2262"/>
        <v>0</v>
      </c>
      <c r="AT226" s="212" t="b">
        <f t="shared" si="2275"/>
        <v>0</v>
      </c>
      <c r="AX226" s="274"/>
      <c r="BD226" s="212" t="b">
        <f t="shared" si="2249"/>
        <v>0</v>
      </c>
      <c r="BF226" s="212" t="b">
        <f t="shared" ref="BF226" si="2569">IF(J226="",FALSE,IF(OR(AND(AU223,L226=""),AND(AU223,L226="",OR(M226&lt;&gt;"",N226&lt;&gt;"",O226&lt;&gt;"",P226&lt;&gt;""))),TRUE,FALSE))</f>
        <v>0</v>
      </c>
      <c r="BG226" s="212" t="b">
        <f t="shared" si="2251"/>
        <v>0</v>
      </c>
      <c r="BH226" s="212" t="b">
        <f t="shared" si="2264"/>
        <v>0</v>
      </c>
      <c r="BI226" s="212" t="b">
        <f t="shared" ref="BI226" si="2570">IF(J226="",FALSE,IF(L226=0,FALSE,IF(AND(AU223,NOT(BF226),OR(M226="",N226="",O226="")),TRUE,FALSE)))</f>
        <v>0</v>
      </c>
      <c r="BJ226" s="231" t="b">
        <f t="shared" si="2266"/>
        <v>0</v>
      </c>
      <c r="BK226" s="231" t="b">
        <f>IF(NOT(BJ226),FALSE,IF(AND(競技会設定!$C$5&lt;=BJ226,BJ226&lt;=競技会設定!$C$6),FALSE,TRUE))</f>
        <v>0</v>
      </c>
      <c r="BL226" s="212" t="b">
        <f>IF(J226="",FALSE,IF(L226=0,FALSE,IF(AND(AU223,NOT(BF226),NOT(BI226),P226=""),TRUE,FALSE)))</f>
        <v>0</v>
      </c>
    </row>
    <row r="227" spans="1:67" ht="18" customHeight="1" thickTop="1">
      <c r="A227" s="461">
        <v>56</v>
      </c>
      <c r="B227" s="373" t="s">
        <v>4018</v>
      </c>
      <c r="C227" s="375"/>
      <c r="D227" s="158" t="str">
        <f t="shared" ref="D227" si="2571">IF(C227="","",502&amp;TEXT(C227,"000000"))</f>
        <v/>
      </c>
      <c r="E227" s="464" t="str">
        <f>IF(D227="","",(VLOOKUP(D227,女子登録!$A$2:$N$2001,3,0)))</f>
        <v/>
      </c>
      <c r="F227" s="464" t="str">
        <f>IF(D227="","",(VLOOKUP(D227,女子登録!$A$2:$N$2001,4,0)))</f>
        <v/>
      </c>
      <c r="G227" s="158" t="str">
        <f>IF(C227="","",(VLOOKUP(D227,女子登録!$A$2:$N$2001,8,0)))</f>
        <v/>
      </c>
      <c r="H227" s="158">
        <f>IFERROR(VLOOKUP(D227,女子登録!$A$2:$N$2001,11,0),基本情報!$E$5)</f>
        <v>0</v>
      </c>
      <c r="I227" s="158" t="s">
        <v>4019</v>
      </c>
      <c r="J227" s="174"/>
      <c r="K227" s="158" t="s">
        <v>4022</v>
      </c>
      <c r="L227" s="174"/>
      <c r="M227" s="261"/>
      <c r="N227" s="262"/>
      <c r="O227" s="263"/>
      <c r="P227" s="174"/>
      <c r="Q227" s="448"/>
      <c r="R227" s="408"/>
      <c r="S227" s="136">
        <f t="shared" ref="S227" si="2572">IF(OR(E227="",Q227=""),0,E227)</f>
        <v>0</v>
      </c>
      <c r="T227" s="137">
        <f>IF(S227=0,0,COUNTIF($S$7:S227,"*"))</f>
        <v>0</v>
      </c>
      <c r="U227" s="137">
        <f>IF(S227=0,0,COUNTIF($S$7:S227,S227))</f>
        <v>0</v>
      </c>
      <c r="V227" s="137">
        <f t="shared" si="2478"/>
        <v>0</v>
      </c>
      <c r="W227" s="137">
        <f>IF(V227=0,0,COUNTIF($V$7:V227,"*"))</f>
        <v>0</v>
      </c>
      <c r="X227" s="137">
        <f>IF(V227=0,0,COUNTIF($V$7:V227,V227))</f>
        <v>0</v>
      </c>
      <c r="Y227" s="212">
        <f t="shared" ref="Y227" si="2573">IF(OR(E227="",J227=""),0,J227&amp;E227)</f>
        <v>0</v>
      </c>
      <c r="Z227" s="212">
        <f>IF(Y227=0,0,COUNTIF($Y$7:Y227,Y227))</f>
        <v>0</v>
      </c>
      <c r="AA227" s="212" t="b">
        <f>IF(COUNTIF(J227:J230,"七種競技")&gt;0,TRUE,FALSE)</f>
        <v>0</v>
      </c>
      <c r="AB227" s="212">
        <f>IF(E227="",0,IF(AA227,COUNTIF($AA$7:AA227,TRUE),0))</f>
        <v>0</v>
      </c>
      <c r="AC227" s="212">
        <f>IFERROR(VLOOKUP("七種競技",J227:L230,3,0),0)</f>
        <v>0</v>
      </c>
      <c r="AD227" s="212">
        <f>IFERROR(VLOOKUP(J227,競技会設定!$T$2:$W$22,2,0),0)</f>
        <v>0</v>
      </c>
      <c r="AE227" s="212">
        <f t="shared" ref="AE227" si="2574">IF(E227="",0,IF(AD227=0,0,IF(AD227&lt;3,E227&amp;$AE$6,0)))</f>
        <v>0</v>
      </c>
      <c r="AF227" s="212">
        <f>IF(AE227=0,0,E227&amp;COUNTIF($AE$7:AE227,AE227))</f>
        <v>0</v>
      </c>
      <c r="AG227" s="212">
        <f t="shared" ref="AG227" si="2575">IF(E227="",0,IF(AD227=0,0,IF(AD227&gt;=3,E227&amp;$AG$6,0)))</f>
        <v>0</v>
      </c>
      <c r="AH227" s="212">
        <f>IF(AG227=0,0,E227&amp;COUNTIF($AG$7:AG227,AG227))</f>
        <v>0</v>
      </c>
      <c r="AI227" s="212">
        <f t="shared" ref="AI227" si="2576">IF($AD227=AI$6,$E227,0)</f>
        <v>0</v>
      </c>
      <c r="AJ227" s="212" t="b">
        <f>IF(AI227=0,FALSE,IF(COUNTIF(AI$7:AI227,AI227)&gt;1,TRUE,FALSE))</f>
        <v>0</v>
      </c>
      <c r="AK227" s="212">
        <f t="shared" ref="AK227" si="2577">IF($AD227=AK$6,$E227,0)</f>
        <v>0</v>
      </c>
      <c r="AL227" s="212" t="b">
        <f>IF(AK227=0,FALSE,IF(COUNTIF(AK$7:AK227,AK227)&gt;1,TRUE,FALSE))</f>
        <v>0</v>
      </c>
      <c r="AM227" s="212">
        <f t="shared" ref="AM227" si="2578">IF(COUNTIF(Y227,"*七種*")&gt;0,0,IF($AD227=AM$6,$E227,0))</f>
        <v>0</v>
      </c>
      <c r="AN227" s="212" t="b">
        <f>IF(AM227=0,FALSE,IF(COUNTIF(AM$7:AM227,AM227)&gt;1,TRUE,FALSE))</f>
        <v>0</v>
      </c>
      <c r="AO227" s="212">
        <f t="shared" ref="AO227" si="2579">IF($AD227=AO$6,$E227,0)</f>
        <v>0</v>
      </c>
      <c r="AP227" s="212" t="b">
        <f>IF(AO227=0,FALSE,IF(COUNTIF(AO$7:AO227,AO227)&gt;1,TRUE,FALSE))</f>
        <v>0</v>
      </c>
      <c r="AQ227" s="212">
        <f t="shared" ref="AQ227" si="2580">IF(COUNTIF(Y227,"*七種競技*")&gt;0,E227,0)</f>
        <v>0</v>
      </c>
      <c r="AR227" s="212" t="b">
        <f t="shared" si="2262"/>
        <v>0</v>
      </c>
      <c r="AS227" s="212" t="b">
        <f t="shared" ref="AS227" si="2581">IF(AND(C227="",E227&lt;&gt;"",F227&lt;&gt;"",E229&lt;&gt;"",G227&lt;&gt;"",G228&lt;&gt;"",G229&lt;&gt;""),TRUE,FALSE)</f>
        <v>0</v>
      </c>
      <c r="AT227" s="212" t="b">
        <f t="shared" si="2275"/>
        <v>0</v>
      </c>
      <c r="AU227" s="212" t="b">
        <f>IFERROR(IF(E227&amp;F227&amp;E229&amp;G227&amp;G228&amp;G229&amp;J227&amp;J228&amp;J229&amp;J230&amp;L227&amp;L228&amp;L229&amp;L230&amp;M227&amp;M228&amp;M229&amp;M230&amp;P227&amp;P228&amp;P229&amp;P230&amp;Q227&amp;R227="",FALSE,TRUE),FALSE)</f>
        <v>0</v>
      </c>
      <c r="AV227" s="212" t="b">
        <f t="shared" ref="AV227" si="2582">IF(AS227,FALSE,IF(C227="",AU227,FALSE))</f>
        <v>0</v>
      </c>
      <c r="AW227" s="212" t="b">
        <f t="shared" ref="AW227" si="2583">IF(C227="",FALSE,IF(C227&lt;=2000,TRUE,FALSE))</f>
        <v>0</v>
      </c>
      <c r="AX227" s="274" t="b">
        <f>IF(H227=0,FALSE,IF(EXACT(基本情報!$E$5,H227)=TRUE,FALSE,TRUE))</f>
        <v>0</v>
      </c>
      <c r="AY227" s="212" t="b">
        <f>IF(C227="",FALSE,IF(ISNA(E227)=TRUE,TRUE,FALSE))</f>
        <v>0</v>
      </c>
      <c r="AZ227" s="274" t="b">
        <f>IFERROR(IF(E227="",FALSE,IF(COUNTIF($E$7:E227,E227)&gt;1,TRUE,FALSE)),FALSE)</f>
        <v>0</v>
      </c>
      <c r="BA227" s="212" t="b">
        <f t="shared" ref="BA227" si="2584">IF(OR(J227&amp;J228&amp;J229&amp;J230&amp;Q227&amp;R227="",AT227,AT228,AT229,AT230),AU227,FALSE)</f>
        <v>0</v>
      </c>
      <c r="BB227" s="212" t="b">
        <f>IF(U227&gt;1,TRUE,FALSE)</f>
        <v>0</v>
      </c>
      <c r="BC227" s="212" t="b">
        <f>IF(X227&gt;1,TRUE,FALSE)</f>
        <v>0</v>
      </c>
      <c r="BD227" s="212" t="b">
        <f t="shared" si="2249"/>
        <v>0</v>
      </c>
      <c r="BF227" s="212" t="b">
        <f t="shared" ref="BF227" si="2585">IF(J227="",FALSE,IF(OR(AND(AU227,L227=""),AND(AU227,L227="",OR(M227&lt;&gt;"",N227&lt;&gt;"",O227&lt;&gt;"",P227&lt;&gt;""))),TRUE,FALSE))</f>
        <v>0</v>
      </c>
      <c r="BG227" s="212" t="b">
        <f t="shared" si="2251"/>
        <v>0</v>
      </c>
      <c r="BH227" s="212" t="b">
        <f t="shared" si="2264"/>
        <v>0</v>
      </c>
      <c r="BI227" s="212" t="b">
        <f t="shared" ref="BI227" si="2586">IF(J227="",FALSE,IF(L227=0,FALSE,IF(AND(AU227,NOT(BF227),OR(M227="",N227="",O227="")),TRUE,FALSE)))</f>
        <v>0</v>
      </c>
      <c r="BJ227" s="231" t="b">
        <f t="shared" si="2266"/>
        <v>0</v>
      </c>
      <c r="BK227" s="231" t="b">
        <f>IF(NOT(BJ227),FALSE,IF(AND(競技会設定!$C$5&lt;=BJ227,BJ227&lt;=競技会設定!$C$6),FALSE,TRUE))</f>
        <v>0</v>
      </c>
      <c r="BL227" s="212" t="b">
        <f>IF(J227="",FALSE,IF(L227=0,FALSE,IF(AND(AU227,NOT(BF227),NOT(BI227),P227=""),TRUE,FALSE)))</f>
        <v>0</v>
      </c>
      <c r="BO227" s="274">
        <f t="shared" ref="BO227" si="2587">IF(AND(AU227,SUM(COUNTIF(AV227:BC227,TRUE),COUNTIF(BF227:BL230,TRUE),COUNTIF(BD227:BD230,TRUE))=0,NOT($BE$7)),1,0)</f>
        <v>0</v>
      </c>
    </row>
    <row r="228" spans="1:67" ht="17.399999999999999" customHeight="1">
      <c r="A228" s="462"/>
      <c r="B228" s="374"/>
      <c r="C228" s="376"/>
      <c r="D228" s="159"/>
      <c r="E228" s="465"/>
      <c r="F228" s="465"/>
      <c r="G228" s="159" t="str">
        <f>IF(C227="","",(VLOOKUP(D227,女子登録!$A$2:$N$2001,13,0)))</f>
        <v/>
      </c>
      <c r="H228" s="159"/>
      <c r="I228" s="159" t="s">
        <v>4020</v>
      </c>
      <c r="J228" s="175"/>
      <c r="K228" s="159" t="s">
        <v>4023</v>
      </c>
      <c r="L228" s="175"/>
      <c r="M228" s="264"/>
      <c r="N228" s="265"/>
      <c r="O228" s="266"/>
      <c r="P228" s="175"/>
      <c r="Q228" s="449"/>
      <c r="R228" s="409"/>
      <c r="S228" s="136"/>
      <c r="T228" s="137"/>
      <c r="U228" s="137"/>
      <c r="V228" s="137"/>
      <c r="W228" s="137"/>
      <c r="X228" s="137"/>
      <c r="Y228" s="212">
        <f t="shared" ref="Y228" si="2588">IF(OR(E227="",J228=""),0,J228&amp;E227)</f>
        <v>0</v>
      </c>
      <c r="Z228" s="212">
        <f>IF(Y228=0,0,COUNTIF($Y$7:Y228,Y228))</f>
        <v>0</v>
      </c>
      <c r="AD228" s="212">
        <f>IFERROR(VLOOKUP(J228,競技会設定!$T$2:$W$22,2,0),0)</f>
        <v>0</v>
      </c>
      <c r="AE228" s="212">
        <f t="shared" ref="AE228" si="2589">IF(E227="",0,IF(AD228=0,0,IF(AD228&lt;3,E227&amp;$AE$6,0)))</f>
        <v>0</v>
      </c>
      <c r="AF228" s="212">
        <f>IF(AE228=0,0,E227&amp;COUNTIF($AE$7:AE228,AE228))</f>
        <v>0</v>
      </c>
      <c r="AG228" s="212">
        <f t="shared" ref="AG228" si="2590">IF(E227="",0,IF(AD228=0,0,IF(AD228&gt;=3,E227&amp;$AG$6,0)))</f>
        <v>0</v>
      </c>
      <c r="AH228" s="212">
        <f>IF(AG228=0,0,E227&amp;COUNTIF($AG$7:AG228,AG228))</f>
        <v>0</v>
      </c>
      <c r="AI228" s="212">
        <f t="shared" ref="AI228" si="2591">IF($AD228=AI$6,$E227,0)</f>
        <v>0</v>
      </c>
      <c r="AJ228" s="212" t="b">
        <f>IF(AI228=0,FALSE,IF(COUNTIF(AI$7:AI228,AI228)&gt;1,TRUE,FALSE))</f>
        <v>0</v>
      </c>
      <c r="AK228" s="212">
        <f t="shared" ref="AK228" si="2592">IF($AD228=AK$6,$E227,0)</f>
        <v>0</v>
      </c>
      <c r="AL228" s="212" t="b">
        <f>IF(AK228=0,FALSE,IF(COUNTIF(AK$7:AK228,AK228)&gt;1,TRUE,FALSE))</f>
        <v>0</v>
      </c>
      <c r="AM228" s="212">
        <f t="shared" ref="AM228" si="2593">IF(COUNTIF(Y228,"*七種*")&gt;0,0,IF($AD228=AM$6,$E227,0))</f>
        <v>0</v>
      </c>
      <c r="AN228" s="212" t="b">
        <f>IF(AM228=0,FALSE,IF(COUNTIF(AM$7:AM228,AM228)&gt;1,TRUE,FALSE))</f>
        <v>0</v>
      </c>
      <c r="AO228" s="212">
        <f t="shared" ref="AO228" si="2594">IF($AD228=AO$6,$E227,0)</f>
        <v>0</v>
      </c>
      <c r="AP228" s="212" t="b">
        <f>IF(AO228=0,FALSE,IF(COUNTIF(AO$7:AO228,AO228)&gt;1,TRUE,FALSE))</f>
        <v>0</v>
      </c>
      <c r="AQ228" s="212">
        <f t="shared" ref="AQ228" si="2595">IF(COUNTIF(Y228,"*七種競技*")&gt;0,E227,0)</f>
        <v>0</v>
      </c>
      <c r="AR228" s="212" t="b">
        <f t="shared" si="2262"/>
        <v>0</v>
      </c>
      <c r="AT228" s="212" t="b">
        <f t="shared" si="2275"/>
        <v>0</v>
      </c>
      <c r="AX228" s="274"/>
      <c r="BD228" s="212" t="b">
        <f t="shared" si="2249"/>
        <v>0</v>
      </c>
      <c r="BF228" s="212" t="b">
        <f t="shared" ref="BF228" si="2596">IF(J228="",FALSE,IF(OR(AND(AU227,L228=""),AND(AU227,L228="",OR(M228&lt;&gt;"",N228&lt;&gt;"",O228&lt;&gt;"",P228&lt;&gt;""))),TRUE,FALSE))</f>
        <v>0</v>
      </c>
      <c r="BG228" s="212" t="b">
        <f t="shared" si="2251"/>
        <v>0</v>
      </c>
      <c r="BH228" s="212" t="b">
        <f t="shared" si="2264"/>
        <v>0</v>
      </c>
      <c r="BI228" s="212" t="b">
        <f t="shared" ref="BI228" si="2597">IF(J228="",FALSE,IF(L228=0,FALSE,IF(AND(AU227,NOT(BF228),OR(M228="",N228="",O228="")),TRUE,FALSE)))</f>
        <v>0</v>
      </c>
      <c r="BJ228" s="231" t="b">
        <f t="shared" si="2266"/>
        <v>0</v>
      </c>
      <c r="BK228" s="231" t="b">
        <f>IF(NOT(BJ228),FALSE,IF(AND(競技会設定!$C$5&lt;=BJ228,BJ228&lt;=競技会設定!$C$6),FALSE,TRUE))</f>
        <v>0</v>
      </c>
      <c r="BL228" s="212" t="b">
        <f>IF(J228="",FALSE,IF(L228=0,FALSE,IF(AND(AU227,NOT(BF228),NOT(BI228),P228=""),TRUE,FALSE)))</f>
        <v>0</v>
      </c>
    </row>
    <row r="229" spans="1:67" ht="17.399999999999999" customHeight="1">
      <c r="A229" s="462"/>
      <c r="B229" s="374"/>
      <c r="C229" s="376"/>
      <c r="D229" s="160"/>
      <c r="E229" s="452" t="str">
        <f>IF(C227="","",VLOOKUP(D227,女子登録!$A$2:$O$2001,14,0)&amp;" ("&amp;VLOOKUP(D227,女子登録!$A$2:$O$2001,15,0)&amp;")")</f>
        <v/>
      </c>
      <c r="F229" s="453"/>
      <c r="G229" s="160" t="str">
        <f>IF(C227="","",(VLOOKUP(D227,女子登録!$A$2:$N$2001,9,0)))</f>
        <v/>
      </c>
      <c r="H229" s="160"/>
      <c r="I229" s="160" t="s">
        <v>4021</v>
      </c>
      <c r="J229" s="176"/>
      <c r="K229" s="160" t="s">
        <v>6760</v>
      </c>
      <c r="L229" s="176"/>
      <c r="M229" s="264"/>
      <c r="N229" s="265"/>
      <c r="O229" s="266"/>
      <c r="P229" s="175"/>
      <c r="Q229" s="449"/>
      <c r="R229" s="409"/>
      <c r="S229" s="136"/>
      <c r="T229" s="137"/>
      <c r="U229" s="137"/>
      <c r="V229" s="137"/>
      <c r="W229" s="137"/>
      <c r="X229" s="137"/>
      <c r="Y229" s="212">
        <f t="shared" ref="Y229" si="2598">IF(OR(E227="",J229=""),0,J229&amp;E227)</f>
        <v>0</v>
      </c>
      <c r="Z229" s="212">
        <f>IF(Y229=0,0,COUNTIF($Y$7:Y229,Y229))</f>
        <v>0</v>
      </c>
      <c r="AD229" s="212">
        <f>IFERROR(VLOOKUP(J229,競技会設定!$T$2:$W$22,2,0),0)</f>
        <v>0</v>
      </c>
      <c r="AE229" s="212">
        <f t="shared" ref="AE229" si="2599">IF(E227="",0,IF(AD229=0,0,IF(AD229&lt;3,E227&amp;$AE$6,0)))</f>
        <v>0</v>
      </c>
      <c r="AF229" s="212">
        <f>IF(AE229=0,0,E227&amp;COUNTIF($AE$7:AE229,AE229))</f>
        <v>0</v>
      </c>
      <c r="AG229" s="212">
        <f t="shared" ref="AG229" si="2600">IF(E227="",0,IF(AD229=0,0,IF(AD229&gt;=3,E227&amp;$AG$6,0)))</f>
        <v>0</v>
      </c>
      <c r="AH229" s="212">
        <f>IF(AG229=0,0,E227&amp;COUNTIF($AG$7:AG229,AG229))</f>
        <v>0</v>
      </c>
      <c r="AI229" s="212">
        <f t="shared" ref="AI229" si="2601">IF($AD229=AI$6,$E227,0)</f>
        <v>0</v>
      </c>
      <c r="AJ229" s="212" t="b">
        <f>IF(AI229=0,FALSE,IF(COUNTIF(AI$7:AI229,AI229)&gt;1,TRUE,FALSE))</f>
        <v>0</v>
      </c>
      <c r="AK229" s="212">
        <f t="shared" ref="AK229" si="2602">IF($AD229=AK$6,$E227,0)</f>
        <v>0</v>
      </c>
      <c r="AL229" s="212" t="b">
        <f>IF(AK229=0,FALSE,IF(COUNTIF(AK$7:AK229,AK229)&gt;1,TRUE,FALSE))</f>
        <v>0</v>
      </c>
      <c r="AM229" s="212">
        <f t="shared" ref="AM229" si="2603">IF(COUNTIF(Y229,"*七種*")&gt;0,0,IF($AD229=AM$6,$E227,0))</f>
        <v>0</v>
      </c>
      <c r="AN229" s="212" t="b">
        <f>IF(AM229=0,FALSE,IF(COUNTIF(AM$7:AM229,AM229)&gt;1,TRUE,FALSE))</f>
        <v>0</v>
      </c>
      <c r="AO229" s="212">
        <f t="shared" ref="AO229" si="2604">IF($AD229=AO$6,$E227,0)</f>
        <v>0</v>
      </c>
      <c r="AP229" s="212" t="b">
        <f>IF(AO229=0,FALSE,IF(COUNTIF(AO$7:AO229,AO229)&gt;1,TRUE,FALSE))</f>
        <v>0</v>
      </c>
      <c r="AQ229" s="212">
        <f t="shared" ref="AQ229" si="2605">IF(COUNTIF(Y229,"*七種競技*")&gt;0,E227,0)</f>
        <v>0</v>
      </c>
      <c r="AR229" s="212" t="b">
        <f t="shared" si="2262"/>
        <v>0</v>
      </c>
      <c r="AT229" s="212" t="b">
        <f t="shared" si="2275"/>
        <v>0</v>
      </c>
      <c r="AX229" s="274"/>
      <c r="BD229" s="212" t="b">
        <f t="shared" si="2249"/>
        <v>0</v>
      </c>
      <c r="BF229" s="212" t="b">
        <f t="shared" ref="BF229" si="2606">IF(J229="",FALSE,IF(OR(AND(AU227,L229=""),AND(AU227,L229="",OR(M229&lt;&gt;"",N229&lt;&gt;"",O229&lt;&gt;"",P229&lt;&gt;""))),TRUE,FALSE))</f>
        <v>0</v>
      </c>
      <c r="BG229" s="212" t="b">
        <f t="shared" si="2251"/>
        <v>0</v>
      </c>
      <c r="BH229" s="212" t="b">
        <f t="shared" si="2264"/>
        <v>0</v>
      </c>
      <c r="BI229" s="212" t="b">
        <f t="shared" ref="BI229" si="2607">IF(J229="",FALSE,IF(L229=0,FALSE,IF(AND(AU227,NOT(BF229),OR(M229="",N229="",O229="")),TRUE,FALSE)))</f>
        <v>0</v>
      </c>
      <c r="BJ229" s="231" t="b">
        <f t="shared" si="2266"/>
        <v>0</v>
      </c>
      <c r="BK229" s="231" t="b">
        <f>IF(NOT(BJ229),FALSE,IF(AND(競技会設定!$C$5&lt;=BJ229,BJ229&lt;=競技会設定!$C$6),FALSE,TRUE))</f>
        <v>0</v>
      </c>
      <c r="BL229" s="212" t="b">
        <f>IF(J229="",FALSE,IF(L229=0,FALSE,IF(AND(AU227,NOT(BF229),NOT(BI229),P229=""),TRUE,FALSE)))</f>
        <v>0</v>
      </c>
    </row>
    <row r="230" spans="1:67" ht="18" customHeight="1" thickBot="1">
      <c r="A230" s="475"/>
      <c r="B230" s="387" t="s">
        <v>6764</v>
      </c>
      <c r="C230" s="387"/>
      <c r="D230" s="161"/>
      <c r="E230" s="467"/>
      <c r="F230" s="468"/>
      <c r="G230" s="469"/>
      <c r="H230" s="162"/>
      <c r="I230" s="161" t="s">
        <v>6759</v>
      </c>
      <c r="J230" s="177"/>
      <c r="K230" s="161" t="s">
        <v>6761</v>
      </c>
      <c r="L230" s="177"/>
      <c r="M230" s="267"/>
      <c r="N230" s="268"/>
      <c r="O230" s="269"/>
      <c r="P230" s="177"/>
      <c r="Q230" s="466"/>
      <c r="R230" s="410"/>
      <c r="S230" s="136"/>
      <c r="T230" s="137"/>
      <c r="U230" s="137"/>
      <c r="V230" s="137"/>
      <c r="W230" s="137"/>
      <c r="X230" s="137"/>
      <c r="Y230" s="212">
        <f t="shared" ref="Y230" si="2608">IF(OR(E227="",J230=""),0,J230&amp;E227)</f>
        <v>0</v>
      </c>
      <c r="Z230" s="212">
        <f>IF(Y230=0,0,COUNTIF($Y$7:Y230,Y230))</f>
        <v>0</v>
      </c>
      <c r="AD230" s="212">
        <f>IFERROR(VLOOKUP(J230,競技会設定!$T$2:$W$22,2,0),0)</f>
        <v>0</v>
      </c>
      <c r="AE230" s="212">
        <f t="shared" ref="AE230" si="2609">IF(E227="",0,IF(AD230=0,0,IF(AD230&lt;3,E227&amp;$AE$6,0)))</f>
        <v>0</v>
      </c>
      <c r="AF230" s="212">
        <f>IF(AE230=0,0,E227&amp;COUNTIF($AE$7:AE230,AE230))</f>
        <v>0</v>
      </c>
      <c r="AG230" s="212">
        <f t="shared" ref="AG230" si="2610">IF(E227="",0,IF(AD230=0,0,IF(AD230&gt;=3,E227&amp;$AG$6,0)))</f>
        <v>0</v>
      </c>
      <c r="AH230" s="212">
        <f>IF(AG230=0,0,E227&amp;COUNTIF($AG$7:AG230,AG230))</f>
        <v>0</v>
      </c>
      <c r="AI230" s="212">
        <f t="shared" ref="AI230" si="2611">IF($AD230=AI$6,$E227,0)</f>
        <v>0</v>
      </c>
      <c r="AJ230" s="212" t="b">
        <f>IF(AI230=0,FALSE,IF(COUNTIF(AI$7:AI230,AI230)&gt;1,TRUE,FALSE))</f>
        <v>0</v>
      </c>
      <c r="AK230" s="212">
        <f t="shared" ref="AK230" si="2612">IF($AD230=AK$6,$E227,0)</f>
        <v>0</v>
      </c>
      <c r="AL230" s="212" t="b">
        <f>IF(AK230=0,FALSE,IF(COUNTIF(AK$7:AK230,AK230)&gt;1,TRUE,FALSE))</f>
        <v>0</v>
      </c>
      <c r="AM230" s="212">
        <f t="shared" ref="AM230" si="2613">IF(COUNTIF(Y230,"*七種*")&gt;0,0,IF($AD230=AM$6,$E227,0))</f>
        <v>0</v>
      </c>
      <c r="AN230" s="212" t="b">
        <f>IF(AM230=0,FALSE,IF(COUNTIF(AM$7:AM230,AM230)&gt;1,TRUE,FALSE))</f>
        <v>0</v>
      </c>
      <c r="AO230" s="212">
        <f t="shared" ref="AO230" si="2614">IF($AD230=AO$6,$E227,0)</f>
        <v>0</v>
      </c>
      <c r="AP230" s="212" t="b">
        <f>IF(AO230=0,FALSE,IF(COUNTIF(AO$7:AO230,AO230)&gt;1,TRUE,FALSE))</f>
        <v>0</v>
      </c>
      <c r="AQ230" s="212">
        <f t="shared" ref="AQ230" si="2615">IF(COUNTIF(Y230,"*七種競技*")&gt;0,E227,0)</f>
        <v>0</v>
      </c>
      <c r="AR230" s="212" t="b">
        <f t="shared" si="2262"/>
        <v>0</v>
      </c>
      <c r="AT230" s="212" t="b">
        <f t="shared" si="2275"/>
        <v>0</v>
      </c>
      <c r="AX230" s="274"/>
      <c r="BD230" s="212" t="b">
        <f t="shared" si="2249"/>
        <v>0</v>
      </c>
      <c r="BF230" s="212" t="b">
        <f t="shared" ref="BF230" si="2616">IF(J230="",FALSE,IF(OR(AND(AU227,L230=""),AND(AU227,L230="",OR(M230&lt;&gt;"",N230&lt;&gt;"",O230&lt;&gt;"",P230&lt;&gt;""))),TRUE,FALSE))</f>
        <v>0</v>
      </c>
      <c r="BG230" s="212" t="b">
        <f t="shared" si="2251"/>
        <v>0</v>
      </c>
      <c r="BH230" s="212" t="b">
        <f t="shared" si="2264"/>
        <v>0</v>
      </c>
      <c r="BI230" s="212" t="b">
        <f t="shared" ref="BI230" si="2617">IF(J230="",FALSE,IF(L230=0,FALSE,IF(AND(AU227,NOT(BF230),OR(M230="",N230="",O230="")),TRUE,FALSE)))</f>
        <v>0</v>
      </c>
      <c r="BJ230" s="231" t="b">
        <f t="shared" si="2266"/>
        <v>0</v>
      </c>
      <c r="BK230" s="231" t="b">
        <f>IF(NOT(BJ230),FALSE,IF(AND(競技会設定!$C$5&lt;=BJ230,BJ230&lt;=競技会設定!$C$6),FALSE,TRUE))</f>
        <v>0</v>
      </c>
      <c r="BL230" s="212" t="b">
        <f>IF(J230="",FALSE,IF(L230=0,FALSE,IF(AND(AU227,NOT(BF230),NOT(BI230),P230=""),TRUE,FALSE)))</f>
        <v>0</v>
      </c>
    </row>
    <row r="231" spans="1:67" ht="18" customHeight="1" thickTop="1">
      <c r="A231" s="470">
        <v>57</v>
      </c>
      <c r="B231" s="401" t="s">
        <v>4018</v>
      </c>
      <c r="C231" s="403"/>
      <c r="D231" s="156" t="str">
        <f t="shared" ref="D231" si="2618">IF(C231="","",502&amp;TEXT(C231,"000000"))</f>
        <v/>
      </c>
      <c r="E231" s="473" t="str">
        <f>IF(D231="","",(VLOOKUP(D231,女子登録!$A$2:$N$2001,3,0)))</f>
        <v/>
      </c>
      <c r="F231" s="473" t="str">
        <f>IF(D231="","",(VLOOKUP(D231,女子登録!$A$2:$N$2001,4,0)))</f>
        <v/>
      </c>
      <c r="G231" s="156" t="str">
        <f>IF(C231="","",(VLOOKUP(D231,女子登録!$A$2:$N$2001,8,0)))</f>
        <v/>
      </c>
      <c r="H231" s="156">
        <f>IFERROR(VLOOKUP(D231,女子登録!$A$2:$N$2001,11,0),基本情報!$E$5)</f>
        <v>0</v>
      </c>
      <c r="I231" s="156" t="s">
        <v>4019</v>
      </c>
      <c r="J231" s="170"/>
      <c r="K231" s="156" t="s">
        <v>4022</v>
      </c>
      <c r="L231" s="170"/>
      <c r="M231" s="252"/>
      <c r="N231" s="253"/>
      <c r="O231" s="254"/>
      <c r="P231" s="170"/>
      <c r="Q231" s="457"/>
      <c r="R231" s="414"/>
      <c r="S231" s="136">
        <f t="shared" ref="S231" si="2619">IF(OR(E231="",Q231=""),0,E231)</f>
        <v>0</v>
      </c>
      <c r="T231" s="137">
        <f>IF(S231=0,0,COUNTIF($S$7:S231,"*"))</f>
        <v>0</v>
      </c>
      <c r="U231" s="137">
        <f>IF(S231=0,0,COUNTIF($S$7:S231,S231))</f>
        <v>0</v>
      </c>
      <c r="V231" s="137">
        <f t="shared" si="2478"/>
        <v>0</v>
      </c>
      <c r="W231" s="137">
        <f>IF(V231=0,0,COUNTIF($V$7:V231,"*"))</f>
        <v>0</v>
      </c>
      <c r="X231" s="137">
        <f>IF(V231=0,0,COUNTIF($V$7:V231,V231))</f>
        <v>0</v>
      </c>
      <c r="Y231" s="212">
        <f t="shared" ref="Y231" si="2620">IF(OR(E231="",J231=""),0,J231&amp;E231)</f>
        <v>0</v>
      </c>
      <c r="Z231" s="212">
        <f>IF(Y231=0,0,COUNTIF($Y$7:Y231,Y231))</f>
        <v>0</v>
      </c>
      <c r="AA231" s="212" t="b">
        <f>IF(COUNTIF(J231:J234,"七種競技")&gt;0,TRUE,FALSE)</f>
        <v>0</v>
      </c>
      <c r="AB231" s="212">
        <f>IF(E231="",0,IF(AA231,COUNTIF($AA$7:AA231,TRUE),0))</f>
        <v>0</v>
      </c>
      <c r="AC231" s="212">
        <f>IFERROR(VLOOKUP("七種競技",J231:L234,3,0),0)</f>
        <v>0</v>
      </c>
      <c r="AD231" s="212">
        <f>IFERROR(VLOOKUP(J231,競技会設定!$T$2:$W$22,2,0),0)</f>
        <v>0</v>
      </c>
      <c r="AE231" s="212">
        <f t="shared" ref="AE231" si="2621">IF(E231="",0,IF(AD231=0,0,IF(AD231&lt;3,E231&amp;$AE$6,0)))</f>
        <v>0</v>
      </c>
      <c r="AF231" s="212">
        <f>IF(AE231=0,0,E231&amp;COUNTIF($AE$7:AE231,AE231))</f>
        <v>0</v>
      </c>
      <c r="AG231" s="212">
        <f t="shared" ref="AG231" si="2622">IF(E231="",0,IF(AD231=0,0,IF(AD231&gt;=3,E231&amp;$AG$6,0)))</f>
        <v>0</v>
      </c>
      <c r="AH231" s="212">
        <f>IF(AG231=0,0,E231&amp;COUNTIF($AG$7:AG231,AG231))</f>
        <v>0</v>
      </c>
      <c r="AI231" s="212">
        <f t="shared" ref="AI231" si="2623">IF($AD231=AI$6,$E231,0)</f>
        <v>0</v>
      </c>
      <c r="AJ231" s="212" t="b">
        <f>IF(AI231=0,FALSE,IF(COUNTIF(AI$7:AI231,AI231)&gt;1,TRUE,FALSE))</f>
        <v>0</v>
      </c>
      <c r="AK231" s="212">
        <f t="shared" ref="AK231" si="2624">IF($AD231=AK$6,$E231,0)</f>
        <v>0</v>
      </c>
      <c r="AL231" s="212" t="b">
        <f>IF(AK231=0,FALSE,IF(COUNTIF(AK$7:AK231,AK231)&gt;1,TRUE,FALSE))</f>
        <v>0</v>
      </c>
      <c r="AM231" s="212">
        <f t="shared" ref="AM231" si="2625">IF(COUNTIF(Y231,"*七種*")&gt;0,0,IF($AD231=AM$6,$E231,0))</f>
        <v>0</v>
      </c>
      <c r="AN231" s="212" t="b">
        <f>IF(AM231=0,FALSE,IF(COUNTIF(AM$7:AM231,AM231)&gt;1,TRUE,FALSE))</f>
        <v>0</v>
      </c>
      <c r="AO231" s="212">
        <f t="shared" ref="AO231" si="2626">IF($AD231=AO$6,$E231,0)</f>
        <v>0</v>
      </c>
      <c r="AP231" s="212" t="b">
        <f>IF(AO231=0,FALSE,IF(COUNTIF(AO$7:AO231,AO231)&gt;1,TRUE,FALSE))</f>
        <v>0</v>
      </c>
      <c r="AQ231" s="212">
        <f t="shared" ref="AQ231" si="2627">IF(COUNTIF(Y231,"*七種競技*")&gt;0,E231,0)</f>
        <v>0</v>
      </c>
      <c r="AR231" s="212" t="b">
        <f t="shared" si="2262"/>
        <v>0</v>
      </c>
      <c r="AS231" s="212" t="b">
        <f t="shared" ref="AS231" si="2628">IF(AND(C231="",E231&lt;&gt;"",F231&lt;&gt;"",E233&lt;&gt;"",G231&lt;&gt;"",G232&lt;&gt;"",G233&lt;&gt;""),TRUE,FALSE)</f>
        <v>0</v>
      </c>
      <c r="AT231" s="212" t="b">
        <f t="shared" si="2275"/>
        <v>0</v>
      </c>
      <c r="AU231" s="212" t="b">
        <f>IFERROR(IF(E231&amp;F231&amp;E233&amp;G231&amp;G232&amp;G233&amp;J231&amp;J232&amp;J233&amp;J234&amp;L231&amp;L232&amp;L233&amp;L234&amp;M231&amp;M232&amp;M233&amp;M234&amp;P231&amp;P232&amp;P233&amp;P234&amp;Q231&amp;R231="",FALSE,TRUE),FALSE)</f>
        <v>0</v>
      </c>
      <c r="AV231" s="212" t="b">
        <f t="shared" ref="AV231" si="2629">IF(AS231,FALSE,IF(C231="",AU231,FALSE))</f>
        <v>0</v>
      </c>
      <c r="AW231" s="212" t="b">
        <f t="shared" ref="AW231" si="2630">IF(C231="",FALSE,IF(C231&lt;=2000,TRUE,FALSE))</f>
        <v>0</v>
      </c>
      <c r="AX231" s="274" t="b">
        <f>IF(H231=0,FALSE,IF(EXACT(基本情報!$E$5,H231)=TRUE,FALSE,TRUE))</f>
        <v>0</v>
      </c>
      <c r="AY231" s="212" t="b">
        <f>IF(C231="",FALSE,IF(ISNA(E231)=TRUE,TRUE,FALSE))</f>
        <v>0</v>
      </c>
      <c r="AZ231" s="274" t="b">
        <f>IFERROR(IF(E231="",FALSE,IF(COUNTIF($E$7:E231,E231)&gt;1,TRUE,FALSE)),FALSE)</f>
        <v>0</v>
      </c>
      <c r="BA231" s="212" t="b">
        <f t="shared" ref="BA231" si="2631">IF(OR(J231&amp;J232&amp;J233&amp;J234&amp;Q231&amp;R231="",AT231,AT232,AT233,AT234),AU231,FALSE)</f>
        <v>0</v>
      </c>
      <c r="BB231" s="212" t="b">
        <f>IF(U231&gt;1,TRUE,FALSE)</f>
        <v>0</v>
      </c>
      <c r="BC231" s="212" t="b">
        <f>IF(X231&gt;1,TRUE,FALSE)</f>
        <v>0</v>
      </c>
      <c r="BD231" s="212" t="b">
        <f t="shared" si="2249"/>
        <v>0</v>
      </c>
      <c r="BF231" s="212" t="b">
        <f t="shared" ref="BF231" si="2632">IF(J231="",FALSE,IF(OR(AND(AU231,L231=""),AND(AU231,L231="",OR(M231&lt;&gt;"",N231&lt;&gt;"",O231&lt;&gt;"",P231&lt;&gt;""))),TRUE,FALSE))</f>
        <v>0</v>
      </c>
      <c r="BG231" s="212" t="b">
        <f t="shared" si="2251"/>
        <v>0</v>
      </c>
      <c r="BH231" s="212" t="b">
        <f t="shared" si="2264"/>
        <v>0</v>
      </c>
      <c r="BI231" s="212" t="b">
        <f t="shared" ref="BI231" si="2633">IF(J231="",FALSE,IF(L231=0,FALSE,IF(AND(AU231,NOT(BF231),OR(M231="",N231="",O231="")),TRUE,FALSE)))</f>
        <v>0</v>
      </c>
      <c r="BJ231" s="231" t="b">
        <f t="shared" si="2266"/>
        <v>0</v>
      </c>
      <c r="BK231" s="231" t="b">
        <f>IF(NOT(BJ231),FALSE,IF(AND(競技会設定!$C$5&lt;=BJ231,BJ231&lt;=競技会設定!$C$6),FALSE,TRUE))</f>
        <v>0</v>
      </c>
      <c r="BL231" s="212" t="b">
        <f>IF(J231="",FALSE,IF(L231=0,FALSE,IF(AND(AU231,NOT(BF231),NOT(BI231),P231=""),TRUE,FALSE)))</f>
        <v>0</v>
      </c>
      <c r="BO231" s="274">
        <f t="shared" ref="BO231" si="2634">IF(AND(AU231,SUM(COUNTIF(AV231:BC231,TRUE),COUNTIF(BF231:BL234,TRUE),COUNTIF(BD231:BD234,TRUE))=0,NOT($BE$7)),1,0)</f>
        <v>0</v>
      </c>
    </row>
    <row r="232" spans="1:67" ht="17.399999999999999" customHeight="1">
      <c r="A232" s="471"/>
      <c r="B232" s="402"/>
      <c r="C232" s="404"/>
      <c r="D232" s="11"/>
      <c r="E232" s="474"/>
      <c r="F232" s="474"/>
      <c r="G232" s="11" t="str">
        <f>IF(C231="","",(VLOOKUP(D231,女子登録!$A$2:$N$2001,13,0)))</f>
        <v/>
      </c>
      <c r="H232" s="11"/>
      <c r="I232" s="11" t="s">
        <v>4020</v>
      </c>
      <c r="J232" s="171"/>
      <c r="K232" s="11" t="s">
        <v>4023</v>
      </c>
      <c r="L232" s="171"/>
      <c r="M232" s="255"/>
      <c r="N232" s="256"/>
      <c r="O232" s="257"/>
      <c r="P232" s="171"/>
      <c r="Q232" s="458"/>
      <c r="R232" s="415"/>
      <c r="S232" s="136"/>
      <c r="T232" s="137"/>
      <c r="U232" s="137"/>
      <c r="V232" s="137"/>
      <c r="W232" s="137"/>
      <c r="X232" s="137"/>
      <c r="Y232" s="212">
        <f t="shared" ref="Y232" si="2635">IF(OR(E231="",J232=""),0,J232&amp;E231)</f>
        <v>0</v>
      </c>
      <c r="Z232" s="212">
        <f>IF(Y232=0,0,COUNTIF($Y$7:Y232,Y232))</f>
        <v>0</v>
      </c>
      <c r="AD232" s="212">
        <f>IFERROR(VLOOKUP(J232,競技会設定!$T$2:$W$22,2,0),0)</f>
        <v>0</v>
      </c>
      <c r="AE232" s="212">
        <f t="shared" ref="AE232" si="2636">IF(E231="",0,IF(AD232=0,0,IF(AD232&lt;3,E231&amp;$AE$6,0)))</f>
        <v>0</v>
      </c>
      <c r="AF232" s="212">
        <f>IF(AE232=0,0,E231&amp;COUNTIF($AE$7:AE232,AE232))</f>
        <v>0</v>
      </c>
      <c r="AG232" s="212">
        <f t="shared" ref="AG232" si="2637">IF(E231="",0,IF(AD232=0,0,IF(AD232&gt;=3,E231&amp;$AG$6,0)))</f>
        <v>0</v>
      </c>
      <c r="AH232" s="212">
        <f>IF(AG232=0,0,E231&amp;COUNTIF($AG$7:AG232,AG232))</f>
        <v>0</v>
      </c>
      <c r="AI232" s="212">
        <f t="shared" ref="AI232" si="2638">IF($AD232=AI$6,$E231,0)</f>
        <v>0</v>
      </c>
      <c r="AJ232" s="212" t="b">
        <f>IF(AI232=0,FALSE,IF(COUNTIF(AI$7:AI232,AI232)&gt;1,TRUE,FALSE))</f>
        <v>0</v>
      </c>
      <c r="AK232" s="212">
        <f t="shared" ref="AK232" si="2639">IF($AD232=AK$6,$E231,0)</f>
        <v>0</v>
      </c>
      <c r="AL232" s="212" t="b">
        <f>IF(AK232=0,FALSE,IF(COUNTIF(AK$7:AK232,AK232)&gt;1,TRUE,FALSE))</f>
        <v>0</v>
      </c>
      <c r="AM232" s="212">
        <f t="shared" ref="AM232" si="2640">IF(COUNTIF(Y232,"*七種*")&gt;0,0,IF($AD232=AM$6,$E231,0))</f>
        <v>0</v>
      </c>
      <c r="AN232" s="212" t="b">
        <f>IF(AM232=0,FALSE,IF(COUNTIF(AM$7:AM232,AM232)&gt;1,TRUE,FALSE))</f>
        <v>0</v>
      </c>
      <c r="AO232" s="212">
        <f t="shared" ref="AO232" si="2641">IF($AD232=AO$6,$E231,0)</f>
        <v>0</v>
      </c>
      <c r="AP232" s="212" t="b">
        <f>IF(AO232=0,FALSE,IF(COUNTIF(AO$7:AO232,AO232)&gt;1,TRUE,FALSE))</f>
        <v>0</v>
      </c>
      <c r="AQ232" s="212">
        <f t="shared" ref="AQ232" si="2642">IF(COUNTIF(Y232,"*七種競技*")&gt;0,E231,0)</f>
        <v>0</v>
      </c>
      <c r="AR232" s="212" t="b">
        <f t="shared" si="2262"/>
        <v>0</v>
      </c>
      <c r="AT232" s="212" t="b">
        <f t="shared" si="2275"/>
        <v>0</v>
      </c>
      <c r="AX232" s="274"/>
      <c r="BD232" s="212" t="b">
        <f t="shared" si="2249"/>
        <v>0</v>
      </c>
      <c r="BF232" s="212" t="b">
        <f t="shared" ref="BF232" si="2643">IF(J232="",FALSE,IF(OR(AND(AU231,L232=""),AND(AU231,L232="",OR(M232&lt;&gt;"",N232&lt;&gt;"",O232&lt;&gt;"",P232&lt;&gt;""))),TRUE,FALSE))</f>
        <v>0</v>
      </c>
      <c r="BG232" s="212" t="b">
        <f t="shared" si="2251"/>
        <v>0</v>
      </c>
      <c r="BH232" s="212" t="b">
        <f t="shared" si="2264"/>
        <v>0</v>
      </c>
      <c r="BI232" s="212" t="b">
        <f t="shared" ref="BI232" si="2644">IF(J232="",FALSE,IF(L232=0,FALSE,IF(AND(AU231,NOT(BF232),OR(M232="",N232="",O232="")),TRUE,FALSE)))</f>
        <v>0</v>
      </c>
      <c r="BJ232" s="231" t="b">
        <f t="shared" si="2266"/>
        <v>0</v>
      </c>
      <c r="BK232" s="231" t="b">
        <f>IF(NOT(BJ232),FALSE,IF(AND(競技会設定!$C$5&lt;=BJ232,BJ232&lt;=競技会設定!$C$6),FALSE,TRUE))</f>
        <v>0</v>
      </c>
      <c r="BL232" s="212" t="b">
        <f>IF(J232="",FALSE,IF(L232=0,FALSE,IF(AND(AU231,NOT(BF232),NOT(BI232),P232=""),TRUE,FALSE)))</f>
        <v>0</v>
      </c>
    </row>
    <row r="233" spans="1:67" ht="17.399999999999999" customHeight="1">
      <c r="A233" s="471"/>
      <c r="B233" s="402"/>
      <c r="C233" s="404"/>
      <c r="D233" s="11"/>
      <c r="E233" s="348" t="str">
        <f>IF(C231="","",VLOOKUP(D231,女子登録!$A$2:$O$2001,14,0)&amp;" ("&amp;VLOOKUP(D231,女子登録!$A$2:$O$2001,15,0)&amp;")")</f>
        <v/>
      </c>
      <c r="F233" s="348"/>
      <c r="G233" s="13" t="str">
        <f>IF(C231="","",(VLOOKUP(D231,女子登録!$A$2:$N$2001,9,0)))</f>
        <v/>
      </c>
      <c r="H233" s="13"/>
      <c r="I233" s="13" t="s">
        <v>4021</v>
      </c>
      <c r="J233" s="172"/>
      <c r="K233" s="13" t="s">
        <v>6760</v>
      </c>
      <c r="L233" s="172"/>
      <c r="M233" s="255"/>
      <c r="N233" s="256"/>
      <c r="O233" s="257"/>
      <c r="P233" s="171"/>
      <c r="Q233" s="458"/>
      <c r="R233" s="415"/>
      <c r="S233" s="136"/>
      <c r="T233" s="137"/>
      <c r="U233" s="137"/>
      <c r="V233" s="137"/>
      <c r="W233" s="137"/>
      <c r="X233" s="137"/>
      <c r="Y233" s="212">
        <f t="shared" ref="Y233" si="2645">IF(OR(E231="",J233=""),0,J233&amp;E231)</f>
        <v>0</v>
      </c>
      <c r="Z233" s="212">
        <f>IF(Y233=0,0,COUNTIF($Y$7:Y233,Y233))</f>
        <v>0</v>
      </c>
      <c r="AD233" s="212">
        <f>IFERROR(VLOOKUP(J233,競技会設定!$T$2:$W$22,2,0),0)</f>
        <v>0</v>
      </c>
      <c r="AE233" s="212">
        <f t="shared" ref="AE233" si="2646">IF(E231="",0,IF(AD233=0,0,IF(AD233&lt;3,E231&amp;$AE$6,0)))</f>
        <v>0</v>
      </c>
      <c r="AF233" s="212">
        <f>IF(AE233=0,0,E231&amp;COUNTIF($AE$7:AE233,AE233))</f>
        <v>0</v>
      </c>
      <c r="AG233" s="212">
        <f t="shared" ref="AG233" si="2647">IF(E231="",0,IF(AD233=0,0,IF(AD233&gt;=3,E231&amp;$AG$6,0)))</f>
        <v>0</v>
      </c>
      <c r="AH233" s="212">
        <f>IF(AG233=0,0,E231&amp;COUNTIF($AG$7:AG233,AG233))</f>
        <v>0</v>
      </c>
      <c r="AI233" s="212">
        <f t="shared" ref="AI233" si="2648">IF($AD233=AI$6,$E231,0)</f>
        <v>0</v>
      </c>
      <c r="AJ233" s="212" t="b">
        <f>IF(AI233=0,FALSE,IF(COUNTIF(AI$7:AI233,AI233)&gt;1,TRUE,FALSE))</f>
        <v>0</v>
      </c>
      <c r="AK233" s="212">
        <f t="shared" ref="AK233" si="2649">IF($AD233=AK$6,$E231,0)</f>
        <v>0</v>
      </c>
      <c r="AL233" s="212" t="b">
        <f>IF(AK233=0,FALSE,IF(COUNTIF(AK$7:AK233,AK233)&gt;1,TRUE,FALSE))</f>
        <v>0</v>
      </c>
      <c r="AM233" s="212">
        <f t="shared" ref="AM233" si="2650">IF(COUNTIF(Y233,"*七種*")&gt;0,0,IF($AD233=AM$6,$E231,0))</f>
        <v>0</v>
      </c>
      <c r="AN233" s="212" t="b">
        <f>IF(AM233=0,FALSE,IF(COUNTIF(AM$7:AM233,AM233)&gt;1,TRUE,FALSE))</f>
        <v>0</v>
      </c>
      <c r="AO233" s="212">
        <f t="shared" ref="AO233" si="2651">IF($AD233=AO$6,$E231,0)</f>
        <v>0</v>
      </c>
      <c r="AP233" s="212" t="b">
        <f>IF(AO233=0,FALSE,IF(COUNTIF(AO$7:AO233,AO233)&gt;1,TRUE,FALSE))</f>
        <v>0</v>
      </c>
      <c r="AQ233" s="212">
        <f t="shared" ref="AQ233" si="2652">IF(COUNTIF(Y233,"*七種競技*")&gt;0,E231,0)</f>
        <v>0</v>
      </c>
      <c r="AR233" s="212" t="b">
        <f t="shared" si="2262"/>
        <v>0</v>
      </c>
      <c r="AT233" s="212" t="b">
        <f t="shared" si="2275"/>
        <v>0</v>
      </c>
      <c r="AX233" s="274"/>
      <c r="BD233" s="212" t="b">
        <f t="shared" si="2249"/>
        <v>0</v>
      </c>
      <c r="BF233" s="212" t="b">
        <f t="shared" ref="BF233" si="2653">IF(J233="",FALSE,IF(OR(AND(AU231,L233=""),AND(AU231,L233="",OR(M233&lt;&gt;"",N233&lt;&gt;"",O233&lt;&gt;"",P233&lt;&gt;""))),TRUE,FALSE))</f>
        <v>0</v>
      </c>
      <c r="BG233" s="212" t="b">
        <f t="shared" si="2251"/>
        <v>0</v>
      </c>
      <c r="BH233" s="212" t="b">
        <f t="shared" si="2264"/>
        <v>0</v>
      </c>
      <c r="BI233" s="212" t="b">
        <f t="shared" ref="BI233" si="2654">IF(J233="",FALSE,IF(L233=0,FALSE,IF(AND(AU231,NOT(BF233),OR(M233="",N233="",O233="")),TRUE,FALSE)))</f>
        <v>0</v>
      </c>
      <c r="BJ233" s="231" t="b">
        <f t="shared" si="2266"/>
        <v>0</v>
      </c>
      <c r="BK233" s="231" t="b">
        <f>IF(NOT(BJ233),FALSE,IF(AND(競技会設定!$C$5&lt;=BJ233,BJ233&lt;=競技会設定!$C$6),FALSE,TRUE))</f>
        <v>0</v>
      </c>
      <c r="BL233" s="212" t="b">
        <f>IF(J233="",FALSE,IF(L233=0,FALSE,IF(AND(AU231,NOT(BF233),NOT(BI233),P233=""),TRUE,FALSE)))</f>
        <v>0</v>
      </c>
    </row>
    <row r="234" spans="1:67" ht="18" customHeight="1" thickBot="1">
      <c r="A234" s="472"/>
      <c r="B234" s="395" t="s">
        <v>6764</v>
      </c>
      <c r="C234" s="395"/>
      <c r="D234" s="11"/>
      <c r="E234" s="460"/>
      <c r="F234" s="460"/>
      <c r="G234" s="460"/>
      <c r="H234" s="157"/>
      <c r="I234" s="157" t="s">
        <v>6759</v>
      </c>
      <c r="J234" s="173"/>
      <c r="K234" s="157" t="s">
        <v>6761</v>
      </c>
      <c r="L234" s="173"/>
      <c r="M234" s="258"/>
      <c r="N234" s="259"/>
      <c r="O234" s="260"/>
      <c r="P234" s="173"/>
      <c r="Q234" s="459"/>
      <c r="R234" s="416"/>
      <c r="S234" s="136"/>
      <c r="T234" s="137"/>
      <c r="U234" s="137"/>
      <c r="V234" s="137"/>
      <c r="W234" s="137"/>
      <c r="X234" s="137"/>
      <c r="Y234" s="212">
        <f t="shared" ref="Y234" si="2655">IF(OR(E231="",J234=""),0,J234&amp;E231)</f>
        <v>0</v>
      </c>
      <c r="Z234" s="212">
        <f>IF(Y234=0,0,COUNTIF($Y$7:Y234,Y234))</f>
        <v>0</v>
      </c>
      <c r="AD234" s="212">
        <f>IFERROR(VLOOKUP(J234,競技会設定!$T$2:$W$22,2,0),0)</f>
        <v>0</v>
      </c>
      <c r="AE234" s="212">
        <f t="shared" ref="AE234" si="2656">IF(E231="",0,IF(AD234=0,0,IF(AD234&lt;3,E231&amp;$AE$6,0)))</f>
        <v>0</v>
      </c>
      <c r="AF234" s="212">
        <f>IF(AE234=0,0,E231&amp;COUNTIF($AE$7:AE234,AE234))</f>
        <v>0</v>
      </c>
      <c r="AG234" s="212">
        <f t="shared" ref="AG234" si="2657">IF(E231="",0,IF(AD234=0,0,IF(AD234&gt;=3,E231&amp;$AG$6,0)))</f>
        <v>0</v>
      </c>
      <c r="AH234" s="212">
        <f>IF(AG234=0,0,E231&amp;COUNTIF($AG$7:AG234,AG234))</f>
        <v>0</v>
      </c>
      <c r="AI234" s="212">
        <f t="shared" ref="AI234" si="2658">IF($AD234=AI$6,$E231,0)</f>
        <v>0</v>
      </c>
      <c r="AJ234" s="212" t="b">
        <f>IF(AI234=0,FALSE,IF(COUNTIF(AI$7:AI234,AI234)&gt;1,TRUE,FALSE))</f>
        <v>0</v>
      </c>
      <c r="AK234" s="212">
        <f t="shared" ref="AK234" si="2659">IF($AD234=AK$6,$E231,0)</f>
        <v>0</v>
      </c>
      <c r="AL234" s="212" t="b">
        <f>IF(AK234=0,FALSE,IF(COUNTIF(AK$7:AK234,AK234)&gt;1,TRUE,FALSE))</f>
        <v>0</v>
      </c>
      <c r="AM234" s="212">
        <f t="shared" ref="AM234" si="2660">IF(COUNTIF(Y234,"*七種*")&gt;0,0,IF($AD234=AM$6,$E231,0))</f>
        <v>0</v>
      </c>
      <c r="AN234" s="212" t="b">
        <f>IF(AM234=0,FALSE,IF(COUNTIF(AM$7:AM234,AM234)&gt;1,TRUE,FALSE))</f>
        <v>0</v>
      </c>
      <c r="AO234" s="212">
        <f t="shared" ref="AO234" si="2661">IF($AD234=AO$6,$E231,0)</f>
        <v>0</v>
      </c>
      <c r="AP234" s="212" t="b">
        <f>IF(AO234=0,FALSE,IF(COUNTIF(AO$7:AO234,AO234)&gt;1,TRUE,FALSE))</f>
        <v>0</v>
      </c>
      <c r="AQ234" s="212">
        <f t="shared" ref="AQ234" si="2662">IF(COUNTIF(Y234,"*七種競技*")&gt;0,E231,0)</f>
        <v>0</v>
      </c>
      <c r="AR234" s="212" t="b">
        <f t="shared" si="2262"/>
        <v>0</v>
      </c>
      <c r="AT234" s="212" t="b">
        <f t="shared" si="2275"/>
        <v>0</v>
      </c>
      <c r="AX234" s="274"/>
      <c r="BD234" s="212" t="b">
        <f t="shared" si="2249"/>
        <v>0</v>
      </c>
      <c r="BF234" s="212" t="b">
        <f t="shared" ref="BF234" si="2663">IF(J234="",FALSE,IF(OR(AND(AU231,L234=""),AND(AU231,L234="",OR(M234&lt;&gt;"",N234&lt;&gt;"",O234&lt;&gt;"",P234&lt;&gt;""))),TRUE,FALSE))</f>
        <v>0</v>
      </c>
      <c r="BG234" s="212" t="b">
        <f t="shared" si="2251"/>
        <v>0</v>
      </c>
      <c r="BH234" s="212" t="b">
        <f t="shared" si="2264"/>
        <v>0</v>
      </c>
      <c r="BI234" s="212" t="b">
        <f t="shared" ref="BI234" si="2664">IF(J234="",FALSE,IF(L234=0,FALSE,IF(AND(AU231,NOT(BF234),OR(M234="",N234="",O234="")),TRUE,FALSE)))</f>
        <v>0</v>
      </c>
      <c r="BJ234" s="231" t="b">
        <f t="shared" si="2266"/>
        <v>0</v>
      </c>
      <c r="BK234" s="231" t="b">
        <f>IF(NOT(BJ234),FALSE,IF(AND(競技会設定!$C$5&lt;=BJ234,BJ234&lt;=競技会設定!$C$6),FALSE,TRUE))</f>
        <v>0</v>
      </c>
      <c r="BL234" s="212" t="b">
        <f>IF(J234="",FALSE,IF(L234=0,FALSE,IF(AND(AU231,NOT(BF234),NOT(BI234),P234=""),TRUE,FALSE)))</f>
        <v>0</v>
      </c>
    </row>
    <row r="235" spans="1:67" ht="18" customHeight="1" thickTop="1">
      <c r="A235" s="461">
        <v>58</v>
      </c>
      <c r="B235" s="373" t="s">
        <v>4018</v>
      </c>
      <c r="C235" s="375"/>
      <c r="D235" s="158" t="str">
        <f t="shared" ref="D235" si="2665">IF(C235="","",502&amp;TEXT(C235,"000000"))</f>
        <v/>
      </c>
      <c r="E235" s="464" t="str">
        <f>IF(D235="","",(VLOOKUP(D235,女子登録!$A$2:$N$2001,3,0)))</f>
        <v/>
      </c>
      <c r="F235" s="464" t="str">
        <f>IF(D235="","",(VLOOKUP(D235,女子登録!$A$2:$N$2001,4,0)))</f>
        <v/>
      </c>
      <c r="G235" s="158" t="str">
        <f>IF(C235="","",(VLOOKUP(D235,女子登録!$A$2:$N$2001,8,0)))</f>
        <v/>
      </c>
      <c r="H235" s="158">
        <f>IFERROR(VLOOKUP(D235,女子登録!$A$2:$N$2001,11,0),基本情報!$E$5)</f>
        <v>0</v>
      </c>
      <c r="I235" s="158" t="s">
        <v>4019</v>
      </c>
      <c r="J235" s="174"/>
      <c r="K235" s="158" t="s">
        <v>4022</v>
      </c>
      <c r="L235" s="174"/>
      <c r="M235" s="261"/>
      <c r="N235" s="262"/>
      <c r="O235" s="263"/>
      <c r="P235" s="174"/>
      <c r="Q235" s="448"/>
      <c r="R235" s="408"/>
      <c r="S235" s="136">
        <f t="shared" ref="S235" si="2666">IF(OR(E235="",Q235=""),0,E235)</f>
        <v>0</v>
      </c>
      <c r="T235" s="137">
        <f>IF(S235=0,0,COUNTIF($S$7:S235,"*"))</f>
        <v>0</v>
      </c>
      <c r="U235" s="137">
        <f>IF(S235=0,0,COUNTIF($S$7:S235,S235))</f>
        <v>0</v>
      </c>
      <c r="V235" s="137">
        <f t="shared" si="2478"/>
        <v>0</v>
      </c>
      <c r="W235" s="137">
        <f>IF(V235=0,0,COUNTIF($V$7:V235,"*"))</f>
        <v>0</v>
      </c>
      <c r="X235" s="137">
        <f>IF(V235=0,0,COUNTIF($V$7:V235,V235))</f>
        <v>0</v>
      </c>
      <c r="Y235" s="212">
        <f t="shared" ref="Y235" si="2667">IF(OR(E235="",J235=""),0,J235&amp;E235)</f>
        <v>0</v>
      </c>
      <c r="Z235" s="212">
        <f>IF(Y235=0,0,COUNTIF($Y$7:Y235,Y235))</f>
        <v>0</v>
      </c>
      <c r="AA235" s="212" t="b">
        <f>IF(COUNTIF(J235:J238,"七種競技")&gt;0,TRUE,FALSE)</f>
        <v>0</v>
      </c>
      <c r="AB235" s="212">
        <f>IF(E235="",0,IF(AA235,COUNTIF($AA$7:AA235,TRUE),0))</f>
        <v>0</v>
      </c>
      <c r="AC235" s="212">
        <f>IFERROR(VLOOKUP("七種競技",J235:L238,3,0),0)</f>
        <v>0</v>
      </c>
      <c r="AD235" s="212">
        <f>IFERROR(VLOOKUP(J235,競技会設定!$T$2:$W$22,2,0),0)</f>
        <v>0</v>
      </c>
      <c r="AE235" s="212">
        <f t="shared" ref="AE235" si="2668">IF(E235="",0,IF(AD235=0,0,IF(AD235&lt;3,E235&amp;$AE$6,0)))</f>
        <v>0</v>
      </c>
      <c r="AF235" s="212">
        <f>IF(AE235=0,0,E235&amp;COUNTIF($AE$7:AE235,AE235))</f>
        <v>0</v>
      </c>
      <c r="AG235" s="212">
        <f t="shared" ref="AG235" si="2669">IF(E235="",0,IF(AD235=0,0,IF(AD235&gt;=3,E235&amp;$AG$6,0)))</f>
        <v>0</v>
      </c>
      <c r="AH235" s="212">
        <f>IF(AG235=0,0,E235&amp;COUNTIF($AG$7:AG235,AG235))</f>
        <v>0</v>
      </c>
      <c r="AI235" s="212">
        <f t="shared" ref="AI235" si="2670">IF($AD235=AI$6,$E235,0)</f>
        <v>0</v>
      </c>
      <c r="AJ235" s="212" t="b">
        <f>IF(AI235=0,FALSE,IF(COUNTIF(AI$7:AI235,AI235)&gt;1,TRUE,FALSE))</f>
        <v>0</v>
      </c>
      <c r="AK235" s="212">
        <f t="shared" ref="AK235" si="2671">IF($AD235=AK$6,$E235,0)</f>
        <v>0</v>
      </c>
      <c r="AL235" s="212" t="b">
        <f>IF(AK235=0,FALSE,IF(COUNTIF(AK$7:AK235,AK235)&gt;1,TRUE,FALSE))</f>
        <v>0</v>
      </c>
      <c r="AM235" s="212">
        <f t="shared" ref="AM235" si="2672">IF(COUNTIF(Y235,"*七種*")&gt;0,0,IF($AD235=AM$6,$E235,0))</f>
        <v>0</v>
      </c>
      <c r="AN235" s="212" t="b">
        <f>IF(AM235=0,FALSE,IF(COUNTIF(AM$7:AM235,AM235)&gt;1,TRUE,FALSE))</f>
        <v>0</v>
      </c>
      <c r="AO235" s="212">
        <f t="shared" ref="AO235" si="2673">IF($AD235=AO$6,$E235,0)</f>
        <v>0</v>
      </c>
      <c r="AP235" s="212" t="b">
        <f>IF(AO235=0,FALSE,IF(COUNTIF(AO$7:AO235,AO235)&gt;1,TRUE,FALSE))</f>
        <v>0</v>
      </c>
      <c r="AQ235" s="212">
        <f t="shared" ref="AQ235" si="2674">IF(COUNTIF(Y235,"*七種競技*")&gt;0,E235,0)</f>
        <v>0</v>
      </c>
      <c r="AR235" s="212" t="b">
        <f t="shared" si="2262"/>
        <v>0</v>
      </c>
      <c r="AS235" s="212" t="b">
        <f t="shared" ref="AS235" si="2675">IF(AND(C235="",E235&lt;&gt;"",F235&lt;&gt;"",E237&lt;&gt;"",G235&lt;&gt;"",G236&lt;&gt;"",G237&lt;&gt;""),TRUE,FALSE)</f>
        <v>0</v>
      </c>
      <c r="AT235" s="212" t="b">
        <f t="shared" si="2275"/>
        <v>0</v>
      </c>
      <c r="AU235" s="212" t="b">
        <f>IFERROR(IF(E235&amp;F235&amp;E237&amp;G235&amp;G236&amp;G237&amp;J235&amp;J236&amp;J237&amp;J238&amp;L235&amp;L236&amp;L237&amp;L238&amp;M235&amp;M236&amp;M237&amp;M238&amp;P235&amp;P236&amp;P237&amp;P238&amp;Q235&amp;R235="",FALSE,TRUE),FALSE)</f>
        <v>0</v>
      </c>
      <c r="AV235" s="212" t="b">
        <f t="shared" ref="AV235" si="2676">IF(AS235,FALSE,IF(C235="",AU235,FALSE))</f>
        <v>0</v>
      </c>
      <c r="AW235" s="212" t="b">
        <f t="shared" ref="AW235" si="2677">IF(C235="",FALSE,IF(C235&lt;=2000,TRUE,FALSE))</f>
        <v>0</v>
      </c>
      <c r="AX235" s="274" t="b">
        <f>IF(H235=0,FALSE,IF(EXACT(基本情報!$E$5,H235)=TRUE,FALSE,TRUE))</f>
        <v>0</v>
      </c>
      <c r="AY235" s="212" t="b">
        <f>IF(C235="",FALSE,IF(ISNA(E235)=TRUE,TRUE,FALSE))</f>
        <v>0</v>
      </c>
      <c r="AZ235" s="274" t="b">
        <f>IFERROR(IF(E235="",FALSE,IF(COUNTIF($E$7:E235,E235)&gt;1,TRUE,FALSE)),FALSE)</f>
        <v>0</v>
      </c>
      <c r="BA235" s="212" t="b">
        <f t="shared" ref="BA235" si="2678">IF(OR(J235&amp;J236&amp;J237&amp;J238&amp;Q235&amp;R235="",AT235,AT236,AT237,AT238),AU235,FALSE)</f>
        <v>0</v>
      </c>
      <c r="BB235" s="212" t="b">
        <f>IF(U235&gt;1,TRUE,FALSE)</f>
        <v>0</v>
      </c>
      <c r="BC235" s="212" t="b">
        <f>IF(X235&gt;1,TRUE,FALSE)</f>
        <v>0</v>
      </c>
      <c r="BD235" s="212" t="b">
        <f t="shared" si="2249"/>
        <v>0</v>
      </c>
      <c r="BF235" s="212" t="b">
        <f t="shared" ref="BF235" si="2679">IF(J235="",FALSE,IF(OR(AND(AU235,L235=""),AND(AU235,L235="",OR(M235&lt;&gt;"",N235&lt;&gt;"",O235&lt;&gt;"",P235&lt;&gt;""))),TRUE,FALSE))</f>
        <v>0</v>
      </c>
      <c r="BG235" s="212" t="b">
        <f t="shared" si="2251"/>
        <v>0</v>
      </c>
      <c r="BH235" s="212" t="b">
        <f t="shared" si="2264"/>
        <v>0</v>
      </c>
      <c r="BI235" s="212" t="b">
        <f t="shared" ref="BI235" si="2680">IF(J235="",FALSE,IF(L235=0,FALSE,IF(AND(AU235,NOT(BF235),OR(M235="",N235="",O235="")),TRUE,FALSE)))</f>
        <v>0</v>
      </c>
      <c r="BJ235" s="231" t="b">
        <f t="shared" si="2266"/>
        <v>0</v>
      </c>
      <c r="BK235" s="231" t="b">
        <f>IF(NOT(BJ235),FALSE,IF(AND(競技会設定!$C$5&lt;=BJ235,BJ235&lt;=競技会設定!$C$6),FALSE,TRUE))</f>
        <v>0</v>
      </c>
      <c r="BL235" s="212" t="b">
        <f>IF(J235="",FALSE,IF(L235=0,FALSE,IF(AND(AU235,NOT(BF235),NOT(BI235),P235=""),TRUE,FALSE)))</f>
        <v>0</v>
      </c>
      <c r="BO235" s="274">
        <f t="shared" ref="BO235" si="2681">IF(AND(AU235,SUM(COUNTIF(AV235:BC235,TRUE),COUNTIF(BF235:BL238,TRUE),COUNTIF(BD235:BD238,TRUE))=0,NOT($BE$7)),1,0)</f>
        <v>0</v>
      </c>
    </row>
    <row r="236" spans="1:67" ht="17.399999999999999" customHeight="1">
      <c r="A236" s="462"/>
      <c r="B236" s="374"/>
      <c r="C236" s="376"/>
      <c r="D236" s="159"/>
      <c r="E236" s="465"/>
      <c r="F236" s="465"/>
      <c r="G236" s="159" t="str">
        <f>IF(C235="","",(VLOOKUP(D235,女子登録!$A$2:$N$2001,13,0)))</f>
        <v/>
      </c>
      <c r="H236" s="159"/>
      <c r="I236" s="159" t="s">
        <v>4020</v>
      </c>
      <c r="J236" s="175"/>
      <c r="K236" s="159" t="s">
        <v>4023</v>
      </c>
      <c r="L236" s="175"/>
      <c r="M236" s="264"/>
      <c r="N236" s="265"/>
      <c r="O236" s="266"/>
      <c r="P236" s="175"/>
      <c r="Q236" s="449"/>
      <c r="R236" s="409"/>
      <c r="S236" s="136"/>
      <c r="T236" s="137"/>
      <c r="U236" s="137"/>
      <c r="V236" s="137"/>
      <c r="W236" s="137"/>
      <c r="X236" s="137"/>
      <c r="Y236" s="212">
        <f t="shared" ref="Y236" si="2682">IF(OR(E235="",J236=""),0,J236&amp;E235)</f>
        <v>0</v>
      </c>
      <c r="Z236" s="212">
        <f>IF(Y236=0,0,COUNTIF($Y$7:Y236,Y236))</f>
        <v>0</v>
      </c>
      <c r="AD236" s="212">
        <f>IFERROR(VLOOKUP(J236,競技会設定!$T$2:$W$22,2,0),0)</f>
        <v>0</v>
      </c>
      <c r="AE236" s="212">
        <f t="shared" ref="AE236" si="2683">IF(E235="",0,IF(AD236=0,0,IF(AD236&lt;3,E235&amp;$AE$6,0)))</f>
        <v>0</v>
      </c>
      <c r="AF236" s="212">
        <f>IF(AE236=0,0,E235&amp;COUNTIF($AE$7:AE236,AE236))</f>
        <v>0</v>
      </c>
      <c r="AG236" s="212">
        <f t="shared" ref="AG236" si="2684">IF(E235="",0,IF(AD236=0,0,IF(AD236&gt;=3,E235&amp;$AG$6,0)))</f>
        <v>0</v>
      </c>
      <c r="AH236" s="212">
        <f>IF(AG236=0,0,E235&amp;COUNTIF($AG$7:AG236,AG236))</f>
        <v>0</v>
      </c>
      <c r="AI236" s="212">
        <f t="shared" ref="AI236" si="2685">IF($AD236=AI$6,$E235,0)</f>
        <v>0</v>
      </c>
      <c r="AJ236" s="212" t="b">
        <f>IF(AI236=0,FALSE,IF(COUNTIF(AI$7:AI236,AI236)&gt;1,TRUE,FALSE))</f>
        <v>0</v>
      </c>
      <c r="AK236" s="212">
        <f t="shared" ref="AK236" si="2686">IF($AD236=AK$6,$E235,0)</f>
        <v>0</v>
      </c>
      <c r="AL236" s="212" t="b">
        <f>IF(AK236=0,FALSE,IF(COUNTIF(AK$7:AK236,AK236)&gt;1,TRUE,FALSE))</f>
        <v>0</v>
      </c>
      <c r="AM236" s="212">
        <f t="shared" ref="AM236" si="2687">IF(COUNTIF(Y236,"*七種*")&gt;0,0,IF($AD236=AM$6,$E235,0))</f>
        <v>0</v>
      </c>
      <c r="AN236" s="212" t="b">
        <f>IF(AM236=0,FALSE,IF(COUNTIF(AM$7:AM236,AM236)&gt;1,TRUE,FALSE))</f>
        <v>0</v>
      </c>
      <c r="AO236" s="212">
        <f t="shared" ref="AO236" si="2688">IF($AD236=AO$6,$E235,0)</f>
        <v>0</v>
      </c>
      <c r="AP236" s="212" t="b">
        <f>IF(AO236=0,FALSE,IF(COUNTIF(AO$7:AO236,AO236)&gt;1,TRUE,FALSE))</f>
        <v>0</v>
      </c>
      <c r="AQ236" s="212">
        <f t="shared" ref="AQ236" si="2689">IF(COUNTIF(Y236,"*七種競技*")&gt;0,E235,0)</f>
        <v>0</v>
      </c>
      <c r="AR236" s="212" t="b">
        <f t="shared" si="2262"/>
        <v>0</v>
      </c>
      <c r="AT236" s="212" t="b">
        <f t="shared" si="2275"/>
        <v>0</v>
      </c>
      <c r="AX236" s="274"/>
      <c r="BD236" s="212" t="b">
        <f t="shared" si="2249"/>
        <v>0</v>
      </c>
      <c r="BF236" s="212" t="b">
        <f t="shared" ref="BF236" si="2690">IF(J236="",FALSE,IF(OR(AND(AU235,L236=""),AND(AU235,L236="",OR(M236&lt;&gt;"",N236&lt;&gt;"",O236&lt;&gt;"",P236&lt;&gt;""))),TRUE,FALSE))</f>
        <v>0</v>
      </c>
      <c r="BG236" s="212" t="b">
        <f t="shared" si="2251"/>
        <v>0</v>
      </c>
      <c r="BH236" s="212" t="b">
        <f t="shared" si="2264"/>
        <v>0</v>
      </c>
      <c r="BI236" s="212" t="b">
        <f t="shared" ref="BI236" si="2691">IF(J236="",FALSE,IF(L236=0,FALSE,IF(AND(AU235,NOT(BF236),OR(M236="",N236="",O236="")),TRUE,FALSE)))</f>
        <v>0</v>
      </c>
      <c r="BJ236" s="231" t="b">
        <f t="shared" si="2266"/>
        <v>0</v>
      </c>
      <c r="BK236" s="231" t="b">
        <f>IF(NOT(BJ236),FALSE,IF(AND(競技会設定!$C$5&lt;=BJ236,BJ236&lt;=競技会設定!$C$6),FALSE,TRUE))</f>
        <v>0</v>
      </c>
      <c r="BL236" s="212" t="b">
        <f>IF(J236="",FALSE,IF(L236=0,FALSE,IF(AND(AU235,NOT(BF236),NOT(BI236),P236=""),TRUE,FALSE)))</f>
        <v>0</v>
      </c>
    </row>
    <row r="237" spans="1:67" ht="17.399999999999999" customHeight="1">
      <c r="A237" s="462"/>
      <c r="B237" s="374"/>
      <c r="C237" s="376"/>
      <c r="D237" s="160"/>
      <c r="E237" s="452" t="str">
        <f>IF(C235="","",VLOOKUP(D235,女子登録!$A$2:$O$2001,14,0)&amp;" ("&amp;VLOOKUP(D235,女子登録!$A$2:$O$2001,15,0)&amp;")")</f>
        <v/>
      </c>
      <c r="F237" s="453"/>
      <c r="G237" s="160" t="str">
        <f>IF(C235="","",(VLOOKUP(D235,女子登録!$A$2:$N$2001,9,0)))</f>
        <v/>
      </c>
      <c r="H237" s="160"/>
      <c r="I237" s="160" t="s">
        <v>4021</v>
      </c>
      <c r="J237" s="176"/>
      <c r="K237" s="160" t="s">
        <v>6760</v>
      </c>
      <c r="L237" s="176"/>
      <c r="M237" s="264"/>
      <c r="N237" s="265"/>
      <c r="O237" s="266"/>
      <c r="P237" s="175"/>
      <c r="Q237" s="449"/>
      <c r="R237" s="409"/>
      <c r="S237" s="136"/>
      <c r="T237" s="137"/>
      <c r="U237" s="137"/>
      <c r="V237" s="137"/>
      <c r="W237" s="137"/>
      <c r="X237" s="137"/>
      <c r="Y237" s="212">
        <f t="shared" ref="Y237" si="2692">IF(OR(E235="",J237=""),0,J237&amp;E235)</f>
        <v>0</v>
      </c>
      <c r="Z237" s="212">
        <f>IF(Y237=0,0,COUNTIF($Y$7:Y237,Y237))</f>
        <v>0</v>
      </c>
      <c r="AD237" s="212">
        <f>IFERROR(VLOOKUP(J237,競技会設定!$T$2:$W$22,2,0),0)</f>
        <v>0</v>
      </c>
      <c r="AE237" s="212">
        <f t="shared" ref="AE237" si="2693">IF(E235="",0,IF(AD237=0,0,IF(AD237&lt;3,E235&amp;$AE$6,0)))</f>
        <v>0</v>
      </c>
      <c r="AF237" s="212">
        <f>IF(AE237=0,0,E235&amp;COUNTIF($AE$7:AE237,AE237))</f>
        <v>0</v>
      </c>
      <c r="AG237" s="212">
        <f t="shared" ref="AG237" si="2694">IF(E235="",0,IF(AD237=0,0,IF(AD237&gt;=3,E235&amp;$AG$6,0)))</f>
        <v>0</v>
      </c>
      <c r="AH237" s="212">
        <f>IF(AG237=0,0,E235&amp;COUNTIF($AG$7:AG237,AG237))</f>
        <v>0</v>
      </c>
      <c r="AI237" s="212">
        <f t="shared" ref="AI237" si="2695">IF($AD237=AI$6,$E235,0)</f>
        <v>0</v>
      </c>
      <c r="AJ237" s="212" t="b">
        <f>IF(AI237=0,FALSE,IF(COUNTIF(AI$7:AI237,AI237)&gt;1,TRUE,FALSE))</f>
        <v>0</v>
      </c>
      <c r="AK237" s="212">
        <f t="shared" ref="AK237" si="2696">IF($AD237=AK$6,$E235,0)</f>
        <v>0</v>
      </c>
      <c r="AL237" s="212" t="b">
        <f>IF(AK237=0,FALSE,IF(COUNTIF(AK$7:AK237,AK237)&gt;1,TRUE,FALSE))</f>
        <v>0</v>
      </c>
      <c r="AM237" s="212">
        <f t="shared" ref="AM237" si="2697">IF(COUNTIF(Y237,"*七種*")&gt;0,0,IF($AD237=AM$6,$E235,0))</f>
        <v>0</v>
      </c>
      <c r="AN237" s="212" t="b">
        <f>IF(AM237=0,FALSE,IF(COUNTIF(AM$7:AM237,AM237)&gt;1,TRUE,FALSE))</f>
        <v>0</v>
      </c>
      <c r="AO237" s="212">
        <f t="shared" ref="AO237" si="2698">IF($AD237=AO$6,$E235,0)</f>
        <v>0</v>
      </c>
      <c r="AP237" s="212" t="b">
        <f>IF(AO237=0,FALSE,IF(COUNTIF(AO$7:AO237,AO237)&gt;1,TRUE,FALSE))</f>
        <v>0</v>
      </c>
      <c r="AQ237" s="212">
        <f t="shared" ref="AQ237" si="2699">IF(COUNTIF(Y237,"*七種競技*")&gt;0,E235,0)</f>
        <v>0</v>
      </c>
      <c r="AR237" s="212" t="b">
        <f t="shared" si="2262"/>
        <v>0</v>
      </c>
      <c r="AT237" s="212" t="b">
        <f t="shared" si="2275"/>
        <v>0</v>
      </c>
      <c r="AX237" s="274"/>
      <c r="BD237" s="212" t="b">
        <f t="shared" si="2249"/>
        <v>0</v>
      </c>
      <c r="BF237" s="212" t="b">
        <f t="shared" ref="BF237" si="2700">IF(J237="",FALSE,IF(OR(AND(AU235,L237=""),AND(AU235,L237="",OR(M237&lt;&gt;"",N237&lt;&gt;"",O237&lt;&gt;"",P237&lt;&gt;""))),TRUE,FALSE))</f>
        <v>0</v>
      </c>
      <c r="BG237" s="212" t="b">
        <f t="shared" si="2251"/>
        <v>0</v>
      </c>
      <c r="BH237" s="212" t="b">
        <f t="shared" si="2264"/>
        <v>0</v>
      </c>
      <c r="BI237" s="212" t="b">
        <f t="shared" ref="BI237" si="2701">IF(J237="",FALSE,IF(L237=0,FALSE,IF(AND(AU235,NOT(BF237),OR(M237="",N237="",O237="")),TRUE,FALSE)))</f>
        <v>0</v>
      </c>
      <c r="BJ237" s="231" t="b">
        <f t="shared" si="2266"/>
        <v>0</v>
      </c>
      <c r="BK237" s="231" t="b">
        <f>IF(NOT(BJ237),FALSE,IF(AND(競技会設定!$C$5&lt;=BJ237,BJ237&lt;=競技会設定!$C$6),FALSE,TRUE))</f>
        <v>0</v>
      </c>
      <c r="BL237" s="212" t="b">
        <f>IF(J237="",FALSE,IF(L237=0,FALSE,IF(AND(AU235,NOT(BF237),NOT(BI237),P237=""),TRUE,FALSE)))</f>
        <v>0</v>
      </c>
    </row>
    <row r="238" spans="1:67" ht="18" customHeight="1" thickBot="1">
      <c r="A238" s="475"/>
      <c r="B238" s="387" t="s">
        <v>6764</v>
      </c>
      <c r="C238" s="387"/>
      <c r="D238" s="161"/>
      <c r="E238" s="467"/>
      <c r="F238" s="468"/>
      <c r="G238" s="469"/>
      <c r="H238" s="162"/>
      <c r="I238" s="161" t="s">
        <v>6759</v>
      </c>
      <c r="J238" s="177"/>
      <c r="K238" s="161" t="s">
        <v>6761</v>
      </c>
      <c r="L238" s="177"/>
      <c r="M238" s="267"/>
      <c r="N238" s="268"/>
      <c r="O238" s="269"/>
      <c r="P238" s="177"/>
      <c r="Q238" s="466"/>
      <c r="R238" s="410"/>
      <c r="S238" s="136"/>
      <c r="T238" s="137"/>
      <c r="U238" s="137"/>
      <c r="V238" s="137"/>
      <c r="W238" s="137"/>
      <c r="X238" s="137"/>
      <c r="Y238" s="212">
        <f t="shared" ref="Y238" si="2702">IF(OR(E235="",J238=""),0,J238&amp;E235)</f>
        <v>0</v>
      </c>
      <c r="Z238" s="212">
        <f>IF(Y238=0,0,COUNTIF($Y$7:Y238,Y238))</f>
        <v>0</v>
      </c>
      <c r="AD238" s="212">
        <f>IFERROR(VLOOKUP(J238,競技会設定!$T$2:$W$22,2,0),0)</f>
        <v>0</v>
      </c>
      <c r="AE238" s="212">
        <f t="shared" ref="AE238" si="2703">IF(E235="",0,IF(AD238=0,0,IF(AD238&lt;3,E235&amp;$AE$6,0)))</f>
        <v>0</v>
      </c>
      <c r="AF238" s="212">
        <f>IF(AE238=0,0,E235&amp;COUNTIF($AE$7:AE238,AE238))</f>
        <v>0</v>
      </c>
      <c r="AG238" s="212">
        <f t="shared" ref="AG238" si="2704">IF(E235="",0,IF(AD238=0,0,IF(AD238&gt;=3,E235&amp;$AG$6,0)))</f>
        <v>0</v>
      </c>
      <c r="AH238" s="212">
        <f>IF(AG238=0,0,E235&amp;COUNTIF($AG$7:AG238,AG238))</f>
        <v>0</v>
      </c>
      <c r="AI238" s="212">
        <f t="shared" ref="AI238" si="2705">IF($AD238=AI$6,$E235,0)</f>
        <v>0</v>
      </c>
      <c r="AJ238" s="212" t="b">
        <f>IF(AI238=0,FALSE,IF(COUNTIF(AI$7:AI238,AI238)&gt;1,TRUE,FALSE))</f>
        <v>0</v>
      </c>
      <c r="AK238" s="212">
        <f t="shared" ref="AK238" si="2706">IF($AD238=AK$6,$E235,0)</f>
        <v>0</v>
      </c>
      <c r="AL238" s="212" t="b">
        <f>IF(AK238=0,FALSE,IF(COUNTIF(AK$7:AK238,AK238)&gt;1,TRUE,FALSE))</f>
        <v>0</v>
      </c>
      <c r="AM238" s="212">
        <f t="shared" ref="AM238" si="2707">IF(COUNTIF(Y238,"*七種*")&gt;0,0,IF($AD238=AM$6,$E235,0))</f>
        <v>0</v>
      </c>
      <c r="AN238" s="212" t="b">
        <f>IF(AM238=0,FALSE,IF(COUNTIF(AM$7:AM238,AM238)&gt;1,TRUE,FALSE))</f>
        <v>0</v>
      </c>
      <c r="AO238" s="212">
        <f t="shared" ref="AO238" si="2708">IF($AD238=AO$6,$E235,0)</f>
        <v>0</v>
      </c>
      <c r="AP238" s="212" t="b">
        <f>IF(AO238=0,FALSE,IF(COUNTIF(AO$7:AO238,AO238)&gt;1,TRUE,FALSE))</f>
        <v>0</v>
      </c>
      <c r="AQ238" s="212">
        <f t="shared" ref="AQ238" si="2709">IF(COUNTIF(Y238,"*七種競技*")&gt;0,E235,0)</f>
        <v>0</v>
      </c>
      <c r="AR238" s="212" t="b">
        <f t="shared" si="2262"/>
        <v>0</v>
      </c>
      <c r="AT238" s="212" t="b">
        <f t="shared" si="2275"/>
        <v>0</v>
      </c>
      <c r="AX238" s="274"/>
      <c r="BD238" s="212" t="b">
        <f t="shared" si="2249"/>
        <v>0</v>
      </c>
      <c r="BF238" s="212" t="b">
        <f t="shared" ref="BF238" si="2710">IF(J238="",FALSE,IF(OR(AND(AU235,L238=""),AND(AU235,L238="",OR(M238&lt;&gt;"",N238&lt;&gt;"",O238&lt;&gt;"",P238&lt;&gt;""))),TRUE,FALSE))</f>
        <v>0</v>
      </c>
      <c r="BG238" s="212" t="b">
        <f t="shared" si="2251"/>
        <v>0</v>
      </c>
      <c r="BH238" s="212" t="b">
        <f t="shared" si="2264"/>
        <v>0</v>
      </c>
      <c r="BI238" s="212" t="b">
        <f t="shared" ref="BI238" si="2711">IF(J238="",FALSE,IF(L238=0,FALSE,IF(AND(AU235,NOT(BF238),OR(M238="",N238="",O238="")),TRUE,FALSE)))</f>
        <v>0</v>
      </c>
      <c r="BJ238" s="231" t="b">
        <f t="shared" si="2266"/>
        <v>0</v>
      </c>
      <c r="BK238" s="231" t="b">
        <f>IF(NOT(BJ238),FALSE,IF(AND(競技会設定!$C$5&lt;=BJ238,BJ238&lt;=競技会設定!$C$6),FALSE,TRUE))</f>
        <v>0</v>
      </c>
      <c r="BL238" s="212" t="b">
        <f>IF(J238="",FALSE,IF(L238=0,FALSE,IF(AND(AU235,NOT(BF238),NOT(BI238),P238=""),TRUE,FALSE)))</f>
        <v>0</v>
      </c>
    </row>
    <row r="239" spans="1:67" ht="18" customHeight="1" thickTop="1">
      <c r="A239" s="470">
        <v>59</v>
      </c>
      <c r="B239" s="401" t="s">
        <v>4018</v>
      </c>
      <c r="C239" s="403"/>
      <c r="D239" s="156" t="str">
        <f t="shared" ref="D239" si="2712">IF(C239="","",502&amp;TEXT(C239,"000000"))</f>
        <v/>
      </c>
      <c r="E239" s="473" t="str">
        <f>IF(D239="","",(VLOOKUP(D239,女子登録!$A$2:$N$2001,3,0)))</f>
        <v/>
      </c>
      <c r="F239" s="473" t="str">
        <f>IF(D239="","",(VLOOKUP(D239,女子登録!$A$2:$N$2001,4,0)))</f>
        <v/>
      </c>
      <c r="G239" s="156" t="str">
        <f>IF(C239="","",(VLOOKUP(D239,女子登録!$A$2:$N$2001,8,0)))</f>
        <v/>
      </c>
      <c r="H239" s="156">
        <f>IFERROR(VLOOKUP(D239,女子登録!$A$2:$N$2001,11,0),基本情報!$E$5)</f>
        <v>0</v>
      </c>
      <c r="I239" s="156" t="s">
        <v>4019</v>
      </c>
      <c r="J239" s="170"/>
      <c r="K239" s="156" t="s">
        <v>4022</v>
      </c>
      <c r="L239" s="170"/>
      <c r="M239" s="252"/>
      <c r="N239" s="253"/>
      <c r="O239" s="254"/>
      <c r="P239" s="170"/>
      <c r="Q239" s="457"/>
      <c r="R239" s="414"/>
      <c r="S239" s="136">
        <f t="shared" ref="S239" si="2713">IF(OR(E239="",Q239=""),0,E239)</f>
        <v>0</v>
      </c>
      <c r="T239" s="137">
        <f>IF(S239=0,0,COUNTIF($S$7:S239,"*"))</f>
        <v>0</v>
      </c>
      <c r="U239" s="137">
        <f>IF(S239=0,0,COUNTIF($S$7:S239,S239))</f>
        <v>0</v>
      </c>
      <c r="V239" s="137">
        <f t="shared" si="2478"/>
        <v>0</v>
      </c>
      <c r="W239" s="137">
        <f>IF(V239=0,0,COUNTIF($V$7:V239,"*"))</f>
        <v>0</v>
      </c>
      <c r="X239" s="137">
        <f>IF(V239=0,0,COUNTIF($V$7:V239,V239))</f>
        <v>0</v>
      </c>
      <c r="Y239" s="212">
        <f t="shared" ref="Y239" si="2714">IF(OR(E239="",J239=""),0,J239&amp;E239)</f>
        <v>0</v>
      </c>
      <c r="Z239" s="212">
        <f>IF(Y239=0,0,COUNTIF($Y$7:Y239,Y239))</f>
        <v>0</v>
      </c>
      <c r="AA239" s="212" t="b">
        <f>IF(COUNTIF(J239:J242,"七種競技")&gt;0,TRUE,FALSE)</f>
        <v>0</v>
      </c>
      <c r="AB239" s="212">
        <f>IF(E239="",0,IF(AA239,COUNTIF($AA$7:AA239,TRUE),0))</f>
        <v>0</v>
      </c>
      <c r="AC239" s="212">
        <f>IFERROR(VLOOKUP("七種競技",J239:L242,3,0),0)</f>
        <v>0</v>
      </c>
      <c r="AD239" s="212">
        <f>IFERROR(VLOOKUP(J239,競技会設定!$T$2:$W$22,2,0),0)</f>
        <v>0</v>
      </c>
      <c r="AE239" s="212">
        <f t="shared" ref="AE239" si="2715">IF(E239="",0,IF(AD239=0,0,IF(AD239&lt;3,E239&amp;$AE$6,0)))</f>
        <v>0</v>
      </c>
      <c r="AF239" s="212">
        <f>IF(AE239=0,0,E239&amp;COUNTIF($AE$7:AE239,AE239))</f>
        <v>0</v>
      </c>
      <c r="AG239" s="212">
        <f t="shared" ref="AG239" si="2716">IF(E239="",0,IF(AD239=0,0,IF(AD239&gt;=3,E239&amp;$AG$6,0)))</f>
        <v>0</v>
      </c>
      <c r="AH239" s="212">
        <f>IF(AG239=0,0,E239&amp;COUNTIF($AG$7:AG239,AG239))</f>
        <v>0</v>
      </c>
      <c r="AI239" s="212">
        <f t="shared" ref="AI239" si="2717">IF($AD239=AI$6,$E239,0)</f>
        <v>0</v>
      </c>
      <c r="AJ239" s="212" t="b">
        <f>IF(AI239=0,FALSE,IF(COUNTIF(AI$7:AI239,AI239)&gt;1,TRUE,FALSE))</f>
        <v>0</v>
      </c>
      <c r="AK239" s="212">
        <f t="shared" ref="AK239" si="2718">IF($AD239=AK$6,$E239,0)</f>
        <v>0</v>
      </c>
      <c r="AL239" s="212" t="b">
        <f>IF(AK239=0,FALSE,IF(COUNTIF(AK$7:AK239,AK239)&gt;1,TRUE,FALSE))</f>
        <v>0</v>
      </c>
      <c r="AM239" s="212">
        <f t="shared" ref="AM239" si="2719">IF(COUNTIF(Y239,"*七種*")&gt;0,0,IF($AD239=AM$6,$E239,0))</f>
        <v>0</v>
      </c>
      <c r="AN239" s="212" t="b">
        <f>IF(AM239=0,FALSE,IF(COUNTIF(AM$7:AM239,AM239)&gt;1,TRUE,FALSE))</f>
        <v>0</v>
      </c>
      <c r="AO239" s="212">
        <f t="shared" ref="AO239" si="2720">IF($AD239=AO$6,$E239,0)</f>
        <v>0</v>
      </c>
      <c r="AP239" s="212" t="b">
        <f>IF(AO239=0,FALSE,IF(COUNTIF(AO$7:AO239,AO239)&gt;1,TRUE,FALSE))</f>
        <v>0</v>
      </c>
      <c r="AQ239" s="212">
        <f t="shared" ref="AQ239" si="2721">IF(COUNTIF(Y239,"*七種競技*")&gt;0,E239,0)</f>
        <v>0</v>
      </c>
      <c r="AR239" s="212" t="b">
        <f t="shared" si="2262"/>
        <v>0</v>
      </c>
      <c r="AS239" s="212" t="b">
        <f t="shared" ref="AS239" si="2722">IF(AND(C239="",E239&lt;&gt;"",F239&lt;&gt;"",E241&lt;&gt;"",G239&lt;&gt;"",G240&lt;&gt;"",G241&lt;&gt;""),TRUE,FALSE)</f>
        <v>0</v>
      </c>
      <c r="AT239" s="212" t="b">
        <f t="shared" si="2275"/>
        <v>0</v>
      </c>
      <c r="AU239" s="212" t="b">
        <f>IFERROR(IF(E239&amp;F239&amp;E241&amp;G239&amp;G240&amp;G241&amp;J239&amp;J240&amp;J241&amp;J242&amp;L239&amp;L240&amp;L241&amp;L242&amp;M239&amp;M240&amp;M241&amp;M242&amp;P239&amp;P240&amp;P241&amp;P242&amp;Q239&amp;R239="",FALSE,TRUE),FALSE)</f>
        <v>0</v>
      </c>
      <c r="AV239" s="212" t="b">
        <f t="shared" ref="AV239" si="2723">IF(AS239,FALSE,IF(C239="",AU239,FALSE))</f>
        <v>0</v>
      </c>
      <c r="AW239" s="212" t="b">
        <f t="shared" ref="AW239" si="2724">IF(C239="",FALSE,IF(C239&lt;=2000,TRUE,FALSE))</f>
        <v>0</v>
      </c>
      <c r="AX239" s="274" t="b">
        <f>IF(H239=0,FALSE,IF(EXACT(基本情報!$E$5,H239)=TRUE,FALSE,TRUE))</f>
        <v>0</v>
      </c>
      <c r="AY239" s="212" t="b">
        <f>IF(C239="",FALSE,IF(ISNA(E239)=TRUE,TRUE,FALSE))</f>
        <v>0</v>
      </c>
      <c r="AZ239" s="274" t="b">
        <f>IFERROR(IF(E239="",FALSE,IF(COUNTIF($E$7:E239,E239)&gt;1,TRUE,FALSE)),FALSE)</f>
        <v>0</v>
      </c>
      <c r="BA239" s="212" t="b">
        <f t="shared" ref="BA239" si="2725">IF(OR(J239&amp;J240&amp;J241&amp;J242&amp;Q239&amp;R239="",AT239,AT240,AT241,AT242),AU239,FALSE)</f>
        <v>0</v>
      </c>
      <c r="BB239" s="212" t="b">
        <f>IF(U239&gt;1,TRUE,FALSE)</f>
        <v>0</v>
      </c>
      <c r="BC239" s="212" t="b">
        <f>IF(X239&gt;1,TRUE,FALSE)</f>
        <v>0</v>
      </c>
      <c r="BD239" s="212" t="b">
        <f t="shared" si="2249"/>
        <v>0</v>
      </c>
      <c r="BF239" s="212" t="b">
        <f t="shared" ref="BF239" si="2726">IF(J239="",FALSE,IF(OR(AND(AU239,L239=""),AND(AU239,L239="",OR(M239&lt;&gt;"",N239&lt;&gt;"",O239&lt;&gt;"",P239&lt;&gt;""))),TRUE,FALSE))</f>
        <v>0</v>
      </c>
      <c r="BG239" s="212" t="b">
        <f t="shared" si="2251"/>
        <v>0</v>
      </c>
      <c r="BH239" s="212" t="b">
        <f t="shared" si="2264"/>
        <v>0</v>
      </c>
      <c r="BI239" s="212" t="b">
        <f t="shared" ref="BI239" si="2727">IF(J239="",FALSE,IF(L239=0,FALSE,IF(AND(AU239,NOT(BF239),OR(M239="",N239="",O239="")),TRUE,FALSE)))</f>
        <v>0</v>
      </c>
      <c r="BJ239" s="231" t="b">
        <f t="shared" si="2266"/>
        <v>0</v>
      </c>
      <c r="BK239" s="231" t="b">
        <f>IF(NOT(BJ239),FALSE,IF(AND(競技会設定!$C$5&lt;=BJ239,BJ239&lt;=競技会設定!$C$6),FALSE,TRUE))</f>
        <v>0</v>
      </c>
      <c r="BL239" s="212" t="b">
        <f>IF(J239="",FALSE,IF(L239=0,FALSE,IF(AND(AU239,NOT(BF239),NOT(BI239),P239=""),TRUE,FALSE)))</f>
        <v>0</v>
      </c>
      <c r="BO239" s="274">
        <f t="shared" ref="BO239" si="2728">IF(AND(AU239,SUM(COUNTIF(AV239:BC239,TRUE),COUNTIF(BF239:BL242,TRUE),COUNTIF(BD239:BD242,TRUE))=0,NOT($BE$7)),1,0)</f>
        <v>0</v>
      </c>
    </row>
    <row r="240" spans="1:67" ht="17.399999999999999" customHeight="1">
      <c r="A240" s="471"/>
      <c r="B240" s="402"/>
      <c r="C240" s="404"/>
      <c r="D240" s="11"/>
      <c r="E240" s="474"/>
      <c r="F240" s="474"/>
      <c r="G240" s="11" t="str">
        <f>IF(C239="","",(VLOOKUP(D239,女子登録!$A$2:$N$2001,13,0)))</f>
        <v/>
      </c>
      <c r="H240" s="11"/>
      <c r="I240" s="11" t="s">
        <v>4020</v>
      </c>
      <c r="J240" s="171"/>
      <c r="K240" s="11" t="s">
        <v>4023</v>
      </c>
      <c r="L240" s="171"/>
      <c r="M240" s="255"/>
      <c r="N240" s="256"/>
      <c r="O240" s="257"/>
      <c r="P240" s="171"/>
      <c r="Q240" s="458"/>
      <c r="R240" s="415"/>
      <c r="S240" s="136"/>
      <c r="T240" s="137"/>
      <c r="U240" s="137"/>
      <c r="V240" s="137"/>
      <c r="W240" s="137"/>
      <c r="X240" s="137"/>
      <c r="Y240" s="212">
        <f t="shared" ref="Y240" si="2729">IF(OR(E239="",J240=""),0,J240&amp;E239)</f>
        <v>0</v>
      </c>
      <c r="Z240" s="212">
        <f>IF(Y240=0,0,COUNTIF($Y$7:Y240,Y240))</f>
        <v>0</v>
      </c>
      <c r="AD240" s="212">
        <f>IFERROR(VLOOKUP(J240,競技会設定!$T$2:$W$22,2,0),0)</f>
        <v>0</v>
      </c>
      <c r="AE240" s="212">
        <f t="shared" ref="AE240" si="2730">IF(E239="",0,IF(AD240=0,0,IF(AD240&lt;3,E239&amp;$AE$6,0)))</f>
        <v>0</v>
      </c>
      <c r="AF240" s="212">
        <f>IF(AE240=0,0,E239&amp;COUNTIF($AE$7:AE240,AE240))</f>
        <v>0</v>
      </c>
      <c r="AG240" s="212">
        <f t="shared" ref="AG240" si="2731">IF(E239="",0,IF(AD240=0,0,IF(AD240&gt;=3,E239&amp;$AG$6,0)))</f>
        <v>0</v>
      </c>
      <c r="AH240" s="212">
        <f>IF(AG240=0,0,E239&amp;COUNTIF($AG$7:AG240,AG240))</f>
        <v>0</v>
      </c>
      <c r="AI240" s="212">
        <f t="shared" ref="AI240" si="2732">IF($AD240=AI$6,$E239,0)</f>
        <v>0</v>
      </c>
      <c r="AJ240" s="212" t="b">
        <f>IF(AI240=0,FALSE,IF(COUNTIF(AI$7:AI240,AI240)&gt;1,TRUE,FALSE))</f>
        <v>0</v>
      </c>
      <c r="AK240" s="212">
        <f t="shared" ref="AK240" si="2733">IF($AD240=AK$6,$E239,0)</f>
        <v>0</v>
      </c>
      <c r="AL240" s="212" t="b">
        <f>IF(AK240=0,FALSE,IF(COUNTIF(AK$7:AK240,AK240)&gt;1,TRUE,FALSE))</f>
        <v>0</v>
      </c>
      <c r="AM240" s="212">
        <f t="shared" ref="AM240" si="2734">IF(COUNTIF(Y240,"*七種*")&gt;0,0,IF($AD240=AM$6,$E239,0))</f>
        <v>0</v>
      </c>
      <c r="AN240" s="212" t="b">
        <f>IF(AM240=0,FALSE,IF(COUNTIF(AM$7:AM240,AM240)&gt;1,TRUE,FALSE))</f>
        <v>0</v>
      </c>
      <c r="AO240" s="212">
        <f t="shared" ref="AO240" si="2735">IF($AD240=AO$6,$E239,0)</f>
        <v>0</v>
      </c>
      <c r="AP240" s="212" t="b">
        <f>IF(AO240=0,FALSE,IF(COUNTIF(AO$7:AO240,AO240)&gt;1,TRUE,FALSE))</f>
        <v>0</v>
      </c>
      <c r="AQ240" s="212">
        <f t="shared" ref="AQ240" si="2736">IF(COUNTIF(Y240,"*七種競技*")&gt;0,E239,0)</f>
        <v>0</v>
      </c>
      <c r="AR240" s="212" t="b">
        <f t="shared" si="2262"/>
        <v>0</v>
      </c>
      <c r="AT240" s="212" t="b">
        <f t="shared" si="2275"/>
        <v>0</v>
      </c>
      <c r="AX240" s="274"/>
      <c r="BD240" s="212" t="b">
        <f t="shared" si="2249"/>
        <v>0</v>
      </c>
      <c r="BF240" s="212" t="b">
        <f t="shared" ref="BF240" si="2737">IF(J240="",FALSE,IF(OR(AND(AU239,L240=""),AND(AU239,L240="",OR(M240&lt;&gt;"",N240&lt;&gt;"",O240&lt;&gt;"",P240&lt;&gt;""))),TRUE,FALSE))</f>
        <v>0</v>
      </c>
      <c r="BG240" s="212" t="b">
        <f t="shared" si="2251"/>
        <v>0</v>
      </c>
      <c r="BH240" s="212" t="b">
        <f t="shared" si="2264"/>
        <v>0</v>
      </c>
      <c r="BI240" s="212" t="b">
        <f t="shared" ref="BI240" si="2738">IF(J240="",FALSE,IF(L240=0,FALSE,IF(AND(AU239,NOT(BF240),OR(M240="",N240="",O240="")),TRUE,FALSE)))</f>
        <v>0</v>
      </c>
      <c r="BJ240" s="231" t="b">
        <f t="shared" si="2266"/>
        <v>0</v>
      </c>
      <c r="BK240" s="231" t="b">
        <f>IF(NOT(BJ240),FALSE,IF(AND(競技会設定!$C$5&lt;=BJ240,BJ240&lt;=競技会設定!$C$6),FALSE,TRUE))</f>
        <v>0</v>
      </c>
      <c r="BL240" s="212" t="b">
        <f>IF(J240="",FALSE,IF(L240=0,FALSE,IF(AND(AU239,NOT(BF240),NOT(BI240),P240=""),TRUE,FALSE)))</f>
        <v>0</v>
      </c>
    </row>
    <row r="241" spans="1:67" ht="17.399999999999999" customHeight="1">
      <c r="A241" s="471"/>
      <c r="B241" s="402"/>
      <c r="C241" s="404"/>
      <c r="D241" s="11"/>
      <c r="E241" s="348" t="str">
        <f>IF(C239="","",VLOOKUP(D239,女子登録!$A$2:$O$2001,14,0)&amp;" ("&amp;VLOOKUP(D239,女子登録!$A$2:$O$2001,15,0)&amp;")")</f>
        <v/>
      </c>
      <c r="F241" s="348"/>
      <c r="G241" s="13" t="str">
        <f>IF(C239="","",(VLOOKUP(D239,女子登録!$A$2:$N$2001,9,0)))</f>
        <v/>
      </c>
      <c r="H241" s="13"/>
      <c r="I241" s="13" t="s">
        <v>4021</v>
      </c>
      <c r="J241" s="172"/>
      <c r="K241" s="13" t="s">
        <v>6760</v>
      </c>
      <c r="L241" s="172"/>
      <c r="M241" s="255"/>
      <c r="N241" s="256"/>
      <c r="O241" s="257"/>
      <c r="P241" s="171"/>
      <c r="Q241" s="458"/>
      <c r="R241" s="415"/>
      <c r="S241" s="136"/>
      <c r="T241" s="137"/>
      <c r="U241" s="137"/>
      <c r="V241" s="137"/>
      <c r="W241" s="137"/>
      <c r="X241" s="137"/>
      <c r="Y241" s="212">
        <f t="shared" ref="Y241" si="2739">IF(OR(E239="",J241=""),0,J241&amp;E239)</f>
        <v>0</v>
      </c>
      <c r="Z241" s="212">
        <f>IF(Y241=0,0,COUNTIF($Y$7:Y241,Y241))</f>
        <v>0</v>
      </c>
      <c r="AD241" s="212">
        <f>IFERROR(VLOOKUP(J241,競技会設定!$T$2:$W$22,2,0),0)</f>
        <v>0</v>
      </c>
      <c r="AE241" s="212">
        <f t="shared" ref="AE241" si="2740">IF(E239="",0,IF(AD241=0,0,IF(AD241&lt;3,E239&amp;$AE$6,0)))</f>
        <v>0</v>
      </c>
      <c r="AF241" s="212">
        <f>IF(AE241=0,0,E239&amp;COUNTIF($AE$7:AE241,AE241))</f>
        <v>0</v>
      </c>
      <c r="AG241" s="212">
        <f t="shared" ref="AG241" si="2741">IF(E239="",0,IF(AD241=0,0,IF(AD241&gt;=3,E239&amp;$AG$6,0)))</f>
        <v>0</v>
      </c>
      <c r="AH241" s="212">
        <f>IF(AG241=0,0,E239&amp;COUNTIF($AG$7:AG241,AG241))</f>
        <v>0</v>
      </c>
      <c r="AI241" s="212">
        <f t="shared" ref="AI241" si="2742">IF($AD241=AI$6,$E239,0)</f>
        <v>0</v>
      </c>
      <c r="AJ241" s="212" t="b">
        <f>IF(AI241=0,FALSE,IF(COUNTIF(AI$7:AI241,AI241)&gt;1,TRUE,FALSE))</f>
        <v>0</v>
      </c>
      <c r="AK241" s="212">
        <f t="shared" ref="AK241" si="2743">IF($AD241=AK$6,$E239,0)</f>
        <v>0</v>
      </c>
      <c r="AL241" s="212" t="b">
        <f>IF(AK241=0,FALSE,IF(COUNTIF(AK$7:AK241,AK241)&gt;1,TRUE,FALSE))</f>
        <v>0</v>
      </c>
      <c r="AM241" s="212">
        <f t="shared" ref="AM241" si="2744">IF(COUNTIF(Y241,"*七種*")&gt;0,0,IF($AD241=AM$6,$E239,0))</f>
        <v>0</v>
      </c>
      <c r="AN241" s="212" t="b">
        <f>IF(AM241=0,FALSE,IF(COUNTIF(AM$7:AM241,AM241)&gt;1,TRUE,FALSE))</f>
        <v>0</v>
      </c>
      <c r="AO241" s="212">
        <f t="shared" ref="AO241" si="2745">IF($AD241=AO$6,$E239,0)</f>
        <v>0</v>
      </c>
      <c r="AP241" s="212" t="b">
        <f>IF(AO241=0,FALSE,IF(COUNTIF(AO$7:AO241,AO241)&gt;1,TRUE,FALSE))</f>
        <v>0</v>
      </c>
      <c r="AQ241" s="212">
        <f t="shared" ref="AQ241" si="2746">IF(COUNTIF(Y241,"*七種競技*")&gt;0,E239,0)</f>
        <v>0</v>
      </c>
      <c r="AR241" s="212" t="b">
        <f t="shared" si="2262"/>
        <v>0</v>
      </c>
      <c r="AT241" s="212" t="b">
        <f t="shared" si="2275"/>
        <v>0</v>
      </c>
      <c r="AX241" s="274"/>
      <c r="BD241" s="212" t="b">
        <f t="shared" si="2249"/>
        <v>0</v>
      </c>
      <c r="BF241" s="212" t="b">
        <f t="shared" ref="BF241" si="2747">IF(J241="",FALSE,IF(OR(AND(AU239,L241=""),AND(AU239,L241="",OR(M241&lt;&gt;"",N241&lt;&gt;"",O241&lt;&gt;"",P241&lt;&gt;""))),TRUE,FALSE))</f>
        <v>0</v>
      </c>
      <c r="BG241" s="212" t="b">
        <f t="shared" si="2251"/>
        <v>0</v>
      </c>
      <c r="BH241" s="212" t="b">
        <f t="shared" si="2264"/>
        <v>0</v>
      </c>
      <c r="BI241" s="212" t="b">
        <f t="shared" ref="BI241" si="2748">IF(J241="",FALSE,IF(L241=0,FALSE,IF(AND(AU239,NOT(BF241),OR(M241="",N241="",O241="")),TRUE,FALSE)))</f>
        <v>0</v>
      </c>
      <c r="BJ241" s="231" t="b">
        <f t="shared" si="2266"/>
        <v>0</v>
      </c>
      <c r="BK241" s="231" t="b">
        <f>IF(NOT(BJ241),FALSE,IF(AND(競技会設定!$C$5&lt;=BJ241,BJ241&lt;=競技会設定!$C$6),FALSE,TRUE))</f>
        <v>0</v>
      </c>
      <c r="BL241" s="212" t="b">
        <f>IF(J241="",FALSE,IF(L241=0,FALSE,IF(AND(AU239,NOT(BF241),NOT(BI241),P241=""),TRUE,FALSE)))</f>
        <v>0</v>
      </c>
    </row>
    <row r="242" spans="1:67" ht="18" customHeight="1" thickBot="1">
      <c r="A242" s="472"/>
      <c r="B242" s="395" t="s">
        <v>6764</v>
      </c>
      <c r="C242" s="395"/>
      <c r="D242" s="11"/>
      <c r="E242" s="460"/>
      <c r="F242" s="460"/>
      <c r="G242" s="460"/>
      <c r="H242" s="157"/>
      <c r="I242" s="157" t="s">
        <v>6759</v>
      </c>
      <c r="J242" s="173"/>
      <c r="K242" s="157" t="s">
        <v>6761</v>
      </c>
      <c r="L242" s="173"/>
      <c r="M242" s="258"/>
      <c r="N242" s="259"/>
      <c r="O242" s="260"/>
      <c r="P242" s="173"/>
      <c r="Q242" s="459"/>
      <c r="R242" s="416"/>
      <c r="S242" s="136"/>
      <c r="T242" s="137"/>
      <c r="U242" s="137"/>
      <c r="V242" s="137"/>
      <c r="W242" s="137"/>
      <c r="X242" s="137"/>
      <c r="Y242" s="212">
        <f t="shared" ref="Y242" si="2749">IF(OR(E239="",J242=""),0,J242&amp;E239)</f>
        <v>0</v>
      </c>
      <c r="Z242" s="212">
        <f>IF(Y242=0,0,COUNTIF($Y$7:Y242,Y242))</f>
        <v>0</v>
      </c>
      <c r="AD242" s="212">
        <f>IFERROR(VLOOKUP(J242,競技会設定!$T$2:$W$22,2,0),0)</f>
        <v>0</v>
      </c>
      <c r="AE242" s="212">
        <f t="shared" ref="AE242" si="2750">IF(E239="",0,IF(AD242=0,0,IF(AD242&lt;3,E239&amp;$AE$6,0)))</f>
        <v>0</v>
      </c>
      <c r="AF242" s="212">
        <f>IF(AE242=0,0,E239&amp;COUNTIF($AE$7:AE242,AE242))</f>
        <v>0</v>
      </c>
      <c r="AG242" s="212">
        <f t="shared" ref="AG242" si="2751">IF(E239="",0,IF(AD242=0,0,IF(AD242&gt;=3,E239&amp;$AG$6,0)))</f>
        <v>0</v>
      </c>
      <c r="AH242" s="212">
        <f>IF(AG242=0,0,E239&amp;COUNTIF($AG$7:AG242,AG242))</f>
        <v>0</v>
      </c>
      <c r="AI242" s="212">
        <f t="shared" ref="AI242" si="2752">IF($AD242=AI$6,$E239,0)</f>
        <v>0</v>
      </c>
      <c r="AJ242" s="212" t="b">
        <f>IF(AI242=0,FALSE,IF(COUNTIF(AI$7:AI242,AI242)&gt;1,TRUE,FALSE))</f>
        <v>0</v>
      </c>
      <c r="AK242" s="212">
        <f t="shared" ref="AK242" si="2753">IF($AD242=AK$6,$E239,0)</f>
        <v>0</v>
      </c>
      <c r="AL242" s="212" t="b">
        <f>IF(AK242=0,FALSE,IF(COUNTIF(AK$7:AK242,AK242)&gt;1,TRUE,FALSE))</f>
        <v>0</v>
      </c>
      <c r="AM242" s="212">
        <f t="shared" ref="AM242" si="2754">IF(COUNTIF(Y242,"*七種*")&gt;0,0,IF($AD242=AM$6,$E239,0))</f>
        <v>0</v>
      </c>
      <c r="AN242" s="212" t="b">
        <f>IF(AM242=0,FALSE,IF(COUNTIF(AM$7:AM242,AM242)&gt;1,TRUE,FALSE))</f>
        <v>0</v>
      </c>
      <c r="AO242" s="212">
        <f t="shared" ref="AO242" si="2755">IF($AD242=AO$6,$E239,0)</f>
        <v>0</v>
      </c>
      <c r="AP242" s="212" t="b">
        <f>IF(AO242=0,FALSE,IF(COUNTIF(AO$7:AO242,AO242)&gt;1,TRUE,FALSE))</f>
        <v>0</v>
      </c>
      <c r="AQ242" s="212">
        <f t="shared" ref="AQ242" si="2756">IF(COUNTIF(Y242,"*七種競技*")&gt;0,E239,0)</f>
        <v>0</v>
      </c>
      <c r="AR242" s="212" t="b">
        <f t="shared" si="2262"/>
        <v>0</v>
      </c>
      <c r="AT242" s="212" t="b">
        <f t="shared" si="2275"/>
        <v>0</v>
      </c>
      <c r="AX242" s="274"/>
      <c r="BD242" s="212" t="b">
        <f t="shared" si="2249"/>
        <v>0</v>
      </c>
      <c r="BF242" s="212" t="b">
        <f t="shared" ref="BF242" si="2757">IF(J242="",FALSE,IF(OR(AND(AU239,L242=""),AND(AU239,L242="",OR(M242&lt;&gt;"",N242&lt;&gt;"",O242&lt;&gt;"",P242&lt;&gt;""))),TRUE,FALSE))</f>
        <v>0</v>
      </c>
      <c r="BG242" s="212" t="b">
        <f t="shared" si="2251"/>
        <v>0</v>
      </c>
      <c r="BH242" s="212" t="b">
        <f t="shared" si="2264"/>
        <v>0</v>
      </c>
      <c r="BI242" s="212" t="b">
        <f t="shared" ref="BI242" si="2758">IF(J242="",FALSE,IF(L242=0,FALSE,IF(AND(AU239,NOT(BF242),OR(M242="",N242="",O242="")),TRUE,FALSE)))</f>
        <v>0</v>
      </c>
      <c r="BJ242" s="231" t="b">
        <f t="shared" si="2266"/>
        <v>0</v>
      </c>
      <c r="BK242" s="231" t="b">
        <f>IF(NOT(BJ242),FALSE,IF(AND(競技会設定!$C$5&lt;=BJ242,BJ242&lt;=競技会設定!$C$6),FALSE,TRUE))</f>
        <v>0</v>
      </c>
      <c r="BL242" s="212" t="b">
        <f>IF(J242="",FALSE,IF(L242=0,FALSE,IF(AND(AU239,NOT(BF242),NOT(BI242),P242=""),TRUE,FALSE)))</f>
        <v>0</v>
      </c>
    </row>
    <row r="243" spans="1:67" ht="18" customHeight="1" thickTop="1">
      <c r="A243" s="461">
        <v>60</v>
      </c>
      <c r="B243" s="373" t="s">
        <v>4018</v>
      </c>
      <c r="C243" s="375"/>
      <c r="D243" s="158" t="str">
        <f t="shared" ref="D243" si="2759">IF(C243="","",502&amp;TEXT(C243,"000000"))</f>
        <v/>
      </c>
      <c r="E243" s="464" t="str">
        <f>IF(D243="","",(VLOOKUP(D243,女子登録!$A$2:$N$2001,3,0)))</f>
        <v/>
      </c>
      <c r="F243" s="464" t="str">
        <f>IF(D243="","",(VLOOKUP(D243,女子登録!$A$2:$N$2001,4,0)))</f>
        <v/>
      </c>
      <c r="G243" s="158" t="str">
        <f>IF(C243="","",(VLOOKUP(D243,女子登録!$A$2:$N$2001,8,0)))</f>
        <v/>
      </c>
      <c r="H243" s="158">
        <f>IFERROR(VLOOKUP(D243,女子登録!$A$2:$N$2001,11,0),基本情報!$E$5)</f>
        <v>0</v>
      </c>
      <c r="I243" s="158" t="s">
        <v>4019</v>
      </c>
      <c r="J243" s="174"/>
      <c r="K243" s="158" t="s">
        <v>4022</v>
      </c>
      <c r="L243" s="174"/>
      <c r="M243" s="261"/>
      <c r="N243" s="262"/>
      <c r="O243" s="263"/>
      <c r="P243" s="174"/>
      <c r="Q243" s="448"/>
      <c r="R243" s="408"/>
      <c r="S243" s="136">
        <f t="shared" ref="S243" si="2760">IF(OR(E243="",Q243=""),0,E243)</f>
        <v>0</v>
      </c>
      <c r="T243" s="137">
        <f>IF(S243=0,0,COUNTIF($S$7:S243,"*"))</f>
        <v>0</v>
      </c>
      <c r="U243" s="137">
        <f>IF(S243=0,0,COUNTIF($S$7:S243,S243))</f>
        <v>0</v>
      </c>
      <c r="V243" s="137">
        <f t="shared" si="2478"/>
        <v>0</v>
      </c>
      <c r="W243" s="137">
        <f>IF(V243=0,0,COUNTIF($V$7:V243,"*"))</f>
        <v>0</v>
      </c>
      <c r="X243" s="137">
        <f>IF(V243=0,0,COUNTIF($V$7:V243,V243))</f>
        <v>0</v>
      </c>
      <c r="Y243" s="212">
        <f t="shared" ref="Y243" si="2761">IF(OR(E243="",J243=""),0,J243&amp;E243)</f>
        <v>0</v>
      </c>
      <c r="Z243" s="212">
        <f>IF(Y243=0,0,COUNTIF($Y$7:Y243,Y243))</f>
        <v>0</v>
      </c>
      <c r="AA243" s="212" t="b">
        <f>IF(COUNTIF(J243:J246,"七種競技")&gt;0,TRUE,FALSE)</f>
        <v>0</v>
      </c>
      <c r="AB243" s="212">
        <f>IF(E243="",0,IF(AA243,COUNTIF($AA$7:AA243,TRUE),0))</f>
        <v>0</v>
      </c>
      <c r="AC243" s="212">
        <f>IFERROR(VLOOKUP("七種競技",J243:L246,3,0),0)</f>
        <v>0</v>
      </c>
      <c r="AD243" s="212">
        <f>IFERROR(VLOOKUP(J243,競技会設定!$T$2:$W$22,2,0),0)</f>
        <v>0</v>
      </c>
      <c r="AE243" s="212">
        <f t="shared" ref="AE243" si="2762">IF(E243="",0,IF(AD243=0,0,IF(AD243&lt;3,E243&amp;$AE$6,0)))</f>
        <v>0</v>
      </c>
      <c r="AF243" s="212">
        <f>IF(AE243=0,0,E243&amp;COUNTIF($AE$7:AE243,AE243))</f>
        <v>0</v>
      </c>
      <c r="AG243" s="212">
        <f t="shared" ref="AG243" si="2763">IF(E243="",0,IF(AD243=0,0,IF(AD243&gt;=3,E243&amp;$AG$6,0)))</f>
        <v>0</v>
      </c>
      <c r="AH243" s="212">
        <f>IF(AG243=0,0,E243&amp;COUNTIF($AG$7:AG243,AG243))</f>
        <v>0</v>
      </c>
      <c r="AI243" s="212">
        <f t="shared" ref="AI243" si="2764">IF($AD243=AI$6,$E243,0)</f>
        <v>0</v>
      </c>
      <c r="AJ243" s="212" t="b">
        <f>IF(AI243=0,FALSE,IF(COUNTIF(AI$7:AI243,AI243)&gt;1,TRUE,FALSE))</f>
        <v>0</v>
      </c>
      <c r="AK243" s="212">
        <f t="shared" ref="AK243" si="2765">IF($AD243=AK$6,$E243,0)</f>
        <v>0</v>
      </c>
      <c r="AL243" s="212" t="b">
        <f>IF(AK243=0,FALSE,IF(COUNTIF(AK$7:AK243,AK243)&gt;1,TRUE,FALSE))</f>
        <v>0</v>
      </c>
      <c r="AM243" s="212">
        <f t="shared" ref="AM243" si="2766">IF(COUNTIF(Y243,"*七種*")&gt;0,0,IF($AD243=AM$6,$E243,0))</f>
        <v>0</v>
      </c>
      <c r="AN243" s="212" t="b">
        <f>IF(AM243=0,FALSE,IF(COUNTIF(AM$7:AM243,AM243)&gt;1,TRUE,FALSE))</f>
        <v>0</v>
      </c>
      <c r="AO243" s="212">
        <f t="shared" ref="AO243" si="2767">IF($AD243=AO$6,$E243,0)</f>
        <v>0</v>
      </c>
      <c r="AP243" s="212" t="b">
        <f>IF(AO243=0,FALSE,IF(COUNTIF(AO$7:AO243,AO243)&gt;1,TRUE,FALSE))</f>
        <v>0</v>
      </c>
      <c r="AQ243" s="212">
        <f t="shared" ref="AQ243" si="2768">IF(COUNTIF(Y243,"*七種競技*")&gt;0,E243,0)</f>
        <v>0</v>
      </c>
      <c r="AR243" s="212" t="b">
        <f t="shared" si="2262"/>
        <v>0</v>
      </c>
      <c r="AS243" s="212" t="b">
        <f t="shared" ref="AS243" si="2769">IF(AND(C243="",E243&lt;&gt;"",F243&lt;&gt;"",E245&lt;&gt;"",G243&lt;&gt;"",G244&lt;&gt;"",G245&lt;&gt;""),TRUE,FALSE)</f>
        <v>0</v>
      </c>
      <c r="AT243" s="212" t="b">
        <f t="shared" si="2275"/>
        <v>0</v>
      </c>
      <c r="AU243" s="212" t="b">
        <f>IFERROR(IF(E243&amp;F243&amp;E245&amp;G243&amp;G244&amp;G245&amp;J243&amp;J244&amp;J245&amp;J246&amp;L243&amp;L244&amp;L245&amp;L246&amp;M243&amp;M244&amp;M245&amp;M246&amp;P243&amp;P244&amp;P245&amp;P246&amp;Q243&amp;R243="",FALSE,TRUE),FALSE)</f>
        <v>0</v>
      </c>
      <c r="AV243" s="212" t="b">
        <f t="shared" ref="AV243" si="2770">IF(AS243,FALSE,IF(C243="",AU243,FALSE))</f>
        <v>0</v>
      </c>
      <c r="AW243" s="212" t="b">
        <f t="shared" ref="AW243" si="2771">IF(C243="",FALSE,IF(C243&lt;=2000,TRUE,FALSE))</f>
        <v>0</v>
      </c>
      <c r="AX243" s="274" t="b">
        <f>IF(H243=0,FALSE,IF(EXACT(基本情報!$E$5,H243)=TRUE,FALSE,TRUE))</f>
        <v>0</v>
      </c>
      <c r="AY243" s="212" t="b">
        <f>IF(C243="",FALSE,IF(ISNA(E243)=TRUE,TRUE,FALSE))</f>
        <v>0</v>
      </c>
      <c r="AZ243" s="274" t="b">
        <f>IFERROR(IF(E243="",FALSE,IF(COUNTIF($E$7:E243,E243)&gt;1,TRUE,FALSE)),FALSE)</f>
        <v>0</v>
      </c>
      <c r="BA243" s="212" t="b">
        <f t="shared" ref="BA243" si="2772">IF(OR(J243&amp;J244&amp;J245&amp;J246&amp;Q243&amp;R243="",AT243,AT244,AT245,AT246),AU243,FALSE)</f>
        <v>0</v>
      </c>
      <c r="BB243" s="212" t="b">
        <f>IF(U243&gt;1,TRUE,FALSE)</f>
        <v>0</v>
      </c>
      <c r="BC243" s="212" t="b">
        <f>IF(X243&gt;1,TRUE,FALSE)</f>
        <v>0</v>
      </c>
      <c r="BD243" s="212" t="b">
        <f t="shared" si="2249"/>
        <v>0</v>
      </c>
      <c r="BF243" s="212" t="b">
        <f t="shared" ref="BF243" si="2773">IF(J243="",FALSE,IF(OR(AND(AU243,L243=""),AND(AU243,L243="",OR(M243&lt;&gt;"",N243&lt;&gt;"",O243&lt;&gt;"",P243&lt;&gt;""))),TRUE,FALSE))</f>
        <v>0</v>
      </c>
      <c r="BG243" s="212" t="b">
        <f t="shared" si="2251"/>
        <v>0</v>
      </c>
      <c r="BH243" s="212" t="b">
        <f t="shared" si="2264"/>
        <v>0</v>
      </c>
      <c r="BI243" s="212" t="b">
        <f t="shared" ref="BI243" si="2774">IF(J243="",FALSE,IF(L243=0,FALSE,IF(AND(AU243,NOT(BF243),OR(M243="",N243="",O243="")),TRUE,FALSE)))</f>
        <v>0</v>
      </c>
      <c r="BJ243" s="231" t="b">
        <f t="shared" si="2266"/>
        <v>0</v>
      </c>
      <c r="BK243" s="231" t="b">
        <f>IF(NOT(BJ243),FALSE,IF(AND(競技会設定!$C$5&lt;=BJ243,BJ243&lt;=競技会設定!$C$6),FALSE,TRUE))</f>
        <v>0</v>
      </c>
      <c r="BL243" s="212" t="b">
        <f>IF(J243="",FALSE,IF(L243=0,FALSE,IF(AND(AU243,NOT(BF243),NOT(BI243),P243=""),TRUE,FALSE)))</f>
        <v>0</v>
      </c>
      <c r="BO243" s="274">
        <f t="shared" ref="BO243" si="2775">IF(AND(AU243,SUM(COUNTIF(AV243:BC243,TRUE),COUNTIF(BF243:BL246,TRUE),COUNTIF(BD243:BD246,TRUE))=0,NOT($BE$7)),1,0)</f>
        <v>0</v>
      </c>
    </row>
    <row r="244" spans="1:67" ht="17.399999999999999" customHeight="1">
      <c r="A244" s="462"/>
      <c r="B244" s="374"/>
      <c r="C244" s="376"/>
      <c r="D244" s="159"/>
      <c r="E244" s="465"/>
      <c r="F244" s="465"/>
      <c r="G244" s="159" t="str">
        <f>IF(C243="","",(VLOOKUP(D243,女子登録!$A$2:$N$2001,13,0)))</f>
        <v/>
      </c>
      <c r="H244" s="159"/>
      <c r="I244" s="159" t="s">
        <v>4020</v>
      </c>
      <c r="J244" s="175"/>
      <c r="K244" s="159" t="s">
        <v>4023</v>
      </c>
      <c r="L244" s="175"/>
      <c r="M244" s="264"/>
      <c r="N244" s="265"/>
      <c r="O244" s="266"/>
      <c r="P244" s="175"/>
      <c r="Q244" s="449"/>
      <c r="R244" s="409"/>
      <c r="S244" s="136"/>
      <c r="T244" s="137"/>
      <c r="U244" s="137"/>
      <c r="V244" s="137"/>
      <c r="W244" s="137"/>
      <c r="X244" s="137"/>
      <c r="Y244" s="212">
        <f t="shared" ref="Y244" si="2776">IF(OR(E243="",J244=""),0,J244&amp;E243)</f>
        <v>0</v>
      </c>
      <c r="Z244" s="212">
        <f>IF(Y244=0,0,COUNTIF($Y$7:Y244,Y244))</f>
        <v>0</v>
      </c>
      <c r="AD244" s="212">
        <f>IFERROR(VLOOKUP(J244,競技会設定!$T$2:$W$22,2,0),0)</f>
        <v>0</v>
      </c>
      <c r="AE244" s="212">
        <f t="shared" ref="AE244" si="2777">IF(E243="",0,IF(AD244=0,0,IF(AD244&lt;3,E243&amp;$AE$6,0)))</f>
        <v>0</v>
      </c>
      <c r="AF244" s="212">
        <f>IF(AE244=0,0,E243&amp;COUNTIF($AE$7:AE244,AE244))</f>
        <v>0</v>
      </c>
      <c r="AG244" s="212">
        <f t="shared" ref="AG244" si="2778">IF(E243="",0,IF(AD244=0,0,IF(AD244&gt;=3,E243&amp;$AG$6,0)))</f>
        <v>0</v>
      </c>
      <c r="AH244" s="212">
        <f>IF(AG244=0,0,E243&amp;COUNTIF($AG$7:AG244,AG244))</f>
        <v>0</v>
      </c>
      <c r="AI244" s="212">
        <f t="shared" ref="AI244" si="2779">IF($AD244=AI$6,$E243,0)</f>
        <v>0</v>
      </c>
      <c r="AJ244" s="212" t="b">
        <f>IF(AI244=0,FALSE,IF(COUNTIF(AI$7:AI244,AI244)&gt;1,TRUE,FALSE))</f>
        <v>0</v>
      </c>
      <c r="AK244" s="212">
        <f t="shared" ref="AK244" si="2780">IF($AD244=AK$6,$E243,0)</f>
        <v>0</v>
      </c>
      <c r="AL244" s="212" t="b">
        <f>IF(AK244=0,FALSE,IF(COUNTIF(AK$7:AK244,AK244)&gt;1,TRUE,FALSE))</f>
        <v>0</v>
      </c>
      <c r="AM244" s="212">
        <f t="shared" ref="AM244" si="2781">IF(COUNTIF(Y244,"*七種*")&gt;0,0,IF($AD244=AM$6,$E243,0))</f>
        <v>0</v>
      </c>
      <c r="AN244" s="212" t="b">
        <f>IF(AM244=0,FALSE,IF(COUNTIF(AM$7:AM244,AM244)&gt;1,TRUE,FALSE))</f>
        <v>0</v>
      </c>
      <c r="AO244" s="212">
        <f t="shared" ref="AO244" si="2782">IF($AD244=AO$6,$E243,0)</f>
        <v>0</v>
      </c>
      <c r="AP244" s="212" t="b">
        <f>IF(AO244=0,FALSE,IF(COUNTIF(AO$7:AO244,AO244)&gt;1,TRUE,FALSE))</f>
        <v>0</v>
      </c>
      <c r="AQ244" s="212">
        <f t="shared" ref="AQ244" si="2783">IF(COUNTIF(Y244,"*七種競技*")&gt;0,E243,0)</f>
        <v>0</v>
      </c>
      <c r="AR244" s="212" t="b">
        <f t="shared" si="2262"/>
        <v>0</v>
      </c>
      <c r="AT244" s="212" t="b">
        <f t="shared" si="2275"/>
        <v>0</v>
      </c>
      <c r="AX244" s="274"/>
      <c r="BD244" s="212" t="b">
        <f t="shared" si="2249"/>
        <v>0</v>
      </c>
      <c r="BF244" s="212" t="b">
        <f t="shared" ref="BF244" si="2784">IF(J244="",FALSE,IF(OR(AND(AU243,L244=""),AND(AU243,L244="",OR(M244&lt;&gt;"",N244&lt;&gt;"",O244&lt;&gt;"",P244&lt;&gt;""))),TRUE,FALSE))</f>
        <v>0</v>
      </c>
      <c r="BG244" s="212" t="b">
        <f t="shared" si="2251"/>
        <v>0</v>
      </c>
      <c r="BH244" s="212" t="b">
        <f t="shared" si="2264"/>
        <v>0</v>
      </c>
      <c r="BI244" s="212" t="b">
        <f t="shared" ref="BI244" si="2785">IF(J244="",FALSE,IF(L244=0,FALSE,IF(AND(AU243,NOT(BF244),OR(M244="",N244="",O244="")),TRUE,FALSE)))</f>
        <v>0</v>
      </c>
      <c r="BJ244" s="231" t="b">
        <f t="shared" si="2266"/>
        <v>0</v>
      </c>
      <c r="BK244" s="231" t="b">
        <f>IF(NOT(BJ244),FALSE,IF(AND(競技会設定!$C$5&lt;=BJ244,BJ244&lt;=競技会設定!$C$6),FALSE,TRUE))</f>
        <v>0</v>
      </c>
      <c r="BL244" s="212" t="b">
        <f>IF(J244="",FALSE,IF(L244=0,FALSE,IF(AND(AU243,NOT(BF244),NOT(BI244),P244=""),TRUE,FALSE)))</f>
        <v>0</v>
      </c>
    </row>
    <row r="245" spans="1:67" ht="17.399999999999999" customHeight="1">
      <c r="A245" s="462"/>
      <c r="B245" s="374"/>
      <c r="C245" s="376"/>
      <c r="D245" s="160"/>
      <c r="E245" s="452" t="str">
        <f>IF(C243="","",VLOOKUP(D243,女子登録!$A$2:$O$2001,14,0)&amp;" ("&amp;VLOOKUP(D243,女子登録!$A$2:$O$2001,15,0)&amp;")")</f>
        <v/>
      </c>
      <c r="F245" s="453"/>
      <c r="G245" s="160" t="str">
        <f>IF(C243="","",(VLOOKUP(D243,女子登録!$A$2:$N$2001,9,0)))</f>
        <v/>
      </c>
      <c r="H245" s="160"/>
      <c r="I245" s="160" t="s">
        <v>4021</v>
      </c>
      <c r="J245" s="176"/>
      <c r="K245" s="160" t="s">
        <v>6760</v>
      </c>
      <c r="L245" s="176"/>
      <c r="M245" s="264"/>
      <c r="N245" s="265"/>
      <c r="O245" s="266"/>
      <c r="P245" s="175"/>
      <c r="Q245" s="449"/>
      <c r="R245" s="409"/>
      <c r="S245" s="136"/>
      <c r="T245" s="137"/>
      <c r="U245" s="137"/>
      <c r="V245" s="137"/>
      <c r="W245" s="137"/>
      <c r="X245" s="137"/>
      <c r="Y245" s="212">
        <f t="shared" ref="Y245" si="2786">IF(OR(E243="",J245=""),0,J245&amp;E243)</f>
        <v>0</v>
      </c>
      <c r="Z245" s="212">
        <f>IF(Y245=0,0,COUNTIF($Y$7:Y245,Y245))</f>
        <v>0</v>
      </c>
      <c r="AD245" s="212">
        <f>IFERROR(VLOOKUP(J245,競技会設定!$T$2:$W$22,2,0),0)</f>
        <v>0</v>
      </c>
      <c r="AE245" s="212">
        <f t="shared" ref="AE245" si="2787">IF(E243="",0,IF(AD245=0,0,IF(AD245&lt;3,E243&amp;$AE$6,0)))</f>
        <v>0</v>
      </c>
      <c r="AF245" s="212">
        <f>IF(AE245=0,0,E243&amp;COUNTIF($AE$7:AE245,AE245))</f>
        <v>0</v>
      </c>
      <c r="AG245" s="212">
        <f t="shared" ref="AG245" si="2788">IF(E243="",0,IF(AD245=0,0,IF(AD245&gt;=3,E243&amp;$AG$6,0)))</f>
        <v>0</v>
      </c>
      <c r="AH245" s="212">
        <f>IF(AG245=0,0,E243&amp;COUNTIF($AG$7:AG245,AG245))</f>
        <v>0</v>
      </c>
      <c r="AI245" s="212">
        <f t="shared" ref="AI245" si="2789">IF($AD245=AI$6,$E243,0)</f>
        <v>0</v>
      </c>
      <c r="AJ245" s="212" t="b">
        <f>IF(AI245=0,FALSE,IF(COUNTIF(AI$7:AI245,AI245)&gt;1,TRUE,FALSE))</f>
        <v>0</v>
      </c>
      <c r="AK245" s="212">
        <f t="shared" ref="AK245" si="2790">IF($AD245=AK$6,$E243,0)</f>
        <v>0</v>
      </c>
      <c r="AL245" s="212" t="b">
        <f>IF(AK245=0,FALSE,IF(COUNTIF(AK$7:AK245,AK245)&gt;1,TRUE,FALSE))</f>
        <v>0</v>
      </c>
      <c r="AM245" s="212">
        <f t="shared" ref="AM245" si="2791">IF(COUNTIF(Y245,"*七種*")&gt;0,0,IF($AD245=AM$6,$E243,0))</f>
        <v>0</v>
      </c>
      <c r="AN245" s="212" t="b">
        <f>IF(AM245=0,FALSE,IF(COUNTIF(AM$7:AM245,AM245)&gt;1,TRUE,FALSE))</f>
        <v>0</v>
      </c>
      <c r="AO245" s="212">
        <f t="shared" ref="AO245" si="2792">IF($AD245=AO$6,$E243,0)</f>
        <v>0</v>
      </c>
      <c r="AP245" s="212" t="b">
        <f>IF(AO245=0,FALSE,IF(COUNTIF(AO$7:AO245,AO245)&gt;1,TRUE,FALSE))</f>
        <v>0</v>
      </c>
      <c r="AQ245" s="212">
        <f t="shared" ref="AQ245" si="2793">IF(COUNTIF(Y245,"*七種競技*")&gt;0,E243,0)</f>
        <v>0</v>
      </c>
      <c r="AR245" s="212" t="b">
        <f t="shared" si="2262"/>
        <v>0</v>
      </c>
      <c r="AT245" s="212" t="b">
        <f t="shared" si="2275"/>
        <v>0</v>
      </c>
      <c r="AX245" s="274"/>
      <c r="BD245" s="212" t="b">
        <f t="shared" si="2249"/>
        <v>0</v>
      </c>
      <c r="BF245" s="212" t="b">
        <f t="shared" ref="BF245" si="2794">IF(J245="",FALSE,IF(OR(AND(AU243,L245=""),AND(AU243,L245="",OR(M245&lt;&gt;"",N245&lt;&gt;"",O245&lt;&gt;"",P245&lt;&gt;""))),TRUE,FALSE))</f>
        <v>0</v>
      </c>
      <c r="BG245" s="212" t="b">
        <f t="shared" si="2251"/>
        <v>0</v>
      </c>
      <c r="BH245" s="212" t="b">
        <f t="shared" si="2264"/>
        <v>0</v>
      </c>
      <c r="BI245" s="212" t="b">
        <f t="shared" ref="BI245" si="2795">IF(J245="",FALSE,IF(L245=0,FALSE,IF(AND(AU243,NOT(BF245),OR(M245="",N245="",O245="")),TRUE,FALSE)))</f>
        <v>0</v>
      </c>
      <c r="BJ245" s="231" t="b">
        <f t="shared" si="2266"/>
        <v>0</v>
      </c>
      <c r="BK245" s="231" t="b">
        <f>IF(NOT(BJ245),FALSE,IF(AND(競技会設定!$C$5&lt;=BJ245,BJ245&lt;=競技会設定!$C$6),FALSE,TRUE))</f>
        <v>0</v>
      </c>
      <c r="BL245" s="212" t="b">
        <f>IF(J245="",FALSE,IF(L245=0,FALSE,IF(AND(AU243,NOT(BF245),NOT(BI245),P245=""),TRUE,FALSE)))</f>
        <v>0</v>
      </c>
    </row>
    <row r="246" spans="1:67" ht="18" customHeight="1" thickBot="1">
      <c r="A246" s="475"/>
      <c r="B246" s="387" t="s">
        <v>6764</v>
      </c>
      <c r="C246" s="387"/>
      <c r="D246" s="161"/>
      <c r="E246" s="467"/>
      <c r="F246" s="468"/>
      <c r="G246" s="469"/>
      <c r="H246" s="162"/>
      <c r="I246" s="161" t="s">
        <v>6759</v>
      </c>
      <c r="J246" s="177"/>
      <c r="K246" s="161" t="s">
        <v>6761</v>
      </c>
      <c r="L246" s="177"/>
      <c r="M246" s="267"/>
      <c r="N246" s="268"/>
      <c r="O246" s="269"/>
      <c r="P246" s="177"/>
      <c r="Q246" s="466"/>
      <c r="R246" s="410"/>
      <c r="S246" s="136"/>
      <c r="T246" s="137"/>
      <c r="U246" s="137"/>
      <c r="V246" s="137"/>
      <c r="W246" s="137"/>
      <c r="X246" s="137"/>
      <c r="Y246" s="212">
        <f t="shared" ref="Y246" si="2796">IF(OR(E243="",J246=""),0,J246&amp;E243)</f>
        <v>0</v>
      </c>
      <c r="Z246" s="212">
        <f>IF(Y246=0,0,COUNTIF($Y$7:Y246,Y246))</f>
        <v>0</v>
      </c>
      <c r="AD246" s="212">
        <f>IFERROR(VLOOKUP(J246,競技会設定!$T$2:$W$22,2,0),0)</f>
        <v>0</v>
      </c>
      <c r="AE246" s="212">
        <f t="shared" ref="AE246" si="2797">IF(E243="",0,IF(AD246=0,0,IF(AD246&lt;3,E243&amp;$AE$6,0)))</f>
        <v>0</v>
      </c>
      <c r="AF246" s="212">
        <f>IF(AE246=0,0,E243&amp;COUNTIF($AE$7:AE246,AE246))</f>
        <v>0</v>
      </c>
      <c r="AG246" s="212">
        <f t="shared" ref="AG246" si="2798">IF(E243="",0,IF(AD246=0,0,IF(AD246&gt;=3,E243&amp;$AG$6,0)))</f>
        <v>0</v>
      </c>
      <c r="AH246" s="212">
        <f>IF(AG246=0,0,E243&amp;COUNTIF($AG$7:AG246,AG246))</f>
        <v>0</v>
      </c>
      <c r="AI246" s="212">
        <f t="shared" ref="AI246" si="2799">IF($AD246=AI$6,$E243,0)</f>
        <v>0</v>
      </c>
      <c r="AJ246" s="212" t="b">
        <f>IF(AI246=0,FALSE,IF(COUNTIF(AI$7:AI246,AI246)&gt;1,TRUE,FALSE))</f>
        <v>0</v>
      </c>
      <c r="AK246" s="212">
        <f t="shared" ref="AK246" si="2800">IF($AD246=AK$6,$E243,0)</f>
        <v>0</v>
      </c>
      <c r="AL246" s="212" t="b">
        <f>IF(AK246=0,FALSE,IF(COUNTIF(AK$7:AK246,AK246)&gt;1,TRUE,FALSE))</f>
        <v>0</v>
      </c>
      <c r="AM246" s="212">
        <f t="shared" ref="AM246" si="2801">IF(COUNTIF(Y246,"*七種*")&gt;0,0,IF($AD246=AM$6,$E243,0))</f>
        <v>0</v>
      </c>
      <c r="AN246" s="212" t="b">
        <f>IF(AM246=0,FALSE,IF(COUNTIF(AM$7:AM246,AM246)&gt;1,TRUE,FALSE))</f>
        <v>0</v>
      </c>
      <c r="AO246" s="212">
        <f t="shared" ref="AO246" si="2802">IF($AD246=AO$6,$E243,0)</f>
        <v>0</v>
      </c>
      <c r="AP246" s="212" t="b">
        <f>IF(AO246=0,FALSE,IF(COUNTIF(AO$7:AO246,AO246)&gt;1,TRUE,FALSE))</f>
        <v>0</v>
      </c>
      <c r="AQ246" s="212">
        <f t="shared" ref="AQ246" si="2803">IF(COUNTIF(Y246,"*七種競技*")&gt;0,E243,0)</f>
        <v>0</v>
      </c>
      <c r="AR246" s="212" t="b">
        <f t="shared" si="2262"/>
        <v>0</v>
      </c>
      <c r="AT246" s="212" t="b">
        <f t="shared" si="2275"/>
        <v>0</v>
      </c>
      <c r="AX246" s="274"/>
      <c r="BD246" s="212" t="b">
        <f t="shared" si="2249"/>
        <v>0</v>
      </c>
      <c r="BF246" s="212" t="b">
        <f t="shared" ref="BF246" si="2804">IF(J246="",FALSE,IF(OR(AND(AU243,L246=""),AND(AU243,L246="",OR(M246&lt;&gt;"",N246&lt;&gt;"",O246&lt;&gt;"",P246&lt;&gt;""))),TRUE,FALSE))</f>
        <v>0</v>
      </c>
      <c r="BG246" s="212" t="b">
        <f t="shared" si="2251"/>
        <v>0</v>
      </c>
      <c r="BH246" s="212" t="b">
        <f t="shared" si="2264"/>
        <v>0</v>
      </c>
      <c r="BI246" s="212" t="b">
        <f t="shared" ref="BI246" si="2805">IF(J246="",FALSE,IF(L246=0,FALSE,IF(AND(AU243,NOT(BF246),OR(M246="",N246="",O246="")),TRUE,FALSE)))</f>
        <v>0</v>
      </c>
      <c r="BJ246" s="231" t="b">
        <f t="shared" si="2266"/>
        <v>0</v>
      </c>
      <c r="BK246" s="231" t="b">
        <f>IF(NOT(BJ246),FALSE,IF(AND(競技会設定!$C$5&lt;=BJ246,BJ246&lt;=競技会設定!$C$6),FALSE,TRUE))</f>
        <v>0</v>
      </c>
      <c r="BL246" s="212" t="b">
        <f>IF(J246="",FALSE,IF(L246=0,FALSE,IF(AND(AU243,NOT(BF246),NOT(BI246),P246=""),TRUE,FALSE)))</f>
        <v>0</v>
      </c>
    </row>
    <row r="247" spans="1:67" ht="18" customHeight="1" thickTop="1">
      <c r="A247" s="470">
        <v>61</v>
      </c>
      <c r="B247" s="401" t="s">
        <v>4018</v>
      </c>
      <c r="C247" s="403"/>
      <c r="D247" s="156" t="str">
        <f t="shared" ref="D247" si="2806">IF(C247="","",502&amp;TEXT(C247,"000000"))</f>
        <v/>
      </c>
      <c r="E247" s="473" t="str">
        <f>IF(D247="","",(VLOOKUP(D247,女子登録!$A$2:$N$2001,3,0)))</f>
        <v/>
      </c>
      <c r="F247" s="473" t="str">
        <f>IF(D247="","",(VLOOKUP(D247,女子登録!$A$2:$N$2001,4,0)))</f>
        <v/>
      </c>
      <c r="G247" s="156" t="str">
        <f>IF(C247="","",(VLOOKUP(D247,女子登録!$A$2:$N$2001,8,0)))</f>
        <v/>
      </c>
      <c r="H247" s="156">
        <f>IFERROR(VLOOKUP(D247,女子登録!$A$2:$N$2001,11,0),基本情報!$E$5)</f>
        <v>0</v>
      </c>
      <c r="I247" s="156" t="s">
        <v>4019</v>
      </c>
      <c r="J247" s="170"/>
      <c r="K247" s="156" t="s">
        <v>4022</v>
      </c>
      <c r="L247" s="170"/>
      <c r="M247" s="252"/>
      <c r="N247" s="253"/>
      <c r="O247" s="254"/>
      <c r="P247" s="170"/>
      <c r="Q247" s="457"/>
      <c r="R247" s="414"/>
      <c r="S247" s="136">
        <f t="shared" ref="S247" si="2807">IF(OR(E247="",Q247=""),0,E247)</f>
        <v>0</v>
      </c>
      <c r="T247" s="137">
        <f>IF(S247=0,0,COUNTIF($S$7:S247,"*"))</f>
        <v>0</v>
      </c>
      <c r="U247" s="137">
        <f>IF(S247=0,0,COUNTIF($S$7:S247,S247))</f>
        <v>0</v>
      </c>
      <c r="V247" s="137">
        <f t="shared" si="2478"/>
        <v>0</v>
      </c>
      <c r="W247" s="137">
        <f>IF(V247=0,0,COUNTIF($V$7:V247,"*"))</f>
        <v>0</v>
      </c>
      <c r="X247" s="137">
        <f>IF(V247=0,0,COUNTIF($V$7:V247,V247))</f>
        <v>0</v>
      </c>
      <c r="Y247" s="212">
        <f t="shared" ref="Y247" si="2808">IF(OR(E247="",J247=""),0,J247&amp;E247)</f>
        <v>0</v>
      </c>
      <c r="Z247" s="212">
        <f>IF(Y247=0,0,COUNTIF($Y$7:Y247,Y247))</f>
        <v>0</v>
      </c>
      <c r="AA247" s="212" t="b">
        <f>IF(COUNTIF(J247:J250,"七種競技")&gt;0,TRUE,FALSE)</f>
        <v>0</v>
      </c>
      <c r="AB247" s="212">
        <f>IF(E247="",0,IF(AA247,COUNTIF($AA$7:AA247,TRUE),0))</f>
        <v>0</v>
      </c>
      <c r="AC247" s="212">
        <f>IFERROR(VLOOKUP("七種競技",J247:L250,3,0),0)</f>
        <v>0</v>
      </c>
      <c r="AD247" s="212">
        <f>IFERROR(VLOOKUP(J247,競技会設定!$T$2:$W$22,2,0),0)</f>
        <v>0</v>
      </c>
      <c r="AE247" s="212">
        <f t="shared" ref="AE247" si="2809">IF(E247="",0,IF(AD247=0,0,IF(AD247&lt;3,E247&amp;$AE$6,0)))</f>
        <v>0</v>
      </c>
      <c r="AF247" s="212">
        <f>IF(AE247=0,0,E247&amp;COUNTIF($AE$7:AE247,AE247))</f>
        <v>0</v>
      </c>
      <c r="AG247" s="212">
        <f t="shared" ref="AG247" si="2810">IF(E247="",0,IF(AD247=0,0,IF(AD247&gt;=3,E247&amp;$AG$6,0)))</f>
        <v>0</v>
      </c>
      <c r="AH247" s="212">
        <f>IF(AG247=0,0,E247&amp;COUNTIF($AG$7:AG247,AG247))</f>
        <v>0</v>
      </c>
      <c r="AI247" s="212">
        <f t="shared" ref="AI247" si="2811">IF($AD247=AI$6,$E247,0)</f>
        <v>0</v>
      </c>
      <c r="AJ247" s="212" t="b">
        <f>IF(AI247=0,FALSE,IF(COUNTIF(AI$7:AI247,AI247)&gt;1,TRUE,FALSE))</f>
        <v>0</v>
      </c>
      <c r="AK247" s="212">
        <f t="shared" ref="AK247" si="2812">IF($AD247=AK$6,$E247,0)</f>
        <v>0</v>
      </c>
      <c r="AL247" s="212" t="b">
        <f>IF(AK247=0,FALSE,IF(COUNTIF(AK$7:AK247,AK247)&gt;1,TRUE,FALSE))</f>
        <v>0</v>
      </c>
      <c r="AM247" s="212">
        <f t="shared" ref="AM247" si="2813">IF(COUNTIF(Y247,"*七種*")&gt;0,0,IF($AD247=AM$6,$E247,0))</f>
        <v>0</v>
      </c>
      <c r="AN247" s="212" t="b">
        <f>IF(AM247=0,FALSE,IF(COUNTIF(AM$7:AM247,AM247)&gt;1,TRUE,FALSE))</f>
        <v>0</v>
      </c>
      <c r="AO247" s="212">
        <f t="shared" ref="AO247" si="2814">IF($AD247=AO$6,$E247,0)</f>
        <v>0</v>
      </c>
      <c r="AP247" s="212" t="b">
        <f>IF(AO247=0,FALSE,IF(COUNTIF(AO$7:AO247,AO247)&gt;1,TRUE,FALSE))</f>
        <v>0</v>
      </c>
      <c r="AQ247" s="212">
        <f t="shared" ref="AQ247" si="2815">IF(COUNTIF(Y247,"*七種競技*")&gt;0,E247,0)</f>
        <v>0</v>
      </c>
      <c r="AR247" s="212" t="b">
        <f t="shared" si="2262"/>
        <v>0</v>
      </c>
      <c r="AS247" s="212" t="b">
        <f t="shared" ref="AS247" si="2816">IF(AND(C247="",E247&lt;&gt;"",F247&lt;&gt;"",E249&lt;&gt;"",G247&lt;&gt;"",G248&lt;&gt;"",G249&lt;&gt;""),TRUE,FALSE)</f>
        <v>0</v>
      </c>
      <c r="AT247" s="212" t="b">
        <f t="shared" si="2275"/>
        <v>0</v>
      </c>
      <c r="AU247" s="212" t="b">
        <f>IFERROR(IF(E247&amp;F247&amp;E249&amp;G247&amp;G248&amp;G249&amp;J247&amp;J248&amp;J249&amp;J250&amp;L247&amp;L248&amp;L249&amp;L250&amp;M247&amp;M248&amp;M249&amp;M250&amp;P247&amp;P248&amp;P249&amp;P250&amp;Q247&amp;R247="",FALSE,TRUE),FALSE)</f>
        <v>0</v>
      </c>
      <c r="AV247" s="212" t="b">
        <f t="shared" ref="AV247" si="2817">IF(AS247,FALSE,IF(C247="",AU247,FALSE))</f>
        <v>0</v>
      </c>
      <c r="AW247" s="212" t="b">
        <f t="shared" ref="AW247" si="2818">IF(C247="",FALSE,IF(C247&lt;=2000,TRUE,FALSE))</f>
        <v>0</v>
      </c>
      <c r="AX247" s="274" t="b">
        <f>IF(H247=0,FALSE,IF(EXACT(基本情報!$E$5,H247)=TRUE,FALSE,TRUE))</f>
        <v>0</v>
      </c>
      <c r="AY247" s="212" t="b">
        <f>IF(C247="",FALSE,IF(ISNA(E247)=TRUE,TRUE,FALSE))</f>
        <v>0</v>
      </c>
      <c r="AZ247" s="274" t="b">
        <f>IFERROR(IF(E247="",FALSE,IF(COUNTIF($E$7:E247,E247)&gt;1,TRUE,FALSE)),FALSE)</f>
        <v>0</v>
      </c>
      <c r="BA247" s="212" t="b">
        <f t="shared" ref="BA247" si="2819">IF(OR(J247&amp;J248&amp;J249&amp;J250&amp;Q247&amp;R247="",AT247,AT248,AT249,AT250),AU247,FALSE)</f>
        <v>0</v>
      </c>
      <c r="BB247" s="212" t="b">
        <f>IF(U247&gt;1,TRUE,FALSE)</f>
        <v>0</v>
      </c>
      <c r="BC247" s="212" t="b">
        <f>IF(X247&gt;1,TRUE,FALSE)</f>
        <v>0</v>
      </c>
      <c r="BD247" s="212" t="b">
        <f t="shared" si="2249"/>
        <v>0</v>
      </c>
      <c r="BF247" s="212" t="b">
        <f t="shared" ref="BF247" si="2820">IF(J247="",FALSE,IF(OR(AND(AU247,L247=""),AND(AU247,L247="",OR(M247&lt;&gt;"",N247&lt;&gt;"",O247&lt;&gt;"",P247&lt;&gt;""))),TRUE,FALSE))</f>
        <v>0</v>
      </c>
      <c r="BG247" s="212" t="b">
        <f t="shared" si="2251"/>
        <v>0</v>
      </c>
      <c r="BH247" s="212" t="b">
        <f t="shared" si="2264"/>
        <v>0</v>
      </c>
      <c r="BI247" s="212" t="b">
        <f t="shared" ref="BI247" si="2821">IF(J247="",FALSE,IF(L247=0,FALSE,IF(AND(AU247,NOT(BF247),OR(M247="",N247="",O247="")),TRUE,FALSE)))</f>
        <v>0</v>
      </c>
      <c r="BJ247" s="231" t="b">
        <f t="shared" si="2266"/>
        <v>0</v>
      </c>
      <c r="BK247" s="231" t="b">
        <f>IF(NOT(BJ247),FALSE,IF(AND(競技会設定!$C$5&lt;=BJ247,BJ247&lt;=競技会設定!$C$6),FALSE,TRUE))</f>
        <v>0</v>
      </c>
      <c r="BL247" s="212" t="b">
        <f>IF(J247="",FALSE,IF(L247=0,FALSE,IF(AND(AU247,NOT(BF247),NOT(BI247),P247=""),TRUE,FALSE)))</f>
        <v>0</v>
      </c>
      <c r="BO247" s="274">
        <f t="shared" ref="BO247" si="2822">IF(AND(AU247,SUM(COUNTIF(AV247:BC247,TRUE),COUNTIF(BF247:BL250,TRUE),COUNTIF(BD247:BD250,TRUE))=0,NOT($BE$7)),1,0)</f>
        <v>0</v>
      </c>
    </row>
    <row r="248" spans="1:67" ht="17.399999999999999" customHeight="1">
      <c r="A248" s="471"/>
      <c r="B248" s="402"/>
      <c r="C248" s="404"/>
      <c r="D248" s="11"/>
      <c r="E248" s="474"/>
      <c r="F248" s="474"/>
      <c r="G248" s="11" t="str">
        <f>IF(C247="","",(VLOOKUP(D247,女子登録!$A$2:$N$2001,13,0)))</f>
        <v/>
      </c>
      <c r="H248" s="11"/>
      <c r="I248" s="11" t="s">
        <v>4020</v>
      </c>
      <c r="J248" s="171"/>
      <c r="K248" s="11" t="s">
        <v>4023</v>
      </c>
      <c r="L248" s="171"/>
      <c r="M248" s="255"/>
      <c r="N248" s="256"/>
      <c r="O248" s="257"/>
      <c r="P248" s="171"/>
      <c r="Q248" s="458"/>
      <c r="R248" s="415"/>
      <c r="S248" s="136"/>
      <c r="T248" s="137"/>
      <c r="U248" s="137"/>
      <c r="V248" s="137"/>
      <c r="W248" s="137"/>
      <c r="X248" s="137"/>
      <c r="Y248" s="212">
        <f t="shared" ref="Y248" si="2823">IF(OR(E247="",J248=""),0,J248&amp;E247)</f>
        <v>0</v>
      </c>
      <c r="Z248" s="212">
        <f>IF(Y248=0,0,COUNTIF($Y$7:Y248,Y248))</f>
        <v>0</v>
      </c>
      <c r="AD248" s="212">
        <f>IFERROR(VLOOKUP(J248,競技会設定!$T$2:$W$22,2,0),0)</f>
        <v>0</v>
      </c>
      <c r="AE248" s="212">
        <f t="shared" ref="AE248" si="2824">IF(E247="",0,IF(AD248=0,0,IF(AD248&lt;3,E247&amp;$AE$6,0)))</f>
        <v>0</v>
      </c>
      <c r="AF248" s="212">
        <f>IF(AE248=0,0,E247&amp;COUNTIF($AE$7:AE248,AE248))</f>
        <v>0</v>
      </c>
      <c r="AG248" s="212">
        <f t="shared" ref="AG248" si="2825">IF(E247="",0,IF(AD248=0,0,IF(AD248&gt;=3,E247&amp;$AG$6,0)))</f>
        <v>0</v>
      </c>
      <c r="AH248" s="212">
        <f>IF(AG248=0,0,E247&amp;COUNTIF($AG$7:AG248,AG248))</f>
        <v>0</v>
      </c>
      <c r="AI248" s="212">
        <f t="shared" ref="AI248" si="2826">IF($AD248=AI$6,$E247,0)</f>
        <v>0</v>
      </c>
      <c r="AJ248" s="212" t="b">
        <f>IF(AI248=0,FALSE,IF(COUNTIF(AI$7:AI248,AI248)&gt;1,TRUE,FALSE))</f>
        <v>0</v>
      </c>
      <c r="AK248" s="212">
        <f t="shared" ref="AK248" si="2827">IF($AD248=AK$6,$E247,0)</f>
        <v>0</v>
      </c>
      <c r="AL248" s="212" t="b">
        <f>IF(AK248=0,FALSE,IF(COUNTIF(AK$7:AK248,AK248)&gt;1,TRUE,FALSE))</f>
        <v>0</v>
      </c>
      <c r="AM248" s="212">
        <f t="shared" ref="AM248" si="2828">IF(COUNTIF(Y248,"*七種*")&gt;0,0,IF($AD248=AM$6,$E247,0))</f>
        <v>0</v>
      </c>
      <c r="AN248" s="212" t="b">
        <f>IF(AM248=0,FALSE,IF(COUNTIF(AM$7:AM248,AM248)&gt;1,TRUE,FALSE))</f>
        <v>0</v>
      </c>
      <c r="AO248" s="212">
        <f t="shared" ref="AO248" si="2829">IF($AD248=AO$6,$E247,0)</f>
        <v>0</v>
      </c>
      <c r="AP248" s="212" t="b">
        <f>IF(AO248=0,FALSE,IF(COUNTIF(AO$7:AO248,AO248)&gt;1,TRUE,FALSE))</f>
        <v>0</v>
      </c>
      <c r="AQ248" s="212">
        <f t="shared" ref="AQ248" si="2830">IF(COUNTIF(Y248,"*七種競技*")&gt;0,E247,0)</f>
        <v>0</v>
      </c>
      <c r="AR248" s="212" t="b">
        <f t="shared" si="2262"/>
        <v>0</v>
      </c>
      <c r="AT248" s="212" t="b">
        <f t="shared" si="2275"/>
        <v>0</v>
      </c>
      <c r="AX248" s="274"/>
      <c r="BD248" s="212" t="b">
        <f t="shared" si="2249"/>
        <v>0</v>
      </c>
      <c r="BF248" s="212" t="b">
        <f t="shared" ref="BF248" si="2831">IF(J248="",FALSE,IF(OR(AND(AU247,L248=""),AND(AU247,L248="",OR(M248&lt;&gt;"",N248&lt;&gt;"",O248&lt;&gt;"",P248&lt;&gt;""))),TRUE,FALSE))</f>
        <v>0</v>
      </c>
      <c r="BG248" s="212" t="b">
        <f t="shared" si="2251"/>
        <v>0</v>
      </c>
      <c r="BH248" s="212" t="b">
        <f t="shared" si="2264"/>
        <v>0</v>
      </c>
      <c r="BI248" s="212" t="b">
        <f t="shared" ref="BI248" si="2832">IF(J248="",FALSE,IF(L248=0,FALSE,IF(AND(AU247,NOT(BF248),OR(M248="",N248="",O248="")),TRUE,FALSE)))</f>
        <v>0</v>
      </c>
      <c r="BJ248" s="231" t="b">
        <f t="shared" si="2266"/>
        <v>0</v>
      </c>
      <c r="BK248" s="231" t="b">
        <f>IF(NOT(BJ248),FALSE,IF(AND(競技会設定!$C$5&lt;=BJ248,BJ248&lt;=競技会設定!$C$6),FALSE,TRUE))</f>
        <v>0</v>
      </c>
      <c r="BL248" s="212" t="b">
        <f>IF(J248="",FALSE,IF(L248=0,FALSE,IF(AND(AU247,NOT(BF248),NOT(BI248),P248=""),TRUE,FALSE)))</f>
        <v>0</v>
      </c>
    </row>
    <row r="249" spans="1:67" ht="17.399999999999999" customHeight="1">
      <c r="A249" s="471"/>
      <c r="B249" s="402"/>
      <c r="C249" s="404"/>
      <c r="D249" s="11"/>
      <c r="E249" s="348" t="str">
        <f>IF(C247="","",VLOOKUP(D247,女子登録!$A$2:$O$2001,14,0)&amp;" ("&amp;VLOOKUP(D247,女子登録!$A$2:$O$2001,15,0)&amp;")")</f>
        <v/>
      </c>
      <c r="F249" s="348"/>
      <c r="G249" s="13" t="str">
        <f>IF(C247="","",(VLOOKUP(D247,女子登録!$A$2:$N$2001,9,0)))</f>
        <v/>
      </c>
      <c r="H249" s="13"/>
      <c r="I249" s="13" t="s">
        <v>4021</v>
      </c>
      <c r="J249" s="172"/>
      <c r="K249" s="13" t="s">
        <v>6760</v>
      </c>
      <c r="L249" s="172"/>
      <c r="M249" s="255"/>
      <c r="N249" s="256"/>
      <c r="O249" s="257"/>
      <c r="P249" s="171"/>
      <c r="Q249" s="458"/>
      <c r="R249" s="415"/>
      <c r="S249" s="136"/>
      <c r="T249" s="137"/>
      <c r="U249" s="137"/>
      <c r="V249" s="137"/>
      <c r="W249" s="137"/>
      <c r="X249" s="137"/>
      <c r="Y249" s="212">
        <f t="shared" ref="Y249" si="2833">IF(OR(E247="",J249=""),0,J249&amp;E247)</f>
        <v>0</v>
      </c>
      <c r="Z249" s="212">
        <f>IF(Y249=0,0,COUNTIF($Y$7:Y249,Y249))</f>
        <v>0</v>
      </c>
      <c r="AD249" s="212">
        <f>IFERROR(VLOOKUP(J249,競技会設定!$T$2:$W$22,2,0),0)</f>
        <v>0</v>
      </c>
      <c r="AE249" s="212">
        <f t="shared" ref="AE249" si="2834">IF(E247="",0,IF(AD249=0,0,IF(AD249&lt;3,E247&amp;$AE$6,0)))</f>
        <v>0</v>
      </c>
      <c r="AF249" s="212">
        <f>IF(AE249=0,0,E247&amp;COUNTIF($AE$7:AE249,AE249))</f>
        <v>0</v>
      </c>
      <c r="AG249" s="212">
        <f t="shared" ref="AG249" si="2835">IF(E247="",0,IF(AD249=0,0,IF(AD249&gt;=3,E247&amp;$AG$6,0)))</f>
        <v>0</v>
      </c>
      <c r="AH249" s="212">
        <f>IF(AG249=0,0,E247&amp;COUNTIF($AG$7:AG249,AG249))</f>
        <v>0</v>
      </c>
      <c r="AI249" s="212">
        <f t="shared" ref="AI249" si="2836">IF($AD249=AI$6,$E247,0)</f>
        <v>0</v>
      </c>
      <c r="AJ249" s="212" t="b">
        <f>IF(AI249=0,FALSE,IF(COUNTIF(AI$7:AI249,AI249)&gt;1,TRUE,FALSE))</f>
        <v>0</v>
      </c>
      <c r="AK249" s="212">
        <f t="shared" ref="AK249" si="2837">IF($AD249=AK$6,$E247,0)</f>
        <v>0</v>
      </c>
      <c r="AL249" s="212" t="b">
        <f>IF(AK249=0,FALSE,IF(COUNTIF(AK$7:AK249,AK249)&gt;1,TRUE,FALSE))</f>
        <v>0</v>
      </c>
      <c r="AM249" s="212">
        <f t="shared" ref="AM249" si="2838">IF(COUNTIF(Y249,"*七種*")&gt;0,0,IF($AD249=AM$6,$E247,0))</f>
        <v>0</v>
      </c>
      <c r="AN249" s="212" t="b">
        <f>IF(AM249=0,FALSE,IF(COUNTIF(AM$7:AM249,AM249)&gt;1,TRUE,FALSE))</f>
        <v>0</v>
      </c>
      <c r="AO249" s="212">
        <f t="shared" ref="AO249" si="2839">IF($AD249=AO$6,$E247,0)</f>
        <v>0</v>
      </c>
      <c r="AP249" s="212" t="b">
        <f>IF(AO249=0,FALSE,IF(COUNTIF(AO$7:AO249,AO249)&gt;1,TRUE,FALSE))</f>
        <v>0</v>
      </c>
      <c r="AQ249" s="212">
        <f t="shared" ref="AQ249" si="2840">IF(COUNTIF(Y249,"*七種競技*")&gt;0,E247,0)</f>
        <v>0</v>
      </c>
      <c r="AR249" s="212" t="b">
        <f t="shared" si="2262"/>
        <v>0</v>
      </c>
      <c r="AT249" s="212" t="b">
        <f t="shared" si="2275"/>
        <v>0</v>
      </c>
      <c r="AX249" s="274"/>
      <c r="BD249" s="212" t="b">
        <f t="shared" si="2249"/>
        <v>0</v>
      </c>
      <c r="BF249" s="212" t="b">
        <f t="shared" ref="BF249" si="2841">IF(J249="",FALSE,IF(OR(AND(AU247,L249=""),AND(AU247,L249="",OR(M249&lt;&gt;"",N249&lt;&gt;"",O249&lt;&gt;"",P249&lt;&gt;""))),TRUE,FALSE))</f>
        <v>0</v>
      </c>
      <c r="BG249" s="212" t="b">
        <f t="shared" si="2251"/>
        <v>0</v>
      </c>
      <c r="BH249" s="212" t="b">
        <f t="shared" si="2264"/>
        <v>0</v>
      </c>
      <c r="BI249" s="212" t="b">
        <f t="shared" ref="BI249" si="2842">IF(J249="",FALSE,IF(L249=0,FALSE,IF(AND(AU247,NOT(BF249),OR(M249="",N249="",O249="")),TRUE,FALSE)))</f>
        <v>0</v>
      </c>
      <c r="BJ249" s="231" t="b">
        <f t="shared" si="2266"/>
        <v>0</v>
      </c>
      <c r="BK249" s="231" t="b">
        <f>IF(NOT(BJ249),FALSE,IF(AND(競技会設定!$C$5&lt;=BJ249,BJ249&lt;=競技会設定!$C$6),FALSE,TRUE))</f>
        <v>0</v>
      </c>
      <c r="BL249" s="212" t="b">
        <f>IF(J249="",FALSE,IF(L249=0,FALSE,IF(AND(AU247,NOT(BF249),NOT(BI249),P249=""),TRUE,FALSE)))</f>
        <v>0</v>
      </c>
    </row>
    <row r="250" spans="1:67" ht="18" customHeight="1" thickBot="1">
      <c r="A250" s="472"/>
      <c r="B250" s="395" t="s">
        <v>6764</v>
      </c>
      <c r="C250" s="395"/>
      <c r="D250" s="11"/>
      <c r="E250" s="460"/>
      <c r="F250" s="460"/>
      <c r="G250" s="460"/>
      <c r="H250" s="157"/>
      <c r="I250" s="157" t="s">
        <v>6759</v>
      </c>
      <c r="J250" s="173"/>
      <c r="K250" s="157" t="s">
        <v>6761</v>
      </c>
      <c r="L250" s="173"/>
      <c r="M250" s="258"/>
      <c r="N250" s="259"/>
      <c r="O250" s="260"/>
      <c r="P250" s="173"/>
      <c r="Q250" s="459"/>
      <c r="R250" s="416"/>
      <c r="S250" s="136"/>
      <c r="T250" s="137"/>
      <c r="U250" s="137"/>
      <c r="V250" s="137"/>
      <c r="W250" s="137"/>
      <c r="X250" s="137"/>
      <c r="Y250" s="212">
        <f t="shared" ref="Y250" si="2843">IF(OR(E247="",J250=""),0,J250&amp;E247)</f>
        <v>0</v>
      </c>
      <c r="Z250" s="212">
        <f>IF(Y250=0,0,COUNTIF($Y$7:Y250,Y250))</f>
        <v>0</v>
      </c>
      <c r="AD250" s="212">
        <f>IFERROR(VLOOKUP(J250,競技会設定!$T$2:$W$22,2,0),0)</f>
        <v>0</v>
      </c>
      <c r="AE250" s="212">
        <f t="shared" ref="AE250" si="2844">IF(E247="",0,IF(AD250=0,0,IF(AD250&lt;3,E247&amp;$AE$6,0)))</f>
        <v>0</v>
      </c>
      <c r="AF250" s="212">
        <f>IF(AE250=0,0,E247&amp;COUNTIF($AE$7:AE250,AE250))</f>
        <v>0</v>
      </c>
      <c r="AG250" s="212">
        <f t="shared" ref="AG250" si="2845">IF(E247="",0,IF(AD250=0,0,IF(AD250&gt;=3,E247&amp;$AG$6,0)))</f>
        <v>0</v>
      </c>
      <c r="AH250" s="212">
        <f>IF(AG250=0,0,E247&amp;COUNTIF($AG$7:AG250,AG250))</f>
        <v>0</v>
      </c>
      <c r="AI250" s="212">
        <f t="shared" ref="AI250" si="2846">IF($AD250=AI$6,$E247,0)</f>
        <v>0</v>
      </c>
      <c r="AJ250" s="212" t="b">
        <f>IF(AI250=0,FALSE,IF(COUNTIF(AI$7:AI250,AI250)&gt;1,TRUE,FALSE))</f>
        <v>0</v>
      </c>
      <c r="AK250" s="212">
        <f t="shared" ref="AK250" si="2847">IF($AD250=AK$6,$E247,0)</f>
        <v>0</v>
      </c>
      <c r="AL250" s="212" t="b">
        <f>IF(AK250=0,FALSE,IF(COUNTIF(AK$7:AK250,AK250)&gt;1,TRUE,FALSE))</f>
        <v>0</v>
      </c>
      <c r="AM250" s="212">
        <f t="shared" ref="AM250" si="2848">IF(COUNTIF(Y250,"*七種*")&gt;0,0,IF($AD250=AM$6,$E247,0))</f>
        <v>0</v>
      </c>
      <c r="AN250" s="212" t="b">
        <f>IF(AM250=0,FALSE,IF(COUNTIF(AM$7:AM250,AM250)&gt;1,TRUE,FALSE))</f>
        <v>0</v>
      </c>
      <c r="AO250" s="212">
        <f t="shared" ref="AO250" si="2849">IF($AD250=AO$6,$E247,0)</f>
        <v>0</v>
      </c>
      <c r="AP250" s="212" t="b">
        <f>IF(AO250=0,FALSE,IF(COUNTIF(AO$7:AO250,AO250)&gt;1,TRUE,FALSE))</f>
        <v>0</v>
      </c>
      <c r="AQ250" s="212">
        <f t="shared" ref="AQ250" si="2850">IF(COUNTIF(Y250,"*七種競技*")&gt;0,E247,0)</f>
        <v>0</v>
      </c>
      <c r="AR250" s="212" t="b">
        <f t="shared" si="2262"/>
        <v>0</v>
      </c>
      <c r="AT250" s="212" t="b">
        <f t="shared" si="2275"/>
        <v>0</v>
      </c>
      <c r="AX250" s="274"/>
      <c r="BD250" s="212" t="b">
        <f t="shared" si="2249"/>
        <v>0</v>
      </c>
      <c r="BF250" s="212" t="b">
        <f t="shared" ref="BF250" si="2851">IF(J250="",FALSE,IF(OR(AND(AU247,L250=""),AND(AU247,L250="",OR(M250&lt;&gt;"",N250&lt;&gt;"",O250&lt;&gt;"",P250&lt;&gt;""))),TRUE,FALSE))</f>
        <v>0</v>
      </c>
      <c r="BG250" s="212" t="b">
        <f t="shared" si="2251"/>
        <v>0</v>
      </c>
      <c r="BH250" s="212" t="b">
        <f t="shared" si="2264"/>
        <v>0</v>
      </c>
      <c r="BI250" s="212" t="b">
        <f t="shared" ref="BI250" si="2852">IF(J250="",FALSE,IF(L250=0,FALSE,IF(AND(AU247,NOT(BF250),OR(M250="",N250="",O250="")),TRUE,FALSE)))</f>
        <v>0</v>
      </c>
      <c r="BJ250" s="231" t="b">
        <f t="shared" si="2266"/>
        <v>0</v>
      </c>
      <c r="BK250" s="231" t="b">
        <f>IF(NOT(BJ250),FALSE,IF(AND(競技会設定!$C$5&lt;=BJ250,BJ250&lt;=競技会設定!$C$6),FALSE,TRUE))</f>
        <v>0</v>
      </c>
      <c r="BL250" s="212" t="b">
        <f>IF(J250="",FALSE,IF(L250=0,FALSE,IF(AND(AU247,NOT(BF250),NOT(BI250),P250=""),TRUE,FALSE)))</f>
        <v>0</v>
      </c>
    </row>
    <row r="251" spans="1:67" ht="18" customHeight="1" thickTop="1">
      <c r="A251" s="461">
        <v>62</v>
      </c>
      <c r="B251" s="373" t="s">
        <v>4018</v>
      </c>
      <c r="C251" s="375"/>
      <c r="D251" s="158" t="str">
        <f t="shared" ref="D251" si="2853">IF(C251="","",502&amp;TEXT(C251,"000000"))</f>
        <v/>
      </c>
      <c r="E251" s="464" t="str">
        <f>IF(D251="","",(VLOOKUP(D251,女子登録!$A$2:$N$2001,3,0)))</f>
        <v/>
      </c>
      <c r="F251" s="464" t="str">
        <f>IF(D251="","",(VLOOKUP(D251,女子登録!$A$2:$N$2001,4,0)))</f>
        <v/>
      </c>
      <c r="G251" s="158" t="str">
        <f>IF(C251="","",(VLOOKUP(D251,女子登録!$A$2:$N$2001,8,0)))</f>
        <v/>
      </c>
      <c r="H251" s="158">
        <f>IFERROR(VLOOKUP(D251,女子登録!$A$2:$N$2001,11,0),基本情報!$E$5)</f>
        <v>0</v>
      </c>
      <c r="I251" s="158" t="s">
        <v>4019</v>
      </c>
      <c r="J251" s="174"/>
      <c r="K251" s="158" t="s">
        <v>4022</v>
      </c>
      <c r="L251" s="174"/>
      <c r="M251" s="261"/>
      <c r="N251" s="262"/>
      <c r="O251" s="263"/>
      <c r="P251" s="174"/>
      <c r="Q251" s="448"/>
      <c r="R251" s="408"/>
      <c r="S251" s="136">
        <f t="shared" ref="S251" si="2854">IF(OR(E251="",Q251=""),0,E251)</f>
        <v>0</v>
      </c>
      <c r="T251" s="137">
        <f>IF(S251=0,0,COUNTIF($S$7:S251,"*"))</f>
        <v>0</v>
      </c>
      <c r="U251" s="137">
        <f>IF(S251=0,0,COUNTIF($S$7:S251,S251))</f>
        <v>0</v>
      </c>
      <c r="V251" s="137">
        <f t="shared" si="2478"/>
        <v>0</v>
      </c>
      <c r="W251" s="137">
        <f>IF(V251=0,0,COUNTIF($V$7:V251,"*"))</f>
        <v>0</v>
      </c>
      <c r="X251" s="137">
        <f>IF(V251=0,0,COUNTIF($V$7:V251,V251))</f>
        <v>0</v>
      </c>
      <c r="Y251" s="212">
        <f t="shared" ref="Y251" si="2855">IF(OR(E251="",J251=""),0,J251&amp;E251)</f>
        <v>0</v>
      </c>
      <c r="Z251" s="212">
        <f>IF(Y251=0,0,COUNTIF($Y$7:Y251,Y251))</f>
        <v>0</v>
      </c>
      <c r="AA251" s="212" t="b">
        <f>IF(COUNTIF(J251:J254,"七種競技")&gt;0,TRUE,FALSE)</f>
        <v>0</v>
      </c>
      <c r="AB251" s="212">
        <f>IF(E251="",0,IF(AA251,COUNTIF($AA$7:AA251,TRUE),0))</f>
        <v>0</v>
      </c>
      <c r="AC251" s="212">
        <f>IFERROR(VLOOKUP("七種競技",J251:L254,3,0),0)</f>
        <v>0</v>
      </c>
      <c r="AD251" s="212">
        <f>IFERROR(VLOOKUP(J251,競技会設定!$T$2:$W$22,2,0),0)</f>
        <v>0</v>
      </c>
      <c r="AE251" s="212">
        <f t="shared" ref="AE251" si="2856">IF(E251="",0,IF(AD251=0,0,IF(AD251&lt;3,E251&amp;$AE$6,0)))</f>
        <v>0</v>
      </c>
      <c r="AF251" s="212">
        <f>IF(AE251=0,0,E251&amp;COUNTIF($AE$7:AE251,AE251))</f>
        <v>0</v>
      </c>
      <c r="AG251" s="212">
        <f t="shared" ref="AG251" si="2857">IF(E251="",0,IF(AD251=0,0,IF(AD251&gt;=3,E251&amp;$AG$6,0)))</f>
        <v>0</v>
      </c>
      <c r="AH251" s="212">
        <f>IF(AG251=0,0,E251&amp;COUNTIF($AG$7:AG251,AG251))</f>
        <v>0</v>
      </c>
      <c r="AI251" s="212">
        <f t="shared" ref="AI251" si="2858">IF($AD251=AI$6,$E251,0)</f>
        <v>0</v>
      </c>
      <c r="AJ251" s="212" t="b">
        <f>IF(AI251=0,FALSE,IF(COUNTIF(AI$7:AI251,AI251)&gt;1,TRUE,FALSE))</f>
        <v>0</v>
      </c>
      <c r="AK251" s="212">
        <f t="shared" ref="AK251" si="2859">IF($AD251=AK$6,$E251,0)</f>
        <v>0</v>
      </c>
      <c r="AL251" s="212" t="b">
        <f>IF(AK251=0,FALSE,IF(COUNTIF(AK$7:AK251,AK251)&gt;1,TRUE,FALSE))</f>
        <v>0</v>
      </c>
      <c r="AM251" s="212">
        <f t="shared" ref="AM251" si="2860">IF(COUNTIF(Y251,"*七種*")&gt;0,0,IF($AD251=AM$6,$E251,0))</f>
        <v>0</v>
      </c>
      <c r="AN251" s="212" t="b">
        <f>IF(AM251=0,FALSE,IF(COUNTIF(AM$7:AM251,AM251)&gt;1,TRUE,FALSE))</f>
        <v>0</v>
      </c>
      <c r="AO251" s="212">
        <f t="shared" ref="AO251" si="2861">IF($AD251=AO$6,$E251,0)</f>
        <v>0</v>
      </c>
      <c r="AP251" s="212" t="b">
        <f>IF(AO251=0,FALSE,IF(COUNTIF(AO$7:AO251,AO251)&gt;1,TRUE,FALSE))</f>
        <v>0</v>
      </c>
      <c r="AQ251" s="212">
        <f t="shared" ref="AQ251" si="2862">IF(COUNTIF(Y251,"*七種競技*")&gt;0,E251,0)</f>
        <v>0</v>
      </c>
      <c r="AR251" s="212" t="b">
        <f t="shared" si="2262"/>
        <v>0</v>
      </c>
      <c r="AS251" s="212" t="b">
        <f t="shared" ref="AS251" si="2863">IF(AND(C251="",E251&lt;&gt;"",F251&lt;&gt;"",E253&lt;&gt;"",G251&lt;&gt;"",G252&lt;&gt;"",G253&lt;&gt;""),TRUE,FALSE)</f>
        <v>0</v>
      </c>
      <c r="AT251" s="212" t="b">
        <f t="shared" si="2275"/>
        <v>0</v>
      </c>
      <c r="AU251" s="212" t="b">
        <f>IFERROR(IF(E251&amp;F251&amp;E253&amp;G251&amp;G252&amp;G253&amp;J251&amp;J252&amp;J253&amp;J254&amp;L251&amp;L252&amp;L253&amp;L254&amp;M251&amp;M252&amp;M253&amp;M254&amp;P251&amp;P252&amp;P253&amp;P254&amp;Q251&amp;R251="",FALSE,TRUE),FALSE)</f>
        <v>0</v>
      </c>
      <c r="AV251" s="212" t="b">
        <f t="shared" ref="AV251" si="2864">IF(AS251,FALSE,IF(C251="",AU251,FALSE))</f>
        <v>0</v>
      </c>
      <c r="AW251" s="212" t="b">
        <f t="shared" ref="AW251" si="2865">IF(C251="",FALSE,IF(C251&lt;=2000,TRUE,FALSE))</f>
        <v>0</v>
      </c>
      <c r="AX251" s="274" t="b">
        <f>IF(H251=0,FALSE,IF(EXACT(基本情報!$E$5,H251)=TRUE,FALSE,TRUE))</f>
        <v>0</v>
      </c>
      <c r="AY251" s="212" t="b">
        <f>IF(C251="",FALSE,IF(ISNA(E251)=TRUE,TRUE,FALSE))</f>
        <v>0</v>
      </c>
      <c r="AZ251" s="274" t="b">
        <f>IFERROR(IF(E251="",FALSE,IF(COUNTIF($E$7:E251,E251)&gt;1,TRUE,FALSE)),FALSE)</f>
        <v>0</v>
      </c>
      <c r="BA251" s="212" t="b">
        <f t="shared" ref="BA251" si="2866">IF(OR(J251&amp;J252&amp;J253&amp;J254&amp;Q251&amp;R251="",AT251,AT252,AT253,AT254),AU251,FALSE)</f>
        <v>0</v>
      </c>
      <c r="BB251" s="212" t="b">
        <f>IF(U251&gt;1,TRUE,FALSE)</f>
        <v>0</v>
      </c>
      <c r="BC251" s="212" t="b">
        <f>IF(X251&gt;1,TRUE,FALSE)</f>
        <v>0</v>
      </c>
      <c r="BD251" s="212" t="b">
        <f t="shared" si="2249"/>
        <v>0</v>
      </c>
      <c r="BF251" s="212" t="b">
        <f t="shared" ref="BF251" si="2867">IF(J251="",FALSE,IF(OR(AND(AU251,L251=""),AND(AU251,L251="",OR(M251&lt;&gt;"",N251&lt;&gt;"",O251&lt;&gt;"",P251&lt;&gt;""))),TRUE,FALSE))</f>
        <v>0</v>
      </c>
      <c r="BG251" s="212" t="b">
        <f t="shared" si="2251"/>
        <v>0</v>
      </c>
      <c r="BH251" s="212" t="b">
        <f t="shared" si="2264"/>
        <v>0</v>
      </c>
      <c r="BI251" s="212" t="b">
        <f t="shared" ref="BI251" si="2868">IF(J251="",FALSE,IF(L251=0,FALSE,IF(AND(AU251,NOT(BF251),OR(M251="",N251="",O251="")),TRUE,FALSE)))</f>
        <v>0</v>
      </c>
      <c r="BJ251" s="231" t="b">
        <f t="shared" si="2266"/>
        <v>0</v>
      </c>
      <c r="BK251" s="231" t="b">
        <f>IF(NOT(BJ251),FALSE,IF(AND(競技会設定!$C$5&lt;=BJ251,BJ251&lt;=競技会設定!$C$6),FALSE,TRUE))</f>
        <v>0</v>
      </c>
      <c r="BL251" s="212" t="b">
        <f>IF(J251="",FALSE,IF(L251=0,FALSE,IF(AND(AU251,NOT(BF251),NOT(BI251),P251=""),TRUE,FALSE)))</f>
        <v>0</v>
      </c>
      <c r="BO251" s="274">
        <f t="shared" ref="BO251" si="2869">IF(AND(AU251,SUM(COUNTIF(AV251:BC251,TRUE),COUNTIF(BF251:BL254,TRUE),COUNTIF(BD251:BD254,TRUE))=0,NOT($BE$7)),1,0)</f>
        <v>0</v>
      </c>
    </row>
    <row r="252" spans="1:67" ht="17.399999999999999" customHeight="1">
      <c r="A252" s="462"/>
      <c r="B252" s="374"/>
      <c r="C252" s="376"/>
      <c r="D252" s="159"/>
      <c r="E252" s="465"/>
      <c r="F252" s="465"/>
      <c r="G252" s="159" t="str">
        <f>IF(C251="","",(VLOOKUP(D251,女子登録!$A$2:$N$2001,13,0)))</f>
        <v/>
      </c>
      <c r="H252" s="159"/>
      <c r="I252" s="159" t="s">
        <v>4020</v>
      </c>
      <c r="J252" s="175"/>
      <c r="K252" s="159" t="s">
        <v>4023</v>
      </c>
      <c r="L252" s="175"/>
      <c r="M252" s="264"/>
      <c r="N252" s="265"/>
      <c r="O252" s="266"/>
      <c r="P252" s="175"/>
      <c r="Q252" s="449"/>
      <c r="R252" s="409"/>
      <c r="S252" s="136"/>
      <c r="T252" s="137"/>
      <c r="U252" s="137"/>
      <c r="V252" s="137"/>
      <c r="W252" s="137"/>
      <c r="X252" s="137"/>
      <c r="Y252" s="212">
        <f t="shared" ref="Y252" si="2870">IF(OR(E251="",J252=""),0,J252&amp;E251)</f>
        <v>0</v>
      </c>
      <c r="Z252" s="212">
        <f>IF(Y252=0,0,COUNTIF($Y$7:Y252,Y252))</f>
        <v>0</v>
      </c>
      <c r="AD252" s="212">
        <f>IFERROR(VLOOKUP(J252,競技会設定!$T$2:$W$22,2,0),0)</f>
        <v>0</v>
      </c>
      <c r="AE252" s="212">
        <f t="shared" ref="AE252" si="2871">IF(E251="",0,IF(AD252=0,0,IF(AD252&lt;3,E251&amp;$AE$6,0)))</f>
        <v>0</v>
      </c>
      <c r="AF252" s="212">
        <f>IF(AE252=0,0,E251&amp;COUNTIF($AE$7:AE252,AE252))</f>
        <v>0</v>
      </c>
      <c r="AG252" s="212">
        <f t="shared" ref="AG252" si="2872">IF(E251="",0,IF(AD252=0,0,IF(AD252&gt;=3,E251&amp;$AG$6,0)))</f>
        <v>0</v>
      </c>
      <c r="AH252" s="212">
        <f>IF(AG252=0,0,E251&amp;COUNTIF($AG$7:AG252,AG252))</f>
        <v>0</v>
      </c>
      <c r="AI252" s="212">
        <f t="shared" ref="AI252" si="2873">IF($AD252=AI$6,$E251,0)</f>
        <v>0</v>
      </c>
      <c r="AJ252" s="212" t="b">
        <f>IF(AI252=0,FALSE,IF(COUNTIF(AI$7:AI252,AI252)&gt;1,TRUE,FALSE))</f>
        <v>0</v>
      </c>
      <c r="AK252" s="212">
        <f t="shared" ref="AK252" si="2874">IF($AD252=AK$6,$E251,0)</f>
        <v>0</v>
      </c>
      <c r="AL252" s="212" t="b">
        <f>IF(AK252=0,FALSE,IF(COUNTIF(AK$7:AK252,AK252)&gt;1,TRUE,FALSE))</f>
        <v>0</v>
      </c>
      <c r="AM252" s="212">
        <f t="shared" ref="AM252" si="2875">IF(COUNTIF(Y252,"*七種*")&gt;0,0,IF($AD252=AM$6,$E251,0))</f>
        <v>0</v>
      </c>
      <c r="AN252" s="212" t="b">
        <f>IF(AM252=0,FALSE,IF(COUNTIF(AM$7:AM252,AM252)&gt;1,TRUE,FALSE))</f>
        <v>0</v>
      </c>
      <c r="AO252" s="212">
        <f t="shared" ref="AO252" si="2876">IF($AD252=AO$6,$E251,0)</f>
        <v>0</v>
      </c>
      <c r="AP252" s="212" t="b">
        <f>IF(AO252=0,FALSE,IF(COUNTIF(AO$7:AO252,AO252)&gt;1,TRUE,FALSE))</f>
        <v>0</v>
      </c>
      <c r="AQ252" s="212">
        <f t="shared" ref="AQ252" si="2877">IF(COUNTIF(Y252,"*七種競技*")&gt;0,E251,0)</f>
        <v>0</v>
      </c>
      <c r="AR252" s="212" t="b">
        <f t="shared" si="2262"/>
        <v>0</v>
      </c>
      <c r="AT252" s="212" t="b">
        <f t="shared" si="2275"/>
        <v>0</v>
      </c>
      <c r="AX252" s="274"/>
      <c r="BD252" s="212" t="b">
        <f t="shared" si="2249"/>
        <v>0</v>
      </c>
      <c r="BF252" s="212" t="b">
        <f t="shared" ref="BF252" si="2878">IF(J252="",FALSE,IF(OR(AND(AU251,L252=""),AND(AU251,L252="",OR(M252&lt;&gt;"",N252&lt;&gt;"",O252&lt;&gt;"",P252&lt;&gt;""))),TRUE,FALSE))</f>
        <v>0</v>
      </c>
      <c r="BG252" s="212" t="b">
        <f t="shared" si="2251"/>
        <v>0</v>
      </c>
      <c r="BH252" s="212" t="b">
        <f t="shared" si="2264"/>
        <v>0</v>
      </c>
      <c r="BI252" s="212" t="b">
        <f t="shared" ref="BI252" si="2879">IF(J252="",FALSE,IF(L252=0,FALSE,IF(AND(AU251,NOT(BF252),OR(M252="",N252="",O252="")),TRUE,FALSE)))</f>
        <v>0</v>
      </c>
      <c r="BJ252" s="231" t="b">
        <f t="shared" si="2266"/>
        <v>0</v>
      </c>
      <c r="BK252" s="231" t="b">
        <f>IF(NOT(BJ252),FALSE,IF(AND(競技会設定!$C$5&lt;=BJ252,BJ252&lt;=競技会設定!$C$6),FALSE,TRUE))</f>
        <v>0</v>
      </c>
      <c r="BL252" s="212" t="b">
        <f>IF(J252="",FALSE,IF(L252=0,FALSE,IF(AND(AU251,NOT(BF252),NOT(BI252),P252=""),TRUE,FALSE)))</f>
        <v>0</v>
      </c>
    </row>
    <row r="253" spans="1:67" ht="17.399999999999999" customHeight="1">
      <c r="A253" s="462"/>
      <c r="B253" s="374"/>
      <c r="C253" s="376"/>
      <c r="D253" s="160"/>
      <c r="E253" s="452" t="str">
        <f>IF(C251="","",VLOOKUP(D251,女子登録!$A$2:$O$2001,14,0)&amp;" ("&amp;VLOOKUP(D251,女子登録!$A$2:$O$2001,15,0)&amp;")")</f>
        <v/>
      </c>
      <c r="F253" s="453"/>
      <c r="G253" s="160" t="str">
        <f>IF(C251="","",(VLOOKUP(D251,女子登録!$A$2:$N$2001,9,0)))</f>
        <v/>
      </c>
      <c r="H253" s="160"/>
      <c r="I253" s="160" t="s">
        <v>4021</v>
      </c>
      <c r="J253" s="176"/>
      <c r="K253" s="160" t="s">
        <v>6760</v>
      </c>
      <c r="L253" s="176"/>
      <c r="M253" s="264"/>
      <c r="N253" s="265"/>
      <c r="O253" s="266"/>
      <c r="P253" s="175"/>
      <c r="Q253" s="449"/>
      <c r="R253" s="409"/>
      <c r="S253" s="136"/>
      <c r="T253" s="137"/>
      <c r="U253" s="137"/>
      <c r="V253" s="137"/>
      <c r="W253" s="137"/>
      <c r="X253" s="137"/>
      <c r="Y253" s="212">
        <f t="shared" ref="Y253" si="2880">IF(OR(E251="",J253=""),0,J253&amp;E251)</f>
        <v>0</v>
      </c>
      <c r="Z253" s="212">
        <f>IF(Y253=0,0,COUNTIF($Y$7:Y253,Y253))</f>
        <v>0</v>
      </c>
      <c r="AD253" s="212">
        <f>IFERROR(VLOOKUP(J253,競技会設定!$T$2:$W$22,2,0),0)</f>
        <v>0</v>
      </c>
      <c r="AE253" s="212">
        <f t="shared" ref="AE253" si="2881">IF(E251="",0,IF(AD253=0,0,IF(AD253&lt;3,E251&amp;$AE$6,0)))</f>
        <v>0</v>
      </c>
      <c r="AF253" s="212">
        <f>IF(AE253=0,0,E251&amp;COUNTIF($AE$7:AE253,AE253))</f>
        <v>0</v>
      </c>
      <c r="AG253" s="212">
        <f t="shared" ref="AG253" si="2882">IF(E251="",0,IF(AD253=0,0,IF(AD253&gt;=3,E251&amp;$AG$6,0)))</f>
        <v>0</v>
      </c>
      <c r="AH253" s="212">
        <f>IF(AG253=0,0,E251&amp;COUNTIF($AG$7:AG253,AG253))</f>
        <v>0</v>
      </c>
      <c r="AI253" s="212">
        <f t="shared" ref="AI253" si="2883">IF($AD253=AI$6,$E251,0)</f>
        <v>0</v>
      </c>
      <c r="AJ253" s="212" t="b">
        <f>IF(AI253=0,FALSE,IF(COUNTIF(AI$7:AI253,AI253)&gt;1,TRUE,FALSE))</f>
        <v>0</v>
      </c>
      <c r="AK253" s="212">
        <f t="shared" ref="AK253" si="2884">IF($AD253=AK$6,$E251,0)</f>
        <v>0</v>
      </c>
      <c r="AL253" s="212" t="b">
        <f>IF(AK253=0,FALSE,IF(COUNTIF(AK$7:AK253,AK253)&gt;1,TRUE,FALSE))</f>
        <v>0</v>
      </c>
      <c r="AM253" s="212">
        <f t="shared" ref="AM253" si="2885">IF(COUNTIF(Y253,"*七種*")&gt;0,0,IF($AD253=AM$6,$E251,0))</f>
        <v>0</v>
      </c>
      <c r="AN253" s="212" t="b">
        <f>IF(AM253=0,FALSE,IF(COUNTIF(AM$7:AM253,AM253)&gt;1,TRUE,FALSE))</f>
        <v>0</v>
      </c>
      <c r="AO253" s="212">
        <f t="shared" ref="AO253" si="2886">IF($AD253=AO$6,$E251,0)</f>
        <v>0</v>
      </c>
      <c r="AP253" s="212" t="b">
        <f>IF(AO253=0,FALSE,IF(COUNTIF(AO$7:AO253,AO253)&gt;1,TRUE,FALSE))</f>
        <v>0</v>
      </c>
      <c r="AQ253" s="212">
        <f t="shared" ref="AQ253" si="2887">IF(COUNTIF(Y253,"*七種競技*")&gt;0,E251,0)</f>
        <v>0</v>
      </c>
      <c r="AR253" s="212" t="b">
        <f t="shared" si="2262"/>
        <v>0</v>
      </c>
      <c r="AT253" s="212" t="b">
        <f t="shared" si="2275"/>
        <v>0</v>
      </c>
      <c r="AX253" s="274"/>
      <c r="BD253" s="212" t="b">
        <f t="shared" si="2249"/>
        <v>0</v>
      </c>
      <c r="BF253" s="212" t="b">
        <f t="shared" ref="BF253" si="2888">IF(J253="",FALSE,IF(OR(AND(AU251,L253=""),AND(AU251,L253="",OR(M253&lt;&gt;"",N253&lt;&gt;"",O253&lt;&gt;"",P253&lt;&gt;""))),TRUE,FALSE))</f>
        <v>0</v>
      </c>
      <c r="BG253" s="212" t="b">
        <f t="shared" si="2251"/>
        <v>0</v>
      </c>
      <c r="BH253" s="212" t="b">
        <f t="shared" si="2264"/>
        <v>0</v>
      </c>
      <c r="BI253" s="212" t="b">
        <f t="shared" ref="BI253" si="2889">IF(J253="",FALSE,IF(L253=0,FALSE,IF(AND(AU251,NOT(BF253),OR(M253="",N253="",O253="")),TRUE,FALSE)))</f>
        <v>0</v>
      </c>
      <c r="BJ253" s="231" t="b">
        <f t="shared" si="2266"/>
        <v>0</v>
      </c>
      <c r="BK253" s="231" t="b">
        <f>IF(NOT(BJ253),FALSE,IF(AND(競技会設定!$C$5&lt;=BJ253,BJ253&lt;=競技会設定!$C$6),FALSE,TRUE))</f>
        <v>0</v>
      </c>
      <c r="BL253" s="212" t="b">
        <f>IF(J253="",FALSE,IF(L253=0,FALSE,IF(AND(AU251,NOT(BF253),NOT(BI253),P253=""),TRUE,FALSE)))</f>
        <v>0</v>
      </c>
    </row>
    <row r="254" spans="1:67" ht="18" customHeight="1" thickBot="1">
      <c r="A254" s="475"/>
      <c r="B254" s="387" t="s">
        <v>6764</v>
      </c>
      <c r="C254" s="387"/>
      <c r="D254" s="161"/>
      <c r="E254" s="467"/>
      <c r="F254" s="468"/>
      <c r="G254" s="469"/>
      <c r="H254" s="162"/>
      <c r="I254" s="161" t="s">
        <v>6759</v>
      </c>
      <c r="J254" s="177"/>
      <c r="K254" s="161" t="s">
        <v>6761</v>
      </c>
      <c r="L254" s="177"/>
      <c r="M254" s="267"/>
      <c r="N254" s="268"/>
      <c r="O254" s="269"/>
      <c r="P254" s="177"/>
      <c r="Q254" s="466"/>
      <c r="R254" s="410"/>
      <c r="S254" s="136"/>
      <c r="T254" s="137"/>
      <c r="U254" s="137"/>
      <c r="V254" s="137"/>
      <c r="W254" s="137"/>
      <c r="X254" s="137"/>
      <c r="Y254" s="212">
        <f t="shared" ref="Y254" si="2890">IF(OR(E251="",J254=""),0,J254&amp;E251)</f>
        <v>0</v>
      </c>
      <c r="Z254" s="212">
        <f>IF(Y254=0,0,COUNTIF($Y$7:Y254,Y254))</f>
        <v>0</v>
      </c>
      <c r="AD254" s="212">
        <f>IFERROR(VLOOKUP(J254,競技会設定!$T$2:$W$22,2,0),0)</f>
        <v>0</v>
      </c>
      <c r="AE254" s="212">
        <f t="shared" ref="AE254" si="2891">IF(E251="",0,IF(AD254=0,0,IF(AD254&lt;3,E251&amp;$AE$6,0)))</f>
        <v>0</v>
      </c>
      <c r="AF254" s="212">
        <f>IF(AE254=0,0,E251&amp;COUNTIF($AE$7:AE254,AE254))</f>
        <v>0</v>
      </c>
      <c r="AG254" s="212">
        <f t="shared" ref="AG254" si="2892">IF(E251="",0,IF(AD254=0,0,IF(AD254&gt;=3,E251&amp;$AG$6,0)))</f>
        <v>0</v>
      </c>
      <c r="AH254" s="212">
        <f>IF(AG254=0,0,E251&amp;COUNTIF($AG$7:AG254,AG254))</f>
        <v>0</v>
      </c>
      <c r="AI254" s="212">
        <f t="shared" ref="AI254" si="2893">IF($AD254=AI$6,$E251,0)</f>
        <v>0</v>
      </c>
      <c r="AJ254" s="212" t="b">
        <f>IF(AI254=0,FALSE,IF(COUNTIF(AI$7:AI254,AI254)&gt;1,TRUE,FALSE))</f>
        <v>0</v>
      </c>
      <c r="AK254" s="212">
        <f t="shared" ref="AK254" si="2894">IF($AD254=AK$6,$E251,0)</f>
        <v>0</v>
      </c>
      <c r="AL254" s="212" t="b">
        <f>IF(AK254=0,FALSE,IF(COUNTIF(AK$7:AK254,AK254)&gt;1,TRUE,FALSE))</f>
        <v>0</v>
      </c>
      <c r="AM254" s="212">
        <f t="shared" ref="AM254" si="2895">IF(COUNTIF(Y254,"*七種*")&gt;0,0,IF($AD254=AM$6,$E251,0))</f>
        <v>0</v>
      </c>
      <c r="AN254" s="212" t="b">
        <f>IF(AM254=0,FALSE,IF(COUNTIF(AM$7:AM254,AM254)&gt;1,TRUE,FALSE))</f>
        <v>0</v>
      </c>
      <c r="AO254" s="212">
        <f t="shared" ref="AO254" si="2896">IF($AD254=AO$6,$E251,0)</f>
        <v>0</v>
      </c>
      <c r="AP254" s="212" t="b">
        <f>IF(AO254=0,FALSE,IF(COUNTIF(AO$7:AO254,AO254)&gt;1,TRUE,FALSE))</f>
        <v>0</v>
      </c>
      <c r="AQ254" s="212">
        <f t="shared" ref="AQ254" si="2897">IF(COUNTIF(Y254,"*七種競技*")&gt;0,E251,0)</f>
        <v>0</v>
      </c>
      <c r="AR254" s="212" t="b">
        <f t="shared" si="2262"/>
        <v>0</v>
      </c>
      <c r="AT254" s="212" t="b">
        <f t="shared" si="2275"/>
        <v>0</v>
      </c>
      <c r="AX254" s="274"/>
      <c r="BD254" s="212" t="b">
        <f t="shared" si="2249"/>
        <v>0</v>
      </c>
      <c r="BF254" s="212" t="b">
        <f t="shared" ref="BF254" si="2898">IF(J254="",FALSE,IF(OR(AND(AU251,L254=""),AND(AU251,L254="",OR(M254&lt;&gt;"",N254&lt;&gt;"",O254&lt;&gt;"",P254&lt;&gt;""))),TRUE,FALSE))</f>
        <v>0</v>
      </c>
      <c r="BG254" s="212" t="b">
        <f t="shared" si="2251"/>
        <v>0</v>
      </c>
      <c r="BH254" s="212" t="b">
        <f t="shared" si="2264"/>
        <v>0</v>
      </c>
      <c r="BI254" s="212" t="b">
        <f t="shared" ref="BI254" si="2899">IF(J254="",FALSE,IF(L254=0,FALSE,IF(AND(AU251,NOT(BF254),OR(M254="",N254="",O254="")),TRUE,FALSE)))</f>
        <v>0</v>
      </c>
      <c r="BJ254" s="231" t="b">
        <f t="shared" si="2266"/>
        <v>0</v>
      </c>
      <c r="BK254" s="231" t="b">
        <f>IF(NOT(BJ254),FALSE,IF(AND(競技会設定!$C$5&lt;=BJ254,BJ254&lt;=競技会設定!$C$6),FALSE,TRUE))</f>
        <v>0</v>
      </c>
      <c r="BL254" s="212" t="b">
        <f>IF(J254="",FALSE,IF(L254=0,FALSE,IF(AND(AU251,NOT(BF254),NOT(BI254),P254=""),TRUE,FALSE)))</f>
        <v>0</v>
      </c>
    </row>
    <row r="255" spans="1:67" ht="18" customHeight="1" thickTop="1">
      <c r="A255" s="470">
        <v>63</v>
      </c>
      <c r="B255" s="401" t="s">
        <v>4018</v>
      </c>
      <c r="C255" s="403"/>
      <c r="D255" s="156" t="str">
        <f t="shared" ref="D255" si="2900">IF(C255="","",502&amp;TEXT(C255,"000000"))</f>
        <v/>
      </c>
      <c r="E255" s="473" t="str">
        <f>IF(D255="","",(VLOOKUP(D255,女子登録!$A$2:$N$2001,3,0)))</f>
        <v/>
      </c>
      <c r="F255" s="473" t="str">
        <f>IF(D255="","",(VLOOKUP(D255,女子登録!$A$2:$N$2001,4,0)))</f>
        <v/>
      </c>
      <c r="G255" s="156" t="str">
        <f>IF(C255="","",(VLOOKUP(D255,女子登録!$A$2:$N$2001,8,0)))</f>
        <v/>
      </c>
      <c r="H255" s="156">
        <f>IFERROR(VLOOKUP(D255,女子登録!$A$2:$N$2001,11,0),基本情報!$E$5)</f>
        <v>0</v>
      </c>
      <c r="I255" s="156" t="s">
        <v>4019</v>
      </c>
      <c r="J255" s="170"/>
      <c r="K255" s="156" t="s">
        <v>4022</v>
      </c>
      <c r="L255" s="170"/>
      <c r="M255" s="252"/>
      <c r="N255" s="253"/>
      <c r="O255" s="254"/>
      <c r="P255" s="170"/>
      <c r="Q255" s="457"/>
      <c r="R255" s="414"/>
      <c r="S255" s="136">
        <f t="shared" ref="S255" si="2901">IF(OR(E255="",Q255=""),0,E255)</f>
        <v>0</v>
      </c>
      <c r="T255" s="137">
        <f>IF(S255=0,0,COUNTIF($S$7:S255,"*"))</f>
        <v>0</v>
      </c>
      <c r="U255" s="137">
        <f>IF(S255=0,0,COUNTIF($S$7:S255,S255))</f>
        <v>0</v>
      </c>
      <c r="V255" s="137">
        <f t="shared" si="2478"/>
        <v>0</v>
      </c>
      <c r="W255" s="137">
        <f>IF(V255=0,0,COUNTIF($V$7:V255,"*"))</f>
        <v>0</v>
      </c>
      <c r="X255" s="137">
        <f>IF(V255=0,0,COUNTIF($V$7:V255,V255))</f>
        <v>0</v>
      </c>
      <c r="Y255" s="212">
        <f t="shared" ref="Y255" si="2902">IF(OR(E255="",J255=""),0,J255&amp;E255)</f>
        <v>0</v>
      </c>
      <c r="Z255" s="212">
        <f>IF(Y255=0,0,COUNTIF($Y$7:Y255,Y255))</f>
        <v>0</v>
      </c>
      <c r="AA255" s="212" t="b">
        <f>IF(COUNTIF(J255:J258,"七種競技")&gt;0,TRUE,FALSE)</f>
        <v>0</v>
      </c>
      <c r="AB255" s="212">
        <f>IF(E255="",0,IF(AA255,COUNTIF($AA$7:AA255,TRUE),0))</f>
        <v>0</v>
      </c>
      <c r="AC255" s="212">
        <f>IFERROR(VLOOKUP("七種競技",J255:L258,3,0),0)</f>
        <v>0</v>
      </c>
      <c r="AD255" s="212">
        <f>IFERROR(VLOOKUP(J255,競技会設定!$T$2:$W$22,2,0),0)</f>
        <v>0</v>
      </c>
      <c r="AE255" s="212">
        <f t="shared" ref="AE255" si="2903">IF(E255="",0,IF(AD255=0,0,IF(AD255&lt;3,E255&amp;$AE$6,0)))</f>
        <v>0</v>
      </c>
      <c r="AF255" s="212">
        <f>IF(AE255=0,0,E255&amp;COUNTIF($AE$7:AE255,AE255))</f>
        <v>0</v>
      </c>
      <c r="AG255" s="212">
        <f t="shared" ref="AG255" si="2904">IF(E255="",0,IF(AD255=0,0,IF(AD255&gt;=3,E255&amp;$AG$6,0)))</f>
        <v>0</v>
      </c>
      <c r="AH255" s="212">
        <f>IF(AG255=0,0,E255&amp;COUNTIF($AG$7:AG255,AG255))</f>
        <v>0</v>
      </c>
      <c r="AI255" s="212">
        <f t="shared" ref="AI255" si="2905">IF($AD255=AI$6,$E255,0)</f>
        <v>0</v>
      </c>
      <c r="AJ255" s="212" t="b">
        <f>IF(AI255=0,FALSE,IF(COUNTIF(AI$7:AI255,AI255)&gt;1,TRUE,FALSE))</f>
        <v>0</v>
      </c>
      <c r="AK255" s="212">
        <f t="shared" ref="AK255" si="2906">IF($AD255=AK$6,$E255,0)</f>
        <v>0</v>
      </c>
      <c r="AL255" s="212" t="b">
        <f>IF(AK255=0,FALSE,IF(COUNTIF(AK$7:AK255,AK255)&gt;1,TRUE,FALSE))</f>
        <v>0</v>
      </c>
      <c r="AM255" s="212">
        <f t="shared" ref="AM255" si="2907">IF(COUNTIF(Y255,"*七種*")&gt;0,0,IF($AD255=AM$6,$E255,0))</f>
        <v>0</v>
      </c>
      <c r="AN255" s="212" t="b">
        <f>IF(AM255=0,FALSE,IF(COUNTIF(AM$7:AM255,AM255)&gt;1,TRUE,FALSE))</f>
        <v>0</v>
      </c>
      <c r="AO255" s="212">
        <f t="shared" ref="AO255" si="2908">IF($AD255=AO$6,$E255,0)</f>
        <v>0</v>
      </c>
      <c r="AP255" s="212" t="b">
        <f>IF(AO255=0,FALSE,IF(COUNTIF(AO$7:AO255,AO255)&gt;1,TRUE,FALSE))</f>
        <v>0</v>
      </c>
      <c r="AQ255" s="212">
        <f t="shared" ref="AQ255" si="2909">IF(COUNTIF(Y255,"*七種競技*")&gt;0,E255,0)</f>
        <v>0</v>
      </c>
      <c r="AR255" s="212" t="b">
        <f t="shared" si="2262"/>
        <v>0</v>
      </c>
      <c r="AS255" s="212" t="b">
        <f t="shared" ref="AS255" si="2910">IF(AND(C255="",E255&lt;&gt;"",F255&lt;&gt;"",E257&lt;&gt;"",G255&lt;&gt;"",G256&lt;&gt;"",G257&lt;&gt;""),TRUE,FALSE)</f>
        <v>0</v>
      </c>
      <c r="AT255" s="212" t="b">
        <f t="shared" si="2275"/>
        <v>0</v>
      </c>
      <c r="AU255" s="212" t="b">
        <f>IFERROR(IF(E255&amp;F255&amp;E257&amp;G255&amp;G256&amp;G257&amp;J255&amp;J256&amp;J257&amp;J258&amp;L255&amp;L256&amp;L257&amp;L258&amp;M255&amp;M256&amp;M257&amp;M258&amp;P255&amp;P256&amp;P257&amp;P258&amp;Q255&amp;R255="",FALSE,TRUE),FALSE)</f>
        <v>0</v>
      </c>
      <c r="AV255" s="212" t="b">
        <f t="shared" ref="AV255" si="2911">IF(AS255,FALSE,IF(C255="",AU255,FALSE))</f>
        <v>0</v>
      </c>
      <c r="AW255" s="212" t="b">
        <f t="shared" ref="AW255" si="2912">IF(C255="",FALSE,IF(C255&lt;=2000,TRUE,FALSE))</f>
        <v>0</v>
      </c>
      <c r="AX255" s="274" t="b">
        <f>IF(H255=0,FALSE,IF(EXACT(基本情報!$E$5,H255)=TRUE,FALSE,TRUE))</f>
        <v>0</v>
      </c>
      <c r="AY255" s="212" t="b">
        <f>IF(C255="",FALSE,IF(ISNA(E255)=TRUE,TRUE,FALSE))</f>
        <v>0</v>
      </c>
      <c r="AZ255" s="274" t="b">
        <f>IFERROR(IF(E255="",FALSE,IF(COUNTIF($E$7:E255,E255)&gt;1,TRUE,FALSE)),FALSE)</f>
        <v>0</v>
      </c>
      <c r="BA255" s="212" t="b">
        <f t="shared" ref="BA255" si="2913">IF(OR(J255&amp;J256&amp;J257&amp;J258&amp;Q255&amp;R255="",AT255,AT256,AT257,AT258),AU255,FALSE)</f>
        <v>0</v>
      </c>
      <c r="BB255" s="212" t="b">
        <f>IF(U255&gt;1,TRUE,FALSE)</f>
        <v>0</v>
      </c>
      <c r="BC255" s="212" t="b">
        <f>IF(X255&gt;1,TRUE,FALSE)</f>
        <v>0</v>
      </c>
      <c r="BD255" s="212" t="b">
        <f t="shared" si="2249"/>
        <v>0</v>
      </c>
      <c r="BF255" s="212" t="b">
        <f t="shared" ref="BF255" si="2914">IF(J255="",FALSE,IF(OR(AND(AU255,L255=""),AND(AU255,L255="",OR(M255&lt;&gt;"",N255&lt;&gt;"",O255&lt;&gt;"",P255&lt;&gt;""))),TRUE,FALSE))</f>
        <v>0</v>
      </c>
      <c r="BG255" s="212" t="b">
        <f t="shared" si="2251"/>
        <v>0</v>
      </c>
      <c r="BH255" s="212" t="b">
        <f t="shared" si="2264"/>
        <v>0</v>
      </c>
      <c r="BI255" s="212" t="b">
        <f t="shared" ref="BI255" si="2915">IF(J255="",FALSE,IF(L255=0,FALSE,IF(AND(AU255,NOT(BF255),OR(M255="",N255="",O255="")),TRUE,FALSE)))</f>
        <v>0</v>
      </c>
      <c r="BJ255" s="231" t="b">
        <f t="shared" si="2266"/>
        <v>0</v>
      </c>
      <c r="BK255" s="231" t="b">
        <f>IF(NOT(BJ255),FALSE,IF(AND(競技会設定!$C$5&lt;=BJ255,BJ255&lt;=競技会設定!$C$6),FALSE,TRUE))</f>
        <v>0</v>
      </c>
      <c r="BL255" s="212" t="b">
        <f>IF(J255="",FALSE,IF(L255=0,FALSE,IF(AND(AU255,NOT(BF255),NOT(BI255),P255=""),TRUE,FALSE)))</f>
        <v>0</v>
      </c>
      <c r="BO255" s="274">
        <f t="shared" ref="BO255" si="2916">IF(AND(AU255,SUM(COUNTIF(AV255:BC255,TRUE),COUNTIF(BF255:BL258,TRUE),COUNTIF(BD255:BD258,TRUE))=0,NOT($BE$7)),1,0)</f>
        <v>0</v>
      </c>
    </row>
    <row r="256" spans="1:67" ht="17.399999999999999" customHeight="1">
      <c r="A256" s="471"/>
      <c r="B256" s="402"/>
      <c r="C256" s="404"/>
      <c r="D256" s="11"/>
      <c r="E256" s="474"/>
      <c r="F256" s="474"/>
      <c r="G256" s="11" t="str">
        <f>IF(C255="","",(VLOOKUP(D255,女子登録!$A$2:$N$2001,13,0)))</f>
        <v/>
      </c>
      <c r="H256" s="11"/>
      <c r="I256" s="11" t="s">
        <v>4020</v>
      </c>
      <c r="J256" s="171"/>
      <c r="K256" s="11" t="s">
        <v>4023</v>
      </c>
      <c r="L256" s="171"/>
      <c r="M256" s="255"/>
      <c r="N256" s="256"/>
      <c r="O256" s="257"/>
      <c r="P256" s="171"/>
      <c r="Q256" s="458"/>
      <c r="R256" s="415"/>
      <c r="S256" s="136"/>
      <c r="T256" s="137"/>
      <c r="U256" s="137"/>
      <c r="V256" s="137"/>
      <c r="W256" s="137"/>
      <c r="X256" s="137"/>
      <c r="Y256" s="212">
        <f t="shared" ref="Y256" si="2917">IF(OR(E255="",J256=""),0,J256&amp;E255)</f>
        <v>0</v>
      </c>
      <c r="Z256" s="212">
        <f>IF(Y256=0,0,COUNTIF($Y$7:Y256,Y256))</f>
        <v>0</v>
      </c>
      <c r="AD256" s="212">
        <f>IFERROR(VLOOKUP(J256,競技会設定!$T$2:$W$22,2,0),0)</f>
        <v>0</v>
      </c>
      <c r="AE256" s="212">
        <f t="shared" ref="AE256" si="2918">IF(E255="",0,IF(AD256=0,0,IF(AD256&lt;3,E255&amp;$AE$6,0)))</f>
        <v>0</v>
      </c>
      <c r="AF256" s="212">
        <f>IF(AE256=0,0,E255&amp;COUNTIF($AE$7:AE256,AE256))</f>
        <v>0</v>
      </c>
      <c r="AG256" s="212">
        <f t="shared" ref="AG256" si="2919">IF(E255="",0,IF(AD256=0,0,IF(AD256&gt;=3,E255&amp;$AG$6,0)))</f>
        <v>0</v>
      </c>
      <c r="AH256" s="212">
        <f>IF(AG256=0,0,E255&amp;COUNTIF($AG$7:AG256,AG256))</f>
        <v>0</v>
      </c>
      <c r="AI256" s="212">
        <f t="shared" ref="AI256" si="2920">IF($AD256=AI$6,$E255,0)</f>
        <v>0</v>
      </c>
      <c r="AJ256" s="212" t="b">
        <f>IF(AI256=0,FALSE,IF(COUNTIF(AI$7:AI256,AI256)&gt;1,TRUE,FALSE))</f>
        <v>0</v>
      </c>
      <c r="AK256" s="212">
        <f t="shared" ref="AK256" si="2921">IF($AD256=AK$6,$E255,0)</f>
        <v>0</v>
      </c>
      <c r="AL256" s="212" t="b">
        <f>IF(AK256=0,FALSE,IF(COUNTIF(AK$7:AK256,AK256)&gt;1,TRUE,FALSE))</f>
        <v>0</v>
      </c>
      <c r="AM256" s="212">
        <f t="shared" ref="AM256" si="2922">IF(COUNTIF(Y256,"*七種*")&gt;0,0,IF($AD256=AM$6,$E255,0))</f>
        <v>0</v>
      </c>
      <c r="AN256" s="212" t="b">
        <f>IF(AM256=0,FALSE,IF(COUNTIF(AM$7:AM256,AM256)&gt;1,TRUE,FALSE))</f>
        <v>0</v>
      </c>
      <c r="AO256" s="212">
        <f t="shared" ref="AO256" si="2923">IF($AD256=AO$6,$E255,0)</f>
        <v>0</v>
      </c>
      <c r="AP256" s="212" t="b">
        <f>IF(AO256=0,FALSE,IF(COUNTIF(AO$7:AO256,AO256)&gt;1,TRUE,FALSE))</f>
        <v>0</v>
      </c>
      <c r="AQ256" s="212">
        <f t="shared" ref="AQ256" si="2924">IF(COUNTIF(Y256,"*七種競技*")&gt;0,E255,0)</f>
        <v>0</v>
      </c>
      <c r="AR256" s="212" t="b">
        <f t="shared" si="2262"/>
        <v>0</v>
      </c>
      <c r="AT256" s="212" t="b">
        <f t="shared" si="2275"/>
        <v>0</v>
      </c>
      <c r="AX256" s="274"/>
      <c r="BD256" s="212" t="b">
        <f t="shared" si="2249"/>
        <v>0</v>
      </c>
      <c r="BF256" s="212" t="b">
        <f t="shared" ref="BF256" si="2925">IF(J256="",FALSE,IF(OR(AND(AU255,L256=""),AND(AU255,L256="",OR(M256&lt;&gt;"",N256&lt;&gt;"",O256&lt;&gt;"",P256&lt;&gt;""))),TRUE,FALSE))</f>
        <v>0</v>
      </c>
      <c r="BG256" s="212" t="b">
        <f t="shared" si="2251"/>
        <v>0</v>
      </c>
      <c r="BH256" s="212" t="b">
        <f t="shared" si="2264"/>
        <v>0</v>
      </c>
      <c r="BI256" s="212" t="b">
        <f t="shared" ref="BI256" si="2926">IF(J256="",FALSE,IF(L256=0,FALSE,IF(AND(AU255,NOT(BF256),OR(M256="",N256="",O256="")),TRUE,FALSE)))</f>
        <v>0</v>
      </c>
      <c r="BJ256" s="231" t="b">
        <f t="shared" si="2266"/>
        <v>0</v>
      </c>
      <c r="BK256" s="231" t="b">
        <f>IF(NOT(BJ256),FALSE,IF(AND(競技会設定!$C$5&lt;=BJ256,BJ256&lt;=競技会設定!$C$6),FALSE,TRUE))</f>
        <v>0</v>
      </c>
      <c r="BL256" s="212" t="b">
        <f>IF(J256="",FALSE,IF(L256=0,FALSE,IF(AND(AU255,NOT(BF256),NOT(BI256),P256=""),TRUE,FALSE)))</f>
        <v>0</v>
      </c>
    </row>
    <row r="257" spans="1:67" ht="17.399999999999999" customHeight="1">
      <c r="A257" s="471"/>
      <c r="B257" s="402"/>
      <c r="C257" s="404"/>
      <c r="D257" s="11"/>
      <c r="E257" s="348" t="str">
        <f>IF(C255="","",VLOOKUP(D255,女子登録!$A$2:$O$2001,14,0)&amp;" ("&amp;VLOOKUP(D255,女子登録!$A$2:$O$2001,15,0)&amp;")")</f>
        <v/>
      </c>
      <c r="F257" s="348"/>
      <c r="G257" s="13" t="str">
        <f>IF(C255="","",(VLOOKUP(D255,女子登録!$A$2:$N$2001,9,0)))</f>
        <v/>
      </c>
      <c r="H257" s="13"/>
      <c r="I257" s="13" t="s">
        <v>4021</v>
      </c>
      <c r="J257" s="172"/>
      <c r="K257" s="13" t="s">
        <v>6760</v>
      </c>
      <c r="L257" s="172"/>
      <c r="M257" s="255"/>
      <c r="N257" s="256"/>
      <c r="O257" s="257"/>
      <c r="P257" s="171"/>
      <c r="Q257" s="458"/>
      <c r="R257" s="415"/>
      <c r="S257" s="136"/>
      <c r="T257" s="137"/>
      <c r="U257" s="137"/>
      <c r="V257" s="137"/>
      <c r="W257" s="137"/>
      <c r="X257" s="137"/>
      <c r="Y257" s="212">
        <f t="shared" ref="Y257" si="2927">IF(OR(E255="",J257=""),0,J257&amp;E255)</f>
        <v>0</v>
      </c>
      <c r="Z257" s="212">
        <f>IF(Y257=0,0,COUNTIF($Y$7:Y257,Y257))</f>
        <v>0</v>
      </c>
      <c r="AD257" s="212">
        <f>IFERROR(VLOOKUP(J257,競技会設定!$T$2:$W$22,2,0),0)</f>
        <v>0</v>
      </c>
      <c r="AE257" s="212">
        <f t="shared" ref="AE257" si="2928">IF(E255="",0,IF(AD257=0,0,IF(AD257&lt;3,E255&amp;$AE$6,0)))</f>
        <v>0</v>
      </c>
      <c r="AF257" s="212">
        <f>IF(AE257=0,0,E255&amp;COUNTIF($AE$7:AE257,AE257))</f>
        <v>0</v>
      </c>
      <c r="AG257" s="212">
        <f t="shared" ref="AG257" si="2929">IF(E255="",0,IF(AD257=0,0,IF(AD257&gt;=3,E255&amp;$AG$6,0)))</f>
        <v>0</v>
      </c>
      <c r="AH257" s="212">
        <f>IF(AG257=0,0,E255&amp;COUNTIF($AG$7:AG257,AG257))</f>
        <v>0</v>
      </c>
      <c r="AI257" s="212">
        <f t="shared" ref="AI257" si="2930">IF($AD257=AI$6,$E255,0)</f>
        <v>0</v>
      </c>
      <c r="AJ257" s="212" t="b">
        <f>IF(AI257=0,FALSE,IF(COUNTIF(AI$7:AI257,AI257)&gt;1,TRUE,FALSE))</f>
        <v>0</v>
      </c>
      <c r="AK257" s="212">
        <f t="shared" ref="AK257" si="2931">IF($AD257=AK$6,$E255,0)</f>
        <v>0</v>
      </c>
      <c r="AL257" s="212" t="b">
        <f>IF(AK257=0,FALSE,IF(COUNTIF(AK$7:AK257,AK257)&gt;1,TRUE,FALSE))</f>
        <v>0</v>
      </c>
      <c r="AM257" s="212">
        <f t="shared" ref="AM257" si="2932">IF(COUNTIF(Y257,"*七種*")&gt;0,0,IF($AD257=AM$6,$E255,0))</f>
        <v>0</v>
      </c>
      <c r="AN257" s="212" t="b">
        <f>IF(AM257=0,FALSE,IF(COUNTIF(AM$7:AM257,AM257)&gt;1,TRUE,FALSE))</f>
        <v>0</v>
      </c>
      <c r="AO257" s="212">
        <f t="shared" ref="AO257" si="2933">IF($AD257=AO$6,$E255,0)</f>
        <v>0</v>
      </c>
      <c r="AP257" s="212" t="b">
        <f>IF(AO257=0,FALSE,IF(COUNTIF(AO$7:AO257,AO257)&gt;1,TRUE,FALSE))</f>
        <v>0</v>
      </c>
      <c r="AQ257" s="212">
        <f t="shared" ref="AQ257" si="2934">IF(COUNTIF(Y257,"*七種競技*")&gt;0,E255,0)</f>
        <v>0</v>
      </c>
      <c r="AR257" s="212" t="b">
        <f t="shared" si="2262"/>
        <v>0</v>
      </c>
      <c r="AT257" s="212" t="b">
        <f t="shared" si="2275"/>
        <v>0</v>
      </c>
      <c r="AX257" s="274"/>
      <c r="BD257" s="212" t="b">
        <f t="shared" si="2249"/>
        <v>0</v>
      </c>
      <c r="BF257" s="212" t="b">
        <f t="shared" ref="BF257" si="2935">IF(J257="",FALSE,IF(OR(AND(AU255,L257=""),AND(AU255,L257="",OR(M257&lt;&gt;"",N257&lt;&gt;"",O257&lt;&gt;"",P257&lt;&gt;""))),TRUE,FALSE))</f>
        <v>0</v>
      </c>
      <c r="BG257" s="212" t="b">
        <f t="shared" si="2251"/>
        <v>0</v>
      </c>
      <c r="BH257" s="212" t="b">
        <f t="shared" si="2264"/>
        <v>0</v>
      </c>
      <c r="BI257" s="212" t="b">
        <f t="shared" ref="BI257" si="2936">IF(J257="",FALSE,IF(L257=0,FALSE,IF(AND(AU255,NOT(BF257),OR(M257="",N257="",O257="")),TRUE,FALSE)))</f>
        <v>0</v>
      </c>
      <c r="BJ257" s="231" t="b">
        <f t="shared" si="2266"/>
        <v>0</v>
      </c>
      <c r="BK257" s="231" t="b">
        <f>IF(NOT(BJ257),FALSE,IF(AND(競技会設定!$C$5&lt;=BJ257,BJ257&lt;=競技会設定!$C$6),FALSE,TRUE))</f>
        <v>0</v>
      </c>
      <c r="BL257" s="212" t="b">
        <f>IF(J257="",FALSE,IF(L257=0,FALSE,IF(AND(AU255,NOT(BF257),NOT(BI257),P257=""),TRUE,FALSE)))</f>
        <v>0</v>
      </c>
    </row>
    <row r="258" spans="1:67" ht="18" customHeight="1" thickBot="1">
      <c r="A258" s="472"/>
      <c r="B258" s="395" t="s">
        <v>6764</v>
      </c>
      <c r="C258" s="395"/>
      <c r="D258" s="11"/>
      <c r="E258" s="460"/>
      <c r="F258" s="460"/>
      <c r="G258" s="460"/>
      <c r="H258" s="157"/>
      <c r="I258" s="157" t="s">
        <v>6759</v>
      </c>
      <c r="J258" s="173"/>
      <c r="K258" s="157" t="s">
        <v>6761</v>
      </c>
      <c r="L258" s="173"/>
      <c r="M258" s="258"/>
      <c r="N258" s="259"/>
      <c r="O258" s="260"/>
      <c r="P258" s="173"/>
      <c r="Q258" s="459"/>
      <c r="R258" s="416"/>
      <c r="S258" s="136"/>
      <c r="T258" s="137"/>
      <c r="U258" s="137"/>
      <c r="V258" s="137"/>
      <c r="W258" s="137"/>
      <c r="X258" s="137"/>
      <c r="Y258" s="212">
        <f t="shared" ref="Y258" si="2937">IF(OR(E255="",J258=""),0,J258&amp;E255)</f>
        <v>0</v>
      </c>
      <c r="Z258" s="212">
        <f>IF(Y258=0,0,COUNTIF($Y$7:Y258,Y258))</f>
        <v>0</v>
      </c>
      <c r="AD258" s="212">
        <f>IFERROR(VLOOKUP(J258,競技会設定!$T$2:$W$22,2,0),0)</f>
        <v>0</v>
      </c>
      <c r="AE258" s="212">
        <f t="shared" ref="AE258" si="2938">IF(E255="",0,IF(AD258=0,0,IF(AD258&lt;3,E255&amp;$AE$6,0)))</f>
        <v>0</v>
      </c>
      <c r="AF258" s="212">
        <f>IF(AE258=0,0,E255&amp;COUNTIF($AE$7:AE258,AE258))</f>
        <v>0</v>
      </c>
      <c r="AG258" s="212">
        <f t="shared" ref="AG258" si="2939">IF(E255="",0,IF(AD258=0,0,IF(AD258&gt;=3,E255&amp;$AG$6,0)))</f>
        <v>0</v>
      </c>
      <c r="AH258" s="212">
        <f>IF(AG258=0,0,E255&amp;COUNTIF($AG$7:AG258,AG258))</f>
        <v>0</v>
      </c>
      <c r="AI258" s="212">
        <f t="shared" ref="AI258" si="2940">IF($AD258=AI$6,$E255,0)</f>
        <v>0</v>
      </c>
      <c r="AJ258" s="212" t="b">
        <f>IF(AI258=0,FALSE,IF(COUNTIF(AI$7:AI258,AI258)&gt;1,TRUE,FALSE))</f>
        <v>0</v>
      </c>
      <c r="AK258" s="212">
        <f t="shared" ref="AK258" si="2941">IF($AD258=AK$6,$E255,0)</f>
        <v>0</v>
      </c>
      <c r="AL258" s="212" t="b">
        <f>IF(AK258=0,FALSE,IF(COUNTIF(AK$7:AK258,AK258)&gt;1,TRUE,FALSE))</f>
        <v>0</v>
      </c>
      <c r="AM258" s="212">
        <f t="shared" ref="AM258" si="2942">IF(COUNTIF(Y258,"*七種*")&gt;0,0,IF($AD258=AM$6,$E255,0))</f>
        <v>0</v>
      </c>
      <c r="AN258" s="212" t="b">
        <f>IF(AM258=0,FALSE,IF(COUNTIF(AM$7:AM258,AM258)&gt;1,TRUE,FALSE))</f>
        <v>0</v>
      </c>
      <c r="AO258" s="212">
        <f t="shared" ref="AO258" si="2943">IF($AD258=AO$6,$E255,0)</f>
        <v>0</v>
      </c>
      <c r="AP258" s="212" t="b">
        <f>IF(AO258=0,FALSE,IF(COUNTIF(AO$7:AO258,AO258)&gt;1,TRUE,FALSE))</f>
        <v>0</v>
      </c>
      <c r="AQ258" s="212">
        <f t="shared" ref="AQ258" si="2944">IF(COUNTIF(Y258,"*七種競技*")&gt;0,E255,0)</f>
        <v>0</v>
      </c>
      <c r="AR258" s="212" t="b">
        <f t="shared" si="2262"/>
        <v>0</v>
      </c>
      <c r="AT258" s="212" t="b">
        <f t="shared" si="2275"/>
        <v>0</v>
      </c>
      <c r="AX258" s="274"/>
      <c r="BD258" s="212" t="b">
        <f t="shared" si="2249"/>
        <v>0</v>
      </c>
      <c r="BF258" s="212" t="b">
        <f t="shared" ref="BF258" si="2945">IF(J258="",FALSE,IF(OR(AND(AU255,L258=""),AND(AU255,L258="",OR(M258&lt;&gt;"",N258&lt;&gt;"",O258&lt;&gt;"",P258&lt;&gt;""))),TRUE,FALSE))</f>
        <v>0</v>
      </c>
      <c r="BG258" s="212" t="b">
        <f t="shared" si="2251"/>
        <v>0</v>
      </c>
      <c r="BH258" s="212" t="b">
        <f t="shared" si="2264"/>
        <v>0</v>
      </c>
      <c r="BI258" s="212" t="b">
        <f t="shared" ref="BI258" si="2946">IF(J258="",FALSE,IF(L258=0,FALSE,IF(AND(AU255,NOT(BF258),OR(M258="",N258="",O258="")),TRUE,FALSE)))</f>
        <v>0</v>
      </c>
      <c r="BJ258" s="231" t="b">
        <f t="shared" si="2266"/>
        <v>0</v>
      </c>
      <c r="BK258" s="231" t="b">
        <f>IF(NOT(BJ258),FALSE,IF(AND(競技会設定!$C$5&lt;=BJ258,BJ258&lt;=競技会設定!$C$6),FALSE,TRUE))</f>
        <v>0</v>
      </c>
      <c r="BL258" s="212" t="b">
        <f>IF(J258="",FALSE,IF(L258=0,FALSE,IF(AND(AU255,NOT(BF258),NOT(BI258),P258=""),TRUE,FALSE)))</f>
        <v>0</v>
      </c>
    </row>
    <row r="259" spans="1:67" ht="18" customHeight="1" thickTop="1">
      <c r="A259" s="461">
        <v>64</v>
      </c>
      <c r="B259" s="373" t="s">
        <v>4018</v>
      </c>
      <c r="C259" s="375"/>
      <c r="D259" s="158" t="str">
        <f t="shared" ref="D259" si="2947">IF(C259="","",502&amp;TEXT(C259,"000000"))</f>
        <v/>
      </c>
      <c r="E259" s="464" t="str">
        <f>IF(D259="","",(VLOOKUP(D259,女子登録!$A$2:$N$2001,3,0)))</f>
        <v/>
      </c>
      <c r="F259" s="464" t="str">
        <f>IF(D259="","",(VLOOKUP(D259,女子登録!$A$2:$N$2001,4,0)))</f>
        <v/>
      </c>
      <c r="G259" s="158" t="str">
        <f>IF(C259="","",(VLOOKUP(D259,女子登録!$A$2:$N$2001,8,0)))</f>
        <v/>
      </c>
      <c r="H259" s="158">
        <f>IFERROR(VLOOKUP(D259,女子登録!$A$2:$N$2001,11,0),基本情報!$E$5)</f>
        <v>0</v>
      </c>
      <c r="I259" s="158" t="s">
        <v>4019</v>
      </c>
      <c r="J259" s="174"/>
      <c r="K259" s="158" t="s">
        <v>4022</v>
      </c>
      <c r="L259" s="174"/>
      <c r="M259" s="261"/>
      <c r="N259" s="262"/>
      <c r="O259" s="263"/>
      <c r="P259" s="174"/>
      <c r="Q259" s="448"/>
      <c r="R259" s="408"/>
      <c r="S259" s="136">
        <f t="shared" ref="S259" si="2948">IF(OR(E259="",Q259=""),0,E259)</f>
        <v>0</v>
      </c>
      <c r="T259" s="137">
        <f>IF(S259=0,0,COUNTIF($S$7:S259,"*"))</f>
        <v>0</v>
      </c>
      <c r="U259" s="137">
        <f>IF(S259=0,0,COUNTIF($S$7:S259,S259))</f>
        <v>0</v>
      </c>
      <c r="V259" s="137">
        <f t="shared" si="2478"/>
        <v>0</v>
      </c>
      <c r="W259" s="137">
        <f>IF(V259=0,0,COUNTIF($V$7:V259,"*"))</f>
        <v>0</v>
      </c>
      <c r="X259" s="137">
        <f>IF(V259=0,0,COUNTIF($V$7:V259,V259))</f>
        <v>0</v>
      </c>
      <c r="Y259" s="212">
        <f t="shared" ref="Y259" si="2949">IF(OR(E259="",J259=""),0,J259&amp;E259)</f>
        <v>0</v>
      </c>
      <c r="Z259" s="212">
        <f>IF(Y259=0,0,COUNTIF($Y$7:Y259,Y259))</f>
        <v>0</v>
      </c>
      <c r="AA259" s="212" t="b">
        <f>IF(COUNTIF(J259:J262,"七種競技")&gt;0,TRUE,FALSE)</f>
        <v>0</v>
      </c>
      <c r="AB259" s="212">
        <f>IF(E259="",0,IF(AA259,COUNTIF($AA$7:AA259,TRUE),0))</f>
        <v>0</v>
      </c>
      <c r="AC259" s="212">
        <f>IFERROR(VLOOKUP("七種競技",J259:L262,3,0),0)</f>
        <v>0</v>
      </c>
      <c r="AD259" s="212">
        <f>IFERROR(VLOOKUP(J259,競技会設定!$T$2:$W$22,2,0),0)</f>
        <v>0</v>
      </c>
      <c r="AE259" s="212">
        <f t="shared" ref="AE259" si="2950">IF(E259="",0,IF(AD259=0,0,IF(AD259&lt;3,E259&amp;$AE$6,0)))</f>
        <v>0</v>
      </c>
      <c r="AF259" s="212">
        <f>IF(AE259=0,0,E259&amp;COUNTIF($AE$7:AE259,AE259))</f>
        <v>0</v>
      </c>
      <c r="AG259" s="212">
        <f t="shared" ref="AG259" si="2951">IF(E259="",0,IF(AD259=0,0,IF(AD259&gt;=3,E259&amp;$AG$6,0)))</f>
        <v>0</v>
      </c>
      <c r="AH259" s="212">
        <f>IF(AG259=0,0,E259&amp;COUNTIF($AG$7:AG259,AG259))</f>
        <v>0</v>
      </c>
      <c r="AI259" s="212">
        <f t="shared" ref="AI259" si="2952">IF($AD259=AI$6,$E259,0)</f>
        <v>0</v>
      </c>
      <c r="AJ259" s="212" t="b">
        <f>IF(AI259=0,FALSE,IF(COUNTIF(AI$7:AI259,AI259)&gt;1,TRUE,FALSE))</f>
        <v>0</v>
      </c>
      <c r="AK259" s="212">
        <f t="shared" ref="AK259" si="2953">IF($AD259=AK$6,$E259,0)</f>
        <v>0</v>
      </c>
      <c r="AL259" s="212" t="b">
        <f>IF(AK259=0,FALSE,IF(COUNTIF(AK$7:AK259,AK259)&gt;1,TRUE,FALSE))</f>
        <v>0</v>
      </c>
      <c r="AM259" s="212">
        <f t="shared" ref="AM259" si="2954">IF(COUNTIF(Y259,"*七種*")&gt;0,0,IF($AD259=AM$6,$E259,0))</f>
        <v>0</v>
      </c>
      <c r="AN259" s="212" t="b">
        <f>IF(AM259=0,FALSE,IF(COUNTIF(AM$7:AM259,AM259)&gt;1,TRUE,FALSE))</f>
        <v>0</v>
      </c>
      <c r="AO259" s="212">
        <f t="shared" ref="AO259" si="2955">IF($AD259=AO$6,$E259,0)</f>
        <v>0</v>
      </c>
      <c r="AP259" s="212" t="b">
        <f>IF(AO259=0,FALSE,IF(COUNTIF(AO$7:AO259,AO259)&gt;1,TRUE,FALSE))</f>
        <v>0</v>
      </c>
      <c r="AQ259" s="212">
        <f t="shared" ref="AQ259" si="2956">IF(COUNTIF(Y259,"*七種競技*")&gt;0,E259,0)</f>
        <v>0</v>
      </c>
      <c r="AR259" s="212" t="b">
        <f t="shared" si="2262"/>
        <v>0</v>
      </c>
      <c r="AS259" s="212" t="b">
        <f t="shared" ref="AS259" si="2957">IF(AND(C259="",E259&lt;&gt;"",F259&lt;&gt;"",E261&lt;&gt;"",G259&lt;&gt;"",G260&lt;&gt;"",G261&lt;&gt;""),TRUE,FALSE)</f>
        <v>0</v>
      </c>
      <c r="AT259" s="212" t="b">
        <f t="shared" si="2275"/>
        <v>0</v>
      </c>
      <c r="AU259" s="212" t="b">
        <f>IFERROR(IF(E259&amp;F259&amp;E261&amp;G259&amp;G260&amp;G261&amp;J259&amp;J260&amp;J261&amp;J262&amp;L259&amp;L260&amp;L261&amp;L262&amp;M259&amp;M260&amp;M261&amp;M262&amp;P259&amp;P260&amp;P261&amp;P262&amp;Q259&amp;R259="",FALSE,TRUE),FALSE)</f>
        <v>0</v>
      </c>
      <c r="AV259" s="212" t="b">
        <f t="shared" ref="AV259" si="2958">IF(AS259,FALSE,IF(C259="",AU259,FALSE))</f>
        <v>0</v>
      </c>
      <c r="AW259" s="212" t="b">
        <f t="shared" ref="AW259" si="2959">IF(C259="",FALSE,IF(C259&lt;=2000,TRUE,FALSE))</f>
        <v>0</v>
      </c>
      <c r="AX259" s="274" t="b">
        <f>IF(H259=0,FALSE,IF(EXACT(基本情報!$E$5,H259)=TRUE,FALSE,TRUE))</f>
        <v>0</v>
      </c>
      <c r="AY259" s="212" t="b">
        <f>IF(C259="",FALSE,IF(ISNA(E259)=TRUE,TRUE,FALSE))</f>
        <v>0</v>
      </c>
      <c r="AZ259" s="274" t="b">
        <f>IFERROR(IF(E259="",FALSE,IF(COUNTIF($E$7:E259,E259)&gt;1,TRUE,FALSE)),FALSE)</f>
        <v>0</v>
      </c>
      <c r="BA259" s="212" t="b">
        <f t="shared" ref="BA259" si="2960">IF(OR(J259&amp;J260&amp;J261&amp;J262&amp;Q259&amp;R259="",AT259,AT260,AT261,AT262),AU259,FALSE)</f>
        <v>0</v>
      </c>
      <c r="BB259" s="212" t="b">
        <f>IF(U259&gt;1,TRUE,FALSE)</f>
        <v>0</v>
      </c>
      <c r="BC259" s="212" t="b">
        <f>IF(X259&gt;1,TRUE,FALSE)</f>
        <v>0</v>
      </c>
      <c r="BD259" s="212" t="b">
        <f t="shared" si="2249"/>
        <v>0</v>
      </c>
      <c r="BF259" s="212" t="b">
        <f t="shared" ref="BF259" si="2961">IF(J259="",FALSE,IF(OR(AND(AU259,L259=""),AND(AU259,L259="",OR(M259&lt;&gt;"",N259&lt;&gt;"",O259&lt;&gt;"",P259&lt;&gt;""))),TRUE,FALSE))</f>
        <v>0</v>
      </c>
      <c r="BG259" s="212" t="b">
        <f t="shared" si="2251"/>
        <v>0</v>
      </c>
      <c r="BH259" s="212" t="b">
        <f t="shared" si="2264"/>
        <v>0</v>
      </c>
      <c r="BI259" s="212" t="b">
        <f t="shared" ref="BI259" si="2962">IF(J259="",FALSE,IF(L259=0,FALSE,IF(AND(AU259,NOT(BF259),OR(M259="",N259="",O259="")),TRUE,FALSE)))</f>
        <v>0</v>
      </c>
      <c r="BJ259" s="231" t="b">
        <f t="shared" si="2266"/>
        <v>0</v>
      </c>
      <c r="BK259" s="231" t="b">
        <f>IF(NOT(BJ259),FALSE,IF(AND(競技会設定!$C$5&lt;=BJ259,BJ259&lt;=競技会設定!$C$6),FALSE,TRUE))</f>
        <v>0</v>
      </c>
      <c r="BL259" s="212" t="b">
        <f>IF(J259="",FALSE,IF(L259=0,FALSE,IF(AND(AU259,NOT(BF259),NOT(BI259),P259=""),TRUE,FALSE)))</f>
        <v>0</v>
      </c>
      <c r="BO259" s="274">
        <f t="shared" ref="BO259" si="2963">IF(AND(AU259,SUM(COUNTIF(AV259:BC259,TRUE),COUNTIF(BF259:BL262,TRUE),COUNTIF(BD259:BD262,TRUE))=0,NOT($BE$7)),1,0)</f>
        <v>0</v>
      </c>
    </row>
    <row r="260" spans="1:67" ht="17.399999999999999" customHeight="1">
      <c r="A260" s="462"/>
      <c r="B260" s="374"/>
      <c r="C260" s="376"/>
      <c r="D260" s="159"/>
      <c r="E260" s="465"/>
      <c r="F260" s="465"/>
      <c r="G260" s="159" t="str">
        <f>IF(C259="","",(VLOOKUP(D259,女子登録!$A$2:$N$2001,13,0)))</f>
        <v/>
      </c>
      <c r="H260" s="159"/>
      <c r="I260" s="159" t="s">
        <v>4020</v>
      </c>
      <c r="J260" s="175"/>
      <c r="K260" s="159" t="s">
        <v>4023</v>
      </c>
      <c r="L260" s="175"/>
      <c r="M260" s="264"/>
      <c r="N260" s="265"/>
      <c r="O260" s="266"/>
      <c r="P260" s="175"/>
      <c r="Q260" s="449"/>
      <c r="R260" s="409"/>
      <c r="S260" s="136"/>
      <c r="T260" s="137"/>
      <c r="U260" s="137"/>
      <c r="V260" s="137"/>
      <c r="W260" s="137"/>
      <c r="X260" s="137"/>
      <c r="Y260" s="212">
        <f t="shared" ref="Y260" si="2964">IF(OR(E259="",J260=""),0,J260&amp;E259)</f>
        <v>0</v>
      </c>
      <c r="Z260" s="212">
        <f>IF(Y260=0,0,COUNTIF($Y$7:Y260,Y260))</f>
        <v>0</v>
      </c>
      <c r="AD260" s="212">
        <f>IFERROR(VLOOKUP(J260,競技会設定!$T$2:$W$22,2,0),0)</f>
        <v>0</v>
      </c>
      <c r="AE260" s="212">
        <f t="shared" ref="AE260" si="2965">IF(E259="",0,IF(AD260=0,0,IF(AD260&lt;3,E259&amp;$AE$6,0)))</f>
        <v>0</v>
      </c>
      <c r="AF260" s="212">
        <f>IF(AE260=0,0,E259&amp;COUNTIF($AE$7:AE260,AE260))</f>
        <v>0</v>
      </c>
      <c r="AG260" s="212">
        <f t="shared" ref="AG260" si="2966">IF(E259="",0,IF(AD260=0,0,IF(AD260&gt;=3,E259&amp;$AG$6,0)))</f>
        <v>0</v>
      </c>
      <c r="AH260" s="212">
        <f>IF(AG260=0,0,E259&amp;COUNTIF($AG$7:AG260,AG260))</f>
        <v>0</v>
      </c>
      <c r="AI260" s="212">
        <f t="shared" ref="AI260" si="2967">IF($AD260=AI$6,$E259,0)</f>
        <v>0</v>
      </c>
      <c r="AJ260" s="212" t="b">
        <f>IF(AI260=0,FALSE,IF(COUNTIF(AI$7:AI260,AI260)&gt;1,TRUE,FALSE))</f>
        <v>0</v>
      </c>
      <c r="AK260" s="212">
        <f t="shared" ref="AK260" si="2968">IF($AD260=AK$6,$E259,0)</f>
        <v>0</v>
      </c>
      <c r="AL260" s="212" t="b">
        <f>IF(AK260=0,FALSE,IF(COUNTIF(AK$7:AK260,AK260)&gt;1,TRUE,FALSE))</f>
        <v>0</v>
      </c>
      <c r="AM260" s="212">
        <f t="shared" ref="AM260" si="2969">IF(COUNTIF(Y260,"*七種*")&gt;0,0,IF($AD260=AM$6,$E259,0))</f>
        <v>0</v>
      </c>
      <c r="AN260" s="212" t="b">
        <f>IF(AM260=0,FALSE,IF(COUNTIF(AM$7:AM260,AM260)&gt;1,TRUE,FALSE))</f>
        <v>0</v>
      </c>
      <c r="AO260" s="212">
        <f t="shared" ref="AO260" si="2970">IF($AD260=AO$6,$E259,0)</f>
        <v>0</v>
      </c>
      <c r="AP260" s="212" t="b">
        <f>IF(AO260=0,FALSE,IF(COUNTIF(AO$7:AO260,AO260)&gt;1,TRUE,FALSE))</f>
        <v>0</v>
      </c>
      <c r="AQ260" s="212">
        <f t="shared" ref="AQ260" si="2971">IF(COUNTIF(Y260,"*七種競技*")&gt;0,E259,0)</f>
        <v>0</v>
      </c>
      <c r="AR260" s="212" t="b">
        <f t="shared" si="2262"/>
        <v>0</v>
      </c>
      <c r="AT260" s="212" t="b">
        <f t="shared" si="2275"/>
        <v>0</v>
      </c>
      <c r="AX260" s="274"/>
      <c r="BD260" s="212" t="b">
        <f t="shared" si="2249"/>
        <v>0</v>
      </c>
      <c r="BF260" s="212" t="b">
        <f t="shared" ref="BF260" si="2972">IF(J260="",FALSE,IF(OR(AND(AU259,L260=""),AND(AU259,L260="",OR(M260&lt;&gt;"",N260&lt;&gt;"",O260&lt;&gt;"",P260&lt;&gt;""))),TRUE,FALSE))</f>
        <v>0</v>
      </c>
      <c r="BG260" s="212" t="b">
        <f t="shared" si="2251"/>
        <v>0</v>
      </c>
      <c r="BH260" s="212" t="b">
        <f t="shared" si="2264"/>
        <v>0</v>
      </c>
      <c r="BI260" s="212" t="b">
        <f t="shared" ref="BI260" si="2973">IF(J260="",FALSE,IF(L260=0,FALSE,IF(AND(AU259,NOT(BF260),OR(M260="",N260="",O260="")),TRUE,FALSE)))</f>
        <v>0</v>
      </c>
      <c r="BJ260" s="231" t="b">
        <f t="shared" si="2266"/>
        <v>0</v>
      </c>
      <c r="BK260" s="231" t="b">
        <f>IF(NOT(BJ260),FALSE,IF(AND(競技会設定!$C$5&lt;=BJ260,BJ260&lt;=競技会設定!$C$6),FALSE,TRUE))</f>
        <v>0</v>
      </c>
      <c r="BL260" s="212" t="b">
        <f>IF(J260="",FALSE,IF(L260=0,FALSE,IF(AND(AU259,NOT(BF260),NOT(BI260),P260=""),TRUE,FALSE)))</f>
        <v>0</v>
      </c>
    </row>
    <row r="261" spans="1:67" ht="17.399999999999999" customHeight="1">
      <c r="A261" s="462"/>
      <c r="B261" s="374"/>
      <c r="C261" s="376"/>
      <c r="D261" s="160"/>
      <c r="E261" s="452" t="str">
        <f>IF(C259="","",VLOOKUP(D259,女子登録!$A$2:$O$2001,14,0)&amp;" ("&amp;VLOOKUP(D259,女子登録!$A$2:$O$2001,15,0)&amp;")")</f>
        <v/>
      </c>
      <c r="F261" s="453"/>
      <c r="G261" s="160" t="str">
        <f>IF(C259="","",(VLOOKUP(D259,女子登録!$A$2:$N$2001,9,0)))</f>
        <v/>
      </c>
      <c r="H261" s="160"/>
      <c r="I261" s="160" t="s">
        <v>4021</v>
      </c>
      <c r="J261" s="176"/>
      <c r="K261" s="160" t="s">
        <v>6760</v>
      </c>
      <c r="L261" s="176"/>
      <c r="M261" s="264"/>
      <c r="N261" s="265"/>
      <c r="O261" s="266"/>
      <c r="P261" s="175"/>
      <c r="Q261" s="449"/>
      <c r="R261" s="409"/>
      <c r="S261" s="136"/>
      <c r="T261" s="137"/>
      <c r="U261" s="137"/>
      <c r="V261" s="137"/>
      <c r="W261" s="137"/>
      <c r="X261" s="137"/>
      <c r="Y261" s="212">
        <f t="shared" ref="Y261" si="2974">IF(OR(E259="",J261=""),0,J261&amp;E259)</f>
        <v>0</v>
      </c>
      <c r="Z261" s="212">
        <f>IF(Y261=0,0,COUNTIF($Y$7:Y261,Y261))</f>
        <v>0</v>
      </c>
      <c r="AD261" s="212">
        <f>IFERROR(VLOOKUP(J261,競技会設定!$T$2:$W$22,2,0),0)</f>
        <v>0</v>
      </c>
      <c r="AE261" s="212">
        <f t="shared" ref="AE261" si="2975">IF(E259="",0,IF(AD261=0,0,IF(AD261&lt;3,E259&amp;$AE$6,0)))</f>
        <v>0</v>
      </c>
      <c r="AF261" s="212">
        <f>IF(AE261=0,0,E259&amp;COUNTIF($AE$7:AE261,AE261))</f>
        <v>0</v>
      </c>
      <c r="AG261" s="212">
        <f t="shared" ref="AG261" si="2976">IF(E259="",0,IF(AD261=0,0,IF(AD261&gt;=3,E259&amp;$AG$6,0)))</f>
        <v>0</v>
      </c>
      <c r="AH261" s="212">
        <f>IF(AG261=0,0,E259&amp;COUNTIF($AG$7:AG261,AG261))</f>
        <v>0</v>
      </c>
      <c r="AI261" s="212">
        <f t="shared" ref="AI261" si="2977">IF($AD261=AI$6,$E259,0)</f>
        <v>0</v>
      </c>
      <c r="AJ261" s="212" t="b">
        <f>IF(AI261=0,FALSE,IF(COUNTIF(AI$7:AI261,AI261)&gt;1,TRUE,FALSE))</f>
        <v>0</v>
      </c>
      <c r="AK261" s="212">
        <f t="shared" ref="AK261" si="2978">IF($AD261=AK$6,$E259,0)</f>
        <v>0</v>
      </c>
      <c r="AL261" s="212" t="b">
        <f>IF(AK261=0,FALSE,IF(COUNTIF(AK$7:AK261,AK261)&gt;1,TRUE,FALSE))</f>
        <v>0</v>
      </c>
      <c r="AM261" s="212">
        <f t="shared" ref="AM261" si="2979">IF(COUNTIF(Y261,"*七種*")&gt;0,0,IF($AD261=AM$6,$E259,0))</f>
        <v>0</v>
      </c>
      <c r="AN261" s="212" t="b">
        <f>IF(AM261=0,FALSE,IF(COUNTIF(AM$7:AM261,AM261)&gt;1,TRUE,FALSE))</f>
        <v>0</v>
      </c>
      <c r="AO261" s="212">
        <f t="shared" ref="AO261" si="2980">IF($AD261=AO$6,$E259,0)</f>
        <v>0</v>
      </c>
      <c r="AP261" s="212" t="b">
        <f>IF(AO261=0,FALSE,IF(COUNTIF(AO$7:AO261,AO261)&gt;1,TRUE,FALSE))</f>
        <v>0</v>
      </c>
      <c r="AQ261" s="212">
        <f t="shared" ref="AQ261" si="2981">IF(COUNTIF(Y261,"*七種競技*")&gt;0,E259,0)</f>
        <v>0</v>
      </c>
      <c r="AR261" s="212" t="b">
        <f t="shared" si="2262"/>
        <v>0</v>
      </c>
      <c r="AT261" s="212" t="b">
        <f t="shared" si="2275"/>
        <v>0</v>
      </c>
      <c r="AX261" s="274"/>
      <c r="BD261" s="212" t="b">
        <f t="shared" si="2249"/>
        <v>0</v>
      </c>
      <c r="BF261" s="212" t="b">
        <f t="shared" ref="BF261" si="2982">IF(J261="",FALSE,IF(OR(AND(AU259,L261=""),AND(AU259,L261="",OR(M261&lt;&gt;"",N261&lt;&gt;"",O261&lt;&gt;"",P261&lt;&gt;""))),TRUE,FALSE))</f>
        <v>0</v>
      </c>
      <c r="BG261" s="212" t="b">
        <f t="shared" si="2251"/>
        <v>0</v>
      </c>
      <c r="BH261" s="212" t="b">
        <f t="shared" si="2264"/>
        <v>0</v>
      </c>
      <c r="BI261" s="212" t="b">
        <f t="shared" ref="BI261" si="2983">IF(J261="",FALSE,IF(L261=0,FALSE,IF(AND(AU259,NOT(BF261),OR(M261="",N261="",O261="")),TRUE,FALSE)))</f>
        <v>0</v>
      </c>
      <c r="BJ261" s="231" t="b">
        <f t="shared" si="2266"/>
        <v>0</v>
      </c>
      <c r="BK261" s="231" t="b">
        <f>IF(NOT(BJ261),FALSE,IF(AND(競技会設定!$C$5&lt;=BJ261,BJ261&lt;=競技会設定!$C$6),FALSE,TRUE))</f>
        <v>0</v>
      </c>
      <c r="BL261" s="212" t="b">
        <f>IF(J261="",FALSE,IF(L261=0,FALSE,IF(AND(AU259,NOT(BF261),NOT(BI261),P261=""),TRUE,FALSE)))</f>
        <v>0</v>
      </c>
    </row>
    <row r="262" spans="1:67" ht="18" customHeight="1" thickBot="1">
      <c r="A262" s="475"/>
      <c r="B262" s="387" t="s">
        <v>6764</v>
      </c>
      <c r="C262" s="387"/>
      <c r="D262" s="161"/>
      <c r="E262" s="467"/>
      <c r="F262" s="468"/>
      <c r="G262" s="469"/>
      <c r="H262" s="162"/>
      <c r="I262" s="161" t="s">
        <v>6759</v>
      </c>
      <c r="J262" s="177"/>
      <c r="K262" s="161" t="s">
        <v>6761</v>
      </c>
      <c r="L262" s="177"/>
      <c r="M262" s="267"/>
      <c r="N262" s="268"/>
      <c r="O262" s="269"/>
      <c r="P262" s="177"/>
      <c r="Q262" s="466"/>
      <c r="R262" s="410"/>
      <c r="S262" s="136"/>
      <c r="T262" s="137"/>
      <c r="U262" s="137"/>
      <c r="V262" s="137"/>
      <c r="W262" s="137"/>
      <c r="X262" s="137"/>
      <c r="Y262" s="212">
        <f t="shared" ref="Y262" si="2984">IF(OR(E259="",J262=""),0,J262&amp;E259)</f>
        <v>0</v>
      </c>
      <c r="Z262" s="212">
        <f>IF(Y262=0,0,COUNTIF($Y$7:Y262,Y262))</f>
        <v>0</v>
      </c>
      <c r="AD262" s="212">
        <f>IFERROR(VLOOKUP(J262,競技会設定!$T$2:$W$22,2,0),0)</f>
        <v>0</v>
      </c>
      <c r="AE262" s="212">
        <f t="shared" ref="AE262" si="2985">IF(E259="",0,IF(AD262=0,0,IF(AD262&lt;3,E259&amp;$AE$6,0)))</f>
        <v>0</v>
      </c>
      <c r="AF262" s="212">
        <f>IF(AE262=0,0,E259&amp;COUNTIF($AE$7:AE262,AE262))</f>
        <v>0</v>
      </c>
      <c r="AG262" s="212">
        <f t="shared" ref="AG262" si="2986">IF(E259="",0,IF(AD262=0,0,IF(AD262&gt;=3,E259&amp;$AG$6,0)))</f>
        <v>0</v>
      </c>
      <c r="AH262" s="212">
        <f>IF(AG262=0,0,E259&amp;COUNTIF($AG$7:AG262,AG262))</f>
        <v>0</v>
      </c>
      <c r="AI262" s="212">
        <f t="shared" ref="AI262" si="2987">IF($AD262=AI$6,$E259,0)</f>
        <v>0</v>
      </c>
      <c r="AJ262" s="212" t="b">
        <f>IF(AI262=0,FALSE,IF(COUNTIF(AI$7:AI262,AI262)&gt;1,TRUE,FALSE))</f>
        <v>0</v>
      </c>
      <c r="AK262" s="212">
        <f t="shared" ref="AK262" si="2988">IF($AD262=AK$6,$E259,0)</f>
        <v>0</v>
      </c>
      <c r="AL262" s="212" t="b">
        <f>IF(AK262=0,FALSE,IF(COUNTIF(AK$7:AK262,AK262)&gt;1,TRUE,FALSE))</f>
        <v>0</v>
      </c>
      <c r="AM262" s="212">
        <f t="shared" ref="AM262" si="2989">IF(COUNTIF(Y262,"*七種*")&gt;0,0,IF($AD262=AM$6,$E259,0))</f>
        <v>0</v>
      </c>
      <c r="AN262" s="212" t="b">
        <f>IF(AM262=0,FALSE,IF(COUNTIF(AM$7:AM262,AM262)&gt;1,TRUE,FALSE))</f>
        <v>0</v>
      </c>
      <c r="AO262" s="212">
        <f t="shared" ref="AO262" si="2990">IF($AD262=AO$6,$E259,0)</f>
        <v>0</v>
      </c>
      <c r="AP262" s="212" t="b">
        <f>IF(AO262=0,FALSE,IF(COUNTIF(AO$7:AO262,AO262)&gt;1,TRUE,FALSE))</f>
        <v>0</v>
      </c>
      <c r="AQ262" s="212">
        <f t="shared" ref="AQ262" si="2991">IF(COUNTIF(Y262,"*七種競技*")&gt;0,E259,0)</f>
        <v>0</v>
      </c>
      <c r="AR262" s="212" t="b">
        <f t="shared" si="2262"/>
        <v>0</v>
      </c>
      <c r="AT262" s="212" t="b">
        <f t="shared" si="2275"/>
        <v>0</v>
      </c>
      <c r="AX262" s="274"/>
      <c r="BD262" s="212" t="b">
        <f t="shared" si="2249"/>
        <v>0</v>
      </c>
      <c r="BF262" s="212" t="b">
        <f t="shared" ref="BF262" si="2992">IF(J262="",FALSE,IF(OR(AND(AU259,L262=""),AND(AU259,L262="",OR(M262&lt;&gt;"",N262&lt;&gt;"",O262&lt;&gt;"",P262&lt;&gt;""))),TRUE,FALSE))</f>
        <v>0</v>
      </c>
      <c r="BG262" s="212" t="b">
        <f t="shared" si="2251"/>
        <v>0</v>
      </c>
      <c r="BH262" s="212" t="b">
        <f t="shared" si="2264"/>
        <v>0</v>
      </c>
      <c r="BI262" s="212" t="b">
        <f t="shared" ref="BI262" si="2993">IF(J262="",FALSE,IF(L262=0,FALSE,IF(AND(AU259,NOT(BF262),OR(M262="",N262="",O262="")),TRUE,FALSE)))</f>
        <v>0</v>
      </c>
      <c r="BJ262" s="231" t="b">
        <f t="shared" si="2266"/>
        <v>0</v>
      </c>
      <c r="BK262" s="231" t="b">
        <f>IF(NOT(BJ262),FALSE,IF(AND(競技会設定!$C$5&lt;=BJ262,BJ262&lt;=競技会設定!$C$6),FALSE,TRUE))</f>
        <v>0</v>
      </c>
      <c r="BL262" s="212" t="b">
        <f>IF(J262="",FALSE,IF(L262=0,FALSE,IF(AND(AU259,NOT(BF262),NOT(BI262),P262=""),TRUE,FALSE)))</f>
        <v>0</v>
      </c>
    </row>
    <row r="263" spans="1:67" ht="18" customHeight="1" thickTop="1">
      <c r="A263" s="470">
        <v>65</v>
      </c>
      <c r="B263" s="401" t="s">
        <v>4018</v>
      </c>
      <c r="C263" s="403"/>
      <c r="D263" s="156" t="str">
        <f t="shared" ref="D263" si="2994">IF(C263="","",502&amp;TEXT(C263,"000000"))</f>
        <v/>
      </c>
      <c r="E263" s="473" t="str">
        <f>IF(D263="","",(VLOOKUP(D263,女子登録!$A$2:$N$2001,3,0)))</f>
        <v/>
      </c>
      <c r="F263" s="473" t="str">
        <f>IF(D263="","",(VLOOKUP(D263,女子登録!$A$2:$N$2001,4,0)))</f>
        <v/>
      </c>
      <c r="G263" s="156" t="str">
        <f>IF(C263="","",(VLOOKUP(D263,女子登録!$A$2:$N$2001,8,0)))</f>
        <v/>
      </c>
      <c r="H263" s="156">
        <f>IFERROR(VLOOKUP(D263,女子登録!$A$2:$N$2001,11,0),基本情報!$E$5)</f>
        <v>0</v>
      </c>
      <c r="I263" s="156" t="s">
        <v>4019</v>
      </c>
      <c r="J263" s="170"/>
      <c r="K263" s="156" t="s">
        <v>4022</v>
      </c>
      <c r="L263" s="170"/>
      <c r="M263" s="252"/>
      <c r="N263" s="253"/>
      <c r="O263" s="254"/>
      <c r="P263" s="170"/>
      <c r="Q263" s="457"/>
      <c r="R263" s="414"/>
      <c r="S263" s="136">
        <f t="shared" ref="S263" si="2995">IF(OR(E263="",Q263=""),0,E263)</f>
        <v>0</v>
      </c>
      <c r="T263" s="137">
        <f>IF(S263=0,0,COUNTIF($S$7:S263,"*"))</f>
        <v>0</v>
      </c>
      <c r="U263" s="137">
        <f>IF(S263=0,0,COUNTIF($S$7:S263,S263))</f>
        <v>0</v>
      </c>
      <c r="V263" s="137">
        <f t="shared" si="2478"/>
        <v>0</v>
      </c>
      <c r="W263" s="137">
        <f>IF(V263=0,0,COUNTIF($V$7:V263,"*"))</f>
        <v>0</v>
      </c>
      <c r="X263" s="137">
        <f>IF(V263=0,0,COUNTIF($V$7:V263,V263))</f>
        <v>0</v>
      </c>
      <c r="Y263" s="212">
        <f t="shared" ref="Y263" si="2996">IF(OR(E263="",J263=""),0,J263&amp;E263)</f>
        <v>0</v>
      </c>
      <c r="Z263" s="212">
        <f>IF(Y263=0,0,COUNTIF($Y$7:Y263,Y263))</f>
        <v>0</v>
      </c>
      <c r="AA263" s="212" t="b">
        <f>IF(COUNTIF(J263:J266,"七種競技")&gt;0,TRUE,FALSE)</f>
        <v>0</v>
      </c>
      <c r="AB263" s="212">
        <f>IF(E263="",0,IF(AA263,COUNTIF($AA$7:AA263,TRUE),0))</f>
        <v>0</v>
      </c>
      <c r="AC263" s="212">
        <f>IFERROR(VLOOKUP("七種競技",J263:L266,3,0),0)</f>
        <v>0</v>
      </c>
      <c r="AD263" s="212">
        <f>IFERROR(VLOOKUP(J263,競技会設定!$T$2:$W$22,2,0),0)</f>
        <v>0</v>
      </c>
      <c r="AE263" s="212">
        <f t="shared" ref="AE263" si="2997">IF(E263="",0,IF(AD263=0,0,IF(AD263&lt;3,E263&amp;$AE$6,0)))</f>
        <v>0</v>
      </c>
      <c r="AF263" s="212">
        <f>IF(AE263=0,0,E263&amp;COUNTIF($AE$7:AE263,AE263))</f>
        <v>0</v>
      </c>
      <c r="AG263" s="212">
        <f t="shared" ref="AG263" si="2998">IF(E263="",0,IF(AD263=0,0,IF(AD263&gt;=3,E263&amp;$AG$6,0)))</f>
        <v>0</v>
      </c>
      <c r="AH263" s="212">
        <f>IF(AG263=0,0,E263&amp;COUNTIF($AG$7:AG263,AG263))</f>
        <v>0</v>
      </c>
      <c r="AI263" s="212">
        <f t="shared" ref="AI263" si="2999">IF($AD263=AI$6,$E263,0)</f>
        <v>0</v>
      </c>
      <c r="AJ263" s="212" t="b">
        <f>IF(AI263=0,FALSE,IF(COUNTIF(AI$7:AI263,AI263)&gt;1,TRUE,FALSE))</f>
        <v>0</v>
      </c>
      <c r="AK263" s="212">
        <f t="shared" ref="AK263" si="3000">IF($AD263=AK$6,$E263,0)</f>
        <v>0</v>
      </c>
      <c r="AL263" s="212" t="b">
        <f>IF(AK263=0,FALSE,IF(COUNTIF(AK$7:AK263,AK263)&gt;1,TRUE,FALSE))</f>
        <v>0</v>
      </c>
      <c r="AM263" s="212">
        <f t="shared" ref="AM263" si="3001">IF(COUNTIF(Y263,"*七種*")&gt;0,0,IF($AD263=AM$6,$E263,0))</f>
        <v>0</v>
      </c>
      <c r="AN263" s="212" t="b">
        <f>IF(AM263=0,FALSE,IF(COUNTIF(AM$7:AM263,AM263)&gt;1,TRUE,FALSE))</f>
        <v>0</v>
      </c>
      <c r="AO263" s="212">
        <f t="shared" ref="AO263" si="3002">IF($AD263=AO$6,$E263,0)</f>
        <v>0</v>
      </c>
      <c r="AP263" s="212" t="b">
        <f>IF(AO263=0,FALSE,IF(COUNTIF(AO$7:AO263,AO263)&gt;1,TRUE,FALSE))</f>
        <v>0</v>
      </c>
      <c r="AQ263" s="212">
        <f t="shared" ref="AQ263" si="3003">IF(COUNTIF(Y263,"*七種競技*")&gt;0,E263,0)</f>
        <v>0</v>
      </c>
      <c r="AR263" s="212" t="b">
        <f t="shared" si="2262"/>
        <v>0</v>
      </c>
      <c r="AS263" s="212" t="b">
        <f t="shared" ref="AS263" si="3004">IF(AND(C263="",E263&lt;&gt;"",F263&lt;&gt;"",E265&lt;&gt;"",G263&lt;&gt;"",G264&lt;&gt;"",G265&lt;&gt;""),TRUE,FALSE)</f>
        <v>0</v>
      </c>
      <c r="AT263" s="212" t="b">
        <f t="shared" si="2275"/>
        <v>0</v>
      </c>
      <c r="AU263" s="212" t="b">
        <f>IFERROR(IF(E263&amp;F263&amp;E265&amp;G263&amp;G264&amp;G265&amp;J263&amp;J264&amp;J265&amp;J266&amp;L263&amp;L264&amp;L265&amp;L266&amp;M263&amp;M264&amp;M265&amp;M266&amp;P263&amp;P264&amp;P265&amp;P266&amp;Q263&amp;R263="",FALSE,TRUE),FALSE)</f>
        <v>0</v>
      </c>
      <c r="AV263" s="212" t="b">
        <f t="shared" ref="AV263" si="3005">IF(AS263,FALSE,IF(C263="",AU263,FALSE))</f>
        <v>0</v>
      </c>
      <c r="AW263" s="212" t="b">
        <f t="shared" ref="AW263" si="3006">IF(C263="",FALSE,IF(C263&lt;=2000,TRUE,FALSE))</f>
        <v>0</v>
      </c>
      <c r="AX263" s="274" t="b">
        <f>IF(H263=0,FALSE,IF(EXACT(基本情報!$E$5,H263)=TRUE,FALSE,TRUE))</f>
        <v>0</v>
      </c>
      <c r="AY263" s="212" t="b">
        <f>IF(C263="",FALSE,IF(ISNA(E263)=TRUE,TRUE,FALSE))</f>
        <v>0</v>
      </c>
      <c r="AZ263" s="274" t="b">
        <f>IFERROR(IF(E263="",FALSE,IF(COUNTIF($E$7:E263,E263)&gt;1,TRUE,FALSE)),FALSE)</f>
        <v>0</v>
      </c>
      <c r="BA263" s="212" t="b">
        <f t="shared" ref="BA263" si="3007">IF(OR(J263&amp;J264&amp;J265&amp;J266&amp;Q263&amp;R263="",AT263,AT264,AT265,AT266),AU263,FALSE)</f>
        <v>0</v>
      </c>
      <c r="BB263" s="212" t="b">
        <f>IF(U263&gt;1,TRUE,FALSE)</f>
        <v>0</v>
      </c>
      <c r="BC263" s="212" t="b">
        <f>IF(X263&gt;1,TRUE,FALSE)</f>
        <v>0</v>
      </c>
      <c r="BD263" s="212" t="b">
        <f t="shared" ref="BD263:BD326" si="3008">IF(Z263&gt;1,TRUE,FALSE)</f>
        <v>0</v>
      </c>
      <c r="BF263" s="212" t="b">
        <f t="shared" ref="BF263" si="3009">IF(J263="",FALSE,IF(OR(AND(AU263,L263=""),AND(AU263,L263="",OR(M263&lt;&gt;"",N263&lt;&gt;"",O263&lt;&gt;"",P263&lt;&gt;""))),TRUE,FALSE))</f>
        <v>0</v>
      </c>
      <c r="BG263" s="212" t="b">
        <f t="shared" ref="BG263:BG326" si="3010">IF(J263="",FALSE,IF(ISNUMBER(L263)&lt;&gt;TRUE,TRUE,IFERROR(IF(MOD(L263,1)=0,FALSE,TRUE),FALSE)))</f>
        <v>0</v>
      </c>
      <c r="BH263" s="212" t="b">
        <f t="shared" si="2264"/>
        <v>0</v>
      </c>
      <c r="BI263" s="212" t="b">
        <f t="shared" ref="BI263" si="3011">IF(J263="",FALSE,IF(L263=0,FALSE,IF(AND(AU263,NOT(BF263),OR(M263="",N263="",O263="")),TRUE,FALSE)))</f>
        <v>0</v>
      </c>
      <c r="BJ263" s="231" t="b">
        <f t="shared" si="2266"/>
        <v>0</v>
      </c>
      <c r="BK263" s="231" t="b">
        <f>IF(NOT(BJ263),FALSE,IF(AND(競技会設定!$C$5&lt;=BJ263,BJ263&lt;=競技会設定!$C$6),FALSE,TRUE))</f>
        <v>0</v>
      </c>
      <c r="BL263" s="212" t="b">
        <f>IF(J263="",FALSE,IF(L263=0,FALSE,IF(AND(AU263,NOT(BF263),NOT(BI263),P263=""),TRUE,FALSE)))</f>
        <v>0</v>
      </c>
      <c r="BO263" s="274">
        <f t="shared" ref="BO263" si="3012">IF(AND(AU263,SUM(COUNTIF(AV263:BC263,TRUE),COUNTIF(BF263:BL266,TRUE),COUNTIF(BD263:BD266,TRUE))=0,NOT($BE$7)),1,0)</f>
        <v>0</v>
      </c>
    </row>
    <row r="264" spans="1:67" ht="17.399999999999999" customHeight="1">
      <c r="A264" s="471"/>
      <c r="B264" s="402"/>
      <c r="C264" s="404"/>
      <c r="D264" s="11"/>
      <c r="E264" s="474"/>
      <c r="F264" s="474"/>
      <c r="G264" s="11" t="str">
        <f>IF(C263="","",(VLOOKUP(D263,女子登録!$A$2:$N$2001,13,0)))</f>
        <v/>
      </c>
      <c r="H264" s="11"/>
      <c r="I264" s="11" t="s">
        <v>4020</v>
      </c>
      <c r="J264" s="171"/>
      <c r="K264" s="11" t="s">
        <v>4023</v>
      </c>
      <c r="L264" s="171"/>
      <c r="M264" s="255"/>
      <c r="N264" s="256"/>
      <c r="O264" s="257"/>
      <c r="P264" s="171"/>
      <c r="Q264" s="458"/>
      <c r="R264" s="415"/>
      <c r="S264" s="136"/>
      <c r="T264" s="137"/>
      <c r="U264" s="137"/>
      <c r="V264" s="137"/>
      <c r="W264" s="137"/>
      <c r="X264" s="137"/>
      <c r="Y264" s="212">
        <f t="shared" ref="Y264" si="3013">IF(OR(E263="",J264=""),0,J264&amp;E263)</f>
        <v>0</v>
      </c>
      <c r="Z264" s="212">
        <f>IF(Y264=0,0,COUNTIF($Y$7:Y264,Y264))</f>
        <v>0</v>
      </c>
      <c r="AD264" s="212">
        <f>IFERROR(VLOOKUP(J264,競技会設定!$T$2:$W$22,2,0),0)</f>
        <v>0</v>
      </c>
      <c r="AE264" s="212">
        <f t="shared" ref="AE264" si="3014">IF(E263="",0,IF(AD264=0,0,IF(AD264&lt;3,E263&amp;$AE$6,0)))</f>
        <v>0</v>
      </c>
      <c r="AF264" s="212">
        <f>IF(AE264=0,0,E263&amp;COUNTIF($AE$7:AE264,AE264))</f>
        <v>0</v>
      </c>
      <c r="AG264" s="212">
        <f t="shared" ref="AG264" si="3015">IF(E263="",0,IF(AD264=0,0,IF(AD264&gt;=3,E263&amp;$AG$6,0)))</f>
        <v>0</v>
      </c>
      <c r="AH264" s="212">
        <f>IF(AG264=0,0,E263&amp;COUNTIF($AG$7:AG264,AG264))</f>
        <v>0</v>
      </c>
      <c r="AI264" s="212">
        <f t="shared" ref="AI264" si="3016">IF($AD264=AI$6,$E263,0)</f>
        <v>0</v>
      </c>
      <c r="AJ264" s="212" t="b">
        <f>IF(AI264=0,FALSE,IF(COUNTIF(AI$7:AI264,AI264)&gt;1,TRUE,FALSE))</f>
        <v>0</v>
      </c>
      <c r="AK264" s="212">
        <f t="shared" ref="AK264" si="3017">IF($AD264=AK$6,$E263,0)</f>
        <v>0</v>
      </c>
      <c r="AL264" s="212" t="b">
        <f>IF(AK264=0,FALSE,IF(COUNTIF(AK$7:AK264,AK264)&gt;1,TRUE,FALSE))</f>
        <v>0</v>
      </c>
      <c r="AM264" s="212">
        <f t="shared" ref="AM264" si="3018">IF(COUNTIF(Y264,"*七種*")&gt;0,0,IF($AD264=AM$6,$E263,0))</f>
        <v>0</v>
      </c>
      <c r="AN264" s="212" t="b">
        <f>IF(AM264=0,FALSE,IF(COUNTIF(AM$7:AM264,AM264)&gt;1,TRUE,FALSE))</f>
        <v>0</v>
      </c>
      <c r="AO264" s="212">
        <f t="shared" ref="AO264" si="3019">IF($AD264=AO$6,$E263,0)</f>
        <v>0</v>
      </c>
      <c r="AP264" s="212" t="b">
        <f>IF(AO264=0,FALSE,IF(COUNTIF(AO$7:AO264,AO264)&gt;1,TRUE,FALSE))</f>
        <v>0</v>
      </c>
      <c r="AQ264" s="212">
        <f t="shared" ref="AQ264" si="3020">IF(COUNTIF(Y264,"*七種競技*")&gt;0,E263,0)</f>
        <v>0</v>
      </c>
      <c r="AR264" s="212" t="b">
        <f t="shared" ref="AR264:AR327" si="3021">IF(AQ264=0,FALSE,IF(OR(COUNTIF($AM$7:$AM$406,AQ264)+COUNTIF($AQ$7:$AQ$406,AQ264)&gt;1,COUNTIF($AO$7:$AO$406,AQ264)+COUNTIF($AQ$7:$AQ$406,AQ264)&gt;1),TRUE,FALSE))</f>
        <v>0</v>
      </c>
      <c r="AT264" s="212" t="b">
        <f t="shared" si="2275"/>
        <v>0</v>
      </c>
      <c r="AX264" s="274"/>
      <c r="BD264" s="212" t="b">
        <f t="shared" si="3008"/>
        <v>0</v>
      </c>
      <c r="BF264" s="212" t="b">
        <f t="shared" ref="BF264" si="3022">IF(J264="",FALSE,IF(OR(AND(AU263,L264=""),AND(AU263,L264="",OR(M264&lt;&gt;"",N264&lt;&gt;"",O264&lt;&gt;"",P264&lt;&gt;""))),TRUE,FALSE))</f>
        <v>0</v>
      </c>
      <c r="BG264" s="212" t="b">
        <f t="shared" si="3010"/>
        <v>0</v>
      </c>
      <c r="BH264" s="212" t="b">
        <f t="shared" ref="BH264:BH327" si="3023">IF(COUNTIF(J264,"*m*")=0,FALSE,IF(VALUE(RIGHT(INT(L264/100),2))&gt;59,TRUE,IF(VALUE(RIGHT(INT(L264/10000),2))&gt;59,TRUE,FALSE)))</f>
        <v>0</v>
      </c>
      <c r="BI264" s="212" t="b">
        <f t="shared" ref="BI264" si="3024">IF(J264="",FALSE,IF(L264=0,FALSE,IF(AND(AU263,NOT(BF264),OR(M264="",N264="",O264="")),TRUE,FALSE)))</f>
        <v>0</v>
      </c>
      <c r="BJ264" s="231" t="b">
        <f t="shared" ref="BJ264:BJ327" si="3025">IF(OR(M264="",N264="",O264=""),FALSE,DATE(M264,N264,O264))</f>
        <v>0</v>
      </c>
      <c r="BK264" s="231" t="b">
        <f>IF(NOT(BJ264),FALSE,IF(AND(競技会設定!$C$5&lt;=BJ264,BJ264&lt;=競技会設定!$C$6),FALSE,TRUE))</f>
        <v>0</v>
      </c>
      <c r="BL264" s="212" t="b">
        <f>IF(J264="",FALSE,IF(L264=0,FALSE,IF(AND(AU263,NOT(BF264),NOT(BI264),P264=""),TRUE,FALSE)))</f>
        <v>0</v>
      </c>
    </row>
    <row r="265" spans="1:67" ht="17.399999999999999" customHeight="1">
      <c r="A265" s="471"/>
      <c r="B265" s="402"/>
      <c r="C265" s="404"/>
      <c r="D265" s="11"/>
      <c r="E265" s="348" t="str">
        <f>IF(C263="","",VLOOKUP(D263,女子登録!$A$2:$O$2001,14,0)&amp;" ("&amp;VLOOKUP(D263,女子登録!$A$2:$O$2001,15,0)&amp;")")</f>
        <v/>
      </c>
      <c r="F265" s="348"/>
      <c r="G265" s="13" t="str">
        <f>IF(C263="","",(VLOOKUP(D263,女子登録!$A$2:$N$2001,9,0)))</f>
        <v/>
      </c>
      <c r="H265" s="13"/>
      <c r="I265" s="13" t="s">
        <v>4021</v>
      </c>
      <c r="J265" s="172"/>
      <c r="K265" s="13" t="s">
        <v>6760</v>
      </c>
      <c r="L265" s="172"/>
      <c r="M265" s="255"/>
      <c r="N265" s="256"/>
      <c r="O265" s="257"/>
      <c r="P265" s="171"/>
      <c r="Q265" s="458"/>
      <c r="R265" s="415"/>
      <c r="S265" s="136"/>
      <c r="T265" s="137"/>
      <c r="U265" s="137"/>
      <c r="V265" s="137"/>
      <c r="W265" s="137"/>
      <c r="X265" s="137"/>
      <c r="Y265" s="212">
        <f t="shared" ref="Y265" si="3026">IF(OR(E263="",J265=""),0,J265&amp;E263)</f>
        <v>0</v>
      </c>
      <c r="Z265" s="212">
        <f>IF(Y265=0,0,COUNTIF($Y$7:Y265,Y265))</f>
        <v>0</v>
      </c>
      <c r="AD265" s="212">
        <f>IFERROR(VLOOKUP(J265,競技会設定!$T$2:$W$22,2,0),0)</f>
        <v>0</v>
      </c>
      <c r="AE265" s="212">
        <f t="shared" ref="AE265" si="3027">IF(E263="",0,IF(AD265=0,0,IF(AD265&lt;3,E263&amp;$AE$6,0)))</f>
        <v>0</v>
      </c>
      <c r="AF265" s="212">
        <f>IF(AE265=0,0,E263&amp;COUNTIF($AE$7:AE265,AE265))</f>
        <v>0</v>
      </c>
      <c r="AG265" s="212">
        <f t="shared" ref="AG265" si="3028">IF(E263="",0,IF(AD265=0,0,IF(AD265&gt;=3,E263&amp;$AG$6,0)))</f>
        <v>0</v>
      </c>
      <c r="AH265" s="212">
        <f>IF(AG265=0,0,E263&amp;COUNTIF($AG$7:AG265,AG265))</f>
        <v>0</v>
      </c>
      <c r="AI265" s="212">
        <f t="shared" ref="AI265" si="3029">IF($AD265=AI$6,$E263,0)</f>
        <v>0</v>
      </c>
      <c r="AJ265" s="212" t="b">
        <f>IF(AI265=0,FALSE,IF(COUNTIF(AI$7:AI265,AI265)&gt;1,TRUE,FALSE))</f>
        <v>0</v>
      </c>
      <c r="AK265" s="212">
        <f t="shared" ref="AK265" si="3030">IF($AD265=AK$6,$E263,0)</f>
        <v>0</v>
      </c>
      <c r="AL265" s="212" t="b">
        <f>IF(AK265=0,FALSE,IF(COUNTIF(AK$7:AK265,AK265)&gt;1,TRUE,FALSE))</f>
        <v>0</v>
      </c>
      <c r="AM265" s="212">
        <f t="shared" ref="AM265" si="3031">IF(COUNTIF(Y265,"*七種*")&gt;0,0,IF($AD265=AM$6,$E263,0))</f>
        <v>0</v>
      </c>
      <c r="AN265" s="212" t="b">
        <f>IF(AM265=0,FALSE,IF(COUNTIF(AM$7:AM265,AM265)&gt;1,TRUE,FALSE))</f>
        <v>0</v>
      </c>
      <c r="AO265" s="212">
        <f t="shared" ref="AO265" si="3032">IF($AD265=AO$6,$E263,0)</f>
        <v>0</v>
      </c>
      <c r="AP265" s="212" t="b">
        <f>IF(AO265=0,FALSE,IF(COUNTIF(AO$7:AO265,AO265)&gt;1,TRUE,FALSE))</f>
        <v>0</v>
      </c>
      <c r="AQ265" s="212">
        <f t="shared" ref="AQ265" si="3033">IF(COUNTIF(Y265,"*七種競技*")&gt;0,E263,0)</f>
        <v>0</v>
      </c>
      <c r="AR265" s="212" t="b">
        <f t="shared" si="3021"/>
        <v>0</v>
      </c>
      <c r="AT265" s="212" t="b">
        <f t="shared" ref="AT265:AT328" si="3034">IF(AND(J265="",OR(L265&lt;&gt;"",M265&lt;&gt;"",P265&lt;&gt;"")),TRUE,FALSE)</f>
        <v>0</v>
      </c>
      <c r="AX265" s="274"/>
      <c r="BD265" s="212" t="b">
        <f t="shared" si="3008"/>
        <v>0</v>
      </c>
      <c r="BF265" s="212" t="b">
        <f t="shared" ref="BF265" si="3035">IF(J265="",FALSE,IF(OR(AND(AU263,L265=""),AND(AU263,L265="",OR(M265&lt;&gt;"",N265&lt;&gt;"",O265&lt;&gt;"",P265&lt;&gt;""))),TRUE,FALSE))</f>
        <v>0</v>
      </c>
      <c r="BG265" s="212" t="b">
        <f t="shared" si="3010"/>
        <v>0</v>
      </c>
      <c r="BH265" s="212" t="b">
        <f t="shared" si="3023"/>
        <v>0</v>
      </c>
      <c r="BI265" s="212" t="b">
        <f t="shared" ref="BI265" si="3036">IF(J265="",FALSE,IF(L265=0,FALSE,IF(AND(AU263,NOT(BF265),OR(M265="",N265="",O265="")),TRUE,FALSE)))</f>
        <v>0</v>
      </c>
      <c r="BJ265" s="231" t="b">
        <f t="shared" si="3025"/>
        <v>0</v>
      </c>
      <c r="BK265" s="231" t="b">
        <f>IF(NOT(BJ265),FALSE,IF(AND(競技会設定!$C$5&lt;=BJ265,BJ265&lt;=競技会設定!$C$6),FALSE,TRUE))</f>
        <v>0</v>
      </c>
      <c r="BL265" s="212" t="b">
        <f>IF(J265="",FALSE,IF(L265=0,FALSE,IF(AND(AU263,NOT(BF265),NOT(BI265),P265=""),TRUE,FALSE)))</f>
        <v>0</v>
      </c>
    </row>
    <row r="266" spans="1:67" ht="18" customHeight="1" thickBot="1">
      <c r="A266" s="472"/>
      <c r="B266" s="395" t="s">
        <v>6764</v>
      </c>
      <c r="C266" s="395"/>
      <c r="D266" s="11"/>
      <c r="E266" s="460"/>
      <c r="F266" s="460"/>
      <c r="G266" s="460"/>
      <c r="H266" s="157"/>
      <c r="I266" s="157" t="s">
        <v>6759</v>
      </c>
      <c r="J266" s="173"/>
      <c r="K266" s="157" t="s">
        <v>6761</v>
      </c>
      <c r="L266" s="173"/>
      <c r="M266" s="258"/>
      <c r="N266" s="259"/>
      <c r="O266" s="260"/>
      <c r="P266" s="173"/>
      <c r="Q266" s="459"/>
      <c r="R266" s="416"/>
      <c r="S266" s="136"/>
      <c r="T266" s="137"/>
      <c r="U266" s="137"/>
      <c r="V266" s="137"/>
      <c r="W266" s="137"/>
      <c r="X266" s="137"/>
      <c r="Y266" s="212">
        <f t="shared" ref="Y266" si="3037">IF(OR(E263="",J266=""),0,J266&amp;E263)</f>
        <v>0</v>
      </c>
      <c r="Z266" s="212">
        <f>IF(Y266=0,0,COUNTIF($Y$7:Y266,Y266))</f>
        <v>0</v>
      </c>
      <c r="AD266" s="212">
        <f>IFERROR(VLOOKUP(J266,競技会設定!$T$2:$W$22,2,0),0)</f>
        <v>0</v>
      </c>
      <c r="AE266" s="212">
        <f t="shared" ref="AE266" si="3038">IF(E263="",0,IF(AD266=0,0,IF(AD266&lt;3,E263&amp;$AE$6,0)))</f>
        <v>0</v>
      </c>
      <c r="AF266" s="212">
        <f>IF(AE266=0,0,E263&amp;COUNTIF($AE$7:AE266,AE266))</f>
        <v>0</v>
      </c>
      <c r="AG266" s="212">
        <f t="shared" ref="AG266" si="3039">IF(E263="",0,IF(AD266=0,0,IF(AD266&gt;=3,E263&amp;$AG$6,0)))</f>
        <v>0</v>
      </c>
      <c r="AH266" s="212">
        <f>IF(AG266=0,0,E263&amp;COUNTIF($AG$7:AG266,AG266))</f>
        <v>0</v>
      </c>
      <c r="AI266" s="212">
        <f t="shared" ref="AI266" si="3040">IF($AD266=AI$6,$E263,0)</f>
        <v>0</v>
      </c>
      <c r="AJ266" s="212" t="b">
        <f>IF(AI266=0,FALSE,IF(COUNTIF(AI$7:AI266,AI266)&gt;1,TRUE,FALSE))</f>
        <v>0</v>
      </c>
      <c r="AK266" s="212">
        <f t="shared" ref="AK266" si="3041">IF($AD266=AK$6,$E263,0)</f>
        <v>0</v>
      </c>
      <c r="AL266" s="212" t="b">
        <f>IF(AK266=0,FALSE,IF(COUNTIF(AK$7:AK266,AK266)&gt;1,TRUE,FALSE))</f>
        <v>0</v>
      </c>
      <c r="AM266" s="212">
        <f t="shared" ref="AM266" si="3042">IF(COUNTIF(Y266,"*七種*")&gt;0,0,IF($AD266=AM$6,$E263,0))</f>
        <v>0</v>
      </c>
      <c r="AN266" s="212" t="b">
        <f>IF(AM266=0,FALSE,IF(COUNTIF(AM$7:AM266,AM266)&gt;1,TRUE,FALSE))</f>
        <v>0</v>
      </c>
      <c r="AO266" s="212">
        <f t="shared" ref="AO266" si="3043">IF($AD266=AO$6,$E263,0)</f>
        <v>0</v>
      </c>
      <c r="AP266" s="212" t="b">
        <f>IF(AO266=0,FALSE,IF(COUNTIF(AO$7:AO266,AO266)&gt;1,TRUE,FALSE))</f>
        <v>0</v>
      </c>
      <c r="AQ266" s="212">
        <f t="shared" ref="AQ266" si="3044">IF(COUNTIF(Y266,"*七種競技*")&gt;0,E263,0)</f>
        <v>0</v>
      </c>
      <c r="AR266" s="212" t="b">
        <f t="shared" si="3021"/>
        <v>0</v>
      </c>
      <c r="AT266" s="212" t="b">
        <f t="shared" si="3034"/>
        <v>0</v>
      </c>
      <c r="AX266" s="274"/>
      <c r="BD266" s="212" t="b">
        <f t="shared" si="3008"/>
        <v>0</v>
      </c>
      <c r="BF266" s="212" t="b">
        <f t="shared" ref="BF266" si="3045">IF(J266="",FALSE,IF(OR(AND(AU263,L266=""),AND(AU263,L266="",OR(M266&lt;&gt;"",N266&lt;&gt;"",O266&lt;&gt;"",P266&lt;&gt;""))),TRUE,FALSE))</f>
        <v>0</v>
      </c>
      <c r="BG266" s="212" t="b">
        <f t="shared" si="3010"/>
        <v>0</v>
      </c>
      <c r="BH266" s="212" t="b">
        <f t="shared" si="3023"/>
        <v>0</v>
      </c>
      <c r="BI266" s="212" t="b">
        <f t="shared" ref="BI266" si="3046">IF(J266="",FALSE,IF(L266=0,FALSE,IF(AND(AU263,NOT(BF266),OR(M266="",N266="",O266="")),TRUE,FALSE)))</f>
        <v>0</v>
      </c>
      <c r="BJ266" s="231" t="b">
        <f t="shared" si="3025"/>
        <v>0</v>
      </c>
      <c r="BK266" s="231" t="b">
        <f>IF(NOT(BJ266),FALSE,IF(AND(競技会設定!$C$5&lt;=BJ266,BJ266&lt;=競技会設定!$C$6),FALSE,TRUE))</f>
        <v>0</v>
      </c>
      <c r="BL266" s="212" t="b">
        <f>IF(J266="",FALSE,IF(L266=0,FALSE,IF(AND(AU263,NOT(BF266),NOT(BI266),P266=""),TRUE,FALSE)))</f>
        <v>0</v>
      </c>
    </row>
    <row r="267" spans="1:67" ht="18" customHeight="1" thickTop="1">
      <c r="A267" s="461">
        <v>66</v>
      </c>
      <c r="B267" s="373" t="s">
        <v>4018</v>
      </c>
      <c r="C267" s="375"/>
      <c r="D267" s="158" t="str">
        <f t="shared" ref="D267" si="3047">IF(C267="","",502&amp;TEXT(C267,"000000"))</f>
        <v/>
      </c>
      <c r="E267" s="464" t="str">
        <f>IF(D267="","",(VLOOKUP(D267,女子登録!$A$2:$N$2001,3,0)))</f>
        <v/>
      </c>
      <c r="F267" s="464" t="str">
        <f>IF(D267="","",(VLOOKUP(D267,女子登録!$A$2:$N$2001,4,0)))</f>
        <v/>
      </c>
      <c r="G267" s="158" t="str">
        <f>IF(C267="","",(VLOOKUP(D267,女子登録!$A$2:$N$2001,8,0)))</f>
        <v/>
      </c>
      <c r="H267" s="158">
        <f>IFERROR(VLOOKUP(D267,女子登録!$A$2:$N$2001,11,0),基本情報!$E$5)</f>
        <v>0</v>
      </c>
      <c r="I267" s="158" t="s">
        <v>4019</v>
      </c>
      <c r="J267" s="174"/>
      <c r="K267" s="158" t="s">
        <v>4022</v>
      </c>
      <c r="L267" s="174"/>
      <c r="M267" s="261"/>
      <c r="N267" s="262"/>
      <c r="O267" s="263"/>
      <c r="P267" s="174"/>
      <c r="Q267" s="448"/>
      <c r="R267" s="408"/>
      <c r="S267" s="136">
        <f t="shared" ref="S267" si="3048">IF(OR(E267="",Q267=""),0,E267)</f>
        <v>0</v>
      </c>
      <c r="T267" s="137">
        <f>IF(S267=0,0,COUNTIF($S$7:S267,"*"))</f>
        <v>0</v>
      </c>
      <c r="U267" s="137">
        <f>IF(S267=0,0,COUNTIF($S$7:S267,S267))</f>
        <v>0</v>
      </c>
      <c r="V267" s="137">
        <f t="shared" si="2478"/>
        <v>0</v>
      </c>
      <c r="W267" s="137">
        <f>IF(V267=0,0,COUNTIF($V$7:V267,"*"))</f>
        <v>0</v>
      </c>
      <c r="X267" s="137">
        <f>IF(V267=0,0,COUNTIF($V$7:V267,V267))</f>
        <v>0</v>
      </c>
      <c r="Y267" s="212">
        <f t="shared" ref="Y267" si="3049">IF(OR(E267="",J267=""),0,J267&amp;E267)</f>
        <v>0</v>
      </c>
      <c r="Z267" s="212">
        <f>IF(Y267=0,0,COUNTIF($Y$7:Y267,Y267))</f>
        <v>0</v>
      </c>
      <c r="AA267" s="212" t="b">
        <f>IF(COUNTIF(J267:J270,"七種競技")&gt;0,TRUE,FALSE)</f>
        <v>0</v>
      </c>
      <c r="AB267" s="212">
        <f>IF(E267="",0,IF(AA267,COUNTIF($AA$7:AA267,TRUE),0))</f>
        <v>0</v>
      </c>
      <c r="AC267" s="212">
        <f>IFERROR(VLOOKUP("七種競技",J267:L270,3,0),0)</f>
        <v>0</v>
      </c>
      <c r="AD267" s="212">
        <f>IFERROR(VLOOKUP(J267,競技会設定!$T$2:$W$22,2,0),0)</f>
        <v>0</v>
      </c>
      <c r="AE267" s="212">
        <f t="shared" ref="AE267" si="3050">IF(E267="",0,IF(AD267=0,0,IF(AD267&lt;3,E267&amp;$AE$6,0)))</f>
        <v>0</v>
      </c>
      <c r="AF267" s="212">
        <f>IF(AE267=0,0,E267&amp;COUNTIF($AE$7:AE267,AE267))</f>
        <v>0</v>
      </c>
      <c r="AG267" s="212">
        <f t="shared" ref="AG267" si="3051">IF(E267="",0,IF(AD267=0,0,IF(AD267&gt;=3,E267&amp;$AG$6,0)))</f>
        <v>0</v>
      </c>
      <c r="AH267" s="212">
        <f>IF(AG267=0,0,E267&amp;COUNTIF($AG$7:AG267,AG267))</f>
        <v>0</v>
      </c>
      <c r="AI267" s="212">
        <f t="shared" ref="AI267" si="3052">IF($AD267=AI$6,$E267,0)</f>
        <v>0</v>
      </c>
      <c r="AJ267" s="212" t="b">
        <f>IF(AI267=0,FALSE,IF(COUNTIF(AI$7:AI267,AI267)&gt;1,TRUE,FALSE))</f>
        <v>0</v>
      </c>
      <c r="AK267" s="212">
        <f t="shared" ref="AK267" si="3053">IF($AD267=AK$6,$E267,0)</f>
        <v>0</v>
      </c>
      <c r="AL267" s="212" t="b">
        <f>IF(AK267=0,FALSE,IF(COUNTIF(AK$7:AK267,AK267)&gt;1,TRUE,FALSE))</f>
        <v>0</v>
      </c>
      <c r="AM267" s="212">
        <f t="shared" ref="AM267" si="3054">IF(COUNTIF(Y267,"*七種*")&gt;0,0,IF($AD267=AM$6,$E267,0))</f>
        <v>0</v>
      </c>
      <c r="AN267" s="212" t="b">
        <f>IF(AM267=0,FALSE,IF(COUNTIF(AM$7:AM267,AM267)&gt;1,TRUE,FALSE))</f>
        <v>0</v>
      </c>
      <c r="AO267" s="212">
        <f t="shared" ref="AO267" si="3055">IF($AD267=AO$6,$E267,0)</f>
        <v>0</v>
      </c>
      <c r="AP267" s="212" t="b">
        <f>IF(AO267=0,FALSE,IF(COUNTIF(AO$7:AO267,AO267)&gt;1,TRUE,FALSE))</f>
        <v>0</v>
      </c>
      <c r="AQ267" s="212">
        <f t="shared" ref="AQ267" si="3056">IF(COUNTIF(Y267,"*七種競技*")&gt;0,E267,0)</f>
        <v>0</v>
      </c>
      <c r="AR267" s="212" t="b">
        <f t="shared" si="3021"/>
        <v>0</v>
      </c>
      <c r="AS267" s="212" t="b">
        <f t="shared" ref="AS267" si="3057">IF(AND(C267="",E267&lt;&gt;"",F267&lt;&gt;"",E269&lt;&gt;"",G267&lt;&gt;"",G268&lt;&gt;"",G269&lt;&gt;""),TRUE,FALSE)</f>
        <v>0</v>
      </c>
      <c r="AT267" s="212" t="b">
        <f t="shared" si="3034"/>
        <v>0</v>
      </c>
      <c r="AU267" s="212" t="b">
        <f>IFERROR(IF(E267&amp;F267&amp;E269&amp;G267&amp;G268&amp;G269&amp;J267&amp;J268&amp;J269&amp;J270&amp;L267&amp;L268&amp;L269&amp;L270&amp;M267&amp;M268&amp;M269&amp;M270&amp;P267&amp;P268&amp;P269&amp;P270&amp;Q267&amp;R267="",FALSE,TRUE),FALSE)</f>
        <v>0</v>
      </c>
      <c r="AV267" s="212" t="b">
        <f t="shared" ref="AV267" si="3058">IF(AS267,FALSE,IF(C267="",AU267,FALSE))</f>
        <v>0</v>
      </c>
      <c r="AW267" s="212" t="b">
        <f t="shared" ref="AW267" si="3059">IF(C267="",FALSE,IF(C267&lt;=2000,TRUE,FALSE))</f>
        <v>0</v>
      </c>
      <c r="AX267" s="274" t="b">
        <f>IF(H267=0,FALSE,IF(EXACT(基本情報!$E$5,H267)=TRUE,FALSE,TRUE))</f>
        <v>0</v>
      </c>
      <c r="AY267" s="212" t="b">
        <f>IF(C267="",FALSE,IF(ISNA(E267)=TRUE,TRUE,FALSE))</f>
        <v>0</v>
      </c>
      <c r="AZ267" s="274" t="b">
        <f>IFERROR(IF(E267="",FALSE,IF(COUNTIF($E$7:E267,E267)&gt;1,TRUE,FALSE)),FALSE)</f>
        <v>0</v>
      </c>
      <c r="BA267" s="212" t="b">
        <f t="shared" ref="BA267" si="3060">IF(OR(J267&amp;J268&amp;J269&amp;J270&amp;Q267&amp;R267="",AT267,AT268,AT269,AT270),AU267,FALSE)</f>
        <v>0</v>
      </c>
      <c r="BB267" s="212" t="b">
        <f>IF(U267&gt;1,TRUE,FALSE)</f>
        <v>0</v>
      </c>
      <c r="BC267" s="212" t="b">
        <f>IF(X267&gt;1,TRUE,FALSE)</f>
        <v>0</v>
      </c>
      <c r="BD267" s="212" t="b">
        <f t="shared" si="3008"/>
        <v>0</v>
      </c>
      <c r="BF267" s="212" t="b">
        <f t="shared" ref="BF267" si="3061">IF(J267="",FALSE,IF(OR(AND(AU267,L267=""),AND(AU267,L267="",OR(M267&lt;&gt;"",N267&lt;&gt;"",O267&lt;&gt;"",P267&lt;&gt;""))),TRUE,FALSE))</f>
        <v>0</v>
      </c>
      <c r="BG267" s="212" t="b">
        <f t="shared" si="3010"/>
        <v>0</v>
      </c>
      <c r="BH267" s="212" t="b">
        <f t="shared" si="3023"/>
        <v>0</v>
      </c>
      <c r="BI267" s="212" t="b">
        <f t="shared" ref="BI267" si="3062">IF(J267="",FALSE,IF(L267=0,FALSE,IF(AND(AU267,NOT(BF267),OR(M267="",N267="",O267="")),TRUE,FALSE)))</f>
        <v>0</v>
      </c>
      <c r="BJ267" s="231" t="b">
        <f t="shared" si="3025"/>
        <v>0</v>
      </c>
      <c r="BK267" s="231" t="b">
        <f>IF(NOT(BJ267),FALSE,IF(AND(競技会設定!$C$5&lt;=BJ267,BJ267&lt;=競技会設定!$C$6),FALSE,TRUE))</f>
        <v>0</v>
      </c>
      <c r="BL267" s="212" t="b">
        <f>IF(J267="",FALSE,IF(L267=0,FALSE,IF(AND(AU267,NOT(BF267),NOT(BI267),P267=""),TRUE,FALSE)))</f>
        <v>0</v>
      </c>
      <c r="BO267" s="274">
        <f t="shared" ref="BO267" si="3063">IF(AND(AU267,SUM(COUNTIF(AV267:BC267,TRUE),COUNTIF(BF267:BL270,TRUE),COUNTIF(BD267:BD270,TRUE))=0,NOT($BE$7)),1,0)</f>
        <v>0</v>
      </c>
    </row>
    <row r="268" spans="1:67" ht="17.399999999999999" customHeight="1">
      <c r="A268" s="462"/>
      <c r="B268" s="374"/>
      <c r="C268" s="376"/>
      <c r="D268" s="159"/>
      <c r="E268" s="465"/>
      <c r="F268" s="465"/>
      <c r="G268" s="159" t="str">
        <f>IF(C267="","",(VLOOKUP(D267,女子登録!$A$2:$N$2001,13,0)))</f>
        <v/>
      </c>
      <c r="H268" s="159"/>
      <c r="I268" s="159" t="s">
        <v>4020</v>
      </c>
      <c r="J268" s="175"/>
      <c r="K268" s="159" t="s">
        <v>4023</v>
      </c>
      <c r="L268" s="175"/>
      <c r="M268" s="264"/>
      <c r="N268" s="265"/>
      <c r="O268" s="266"/>
      <c r="P268" s="175"/>
      <c r="Q268" s="449"/>
      <c r="R268" s="409"/>
      <c r="S268" s="136"/>
      <c r="T268" s="137"/>
      <c r="U268" s="137"/>
      <c r="V268" s="137"/>
      <c r="W268" s="137"/>
      <c r="X268" s="137"/>
      <c r="Y268" s="212">
        <f t="shared" ref="Y268" si="3064">IF(OR(E267="",J268=""),0,J268&amp;E267)</f>
        <v>0</v>
      </c>
      <c r="Z268" s="212">
        <f>IF(Y268=0,0,COUNTIF($Y$7:Y268,Y268))</f>
        <v>0</v>
      </c>
      <c r="AD268" s="212">
        <f>IFERROR(VLOOKUP(J268,競技会設定!$T$2:$W$22,2,0),0)</f>
        <v>0</v>
      </c>
      <c r="AE268" s="212">
        <f t="shared" ref="AE268" si="3065">IF(E267="",0,IF(AD268=0,0,IF(AD268&lt;3,E267&amp;$AE$6,0)))</f>
        <v>0</v>
      </c>
      <c r="AF268" s="212">
        <f>IF(AE268=0,0,E267&amp;COUNTIF($AE$7:AE268,AE268))</f>
        <v>0</v>
      </c>
      <c r="AG268" s="212">
        <f t="shared" ref="AG268" si="3066">IF(E267="",0,IF(AD268=0,0,IF(AD268&gt;=3,E267&amp;$AG$6,0)))</f>
        <v>0</v>
      </c>
      <c r="AH268" s="212">
        <f>IF(AG268=0,0,E267&amp;COUNTIF($AG$7:AG268,AG268))</f>
        <v>0</v>
      </c>
      <c r="AI268" s="212">
        <f t="shared" ref="AI268" si="3067">IF($AD268=AI$6,$E267,0)</f>
        <v>0</v>
      </c>
      <c r="AJ268" s="212" t="b">
        <f>IF(AI268=0,FALSE,IF(COUNTIF(AI$7:AI268,AI268)&gt;1,TRUE,FALSE))</f>
        <v>0</v>
      </c>
      <c r="AK268" s="212">
        <f t="shared" ref="AK268" si="3068">IF($AD268=AK$6,$E267,0)</f>
        <v>0</v>
      </c>
      <c r="AL268" s="212" t="b">
        <f>IF(AK268=0,FALSE,IF(COUNTIF(AK$7:AK268,AK268)&gt;1,TRUE,FALSE))</f>
        <v>0</v>
      </c>
      <c r="AM268" s="212">
        <f t="shared" ref="AM268" si="3069">IF(COUNTIF(Y268,"*七種*")&gt;0,0,IF($AD268=AM$6,$E267,0))</f>
        <v>0</v>
      </c>
      <c r="AN268" s="212" t="b">
        <f>IF(AM268=0,FALSE,IF(COUNTIF(AM$7:AM268,AM268)&gt;1,TRUE,FALSE))</f>
        <v>0</v>
      </c>
      <c r="AO268" s="212">
        <f t="shared" ref="AO268" si="3070">IF($AD268=AO$6,$E267,0)</f>
        <v>0</v>
      </c>
      <c r="AP268" s="212" t="b">
        <f>IF(AO268=0,FALSE,IF(COUNTIF(AO$7:AO268,AO268)&gt;1,TRUE,FALSE))</f>
        <v>0</v>
      </c>
      <c r="AQ268" s="212">
        <f t="shared" ref="AQ268" si="3071">IF(COUNTIF(Y268,"*七種競技*")&gt;0,E267,0)</f>
        <v>0</v>
      </c>
      <c r="AR268" s="212" t="b">
        <f t="shared" si="3021"/>
        <v>0</v>
      </c>
      <c r="AT268" s="212" t="b">
        <f t="shared" si="3034"/>
        <v>0</v>
      </c>
      <c r="AX268" s="274"/>
      <c r="BD268" s="212" t="b">
        <f t="shared" si="3008"/>
        <v>0</v>
      </c>
      <c r="BF268" s="212" t="b">
        <f t="shared" ref="BF268" si="3072">IF(J268="",FALSE,IF(OR(AND(AU267,L268=""),AND(AU267,L268="",OR(M268&lt;&gt;"",N268&lt;&gt;"",O268&lt;&gt;"",P268&lt;&gt;""))),TRUE,FALSE))</f>
        <v>0</v>
      </c>
      <c r="BG268" s="212" t="b">
        <f t="shared" si="3010"/>
        <v>0</v>
      </c>
      <c r="BH268" s="212" t="b">
        <f t="shared" si="3023"/>
        <v>0</v>
      </c>
      <c r="BI268" s="212" t="b">
        <f t="shared" ref="BI268" si="3073">IF(J268="",FALSE,IF(L268=0,FALSE,IF(AND(AU267,NOT(BF268),OR(M268="",N268="",O268="")),TRUE,FALSE)))</f>
        <v>0</v>
      </c>
      <c r="BJ268" s="231" t="b">
        <f t="shared" si="3025"/>
        <v>0</v>
      </c>
      <c r="BK268" s="231" t="b">
        <f>IF(NOT(BJ268),FALSE,IF(AND(競技会設定!$C$5&lt;=BJ268,BJ268&lt;=競技会設定!$C$6),FALSE,TRUE))</f>
        <v>0</v>
      </c>
      <c r="BL268" s="212" t="b">
        <f>IF(J268="",FALSE,IF(L268=0,FALSE,IF(AND(AU267,NOT(BF268),NOT(BI268),P268=""),TRUE,FALSE)))</f>
        <v>0</v>
      </c>
    </row>
    <row r="269" spans="1:67" ht="17.399999999999999" customHeight="1">
      <c r="A269" s="462"/>
      <c r="B269" s="374"/>
      <c r="C269" s="376"/>
      <c r="D269" s="160"/>
      <c r="E269" s="452" t="str">
        <f>IF(C267="","",VLOOKUP(D267,女子登録!$A$2:$O$2001,14,0)&amp;" ("&amp;VLOOKUP(D267,女子登録!$A$2:$O$2001,15,0)&amp;")")</f>
        <v/>
      </c>
      <c r="F269" s="453"/>
      <c r="G269" s="160" t="str">
        <f>IF(C267="","",(VLOOKUP(D267,女子登録!$A$2:$N$2001,9,0)))</f>
        <v/>
      </c>
      <c r="H269" s="160"/>
      <c r="I269" s="160" t="s">
        <v>4021</v>
      </c>
      <c r="J269" s="176"/>
      <c r="K269" s="160" t="s">
        <v>6760</v>
      </c>
      <c r="L269" s="176"/>
      <c r="M269" s="264"/>
      <c r="N269" s="265"/>
      <c r="O269" s="266"/>
      <c r="P269" s="175"/>
      <c r="Q269" s="449"/>
      <c r="R269" s="409"/>
      <c r="S269" s="136"/>
      <c r="T269" s="137"/>
      <c r="U269" s="137"/>
      <c r="V269" s="137"/>
      <c r="W269" s="137"/>
      <c r="X269" s="137"/>
      <c r="Y269" s="212">
        <f t="shared" ref="Y269" si="3074">IF(OR(E267="",J269=""),0,J269&amp;E267)</f>
        <v>0</v>
      </c>
      <c r="Z269" s="212">
        <f>IF(Y269=0,0,COUNTIF($Y$7:Y269,Y269))</f>
        <v>0</v>
      </c>
      <c r="AD269" s="212">
        <f>IFERROR(VLOOKUP(J269,競技会設定!$T$2:$W$22,2,0),0)</f>
        <v>0</v>
      </c>
      <c r="AE269" s="212">
        <f t="shared" ref="AE269" si="3075">IF(E267="",0,IF(AD269=0,0,IF(AD269&lt;3,E267&amp;$AE$6,0)))</f>
        <v>0</v>
      </c>
      <c r="AF269" s="212">
        <f>IF(AE269=0,0,E267&amp;COUNTIF($AE$7:AE269,AE269))</f>
        <v>0</v>
      </c>
      <c r="AG269" s="212">
        <f t="shared" ref="AG269" si="3076">IF(E267="",0,IF(AD269=0,0,IF(AD269&gt;=3,E267&amp;$AG$6,0)))</f>
        <v>0</v>
      </c>
      <c r="AH269" s="212">
        <f>IF(AG269=0,0,E267&amp;COUNTIF($AG$7:AG269,AG269))</f>
        <v>0</v>
      </c>
      <c r="AI269" s="212">
        <f t="shared" ref="AI269" si="3077">IF($AD269=AI$6,$E267,0)</f>
        <v>0</v>
      </c>
      <c r="AJ269" s="212" t="b">
        <f>IF(AI269=0,FALSE,IF(COUNTIF(AI$7:AI269,AI269)&gt;1,TRUE,FALSE))</f>
        <v>0</v>
      </c>
      <c r="AK269" s="212">
        <f t="shared" ref="AK269" si="3078">IF($AD269=AK$6,$E267,0)</f>
        <v>0</v>
      </c>
      <c r="AL269" s="212" t="b">
        <f>IF(AK269=0,FALSE,IF(COUNTIF(AK$7:AK269,AK269)&gt;1,TRUE,FALSE))</f>
        <v>0</v>
      </c>
      <c r="AM269" s="212">
        <f t="shared" ref="AM269" si="3079">IF(COUNTIF(Y269,"*七種*")&gt;0,0,IF($AD269=AM$6,$E267,0))</f>
        <v>0</v>
      </c>
      <c r="AN269" s="212" t="b">
        <f>IF(AM269=0,FALSE,IF(COUNTIF(AM$7:AM269,AM269)&gt;1,TRUE,FALSE))</f>
        <v>0</v>
      </c>
      <c r="AO269" s="212">
        <f t="shared" ref="AO269" si="3080">IF($AD269=AO$6,$E267,0)</f>
        <v>0</v>
      </c>
      <c r="AP269" s="212" t="b">
        <f>IF(AO269=0,FALSE,IF(COUNTIF(AO$7:AO269,AO269)&gt;1,TRUE,FALSE))</f>
        <v>0</v>
      </c>
      <c r="AQ269" s="212">
        <f t="shared" ref="AQ269" si="3081">IF(COUNTIF(Y269,"*七種競技*")&gt;0,E267,0)</f>
        <v>0</v>
      </c>
      <c r="AR269" s="212" t="b">
        <f t="shared" si="3021"/>
        <v>0</v>
      </c>
      <c r="AT269" s="212" t="b">
        <f t="shared" si="3034"/>
        <v>0</v>
      </c>
      <c r="AX269" s="274"/>
      <c r="BD269" s="212" t="b">
        <f t="shared" si="3008"/>
        <v>0</v>
      </c>
      <c r="BF269" s="212" t="b">
        <f t="shared" ref="BF269" si="3082">IF(J269="",FALSE,IF(OR(AND(AU267,L269=""),AND(AU267,L269="",OR(M269&lt;&gt;"",N269&lt;&gt;"",O269&lt;&gt;"",P269&lt;&gt;""))),TRUE,FALSE))</f>
        <v>0</v>
      </c>
      <c r="BG269" s="212" t="b">
        <f t="shared" si="3010"/>
        <v>0</v>
      </c>
      <c r="BH269" s="212" t="b">
        <f t="shared" si="3023"/>
        <v>0</v>
      </c>
      <c r="BI269" s="212" t="b">
        <f t="shared" ref="BI269" si="3083">IF(J269="",FALSE,IF(L269=0,FALSE,IF(AND(AU267,NOT(BF269),OR(M269="",N269="",O269="")),TRUE,FALSE)))</f>
        <v>0</v>
      </c>
      <c r="BJ269" s="231" t="b">
        <f t="shared" si="3025"/>
        <v>0</v>
      </c>
      <c r="BK269" s="231" t="b">
        <f>IF(NOT(BJ269),FALSE,IF(AND(競技会設定!$C$5&lt;=BJ269,BJ269&lt;=競技会設定!$C$6),FALSE,TRUE))</f>
        <v>0</v>
      </c>
      <c r="BL269" s="212" t="b">
        <f>IF(J269="",FALSE,IF(L269=0,FALSE,IF(AND(AU267,NOT(BF269),NOT(BI269),P269=""),TRUE,FALSE)))</f>
        <v>0</v>
      </c>
    </row>
    <row r="270" spans="1:67" ht="18" customHeight="1" thickBot="1">
      <c r="A270" s="475"/>
      <c r="B270" s="387" t="s">
        <v>6764</v>
      </c>
      <c r="C270" s="387"/>
      <c r="D270" s="161"/>
      <c r="E270" s="467"/>
      <c r="F270" s="468"/>
      <c r="G270" s="469"/>
      <c r="H270" s="162"/>
      <c r="I270" s="161" t="s">
        <v>6759</v>
      </c>
      <c r="J270" s="177"/>
      <c r="K270" s="161" t="s">
        <v>6761</v>
      </c>
      <c r="L270" s="177"/>
      <c r="M270" s="267"/>
      <c r="N270" s="268"/>
      <c r="O270" s="269"/>
      <c r="P270" s="177"/>
      <c r="Q270" s="466"/>
      <c r="R270" s="410"/>
      <c r="S270" s="136"/>
      <c r="T270" s="137"/>
      <c r="U270" s="137"/>
      <c r="V270" s="137"/>
      <c r="W270" s="137"/>
      <c r="X270" s="137"/>
      <c r="Y270" s="212">
        <f t="shared" ref="Y270" si="3084">IF(OR(E267="",J270=""),0,J270&amp;E267)</f>
        <v>0</v>
      </c>
      <c r="Z270" s="212">
        <f>IF(Y270=0,0,COUNTIF($Y$7:Y270,Y270))</f>
        <v>0</v>
      </c>
      <c r="AD270" s="212">
        <f>IFERROR(VLOOKUP(J270,競技会設定!$T$2:$W$22,2,0),0)</f>
        <v>0</v>
      </c>
      <c r="AE270" s="212">
        <f t="shared" ref="AE270" si="3085">IF(E267="",0,IF(AD270=0,0,IF(AD270&lt;3,E267&amp;$AE$6,0)))</f>
        <v>0</v>
      </c>
      <c r="AF270" s="212">
        <f>IF(AE270=0,0,E267&amp;COUNTIF($AE$7:AE270,AE270))</f>
        <v>0</v>
      </c>
      <c r="AG270" s="212">
        <f t="shared" ref="AG270" si="3086">IF(E267="",0,IF(AD270=0,0,IF(AD270&gt;=3,E267&amp;$AG$6,0)))</f>
        <v>0</v>
      </c>
      <c r="AH270" s="212">
        <f>IF(AG270=0,0,E267&amp;COUNTIF($AG$7:AG270,AG270))</f>
        <v>0</v>
      </c>
      <c r="AI270" s="212">
        <f t="shared" ref="AI270" si="3087">IF($AD270=AI$6,$E267,0)</f>
        <v>0</v>
      </c>
      <c r="AJ270" s="212" t="b">
        <f>IF(AI270=0,FALSE,IF(COUNTIF(AI$7:AI270,AI270)&gt;1,TRUE,FALSE))</f>
        <v>0</v>
      </c>
      <c r="AK270" s="212">
        <f t="shared" ref="AK270" si="3088">IF($AD270=AK$6,$E267,0)</f>
        <v>0</v>
      </c>
      <c r="AL270" s="212" t="b">
        <f>IF(AK270=0,FALSE,IF(COUNTIF(AK$7:AK270,AK270)&gt;1,TRUE,FALSE))</f>
        <v>0</v>
      </c>
      <c r="AM270" s="212">
        <f t="shared" ref="AM270" si="3089">IF(COUNTIF(Y270,"*七種*")&gt;0,0,IF($AD270=AM$6,$E267,0))</f>
        <v>0</v>
      </c>
      <c r="AN270" s="212" t="b">
        <f>IF(AM270=0,FALSE,IF(COUNTIF(AM$7:AM270,AM270)&gt;1,TRUE,FALSE))</f>
        <v>0</v>
      </c>
      <c r="AO270" s="212">
        <f t="shared" ref="AO270" si="3090">IF($AD270=AO$6,$E267,0)</f>
        <v>0</v>
      </c>
      <c r="AP270" s="212" t="b">
        <f>IF(AO270=0,FALSE,IF(COUNTIF(AO$7:AO270,AO270)&gt;1,TRUE,FALSE))</f>
        <v>0</v>
      </c>
      <c r="AQ270" s="212">
        <f t="shared" ref="AQ270" si="3091">IF(COUNTIF(Y270,"*七種競技*")&gt;0,E267,0)</f>
        <v>0</v>
      </c>
      <c r="AR270" s="212" t="b">
        <f t="shared" si="3021"/>
        <v>0</v>
      </c>
      <c r="AT270" s="212" t="b">
        <f t="shared" si="3034"/>
        <v>0</v>
      </c>
      <c r="AX270" s="274"/>
      <c r="BD270" s="212" t="b">
        <f t="shared" si="3008"/>
        <v>0</v>
      </c>
      <c r="BF270" s="212" t="b">
        <f t="shared" ref="BF270" si="3092">IF(J270="",FALSE,IF(OR(AND(AU267,L270=""),AND(AU267,L270="",OR(M270&lt;&gt;"",N270&lt;&gt;"",O270&lt;&gt;"",P270&lt;&gt;""))),TRUE,FALSE))</f>
        <v>0</v>
      </c>
      <c r="BG270" s="212" t="b">
        <f t="shared" si="3010"/>
        <v>0</v>
      </c>
      <c r="BH270" s="212" t="b">
        <f t="shared" si="3023"/>
        <v>0</v>
      </c>
      <c r="BI270" s="212" t="b">
        <f t="shared" ref="BI270" si="3093">IF(J270="",FALSE,IF(L270=0,FALSE,IF(AND(AU267,NOT(BF270),OR(M270="",N270="",O270="")),TRUE,FALSE)))</f>
        <v>0</v>
      </c>
      <c r="BJ270" s="231" t="b">
        <f t="shared" si="3025"/>
        <v>0</v>
      </c>
      <c r="BK270" s="231" t="b">
        <f>IF(NOT(BJ270),FALSE,IF(AND(競技会設定!$C$5&lt;=BJ270,BJ270&lt;=競技会設定!$C$6),FALSE,TRUE))</f>
        <v>0</v>
      </c>
      <c r="BL270" s="212" t="b">
        <f>IF(J270="",FALSE,IF(L270=0,FALSE,IF(AND(AU267,NOT(BF270),NOT(BI270),P270=""),TRUE,FALSE)))</f>
        <v>0</v>
      </c>
    </row>
    <row r="271" spans="1:67" ht="18" customHeight="1" thickTop="1">
      <c r="A271" s="470">
        <v>67</v>
      </c>
      <c r="B271" s="401" t="s">
        <v>4018</v>
      </c>
      <c r="C271" s="403"/>
      <c r="D271" s="156" t="str">
        <f t="shared" ref="D271" si="3094">IF(C271="","",502&amp;TEXT(C271,"000000"))</f>
        <v/>
      </c>
      <c r="E271" s="473" t="str">
        <f>IF(D271="","",(VLOOKUP(D271,女子登録!$A$2:$N$2001,3,0)))</f>
        <v/>
      </c>
      <c r="F271" s="473" t="str">
        <f>IF(D271="","",(VLOOKUP(D271,女子登録!$A$2:$N$2001,4,0)))</f>
        <v/>
      </c>
      <c r="G271" s="156" t="str">
        <f>IF(C271="","",(VLOOKUP(D271,女子登録!$A$2:$N$2001,8,0)))</f>
        <v/>
      </c>
      <c r="H271" s="156">
        <f>IFERROR(VLOOKUP(D271,女子登録!$A$2:$N$2001,11,0),基本情報!$E$5)</f>
        <v>0</v>
      </c>
      <c r="I271" s="156" t="s">
        <v>4019</v>
      </c>
      <c r="J271" s="170"/>
      <c r="K271" s="156" t="s">
        <v>4022</v>
      </c>
      <c r="L271" s="170"/>
      <c r="M271" s="252"/>
      <c r="N271" s="253"/>
      <c r="O271" s="254"/>
      <c r="P271" s="170"/>
      <c r="Q271" s="457"/>
      <c r="R271" s="414"/>
      <c r="S271" s="136">
        <f t="shared" ref="S271" si="3095">IF(OR(E271="",Q271=""),0,E271)</f>
        <v>0</v>
      </c>
      <c r="T271" s="137">
        <f>IF(S271=0,0,COUNTIF($S$7:S271,"*"))</f>
        <v>0</v>
      </c>
      <c r="U271" s="137">
        <f>IF(S271=0,0,COUNTIF($S$7:S271,S271))</f>
        <v>0</v>
      </c>
      <c r="V271" s="137">
        <f t="shared" si="2478"/>
        <v>0</v>
      </c>
      <c r="W271" s="137">
        <f>IF(V271=0,0,COUNTIF($V$7:V271,"*"))</f>
        <v>0</v>
      </c>
      <c r="X271" s="137">
        <f>IF(V271=0,0,COUNTIF($V$7:V271,V271))</f>
        <v>0</v>
      </c>
      <c r="Y271" s="212">
        <f t="shared" ref="Y271" si="3096">IF(OR(E271="",J271=""),0,J271&amp;E271)</f>
        <v>0</v>
      </c>
      <c r="Z271" s="212">
        <f>IF(Y271=0,0,COUNTIF($Y$7:Y271,Y271))</f>
        <v>0</v>
      </c>
      <c r="AA271" s="212" t="b">
        <f>IF(COUNTIF(J271:J274,"七種競技")&gt;0,TRUE,FALSE)</f>
        <v>0</v>
      </c>
      <c r="AB271" s="212">
        <f>IF(E271="",0,IF(AA271,COUNTIF($AA$7:AA271,TRUE),0))</f>
        <v>0</v>
      </c>
      <c r="AC271" s="212">
        <f>IFERROR(VLOOKUP("七種競技",J271:L274,3,0),0)</f>
        <v>0</v>
      </c>
      <c r="AD271" s="212">
        <f>IFERROR(VLOOKUP(J271,競技会設定!$T$2:$W$22,2,0),0)</f>
        <v>0</v>
      </c>
      <c r="AE271" s="212">
        <f t="shared" ref="AE271" si="3097">IF(E271="",0,IF(AD271=0,0,IF(AD271&lt;3,E271&amp;$AE$6,0)))</f>
        <v>0</v>
      </c>
      <c r="AF271" s="212">
        <f>IF(AE271=0,0,E271&amp;COUNTIF($AE$7:AE271,AE271))</f>
        <v>0</v>
      </c>
      <c r="AG271" s="212">
        <f t="shared" ref="AG271" si="3098">IF(E271="",0,IF(AD271=0,0,IF(AD271&gt;=3,E271&amp;$AG$6,0)))</f>
        <v>0</v>
      </c>
      <c r="AH271" s="212">
        <f>IF(AG271=0,0,E271&amp;COUNTIF($AG$7:AG271,AG271))</f>
        <v>0</v>
      </c>
      <c r="AI271" s="212">
        <f t="shared" ref="AI271" si="3099">IF($AD271=AI$6,$E271,0)</f>
        <v>0</v>
      </c>
      <c r="AJ271" s="212" t="b">
        <f>IF(AI271=0,FALSE,IF(COUNTIF(AI$7:AI271,AI271)&gt;1,TRUE,FALSE))</f>
        <v>0</v>
      </c>
      <c r="AK271" s="212">
        <f t="shared" ref="AK271" si="3100">IF($AD271=AK$6,$E271,0)</f>
        <v>0</v>
      </c>
      <c r="AL271" s="212" t="b">
        <f>IF(AK271=0,FALSE,IF(COUNTIF(AK$7:AK271,AK271)&gt;1,TRUE,FALSE))</f>
        <v>0</v>
      </c>
      <c r="AM271" s="212">
        <f t="shared" ref="AM271" si="3101">IF(COUNTIF(Y271,"*七種*")&gt;0,0,IF($AD271=AM$6,$E271,0))</f>
        <v>0</v>
      </c>
      <c r="AN271" s="212" t="b">
        <f>IF(AM271=0,FALSE,IF(COUNTIF(AM$7:AM271,AM271)&gt;1,TRUE,FALSE))</f>
        <v>0</v>
      </c>
      <c r="AO271" s="212">
        <f t="shared" ref="AO271" si="3102">IF($AD271=AO$6,$E271,0)</f>
        <v>0</v>
      </c>
      <c r="AP271" s="212" t="b">
        <f>IF(AO271=0,FALSE,IF(COUNTIF(AO$7:AO271,AO271)&gt;1,TRUE,FALSE))</f>
        <v>0</v>
      </c>
      <c r="AQ271" s="212">
        <f t="shared" ref="AQ271" si="3103">IF(COUNTIF(Y271,"*七種競技*")&gt;0,E271,0)</f>
        <v>0</v>
      </c>
      <c r="AR271" s="212" t="b">
        <f t="shared" si="3021"/>
        <v>0</v>
      </c>
      <c r="AS271" s="212" t="b">
        <f t="shared" ref="AS271" si="3104">IF(AND(C271="",E271&lt;&gt;"",F271&lt;&gt;"",E273&lt;&gt;"",G271&lt;&gt;"",G272&lt;&gt;"",G273&lt;&gt;""),TRUE,FALSE)</f>
        <v>0</v>
      </c>
      <c r="AT271" s="212" t="b">
        <f t="shared" si="3034"/>
        <v>0</v>
      </c>
      <c r="AU271" s="212" t="b">
        <f>IFERROR(IF(E271&amp;F271&amp;E273&amp;G271&amp;G272&amp;G273&amp;J271&amp;J272&amp;J273&amp;J274&amp;L271&amp;L272&amp;L273&amp;L274&amp;M271&amp;M272&amp;M273&amp;M274&amp;P271&amp;P272&amp;P273&amp;P274&amp;Q271&amp;R271="",FALSE,TRUE),FALSE)</f>
        <v>0</v>
      </c>
      <c r="AV271" s="212" t="b">
        <f t="shared" ref="AV271" si="3105">IF(AS271,FALSE,IF(C271="",AU271,FALSE))</f>
        <v>0</v>
      </c>
      <c r="AW271" s="212" t="b">
        <f t="shared" ref="AW271" si="3106">IF(C271="",FALSE,IF(C271&lt;=2000,TRUE,FALSE))</f>
        <v>0</v>
      </c>
      <c r="AX271" s="274" t="b">
        <f>IF(H271=0,FALSE,IF(EXACT(基本情報!$E$5,H271)=TRUE,FALSE,TRUE))</f>
        <v>0</v>
      </c>
      <c r="AY271" s="212" t="b">
        <f>IF(C271="",FALSE,IF(ISNA(E271)=TRUE,TRUE,FALSE))</f>
        <v>0</v>
      </c>
      <c r="AZ271" s="274" t="b">
        <f>IFERROR(IF(E271="",FALSE,IF(COUNTIF($E$7:E271,E271)&gt;1,TRUE,FALSE)),FALSE)</f>
        <v>0</v>
      </c>
      <c r="BA271" s="212" t="b">
        <f t="shared" ref="BA271" si="3107">IF(OR(J271&amp;J272&amp;J273&amp;J274&amp;Q271&amp;R271="",AT271,AT272,AT273,AT274),AU271,FALSE)</f>
        <v>0</v>
      </c>
      <c r="BB271" s="212" t="b">
        <f>IF(U271&gt;1,TRUE,FALSE)</f>
        <v>0</v>
      </c>
      <c r="BC271" s="212" t="b">
        <f>IF(X271&gt;1,TRUE,FALSE)</f>
        <v>0</v>
      </c>
      <c r="BD271" s="212" t="b">
        <f t="shared" si="3008"/>
        <v>0</v>
      </c>
      <c r="BF271" s="212" t="b">
        <f t="shared" ref="BF271" si="3108">IF(J271="",FALSE,IF(OR(AND(AU271,L271=""),AND(AU271,L271="",OR(M271&lt;&gt;"",N271&lt;&gt;"",O271&lt;&gt;"",P271&lt;&gt;""))),TRUE,FALSE))</f>
        <v>0</v>
      </c>
      <c r="BG271" s="212" t="b">
        <f t="shared" si="3010"/>
        <v>0</v>
      </c>
      <c r="BH271" s="212" t="b">
        <f t="shared" si="3023"/>
        <v>0</v>
      </c>
      <c r="BI271" s="212" t="b">
        <f t="shared" ref="BI271" si="3109">IF(J271="",FALSE,IF(L271=0,FALSE,IF(AND(AU271,NOT(BF271),OR(M271="",N271="",O271="")),TRUE,FALSE)))</f>
        <v>0</v>
      </c>
      <c r="BJ271" s="231" t="b">
        <f t="shared" si="3025"/>
        <v>0</v>
      </c>
      <c r="BK271" s="231" t="b">
        <f>IF(NOT(BJ271),FALSE,IF(AND(競技会設定!$C$5&lt;=BJ271,BJ271&lt;=競技会設定!$C$6),FALSE,TRUE))</f>
        <v>0</v>
      </c>
      <c r="BL271" s="212" t="b">
        <f>IF(J271="",FALSE,IF(L271=0,FALSE,IF(AND(AU271,NOT(BF271),NOT(BI271),P271=""),TRUE,FALSE)))</f>
        <v>0</v>
      </c>
      <c r="BO271" s="274">
        <f t="shared" ref="BO271" si="3110">IF(AND(AU271,SUM(COUNTIF(AV271:BC271,TRUE),COUNTIF(BF271:BL274,TRUE),COUNTIF(BD271:BD274,TRUE))=0,NOT($BE$7)),1,0)</f>
        <v>0</v>
      </c>
    </row>
    <row r="272" spans="1:67" ht="17.399999999999999" customHeight="1">
      <c r="A272" s="471"/>
      <c r="B272" s="402"/>
      <c r="C272" s="404"/>
      <c r="D272" s="11"/>
      <c r="E272" s="474"/>
      <c r="F272" s="474"/>
      <c r="G272" s="11" t="str">
        <f>IF(C271="","",(VLOOKUP(D271,女子登録!$A$2:$N$2001,13,0)))</f>
        <v/>
      </c>
      <c r="H272" s="11"/>
      <c r="I272" s="11" t="s">
        <v>4020</v>
      </c>
      <c r="J272" s="171"/>
      <c r="K272" s="11" t="s">
        <v>4023</v>
      </c>
      <c r="L272" s="171"/>
      <c r="M272" s="255"/>
      <c r="N272" s="256"/>
      <c r="O272" s="257"/>
      <c r="P272" s="171"/>
      <c r="Q272" s="458"/>
      <c r="R272" s="415"/>
      <c r="S272" s="136"/>
      <c r="T272" s="137"/>
      <c r="U272" s="137"/>
      <c r="V272" s="137"/>
      <c r="W272" s="137"/>
      <c r="X272" s="137"/>
      <c r="Y272" s="212">
        <f t="shared" ref="Y272" si="3111">IF(OR(E271="",J272=""),0,J272&amp;E271)</f>
        <v>0</v>
      </c>
      <c r="Z272" s="212">
        <f>IF(Y272=0,0,COUNTIF($Y$7:Y272,Y272))</f>
        <v>0</v>
      </c>
      <c r="AD272" s="212">
        <f>IFERROR(VLOOKUP(J272,競技会設定!$T$2:$W$22,2,0),0)</f>
        <v>0</v>
      </c>
      <c r="AE272" s="212">
        <f t="shared" ref="AE272" si="3112">IF(E271="",0,IF(AD272=0,0,IF(AD272&lt;3,E271&amp;$AE$6,0)))</f>
        <v>0</v>
      </c>
      <c r="AF272" s="212">
        <f>IF(AE272=0,0,E271&amp;COUNTIF($AE$7:AE272,AE272))</f>
        <v>0</v>
      </c>
      <c r="AG272" s="212">
        <f t="shared" ref="AG272" si="3113">IF(E271="",0,IF(AD272=0,0,IF(AD272&gt;=3,E271&amp;$AG$6,0)))</f>
        <v>0</v>
      </c>
      <c r="AH272" s="212">
        <f>IF(AG272=0,0,E271&amp;COUNTIF($AG$7:AG272,AG272))</f>
        <v>0</v>
      </c>
      <c r="AI272" s="212">
        <f t="shared" ref="AI272" si="3114">IF($AD272=AI$6,$E271,0)</f>
        <v>0</v>
      </c>
      <c r="AJ272" s="212" t="b">
        <f>IF(AI272=0,FALSE,IF(COUNTIF(AI$7:AI272,AI272)&gt;1,TRUE,FALSE))</f>
        <v>0</v>
      </c>
      <c r="AK272" s="212">
        <f t="shared" ref="AK272" si="3115">IF($AD272=AK$6,$E271,0)</f>
        <v>0</v>
      </c>
      <c r="AL272" s="212" t="b">
        <f>IF(AK272=0,FALSE,IF(COUNTIF(AK$7:AK272,AK272)&gt;1,TRUE,FALSE))</f>
        <v>0</v>
      </c>
      <c r="AM272" s="212">
        <f t="shared" ref="AM272" si="3116">IF(COUNTIF(Y272,"*七種*")&gt;0,0,IF($AD272=AM$6,$E271,0))</f>
        <v>0</v>
      </c>
      <c r="AN272" s="212" t="b">
        <f>IF(AM272=0,FALSE,IF(COUNTIF(AM$7:AM272,AM272)&gt;1,TRUE,FALSE))</f>
        <v>0</v>
      </c>
      <c r="AO272" s="212">
        <f t="shared" ref="AO272" si="3117">IF($AD272=AO$6,$E271,0)</f>
        <v>0</v>
      </c>
      <c r="AP272" s="212" t="b">
        <f>IF(AO272=0,FALSE,IF(COUNTIF(AO$7:AO272,AO272)&gt;1,TRUE,FALSE))</f>
        <v>0</v>
      </c>
      <c r="AQ272" s="212">
        <f t="shared" ref="AQ272" si="3118">IF(COUNTIF(Y272,"*七種競技*")&gt;0,E271,0)</f>
        <v>0</v>
      </c>
      <c r="AR272" s="212" t="b">
        <f t="shared" si="3021"/>
        <v>0</v>
      </c>
      <c r="AT272" s="212" t="b">
        <f t="shared" si="3034"/>
        <v>0</v>
      </c>
      <c r="AX272" s="274"/>
      <c r="BD272" s="212" t="b">
        <f t="shared" si="3008"/>
        <v>0</v>
      </c>
      <c r="BF272" s="212" t="b">
        <f t="shared" ref="BF272" si="3119">IF(J272="",FALSE,IF(OR(AND(AU271,L272=""),AND(AU271,L272="",OR(M272&lt;&gt;"",N272&lt;&gt;"",O272&lt;&gt;"",P272&lt;&gt;""))),TRUE,FALSE))</f>
        <v>0</v>
      </c>
      <c r="BG272" s="212" t="b">
        <f t="shared" si="3010"/>
        <v>0</v>
      </c>
      <c r="BH272" s="212" t="b">
        <f t="shared" si="3023"/>
        <v>0</v>
      </c>
      <c r="BI272" s="212" t="b">
        <f t="shared" ref="BI272" si="3120">IF(J272="",FALSE,IF(L272=0,FALSE,IF(AND(AU271,NOT(BF272),OR(M272="",N272="",O272="")),TRUE,FALSE)))</f>
        <v>0</v>
      </c>
      <c r="BJ272" s="231" t="b">
        <f t="shared" si="3025"/>
        <v>0</v>
      </c>
      <c r="BK272" s="231" t="b">
        <f>IF(NOT(BJ272),FALSE,IF(AND(競技会設定!$C$5&lt;=BJ272,BJ272&lt;=競技会設定!$C$6),FALSE,TRUE))</f>
        <v>0</v>
      </c>
      <c r="BL272" s="212" t="b">
        <f>IF(J272="",FALSE,IF(L272=0,FALSE,IF(AND(AU271,NOT(BF272),NOT(BI272),P272=""),TRUE,FALSE)))</f>
        <v>0</v>
      </c>
    </row>
    <row r="273" spans="1:67" ht="17.399999999999999" customHeight="1">
      <c r="A273" s="471"/>
      <c r="B273" s="402"/>
      <c r="C273" s="404"/>
      <c r="D273" s="11"/>
      <c r="E273" s="348" t="str">
        <f>IF(C271="","",VLOOKUP(D271,女子登録!$A$2:$O$2001,14,0)&amp;" ("&amp;VLOOKUP(D271,女子登録!$A$2:$O$2001,15,0)&amp;")")</f>
        <v/>
      </c>
      <c r="F273" s="348"/>
      <c r="G273" s="13" t="str">
        <f>IF(C271="","",(VLOOKUP(D271,女子登録!$A$2:$N$2001,9,0)))</f>
        <v/>
      </c>
      <c r="H273" s="13"/>
      <c r="I273" s="13" t="s">
        <v>4021</v>
      </c>
      <c r="J273" s="172"/>
      <c r="K273" s="13" t="s">
        <v>6760</v>
      </c>
      <c r="L273" s="172"/>
      <c r="M273" s="255"/>
      <c r="N273" s="256"/>
      <c r="O273" s="257"/>
      <c r="P273" s="171"/>
      <c r="Q273" s="458"/>
      <c r="R273" s="415"/>
      <c r="S273" s="136"/>
      <c r="T273" s="137"/>
      <c r="U273" s="137"/>
      <c r="V273" s="137"/>
      <c r="W273" s="137"/>
      <c r="X273" s="137"/>
      <c r="Y273" s="212">
        <f t="shared" ref="Y273" si="3121">IF(OR(E271="",J273=""),0,J273&amp;E271)</f>
        <v>0</v>
      </c>
      <c r="Z273" s="212">
        <f>IF(Y273=0,0,COUNTIF($Y$7:Y273,Y273))</f>
        <v>0</v>
      </c>
      <c r="AD273" s="212">
        <f>IFERROR(VLOOKUP(J273,競技会設定!$T$2:$W$22,2,0),0)</f>
        <v>0</v>
      </c>
      <c r="AE273" s="212">
        <f t="shared" ref="AE273" si="3122">IF(E271="",0,IF(AD273=0,0,IF(AD273&lt;3,E271&amp;$AE$6,0)))</f>
        <v>0</v>
      </c>
      <c r="AF273" s="212">
        <f>IF(AE273=0,0,E271&amp;COUNTIF($AE$7:AE273,AE273))</f>
        <v>0</v>
      </c>
      <c r="AG273" s="212">
        <f t="shared" ref="AG273" si="3123">IF(E271="",0,IF(AD273=0,0,IF(AD273&gt;=3,E271&amp;$AG$6,0)))</f>
        <v>0</v>
      </c>
      <c r="AH273" s="212">
        <f>IF(AG273=0,0,E271&amp;COUNTIF($AG$7:AG273,AG273))</f>
        <v>0</v>
      </c>
      <c r="AI273" s="212">
        <f t="shared" ref="AI273" si="3124">IF($AD273=AI$6,$E271,0)</f>
        <v>0</v>
      </c>
      <c r="AJ273" s="212" t="b">
        <f>IF(AI273=0,FALSE,IF(COUNTIF(AI$7:AI273,AI273)&gt;1,TRUE,FALSE))</f>
        <v>0</v>
      </c>
      <c r="AK273" s="212">
        <f t="shared" ref="AK273" si="3125">IF($AD273=AK$6,$E271,0)</f>
        <v>0</v>
      </c>
      <c r="AL273" s="212" t="b">
        <f>IF(AK273=0,FALSE,IF(COUNTIF(AK$7:AK273,AK273)&gt;1,TRUE,FALSE))</f>
        <v>0</v>
      </c>
      <c r="AM273" s="212">
        <f t="shared" ref="AM273" si="3126">IF(COUNTIF(Y273,"*七種*")&gt;0,0,IF($AD273=AM$6,$E271,0))</f>
        <v>0</v>
      </c>
      <c r="AN273" s="212" t="b">
        <f>IF(AM273=0,FALSE,IF(COUNTIF(AM$7:AM273,AM273)&gt;1,TRUE,FALSE))</f>
        <v>0</v>
      </c>
      <c r="AO273" s="212">
        <f t="shared" ref="AO273" si="3127">IF($AD273=AO$6,$E271,0)</f>
        <v>0</v>
      </c>
      <c r="AP273" s="212" t="b">
        <f>IF(AO273=0,FALSE,IF(COUNTIF(AO$7:AO273,AO273)&gt;1,TRUE,FALSE))</f>
        <v>0</v>
      </c>
      <c r="AQ273" s="212">
        <f t="shared" ref="AQ273" si="3128">IF(COUNTIF(Y273,"*七種競技*")&gt;0,E271,0)</f>
        <v>0</v>
      </c>
      <c r="AR273" s="212" t="b">
        <f t="shared" si="3021"/>
        <v>0</v>
      </c>
      <c r="AT273" s="212" t="b">
        <f t="shared" si="3034"/>
        <v>0</v>
      </c>
      <c r="AX273" s="274"/>
      <c r="BD273" s="212" t="b">
        <f t="shared" si="3008"/>
        <v>0</v>
      </c>
      <c r="BF273" s="212" t="b">
        <f t="shared" ref="BF273" si="3129">IF(J273="",FALSE,IF(OR(AND(AU271,L273=""),AND(AU271,L273="",OR(M273&lt;&gt;"",N273&lt;&gt;"",O273&lt;&gt;"",P273&lt;&gt;""))),TRUE,FALSE))</f>
        <v>0</v>
      </c>
      <c r="BG273" s="212" t="b">
        <f t="shared" si="3010"/>
        <v>0</v>
      </c>
      <c r="BH273" s="212" t="b">
        <f t="shared" si="3023"/>
        <v>0</v>
      </c>
      <c r="BI273" s="212" t="b">
        <f t="shared" ref="BI273" si="3130">IF(J273="",FALSE,IF(L273=0,FALSE,IF(AND(AU271,NOT(BF273),OR(M273="",N273="",O273="")),TRUE,FALSE)))</f>
        <v>0</v>
      </c>
      <c r="BJ273" s="231" t="b">
        <f t="shared" si="3025"/>
        <v>0</v>
      </c>
      <c r="BK273" s="231" t="b">
        <f>IF(NOT(BJ273),FALSE,IF(AND(競技会設定!$C$5&lt;=BJ273,BJ273&lt;=競技会設定!$C$6),FALSE,TRUE))</f>
        <v>0</v>
      </c>
      <c r="BL273" s="212" t="b">
        <f>IF(J273="",FALSE,IF(L273=0,FALSE,IF(AND(AU271,NOT(BF273),NOT(BI273),P273=""),TRUE,FALSE)))</f>
        <v>0</v>
      </c>
    </row>
    <row r="274" spans="1:67" ht="18" customHeight="1" thickBot="1">
      <c r="A274" s="472"/>
      <c r="B274" s="395" t="s">
        <v>6764</v>
      </c>
      <c r="C274" s="395"/>
      <c r="D274" s="11"/>
      <c r="E274" s="460"/>
      <c r="F274" s="460"/>
      <c r="G274" s="460"/>
      <c r="H274" s="157"/>
      <c r="I274" s="157" t="s">
        <v>6759</v>
      </c>
      <c r="J274" s="173"/>
      <c r="K274" s="157" t="s">
        <v>6761</v>
      </c>
      <c r="L274" s="173"/>
      <c r="M274" s="258"/>
      <c r="N274" s="259"/>
      <c r="O274" s="260"/>
      <c r="P274" s="173"/>
      <c r="Q274" s="459"/>
      <c r="R274" s="416"/>
      <c r="S274" s="136"/>
      <c r="T274" s="137"/>
      <c r="U274" s="137"/>
      <c r="V274" s="137"/>
      <c r="W274" s="137"/>
      <c r="X274" s="137"/>
      <c r="Y274" s="212">
        <f t="shared" ref="Y274" si="3131">IF(OR(E271="",J274=""),0,J274&amp;E271)</f>
        <v>0</v>
      </c>
      <c r="Z274" s="212">
        <f>IF(Y274=0,0,COUNTIF($Y$7:Y274,Y274))</f>
        <v>0</v>
      </c>
      <c r="AD274" s="212">
        <f>IFERROR(VLOOKUP(J274,競技会設定!$T$2:$W$22,2,0),0)</f>
        <v>0</v>
      </c>
      <c r="AE274" s="212">
        <f t="shared" ref="AE274" si="3132">IF(E271="",0,IF(AD274=0,0,IF(AD274&lt;3,E271&amp;$AE$6,0)))</f>
        <v>0</v>
      </c>
      <c r="AF274" s="212">
        <f>IF(AE274=0,0,E271&amp;COUNTIF($AE$7:AE274,AE274))</f>
        <v>0</v>
      </c>
      <c r="AG274" s="212">
        <f t="shared" ref="AG274" si="3133">IF(E271="",0,IF(AD274=0,0,IF(AD274&gt;=3,E271&amp;$AG$6,0)))</f>
        <v>0</v>
      </c>
      <c r="AH274" s="212">
        <f>IF(AG274=0,0,E271&amp;COUNTIF($AG$7:AG274,AG274))</f>
        <v>0</v>
      </c>
      <c r="AI274" s="212">
        <f t="shared" ref="AI274" si="3134">IF($AD274=AI$6,$E271,0)</f>
        <v>0</v>
      </c>
      <c r="AJ274" s="212" t="b">
        <f>IF(AI274=0,FALSE,IF(COUNTIF(AI$7:AI274,AI274)&gt;1,TRUE,FALSE))</f>
        <v>0</v>
      </c>
      <c r="AK274" s="212">
        <f t="shared" ref="AK274" si="3135">IF($AD274=AK$6,$E271,0)</f>
        <v>0</v>
      </c>
      <c r="AL274" s="212" t="b">
        <f>IF(AK274=0,FALSE,IF(COUNTIF(AK$7:AK274,AK274)&gt;1,TRUE,FALSE))</f>
        <v>0</v>
      </c>
      <c r="AM274" s="212">
        <f t="shared" ref="AM274" si="3136">IF(COUNTIF(Y274,"*七種*")&gt;0,0,IF($AD274=AM$6,$E271,0))</f>
        <v>0</v>
      </c>
      <c r="AN274" s="212" t="b">
        <f>IF(AM274=0,FALSE,IF(COUNTIF(AM$7:AM274,AM274)&gt;1,TRUE,FALSE))</f>
        <v>0</v>
      </c>
      <c r="AO274" s="212">
        <f t="shared" ref="AO274" si="3137">IF($AD274=AO$6,$E271,0)</f>
        <v>0</v>
      </c>
      <c r="AP274" s="212" t="b">
        <f>IF(AO274=0,FALSE,IF(COUNTIF(AO$7:AO274,AO274)&gt;1,TRUE,FALSE))</f>
        <v>0</v>
      </c>
      <c r="AQ274" s="212">
        <f t="shared" ref="AQ274" si="3138">IF(COUNTIF(Y274,"*七種競技*")&gt;0,E271,0)</f>
        <v>0</v>
      </c>
      <c r="AR274" s="212" t="b">
        <f t="shared" si="3021"/>
        <v>0</v>
      </c>
      <c r="AT274" s="212" t="b">
        <f t="shared" si="3034"/>
        <v>0</v>
      </c>
      <c r="AX274" s="274"/>
      <c r="BD274" s="212" t="b">
        <f t="shared" si="3008"/>
        <v>0</v>
      </c>
      <c r="BF274" s="212" t="b">
        <f t="shared" ref="BF274" si="3139">IF(J274="",FALSE,IF(OR(AND(AU271,L274=""),AND(AU271,L274="",OR(M274&lt;&gt;"",N274&lt;&gt;"",O274&lt;&gt;"",P274&lt;&gt;""))),TRUE,FALSE))</f>
        <v>0</v>
      </c>
      <c r="BG274" s="212" t="b">
        <f t="shared" si="3010"/>
        <v>0</v>
      </c>
      <c r="BH274" s="212" t="b">
        <f t="shared" si="3023"/>
        <v>0</v>
      </c>
      <c r="BI274" s="212" t="b">
        <f t="shared" ref="BI274" si="3140">IF(J274="",FALSE,IF(L274=0,FALSE,IF(AND(AU271,NOT(BF274),OR(M274="",N274="",O274="")),TRUE,FALSE)))</f>
        <v>0</v>
      </c>
      <c r="BJ274" s="231" t="b">
        <f t="shared" si="3025"/>
        <v>0</v>
      </c>
      <c r="BK274" s="231" t="b">
        <f>IF(NOT(BJ274),FALSE,IF(AND(競技会設定!$C$5&lt;=BJ274,BJ274&lt;=競技会設定!$C$6),FALSE,TRUE))</f>
        <v>0</v>
      </c>
      <c r="BL274" s="212" t="b">
        <f>IF(J274="",FALSE,IF(L274=0,FALSE,IF(AND(AU271,NOT(BF274),NOT(BI274),P274=""),TRUE,FALSE)))</f>
        <v>0</v>
      </c>
    </row>
    <row r="275" spans="1:67" ht="18" customHeight="1" thickTop="1">
      <c r="A275" s="461">
        <v>68</v>
      </c>
      <c r="B275" s="373" t="s">
        <v>4018</v>
      </c>
      <c r="C275" s="375"/>
      <c r="D275" s="158" t="str">
        <f t="shared" ref="D275" si="3141">IF(C275="","",502&amp;TEXT(C275,"000000"))</f>
        <v/>
      </c>
      <c r="E275" s="464" t="str">
        <f>IF(D275="","",(VLOOKUP(D275,女子登録!$A$2:$N$2001,3,0)))</f>
        <v/>
      </c>
      <c r="F275" s="464" t="str">
        <f>IF(D275="","",(VLOOKUP(D275,女子登録!$A$2:$N$2001,4,0)))</f>
        <v/>
      </c>
      <c r="G275" s="158" t="str">
        <f>IF(C275="","",(VLOOKUP(D275,女子登録!$A$2:$N$2001,8,0)))</f>
        <v/>
      </c>
      <c r="H275" s="158">
        <f>IFERROR(VLOOKUP(D275,女子登録!$A$2:$N$2001,11,0),基本情報!$E$5)</f>
        <v>0</v>
      </c>
      <c r="I275" s="158" t="s">
        <v>4019</v>
      </c>
      <c r="J275" s="174"/>
      <c r="K275" s="158" t="s">
        <v>4022</v>
      </c>
      <c r="L275" s="174"/>
      <c r="M275" s="261"/>
      <c r="N275" s="262"/>
      <c r="O275" s="263"/>
      <c r="P275" s="174"/>
      <c r="Q275" s="448"/>
      <c r="R275" s="408"/>
      <c r="S275" s="136">
        <f t="shared" ref="S275" si="3142">IF(OR(E275="",Q275=""),0,E275)</f>
        <v>0</v>
      </c>
      <c r="T275" s="137">
        <f>IF(S275=0,0,COUNTIF($S$7:S275,"*"))</f>
        <v>0</v>
      </c>
      <c r="U275" s="137">
        <f>IF(S275=0,0,COUNTIF($S$7:S275,S275))</f>
        <v>0</v>
      </c>
      <c r="V275" s="137">
        <f t="shared" si="2478"/>
        <v>0</v>
      </c>
      <c r="W275" s="137">
        <f>IF(V275=0,0,COUNTIF($V$7:V275,"*"))</f>
        <v>0</v>
      </c>
      <c r="X275" s="137">
        <f>IF(V275=0,0,COUNTIF($V$7:V275,V275))</f>
        <v>0</v>
      </c>
      <c r="Y275" s="212">
        <f t="shared" ref="Y275" si="3143">IF(OR(E275="",J275=""),0,J275&amp;E275)</f>
        <v>0</v>
      </c>
      <c r="Z275" s="212">
        <f>IF(Y275=0,0,COUNTIF($Y$7:Y275,Y275))</f>
        <v>0</v>
      </c>
      <c r="AA275" s="212" t="b">
        <f>IF(COUNTIF(J275:J278,"七種競技")&gt;0,TRUE,FALSE)</f>
        <v>0</v>
      </c>
      <c r="AB275" s="212">
        <f>IF(E275="",0,IF(AA275,COUNTIF($AA$7:AA275,TRUE),0))</f>
        <v>0</v>
      </c>
      <c r="AC275" s="212">
        <f>IFERROR(VLOOKUP("七種競技",J275:L278,3,0),0)</f>
        <v>0</v>
      </c>
      <c r="AD275" s="212">
        <f>IFERROR(VLOOKUP(J275,競技会設定!$T$2:$W$22,2,0),0)</f>
        <v>0</v>
      </c>
      <c r="AE275" s="212">
        <f t="shared" ref="AE275" si="3144">IF(E275="",0,IF(AD275=0,0,IF(AD275&lt;3,E275&amp;$AE$6,0)))</f>
        <v>0</v>
      </c>
      <c r="AF275" s="212">
        <f>IF(AE275=0,0,E275&amp;COUNTIF($AE$7:AE275,AE275))</f>
        <v>0</v>
      </c>
      <c r="AG275" s="212">
        <f t="shared" ref="AG275" si="3145">IF(E275="",0,IF(AD275=0,0,IF(AD275&gt;=3,E275&amp;$AG$6,0)))</f>
        <v>0</v>
      </c>
      <c r="AH275" s="212">
        <f>IF(AG275=0,0,E275&amp;COUNTIF($AG$7:AG275,AG275))</f>
        <v>0</v>
      </c>
      <c r="AI275" s="212">
        <f t="shared" ref="AI275" si="3146">IF($AD275=AI$6,$E275,0)</f>
        <v>0</v>
      </c>
      <c r="AJ275" s="212" t="b">
        <f>IF(AI275=0,FALSE,IF(COUNTIF(AI$7:AI275,AI275)&gt;1,TRUE,FALSE))</f>
        <v>0</v>
      </c>
      <c r="AK275" s="212">
        <f t="shared" ref="AK275" si="3147">IF($AD275=AK$6,$E275,0)</f>
        <v>0</v>
      </c>
      <c r="AL275" s="212" t="b">
        <f>IF(AK275=0,FALSE,IF(COUNTIF(AK$7:AK275,AK275)&gt;1,TRUE,FALSE))</f>
        <v>0</v>
      </c>
      <c r="AM275" s="212">
        <f t="shared" ref="AM275" si="3148">IF(COUNTIF(Y275,"*七種*")&gt;0,0,IF($AD275=AM$6,$E275,0))</f>
        <v>0</v>
      </c>
      <c r="AN275" s="212" t="b">
        <f>IF(AM275=0,FALSE,IF(COUNTIF(AM$7:AM275,AM275)&gt;1,TRUE,FALSE))</f>
        <v>0</v>
      </c>
      <c r="AO275" s="212">
        <f t="shared" ref="AO275" si="3149">IF($AD275=AO$6,$E275,0)</f>
        <v>0</v>
      </c>
      <c r="AP275" s="212" t="b">
        <f>IF(AO275=0,FALSE,IF(COUNTIF(AO$7:AO275,AO275)&gt;1,TRUE,FALSE))</f>
        <v>0</v>
      </c>
      <c r="AQ275" s="212">
        <f t="shared" ref="AQ275" si="3150">IF(COUNTIF(Y275,"*七種競技*")&gt;0,E275,0)</f>
        <v>0</v>
      </c>
      <c r="AR275" s="212" t="b">
        <f t="shared" si="3021"/>
        <v>0</v>
      </c>
      <c r="AS275" s="212" t="b">
        <f t="shared" ref="AS275" si="3151">IF(AND(C275="",E275&lt;&gt;"",F275&lt;&gt;"",E277&lt;&gt;"",G275&lt;&gt;"",G276&lt;&gt;"",G277&lt;&gt;""),TRUE,FALSE)</f>
        <v>0</v>
      </c>
      <c r="AT275" s="212" t="b">
        <f t="shared" si="3034"/>
        <v>0</v>
      </c>
      <c r="AU275" s="212" t="b">
        <f>IFERROR(IF(E275&amp;F275&amp;E277&amp;G275&amp;G276&amp;G277&amp;J275&amp;J276&amp;J277&amp;J278&amp;L275&amp;L276&amp;L277&amp;L278&amp;M275&amp;M276&amp;M277&amp;M278&amp;P275&amp;P276&amp;P277&amp;P278&amp;Q275&amp;R275="",FALSE,TRUE),FALSE)</f>
        <v>0</v>
      </c>
      <c r="AV275" s="212" t="b">
        <f t="shared" ref="AV275" si="3152">IF(AS275,FALSE,IF(C275="",AU275,FALSE))</f>
        <v>0</v>
      </c>
      <c r="AW275" s="212" t="b">
        <f t="shared" ref="AW275" si="3153">IF(C275="",FALSE,IF(C275&lt;=2000,TRUE,FALSE))</f>
        <v>0</v>
      </c>
      <c r="AX275" s="274" t="b">
        <f>IF(H275=0,FALSE,IF(EXACT(基本情報!$E$5,H275)=TRUE,FALSE,TRUE))</f>
        <v>0</v>
      </c>
      <c r="AY275" s="212" t="b">
        <f>IF(C275="",FALSE,IF(ISNA(E275)=TRUE,TRUE,FALSE))</f>
        <v>0</v>
      </c>
      <c r="AZ275" s="274" t="b">
        <f>IFERROR(IF(E275="",FALSE,IF(COUNTIF($E$7:E275,E275)&gt;1,TRUE,FALSE)),FALSE)</f>
        <v>0</v>
      </c>
      <c r="BA275" s="212" t="b">
        <f t="shared" ref="BA275" si="3154">IF(OR(J275&amp;J276&amp;J277&amp;J278&amp;Q275&amp;R275="",AT275,AT276,AT277,AT278),AU275,FALSE)</f>
        <v>0</v>
      </c>
      <c r="BB275" s="212" t="b">
        <f>IF(U275&gt;1,TRUE,FALSE)</f>
        <v>0</v>
      </c>
      <c r="BC275" s="212" t="b">
        <f>IF(X275&gt;1,TRUE,FALSE)</f>
        <v>0</v>
      </c>
      <c r="BD275" s="212" t="b">
        <f t="shared" si="3008"/>
        <v>0</v>
      </c>
      <c r="BF275" s="212" t="b">
        <f t="shared" ref="BF275" si="3155">IF(J275="",FALSE,IF(OR(AND(AU275,L275=""),AND(AU275,L275="",OR(M275&lt;&gt;"",N275&lt;&gt;"",O275&lt;&gt;"",P275&lt;&gt;""))),TRUE,FALSE))</f>
        <v>0</v>
      </c>
      <c r="BG275" s="212" t="b">
        <f t="shared" si="3010"/>
        <v>0</v>
      </c>
      <c r="BH275" s="212" t="b">
        <f t="shared" si="3023"/>
        <v>0</v>
      </c>
      <c r="BI275" s="212" t="b">
        <f t="shared" ref="BI275" si="3156">IF(J275="",FALSE,IF(L275=0,FALSE,IF(AND(AU275,NOT(BF275),OR(M275="",N275="",O275="")),TRUE,FALSE)))</f>
        <v>0</v>
      </c>
      <c r="BJ275" s="231" t="b">
        <f t="shared" si="3025"/>
        <v>0</v>
      </c>
      <c r="BK275" s="231" t="b">
        <f>IF(NOT(BJ275),FALSE,IF(AND(競技会設定!$C$5&lt;=BJ275,BJ275&lt;=競技会設定!$C$6),FALSE,TRUE))</f>
        <v>0</v>
      </c>
      <c r="BL275" s="212" t="b">
        <f>IF(J275="",FALSE,IF(L275=0,FALSE,IF(AND(AU275,NOT(BF275),NOT(BI275),P275=""),TRUE,FALSE)))</f>
        <v>0</v>
      </c>
      <c r="BO275" s="274">
        <f t="shared" ref="BO275" si="3157">IF(AND(AU275,SUM(COUNTIF(AV275:BC275,TRUE),COUNTIF(BF275:BL278,TRUE),COUNTIF(BD275:BD278,TRUE))=0,NOT($BE$7)),1,0)</f>
        <v>0</v>
      </c>
    </row>
    <row r="276" spans="1:67" ht="17.399999999999999" customHeight="1">
      <c r="A276" s="462"/>
      <c r="B276" s="374"/>
      <c r="C276" s="376"/>
      <c r="D276" s="159"/>
      <c r="E276" s="465"/>
      <c r="F276" s="465"/>
      <c r="G276" s="159" t="str">
        <f>IF(C275="","",(VLOOKUP(D275,女子登録!$A$2:$N$2001,13,0)))</f>
        <v/>
      </c>
      <c r="H276" s="159"/>
      <c r="I276" s="159" t="s">
        <v>4020</v>
      </c>
      <c r="J276" s="175"/>
      <c r="K276" s="159" t="s">
        <v>4023</v>
      </c>
      <c r="L276" s="175"/>
      <c r="M276" s="264"/>
      <c r="N276" s="265"/>
      <c r="O276" s="266"/>
      <c r="P276" s="175"/>
      <c r="Q276" s="449"/>
      <c r="R276" s="409"/>
      <c r="S276" s="136"/>
      <c r="T276" s="137"/>
      <c r="U276" s="137"/>
      <c r="V276" s="137"/>
      <c r="W276" s="137"/>
      <c r="X276" s="137"/>
      <c r="Y276" s="212">
        <f t="shared" ref="Y276" si="3158">IF(OR(E275="",J276=""),0,J276&amp;E275)</f>
        <v>0</v>
      </c>
      <c r="Z276" s="212">
        <f>IF(Y276=0,0,COUNTIF($Y$7:Y276,Y276))</f>
        <v>0</v>
      </c>
      <c r="AD276" s="212">
        <f>IFERROR(VLOOKUP(J276,競技会設定!$T$2:$W$22,2,0),0)</f>
        <v>0</v>
      </c>
      <c r="AE276" s="212">
        <f t="shared" ref="AE276" si="3159">IF(E275="",0,IF(AD276=0,0,IF(AD276&lt;3,E275&amp;$AE$6,0)))</f>
        <v>0</v>
      </c>
      <c r="AF276" s="212">
        <f>IF(AE276=0,0,E275&amp;COUNTIF($AE$7:AE276,AE276))</f>
        <v>0</v>
      </c>
      <c r="AG276" s="212">
        <f t="shared" ref="AG276" si="3160">IF(E275="",0,IF(AD276=0,0,IF(AD276&gt;=3,E275&amp;$AG$6,0)))</f>
        <v>0</v>
      </c>
      <c r="AH276" s="212">
        <f>IF(AG276=0,0,E275&amp;COUNTIF($AG$7:AG276,AG276))</f>
        <v>0</v>
      </c>
      <c r="AI276" s="212">
        <f t="shared" ref="AI276" si="3161">IF($AD276=AI$6,$E275,0)</f>
        <v>0</v>
      </c>
      <c r="AJ276" s="212" t="b">
        <f>IF(AI276=0,FALSE,IF(COUNTIF(AI$7:AI276,AI276)&gt;1,TRUE,FALSE))</f>
        <v>0</v>
      </c>
      <c r="AK276" s="212">
        <f t="shared" ref="AK276" si="3162">IF($AD276=AK$6,$E275,0)</f>
        <v>0</v>
      </c>
      <c r="AL276" s="212" t="b">
        <f>IF(AK276=0,FALSE,IF(COUNTIF(AK$7:AK276,AK276)&gt;1,TRUE,FALSE))</f>
        <v>0</v>
      </c>
      <c r="AM276" s="212">
        <f t="shared" ref="AM276" si="3163">IF(COUNTIF(Y276,"*七種*")&gt;0,0,IF($AD276=AM$6,$E275,0))</f>
        <v>0</v>
      </c>
      <c r="AN276" s="212" t="b">
        <f>IF(AM276=0,FALSE,IF(COUNTIF(AM$7:AM276,AM276)&gt;1,TRUE,FALSE))</f>
        <v>0</v>
      </c>
      <c r="AO276" s="212">
        <f t="shared" ref="AO276" si="3164">IF($AD276=AO$6,$E275,0)</f>
        <v>0</v>
      </c>
      <c r="AP276" s="212" t="b">
        <f>IF(AO276=0,FALSE,IF(COUNTIF(AO$7:AO276,AO276)&gt;1,TRUE,FALSE))</f>
        <v>0</v>
      </c>
      <c r="AQ276" s="212">
        <f t="shared" ref="AQ276" si="3165">IF(COUNTIF(Y276,"*七種競技*")&gt;0,E275,0)</f>
        <v>0</v>
      </c>
      <c r="AR276" s="212" t="b">
        <f t="shared" si="3021"/>
        <v>0</v>
      </c>
      <c r="AT276" s="212" t="b">
        <f t="shared" si="3034"/>
        <v>0</v>
      </c>
      <c r="AX276" s="274"/>
      <c r="BD276" s="212" t="b">
        <f t="shared" si="3008"/>
        <v>0</v>
      </c>
      <c r="BF276" s="212" t="b">
        <f t="shared" ref="BF276" si="3166">IF(J276="",FALSE,IF(OR(AND(AU275,L276=""),AND(AU275,L276="",OR(M276&lt;&gt;"",N276&lt;&gt;"",O276&lt;&gt;"",P276&lt;&gt;""))),TRUE,FALSE))</f>
        <v>0</v>
      </c>
      <c r="BG276" s="212" t="b">
        <f t="shared" si="3010"/>
        <v>0</v>
      </c>
      <c r="BH276" s="212" t="b">
        <f t="shared" si="3023"/>
        <v>0</v>
      </c>
      <c r="BI276" s="212" t="b">
        <f t="shared" ref="BI276" si="3167">IF(J276="",FALSE,IF(L276=0,FALSE,IF(AND(AU275,NOT(BF276),OR(M276="",N276="",O276="")),TRUE,FALSE)))</f>
        <v>0</v>
      </c>
      <c r="BJ276" s="231" t="b">
        <f t="shared" si="3025"/>
        <v>0</v>
      </c>
      <c r="BK276" s="231" t="b">
        <f>IF(NOT(BJ276),FALSE,IF(AND(競技会設定!$C$5&lt;=BJ276,BJ276&lt;=競技会設定!$C$6),FALSE,TRUE))</f>
        <v>0</v>
      </c>
      <c r="BL276" s="212" t="b">
        <f>IF(J276="",FALSE,IF(L276=0,FALSE,IF(AND(AU275,NOT(BF276),NOT(BI276),P276=""),TRUE,FALSE)))</f>
        <v>0</v>
      </c>
    </row>
    <row r="277" spans="1:67" ht="17.399999999999999" customHeight="1">
      <c r="A277" s="462"/>
      <c r="B277" s="374"/>
      <c r="C277" s="376"/>
      <c r="D277" s="160"/>
      <c r="E277" s="452" t="str">
        <f>IF(C275="","",VLOOKUP(D275,女子登録!$A$2:$O$2001,14,0)&amp;" ("&amp;VLOOKUP(D275,女子登録!$A$2:$O$2001,15,0)&amp;")")</f>
        <v/>
      </c>
      <c r="F277" s="453"/>
      <c r="G277" s="160" t="str">
        <f>IF(C275="","",(VLOOKUP(D275,女子登録!$A$2:$N$2001,9,0)))</f>
        <v/>
      </c>
      <c r="H277" s="160"/>
      <c r="I277" s="160" t="s">
        <v>4021</v>
      </c>
      <c r="J277" s="176"/>
      <c r="K277" s="160" t="s">
        <v>6760</v>
      </c>
      <c r="L277" s="176"/>
      <c r="M277" s="264"/>
      <c r="N277" s="265"/>
      <c r="O277" s="266"/>
      <c r="P277" s="175"/>
      <c r="Q277" s="449"/>
      <c r="R277" s="409"/>
      <c r="S277" s="136"/>
      <c r="T277" s="137"/>
      <c r="U277" s="137"/>
      <c r="V277" s="137"/>
      <c r="W277" s="137"/>
      <c r="X277" s="137"/>
      <c r="Y277" s="212">
        <f t="shared" ref="Y277" si="3168">IF(OR(E275="",J277=""),0,J277&amp;E275)</f>
        <v>0</v>
      </c>
      <c r="Z277" s="212">
        <f>IF(Y277=0,0,COUNTIF($Y$7:Y277,Y277))</f>
        <v>0</v>
      </c>
      <c r="AD277" s="212">
        <f>IFERROR(VLOOKUP(J277,競技会設定!$T$2:$W$22,2,0),0)</f>
        <v>0</v>
      </c>
      <c r="AE277" s="212">
        <f t="shared" ref="AE277" si="3169">IF(E275="",0,IF(AD277=0,0,IF(AD277&lt;3,E275&amp;$AE$6,0)))</f>
        <v>0</v>
      </c>
      <c r="AF277" s="212">
        <f>IF(AE277=0,0,E275&amp;COUNTIF($AE$7:AE277,AE277))</f>
        <v>0</v>
      </c>
      <c r="AG277" s="212">
        <f t="shared" ref="AG277" si="3170">IF(E275="",0,IF(AD277=0,0,IF(AD277&gt;=3,E275&amp;$AG$6,0)))</f>
        <v>0</v>
      </c>
      <c r="AH277" s="212">
        <f>IF(AG277=0,0,E275&amp;COUNTIF($AG$7:AG277,AG277))</f>
        <v>0</v>
      </c>
      <c r="AI277" s="212">
        <f t="shared" ref="AI277" si="3171">IF($AD277=AI$6,$E275,0)</f>
        <v>0</v>
      </c>
      <c r="AJ277" s="212" t="b">
        <f>IF(AI277=0,FALSE,IF(COUNTIF(AI$7:AI277,AI277)&gt;1,TRUE,FALSE))</f>
        <v>0</v>
      </c>
      <c r="AK277" s="212">
        <f t="shared" ref="AK277" si="3172">IF($AD277=AK$6,$E275,0)</f>
        <v>0</v>
      </c>
      <c r="AL277" s="212" t="b">
        <f>IF(AK277=0,FALSE,IF(COUNTIF(AK$7:AK277,AK277)&gt;1,TRUE,FALSE))</f>
        <v>0</v>
      </c>
      <c r="AM277" s="212">
        <f t="shared" ref="AM277" si="3173">IF(COUNTIF(Y277,"*七種*")&gt;0,0,IF($AD277=AM$6,$E275,0))</f>
        <v>0</v>
      </c>
      <c r="AN277" s="212" t="b">
        <f>IF(AM277=0,FALSE,IF(COUNTIF(AM$7:AM277,AM277)&gt;1,TRUE,FALSE))</f>
        <v>0</v>
      </c>
      <c r="AO277" s="212">
        <f t="shared" ref="AO277" si="3174">IF($AD277=AO$6,$E275,0)</f>
        <v>0</v>
      </c>
      <c r="AP277" s="212" t="b">
        <f>IF(AO277=0,FALSE,IF(COUNTIF(AO$7:AO277,AO277)&gt;1,TRUE,FALSE))</f>
        <v>0</v>
      </c>
      <c r="AQ277" s="212">
        <f t="shared" ref="AQ277" si="3175">IF(COUNTIF(Y277,"*七種競技*")&gt;0,E275,0)</f>
        <v>0</v>
      </c>
      <c r="AR277" s="212" t="b">
        <f t="shared" si="3021"/>
        <v>0</v>
      </c>
      <c r="AT277" s="212" t="b">
        <f t="shared" si="3034"/>
        <v>0</v>
      </c>
      <c r="AX277" s="274"/>
      <c r="BD277" s="212" t="b">
        <f t="shared" si="3008"/>
        <v>0</v>
      </c>
      <c r="BF277" s="212" t="b">
        <f t="shared" ref="BF277" si="3176">IF(J277="",FALSE,IF(OR(AND(AU275,L277=""),AND(AU275,L277="",OR(M277&lt;&gt;"",N277&lt;&gt;"",O277&lt;&gt;"",P277&lt;&gt;""))),TRUE,FALSE))</f>
        <v>0</v>
      </c>
      <c r="BG277" s="212" t="b">
        <f t="shared" si="3010"/>
        <v>0</v>
      </c>
      <c r="BH277" s="212" t="b">
        <f t="shared" si="3023"/>
        <v>0</v>
      </c>
      <c r="BI277" s="212" t="b">
        <f t="shared" ref="BI277" si="3177">IF(J277="",FALSE,IF(L277=0,FALSE,IF(AND(AU275,NOT(BF277),OR(M277="",N277="",O277="")),TRUE,FALSE)))</f>
        <v>0</v>
      </c>
      <c r="BJ277" s="231" t="b">
        <f t="shared" si="3025"/>
        <v>0</v>
      </c>
      <c r="BK277" s="231" t="b">
        <f>IF(NOT(BJ277),FALSE,IF(AND(競技会設定!$C$5&lt;=BJ277,BJ277&lt;=競技会設定!$C$6),FALSE,TRUE))</f>
        <v>0</v>
      </c>
      <c r="BL277" s="212" t="b">
        <f>IF(J277="",FALSE,IF(L277=0,FALSE,IF(AND(AU275,NOT(BF277),NOT(BI277),P277=""),TRUE,FALSE)))</f>
        <v>0</v>
      </c>
    </row>
    <row r="278" spans="1:67" ht="18" customHeight="1" thickBot="1">
      <c r="A278" s="475"/>
      <c r="B278" s="387" t="s">
        <v>6764</v>
      </c>
      <c r="C278" s="387"/>
      <c r="D278" s="161"/>
      <c r="E278" s="467"/>
      <c r="F278" s="468"/>
      <c r="G278" s="469"/>
      <c r="H278" s="162"/>
      <c r="I278" s="161" t="s">
        <v>6759</v>
      </c>
      <c r="J278" s="177"/>
      <c r="K278" s="161" t="s">
        <v>6761</v>
      </c>
      <c r="L278" s="177"/>
      <c r="M278" s="267"/>
      <c r="N278" s="268"/>
      <c r="O278" s="269"/>
      <c r="P278" s="177"/>
      <c r="Q278" s="466"/>
      <c r="R278" s="410"/>
      <c r="S278" s="136"/>
      <c r="T278" s="137"/>
      <c r="U278" s="137"/>
      <c r="V278" s="137"/>
      <c r="W278" s="137"/>
      <c r="X278" s="137"/>
      <c r="Y278" s="212">
        <f t="shared" ref="Y278" si="3178">IF(OR(E275="",J278=""),0,J278&amp;E275)</f>
        <v>0</v>
      </c>
      <c r="Z278" s="212">
        <f>IF(Y278=0,0,COUNTIF($Y$7:Y278,Y278))</f>
        <v>0</v>
      </c>
      <c r="AD278" s="212">
        <f>IFERROR(VLOOKUP(J278,競技会設定!$T$2:$W$22,2,0),0)</f>
        <v>0</v>
      </c>
      <c r="AE278" s="212">
        <f t="shared" ref="AE278" si="3179">IF(E275="",0,IF(AD278=0,0,IF(AD278&lt;3,E275&amp;$AE$6,0)))</f>
        <v>0</v>
      </c>
      <c r="AF278" s="212">
        <f>IF(AE278=0,0,E275&amp;COUNTIF($AE$7:AE278,AE278))</f>
        <v>0</v>
      </c>
      <c r="AG278" s="212">
        <f t="shared" ref="AG278" si="3180">IF(E275="",0,IF(AD278=0,0,IF(AD278&gt;=3,E275&amp;$AG$6,0)))</f>
        <v>0</v>
      </c>
      <c r="AH278" s="212">
        <f>IF(AG278=0,0,E275&amp;COUNTIF($AG$7:AG278,AG278))</f>
        <v>0</v>
      </c>
      <c r="AI278" s="212">
        <f t="shared" ref="AI278" si="3181">IF($AD278=AI$6,$E275,0)</f>
        <v>0</v>
      </c>
      <c r="AJ278" s="212" t="b">
        <f>IF(AI278=0,FALSE,IF(COUNTIF(AI$7:AI278,AI278)&gt;1,TRUE,FALSE))</f>
        <v>0</v>
      </c>
      <c r="AK278" s="212">
        <f t="shared" ref="AK278" si="3182">IF($AD278=AK$6,$E275,0)</f>
        <v>0</v>
      </c>
      <c r="AL278" s="212" t="b">
        <f>IF(AK278=0,FALSE,IF(COUNTIF(AK$7:AK278,AK278)&gt;1,TRUE,FALSE))</f>
        <v>0</v>
      </c>
      <c r="AM278" s="212">
        <f t="shared" ref="AM278" si="3183">IF(COUNTIF(Y278,"*七種*")&gt;0,0,IF($AD278=AM$6,$E275,0))</f>
        <v>0</v>
      </c>
      <c r="AN278" s="212" t="b">
        <f>IF(AM278=0,FALSE,IF(COUNTIF(AM$7:AM278,AM278)&gt;1,TRUE,FALSE))</f>
        <v>0</v>
      </c>
      <c r="AO278" s="212">
        <f t="shared" ref="AO278" si="3184">IF($AD278=AO$6,$E275,0)</f>
        <v>0</v>
      </c>
      <c r="AP278" s="212" t="b">
        <f>IF(AO278=0,FALSE,IF(COUNTIF(AO$7:AO278,AO278)&gt;1,TRUE,FALSE))</f>
        <v>0</v>
      </c>
      <c r="AQ278" s="212">
        <f t="shared" ref="AQ278" si="3185">IF(COUNTIF(Y278,"*七種競技*")&gt;0,E275,0)</f>
        <v>0</v>
      </c>
      <c r="AR278" s="212" t="b">
        <f t="shared" si="3021"/>
        <v>0</v>
      </c>
      <c r="AT278" s="212" t="b">
        <f t="shared" si="3034"/>
        <v>0</v>
      </c>
      <c r="AX278" s="274"/>
      <c r="BD278" s="212" t="b">
        <f t="shared" si="3008"/>
        <v>0</v>
      </c>
      <c r="BF278" s="212" t="b">
        <f t="shared" ref="BF278" si="3186">IF(J278="",FALSE,IF(OR(AND(AU275,L278=""),AND(AU275,L278="",OR(M278&lt;&gt;"",N278&lt;&gt;"",O278&lt;&gt;"",P278&lt;&gt;""))),TRUE,FALSE))</f>
        <v>0</v>
      </c>
      <c r="BG278" s="212" t="b">
        <f t="shared" si="3010"/>
        <v>0</v>
      </c>
      <c r="BH278" s="212" t="b">
        <f t="shared" si="3023"/>
        <v>0</v>
      </c>
      <c r="BI278" s="212" t="b">
        <f t="shared" ref="BI278" si="3187">IF(J278="",FALSE,IF(L278=0,FALSE,IF(AND(AU275,NOT(BF278),OR(M278="",N278="",O278="")),TRUE,FALSE)))</f>
        <v>0</v>
      </c>
      <c r="BJ278" s="231" t="b">
        <f t="shared" si="3025"/>
        <v>0</v>
      </c>
      <c r="BK278" s="231" t="b">
        <f>IF(NOT(BJ278),FALSE,IF(AND(競技会設定!$C$5&lt;=BJ278,BJ278&lt;=競技会設定!$C$6),FALSE,TRUE))</f>
        <v>0</v>
      </c>
      <c r="BL278" s="212" t="b">
        <f>IF(J278="",FALSE,IF(L278=0,FALSE,IF(AND(AU275,NOT(BF278),NOT(BI278),P278=""),TRUE,FALSE)))</f>
        <v>0</v>
      </c>
    </row>
    <row r="279" spans="1:67" ht="18" customHeight="1" thickTop="1">
      <c r="A279" s="470">
        <v>69</v>
      </c>
      <c r="B279" s="401" t="s">
        <v>4018</v>
      </c>
      <c r="C279" s="403"/>
      <c r="D279" s="156" t="str">
        <f t="shared" ref="D279" si="3188">IF(C279="","",502&amp;TEXT(C279,"000000"))</f>
        <v/>
      </c>
      <c r="E279" s="473" t="str">
        <f>IF(D279="","",(VLOOKUP(D279,女子登録!$A$2:$N$2001,3,0)))</f>
        <v/>
      </c>
      <c r="F279" s="473" t="str">
        <f>IF(D279="","",(VLOOKUP(D279,女子登録!$A$2:$N$2001,4,0)))</f>
        <v/>
      </c>
      <c r="G279" s="156" t="str">
        <f>IF(C279="","",(VLOOKUP(D279,女子登録!$A$2:$N$2001,8,0)))</f>
        <v/>
      </c>
      <c r="H279" s="156">
        <f>IFERROR(VLOOKUP(D279,女子登録!$A$2:$N$2001,11,0),基本情報!$E$5)</f>
        <v>0</v>
      </c>
      <c r="I279" s="156" t="s">
        <v>4019</v>
      </c>
      <c r="J279" s="170"/>
      <c r="K279" s="156" t="s">
        <v>4022</v>
      </c>
      <c r="L279" s="170"/>
      <c r="M279" s="252"/>
      <c r="N279" s="253"/>
      <c r="O279" s="254"/>
      <c r="P279" s="170"/>
      <c r="Q279" s="457"/>
      <c r="R279" s="414"/>
      <c r="S279" s="136">
        <f t="shared" ref="S279" si="3189">IF(OR(E279="",Q279=""),0,E279)</f>
        <v>0</v>
      </c>
      <c r="T279" s="137">
        <f>IF(S279=0,0,COUNTIF($S$7:S279,"*"))</f>
        <v>0</v>
      </c>
      <c r="U279" s="137">
        <f>IF(S279=0,0,COUNTIF($S$7:S279,S279))</f>
        <v>0</v>
      </c>
      <c r="V279" s="137">
        <f t="shared" si="2478"/>
        <v>0</v>
      </c>
      <c r="W279" s="137">
        <f>IF(V279=0,0,COUNTIF($V$7:V279,"*"))</f>
        <v>0</v>
      </c>
      <c r="X279" s="137">
        <f>IF(V279=0,0,COUNTIF($V$7:V279,V279))</f>
        <v>0</v>
      </c>
      <c r="Y279" s="212">
        <f t="shared" ref="Y279" si="3190">IF(OR(E279="",J279=""),0,J279&amp;E279)</f>
        <v>0</v>
      </c>
      <c r="Z279" s="212">
        <f>IF(Y279=0,0,COUNTIF($Y$7:Y279,Y279))</f>
        <v>0</v>
      </c>
      <c r="AA279" s="212" t="b">
        <f>IF(COUNTIF(J279:J282,"七種競技")&gt;0,TRUE,FALSE)</f>
        <v>0</v>
      </c>
      <c r="AB279" s="212">
        <f>IF(E279="",0,IF(AA279,COUNTIF($AA$7:AA279,TRUE),0))</f>
        <v>0</v>
      </c>
      <c r="AC279" s="212">
        <f>IFERROR(VLOOKUP("七種競技",J279:L282,3,0),0)</f>
        <v>0</v>
      </c>
      <c r="AD279" s="212">
        <f>IFERROR(VLOOKUP(J279,競技会設定!$T$2:$W$22,2,0),0)</f>
        <v>0</v>
      </c>
      <c r="AE279" s="212">
        <f t="shared" ref="AE279" si="3191">IF(E279="",0,IF(AD279=0,0,IF(AD279&lt;3,E279&amp;$AE$6,0)))</f>
        <v>0</v>
      </c>
      <c r="AF279" s="212">
        <f>IF(AE279=0,0,E279&amp;COUNTIF($AE$7:AE279,AE279))</f>
        <v>0</v>
      </c>
      <c r="AG279" s="212">
        <f t="shared" ref="AG279" si="3192">IF(E279="",0,IF(AD279=0,0,IF(AD279&gt;=3,E279&amp;$AG$6,0)))</f>
        <v>0</v>
      </c>
      <c r="AH279" s="212">
        <f>IF(AG279=0,0,E279&amp;COUNTIF($AG$7:AG279,AG279))</f>
        <v>0</v>
      </c>
      <c r="AI279" s="212">
        <f t="shared" ref="AI279" si="3193">IF($AD279=AI$6,$E279,0)</f>
        <v>0</v>
      </c>
      <c r="AJ279" s="212" t="b">
        <f>IF(AI279=0,FALSE,IF(COUNTIF(AI$7:AI279,AI279)&gt;1,TRUE,FALSE))</f>
        <v>0</v>
      </c>
      <c r="AK279" s="212">
        <f t="shared" ref="AK279" si="3194">IF($AD279=AK$6,$E279,0)</f>
        <v>0</v>
      </c>
      <c r="AL279" s="212" t="b">
        <f>IF(AK279=0,FALSE,IF(COUNTIF(AK$7:AK279,AK279)&gt;1,TRUE,FALSE))</f>
        <v>0</v>
      </c>
      <c r="AM279" s="212">
        <f t="shared" ref="AM279" si="3195">IF(COUNTIF(Y279,"*七種*")&gt;0,0,IF($AD279=AM$6,$E279,0))</f>
        <v>0</v>
      </c>
      <c r="AN279" s="212" t="b">
        <f>IF(AM279=0,FALSE,IF(COUNTIF(AM$7:AM279,AM279)&gt;1,TRUE,FALSE))</f>
        <v>0</v>
      </c>
      <c r="AO279" s="212">
        <f t="shared" ref="AO279" si="3196">IF($AD279=AO$6,$E279,0)</f>
        <v>0</v>
      </c>
      <c r="AP279" s="212" t="b">
        <f>IF(AO279=0,FALSE,IF(COUNTIF(AO$7:AO279,AO279)&gt;1,TRUE,FALSE))</f>
        <v>0</v>
      </c>
      <c r="AQ279" s="212">
        <f t="shared" ref="AQ279" si="3197">IF(COUNTIF(Y279,"*七種競技*")&gt;0,E279,0)</f>
        <v>0</v>
      </c>
      <c r="AR279" s="212" t="b">
        <f t="shared" si="3021"/>
        <v>0</v>
      </c>
      <c r="AS279" s="212" t="b">
        <f t="shared" ref="AS279" si="3198">IF(AND(C279="",E279&lt;&gt;"",F279&lt;&gt;"",E281&lt;&gt;"",G279&lt;&gt;"",G280&lt;&gt;"",G281&lt;&gt;""),TRUE,FALSE)</f>
        <v>0</v>
      </c>
      <c r="AT279" s="212" t="b">
        <f t="shared" si="3034"/>
        <v>0</v>
      </c>
      <c r="AU279" s="212" t="b">
        <f>IFERROR(IF(E279&amp;F279&amp;E281&amp;G279&amp;G280&amp;G281&amp;J279&amp;J280&amp;J281&amp;J282&amp;L279&amp;L280&amp;L281&amp;L282&amp;M279&amp;M280&amp;M281&amp;M282&amp;P279&amp;P280&amp;P281&amp;P282&amp;Q279&amp;R279="",FALSE,TRUE),FALSE)</f>
        <v>0</v>
      </c>
      <c r="AV279" s="212" t="b">
        <f t="shared" ref="AV279" si="3199">IF(AS279,FALSE,IF(C279="",AU279,FALSE))</f>
        <v>0</v>
      </c>
      <c r="AW279" s="212" t="b">
        <f t="shared" ref="AW279" si="3200">IF(C279="",FALSE,IF(C279&lt;=2000,TRUE,FALSE))</f>
        <v>0</v>
      </c>
      <c r="AX279" s="274" t="b">
        <f>IF(H279=0,FALSE,IF(EXACT(基本情報!$E$5,H279)=TRUE,FALSE,TRUE))</f>
        <v>0</v>
      </c>
      <c r="AY279" s="212" t="b">
        <f>IF(C279="",FALSE,IF(ISNA(E279)=TRUE,TRUE,FALSE))</f>
        <v>0</v>
      </c>
      <c r="AZ279" s="274" t="b">
        <f>IFERROR(IF(E279="",FALSE,IF(COUNTIF($E$7:E279,E279)&gt;1,TRUE,FALSE)),FALSE)</f>
        <v>0</v>
      </c>
      <c r="BA279" s="212" t="b">
        <f t="shared" ref="BA279" si="3201">IF(OR(J279&amp;J280&amp;J281&amp;J282&amp;Q279&amp;R279="",AT279,AT280,AT281,AT282),AU279,FALSE)</f>
        <v>0</v>
      </c>
      <c r="BB279" s="212" t="b">
        <f>IF(U279&gt;1,TRUE,FALSE)</f>
        <v>0</v>
      </c>
      <c r="BC279" s="212" t="b">
        <f>IF(X279&gt;1,TRUE,FALSE)</f>
        <v>0</v>
      </c>
      <c r="BD279" s="212" t="b">
        <f t="shared" si="3008"/>
        <v>0</v>
      </c>
      <c r="BF279" s="212" t="b">
        <f t="shared" ref="BF279" si="3202">IF(J279="",FALSE,IF(OR(AND(AU279,L279=""),AND(AU279,L279="",OR(M279&lt;&gt;"",N279&lt;&gt;"",O279&lt;&gt;"",P279&lt;&gt;""))),TRUE,FALSE))</f>
        <v>0</v>
      </c>
      <c r="BG279" s="212" t="b">
        <f t="shared" si="3010"/>
        <v>0</v>
      </c>
      <c r="BH279" s="212" t="b">
        <f t="shared" si="3023"/>
        <v>0</v>
      </c>
      <c r="BI279" s="212" t="b">
        <f t="shared" ref="BI279" si="3203">IF(J279="",FALSE,IF(L279=0,FALSE,IF(AND(AU279,NOT(BF279),OR(M279="",N279="",O279="")),TRUE,FALSE)))</f>
        <v>0</v>
      </c>
      <c r="BJ279" s="231" t="b">
        <f t="shared" si="3025"/>
        <v>0</v>
      </c>
      <c r="BK279" s="231" t="b">
        <f>IF(NOT(BJ279),FALSE,IF(AND(競技会設定!$C$5&lt;=BJ279,BJ279&lt;=競技会設定!$C$6),FALSE,TRUE))</f>
        <v>0</v>
      </c>
      <c r="BL279" s="212" t="b">
        <f>IF(J279="",FALSE,IF(L279=0,FALSE,IF(AND(AU279,NOT(BF279),NOT(BI279),P279=""),TRUE,FALSE)))</f>
        <v>0</v>
      </c>
      <c r="BO279" s="274">
        <f t="shared" ref="BO279" si="3204">IF(AND(AU279,SUM(COUNTIF(AV279:BC279,TRUE),COUNTIF(BF279:BL282,TRUE),COUNTIF(BD279:BD282,TRUE))=0,NOT($BE$7)),1,0)</f>
        <v>0</v>
      </c>
    </row>
    <row r="280" spans="1:67" ht="17.399999999999999" customHeight="1">
      <c r="A280" s="471"/>
      <c r="B280" s="402"/>
      <c r="C280" s="404"/>
      <c r="D280" s="11"/>
      <c r="E280" s="474"/>
      <c r="F280" s="474"/>
      <c r="G280" s="11" t="str">
        <f>IF(C279="","",(VLOOKUP(D279,女子登録!$A$2:$N$2001,13,0)))</f>
        <v/>
      </c>
      <c r="H280" s="11"/>
      <c r="I280" s="11" t="s">
        <v>4020</v>
      </c>
      <c r="J280" s="171"/>
      <c r="K280" s="11" t="s">
        <v>4023</v>
      </c>
      <c r="L280" s="171"/>
      <c r="M280" s="255"/>
      <c r="N280" s="256"/>
      <c r="O280" s="257"/>
      <c r="P280" s="171"/>
      <c r="Q280" s="458"/>
      <c r="R280" s="415"/>
      <c r="S280" s="136"/>
      <c r="T280" s="137"/>
      <c r="U280" s="137"/>
      <c r="V280" s="137"/>
      <c r="W280" s="137"/>
      <c r="X280" s="137"/>
      <c r="Y280" s="212">
        <f t="shared" ref="Y280" si="3205">IF(OR(E279="",J280=""),0,J280&amp;E279)</f>
        <v>0</v>
      </c>
      <c r="Z280" s="212">
        <f>IF(Y280=0,0,COUNTIF($Y$7:Y280,Y280))</f>
        <v>0</v>
      </c>
      <c r="AD280" s="212">
        <f>IFERROR(VLOOKUP(J280,競技会設定!$T$2:$W$22,2,0),0)</f>
        <v>0</v>
      </c>
      <c r="AE280" s="212">
        <f t="shared" ref="AE280" si="3206">IF(E279="",0,IF(AD280=0,0,IF(AD280&lt;3,E279&amp;$AE$6,0)))</f>
        <v>0</v>
      </c>
      <c r="AF280" s="212">
        <f>IF(AE280=0,0,E279&amp;COUNTIF($AE$7:AE280,AE280))</f>
        <v>0</v>
      </c>
      <c r="AG280" s="212">
        <f t="shared" ref="AG280" si="3207">IF(E279="",0,IF(AD280=0,0,IF(AD280&gt;=3,E279&amp;$AG$6,0)))</f>
        <v>0</v>
      </c>
      <c r="AH280" s="212">
        <f>IF(AG280=0,0,E279&amp;COUNTIF($AG$7:AG280,AG280))</f>
        <v>0</v>
      </c>
      <c r="AI280" s="212">
        <f t="shared" ref="AI280" si="3208">IF($AD280=AI$6,$E279,0)</f>
        <v>0</v>
      </c>
      <c r="AJ280" s="212" t="b">
        <f>IF(AI280=0,FALSE,IF(COUNTIF(AI$7:AI280,AI280)&gt;1,TRUE,FALSE))</f>
        <v>0</v>
      </c>
      <c r="AK280" s="212">
        <f t="shared" ref="AK280" si="3209">IF($AD280=AK$6,$E279,0)</f>
        <v>0</v>
      </c>
      <c r="AL280" s="212" t="b">
        <f>IF(AK280=0,FALSE,IF(COUNTIF(AK$7:AK280,AK280)&gt;1,TRUE,FALSE))</f>
        <v>0</v>
      </c>
      <c r="AM280" s="212">
        <f t="shared" ref="AM280" si="3210">IF(COUNTIF(Y280,"*七種*")&gt;0,0,IF($AD280=AM$6,$E279,0))</f>
        <v>0</v>
      </c>
      <c r="AN280" s="212" t="b">
        <f>IF(AM280=0,FALSE,IF(COUNTIF(AM$7:AM280,AM280)&gt;1,TRUE,FALSE))</f>
        <v>0</v>
      </c>
      <c r="AO280" s="212">
        <f t="shared" ref="AO280" si="3211">IF($AD280=AO$6,$E279,0)</f>
        <v>0</v>
      </c>
      <c r="AP280" s="212" t="b">
        <f>IF(AO280=0,FALSE,IF(COUNTIF(AO$7:AO280,AO280)&gt;1,TRUE,FALSE))</f>
        <v>0</v>
      </c>
      <c r="AQ280" s="212">
        <f t="shared" ref="AQ280" si="3212">IF(COUNTIF(Y280,"*七種競技*")&gt;0,E279,0)</f>
        <v>0</v>
      </c>
      <c r="AR280" s="212" t="b">
        <f t="shared" si="3021"/>
        <v>0</v>
      </c>
      <c r="AT280" s="212" t="b">
        <f t="shared" si="3034"/>
        <v>0</v>
      </c>
      <c r="AX280" s="274"/>
      <c r="BD280" s="212" t="b">
        <f t="shared" si="3008"/>
        <v>0</v>
      </c>
      <c r="BF280" s="212" t="b">
        <f t="shared" ref="BF280" si="3213">IF(J280="",FALSE,IF(OR(AND(AU279,L280=""),AND(AU279,L280="",OR(M280&lt;&gt;"",N280&lt;&gt;"",O280&lt;&gt;"",P280&lt;&gt;""))),TRUE,FALSE))</f>
        <v>0</v>
      </c>
      <c r="BG280" s="212" t="b">
        <f t="shared" si="3010"/>
        <v>0</v>
      </c>
      <c r="BH280" s="212" t="b">
        <f t="shared" si="3023"/>
        <v>0</v>
      </c>
      <c r="BI280" s="212" t="b">
        <f t="shared" ref="BI280" si="3214">IF(J280="",FALSE,IF(L280=0,FALSE,IF(AND(AU279,NOT(BF280),OR(M280="",N280="",O280="")),TRUE,FALSE)))</f>
        <v>0</v>
      </c>
      <c r="BJ280" s="231" t="b">
        <f t="shared" si="3025"/>
        <v>0</v>
      </c>
      <c r="BK280" s="231" t="b">
        <f>IF(NOT(BJ280),FALSE,IF(AND(競技会設定!$C$5&lt;=BJ280,BJ280&lt;=競技会設定!$C$6),FALSE,TRUE))</f>
        <v>0</v>
      </c>
      <c r="BL280" s="212" t="b">
        <f>IF(J280="",FALSE,IF(L280=0,FALSE,IF(AND(AU279,NOT(BF280),NOT(BI280),P280=""),TRUE,FALSE)))</f>
        <v>0</v>
      </c>
    </row>
    <row r="281" spans="1:67" ht="17.399999999999999" customHeight="1">
      <c r="A281" s="471"/>
      <c r="B281" s="402"/>
      <c r="C281" s="404"/>
      <c r="D281" s="11"/>
      <c r="E281" s="348" t="str">
        <f>IF(C279="","",VLOOKUP(D279,女子登録!$A$2:$O$2001,14,0)&amp;" ("&amp;VLOOKUP(D279,女子登録!$A$2:$O$2001,15,0)&amp;")")</f>
        <v/>
      </c>
      <c r="F281" s="348"/>
      <c r="G281" s="13" t="str">
        <f>IF(C279="","",(VLOOKUP(D279,女子登録!$A$2:$N$2001,9,0)))</f>
        <v/>
      </c>
      <c r="H281" s="13"/>
      <c r="I281" s="13" t="s">
        <v>4021</v>
      </c>
      <c r="J281" s="172"/>
      <c r="K281" s="13" t="s">
        <v>6760</v>
      </c>
      <c r="L281" s="172"/>
      <c r="M281" s="255"/>
      <c r="N281" s="256"/>
      <c r="O281" s="257"/>
      <c r="P281" s="171"/>
      <c r="Q281" s="458"/>
      <c r="R281" s="415"/>
      <c r="S281" s="136"/>
      <c r="T281" s="137"/>
      <c r="U281" s="137"/>
      <c r="V281" s="137"/>
      <c r="W281" s="137"/>
      <c r="X281" s="137"/>
      <c r="Y281" s="212">
        <f t="shared" ref="Y281" si="3215">IF(OR(E279="",J281=""),0,J281&amp;E279)</f>
        <v>0</v>
      </c>
      <c r="Z281" s="212">
        <f>IF(Y281=0,0,COUNTIF($Y$7:Y281,Y281))</f>
        <v>0</v>
      </c>
      <c r="AD281" s="212">
        <f>IFERROR(VLOOKUP(J281,競技会設定!$T$2:$W$22,2,0),0)</f>
        <v>0</v>
      </c>
      <c r="AE281" s="212">
        <f t="shared" ref="AE281" si="3216">IF(E279="",0,IF(AD281=0,0,IF(AD281&lt;3,E279&amp;$AE$6,0)))</f>
        <v>0</v>
      </c>
      <c r="AF281" s="212">
        <f>IF(AE281=0,0,E279&amp;COUNTIF($AE$7:AE281,AE281))</f>
        <v>0</v>
      </c>
      <c r="AG281" s="212">
        <f t="shared" ref="AG281" si="3217">IF(E279="",0,IF(AD281=0,0,IF(AD281&gt;=3,E279&amp;$AG$6,0)))</f>
        <v>0</v>
      </c>
      <c r="AH281" s="212">
        <f>IF(AG281=0,0,E279&amp;COUNTIF($AG$7:AG281,AG281))</f>
        <v>0</v>
      </c>
      <c r="AI281" s="212">
        <f t="shared" ref="AI281" si="3218">IF($AD281=AI$6,$E279,0)</f>
        <v>0</v>
      </c>
      <c r="AJ281" s="212" t="b">
        <f>IF(AI281=0,FALSE,IF(COUNTIF(AI$7:AI281,AI281)&gt;1,TRUE,FALSE))</f>
        <v>0</v>
      </c>
      <c r="AK281" s="212">
        <f t="shared" ref="AK281" si="3219">IF($AD281=AK$6,$E279,0)</f>
        <v>0</v>
      </c>
      <c r="AL281" s="212" t="b">
        <f>IF(AK281=0,FALSE,IF(COUNTIF(AK$7:AK281,AK281)&gt;1,TRUE,FALSE))</f>
        <v>0</v>
      </c>
      <c r="AM281" s="212">
        <f t="shared" ref="AM281" si="3220">IF(COUNTIF(Y281,"*七種*")&gt;0,0,IF($AD281=AM$6,$E279,0))</f>
        <v>0</v>
      </c>
      <c r="AN281" s="212" t="b">
        <f>IF(AM281=0,FALSE,IF(COUNTIF(AM$7:AM281,AM281)&gt;1,TRUE,FALSE))</f>
        <v>0</v>
      </c>
      <c r="AO281" s="212">
        <f t="shared" ref="AO281" si="3221">IF($AD281=AO$6,$E279,0)</f>
        <v>0</v>
      </c>
      <c r="AP281" s="212" t="b">
        <f>IF(AO281=0,FALSE,IF(COUNTIF(AO$7:AO281,AO281)&gt;1,TRUE,FALSE))</f>
        <v>0</v>
      </c>
      <c r="AQ281" s="212">
        <f t="shared" ref="AQ281" si="3222">IF(COUNTIF(Y281,"*七種競技*")&gt;0,E279,0)</f>
        <v>0</v>
      </c>
      <c r="AR281" s="212" t="b">
        <f t="shared" si="3021"/>
        <v>0</v>
      </c>
      <c r="AT281" s="212" t="b">
        <f t="shared" si="3034"/>
        <v>0</v>
      </c>
      <c r="AX281" s="274"/>
      <c r="BD281" s="212" t="b">
        <f t="shared" si="3008"/>
        <v>0</v>
      </c>
      <c r="BF281" s="212" t="b">
        <f t="shared" ref="BF281" si="3223">IF(J281="",FALSE,IF(OR(AND(AU279,L281=""),AND(AU279,L281="",OR(M281&lt;&gt;"",N281&lt;&gt;"",O281&lt;&gt;"",P281&lt;&gt;""))),TRUE,FALSE))</f>
        <v>0</v>
      </c>
      <c r="BG281" s="212" t="b">
        <f t="shared" si="3010"/>
        <v>0</v>
      </c>
      <c r="BH281" s="212" t="b">
        <f t="shared" si="3023"/>
        <v>0</v>
      </c>
      <c r="BI281" s="212" t="b">
        <f t="shared" ref="BI281" si="3224">IF(J281="",FALSE,IF(L281=0,FALSE,IF(AND(AU279,NOT(BF281),OR(M281="",N281="",O281="")),TRUE,FALSE)))</f>
        <v>0</v>
      </c>
      <c r="BJ281" s="231" t="b">
        <f t="shared" si="3025"/>
        <v>0</v>
      </c>
      <c r="BK281" s="231" t="b">
        <f>IF(NOT(BJ281),FALSE,IF(AND(競技会設定!$C$5&lt;=BJ281,BJ281&lt;=競技会設定!$C$6),FALSE,TRUE))</f>
        <v>0</v>
      </c>
      <c r="BL281" s="212" t="b">
        <f>IF(J281="",FALSE,IF(L281=0,FALSE,IF(AND(AU279,NOT(BF281),NOT(BI281),P281=""),TRUE,FALSE)))</f>
        <v>0</v>
      </c>
    </row>
    <row r="282" spans="1:67" ht="18" customHeight="1" thickBot="1">
      <c r="A282" s="472"/>
      <c r="B282" s="395" t="s">
        <v>6764</v>
      </c>
      <c r="C282" s="395"/>
      <c r="D282" s="11"/>
      <c r="E282" s="460"/>
      <c r="F282" s="460"/>
      <c r="G282" s="460"/>
      <c r="H282" s="157"/>
      <c r="I282" s="157" t="s">
        <v>6759</v>
      </c>
      <c r="J282" s="173"/>
      <c r="K282" s="157" t="s">
        <v>6761</v>
      </c>
      <c r="L282" s="173"/>
      <c r="M282" s="258"/>
      <c r="N282" s="259"/>
      <c r="O282" s="260"/>
      <c r="P282" s="173"/>
      <c r="Q282" s="459"/>
      <c r="R282" s="416"/>
      <c r="S282" s="136"/>
      <c r="T282" s="137"/>
      <c r="U282" s="137"/>
      <c r="V282" s="137"/>
      <c r="W282" s="137"/>
      <c r="X282" s="137"/>
      <c r="Y282" s="212">
        <f t="shared" ref="Y282" si="3225">IF(OR(E279="",J282=""),0,J282&amp;E279)</f>
        <v>0</v>
      </c>
      <c r="Z282" s="212">
        <f>IF(Y282=0,0,COUNTIF($Y$7:Y282,Y282))</f>
        <v>0</v>
      </c>
      <c r="AD282" s="212">
        <f>IFERROR(VLOOKUP(J282,競技会設定!$T$2:$W$22,2,0),0)</f>
        <v>0</v>
      </c>
      <c r="AE282" s="212">
        <f t="shared" ref="AE282" si="3226">IF(E279="",0,IF(AD282=0,0,IF(AD282&lt;3,E279&amp;$AE$6,0)))</f>
        <v>0</v>
      </c>
      <c r="AF282" s="212">
        <f>IF(AE282=0,0,E279&amp;COUNTIF($AE$7:AE282,AE282))</f>
        <v>0</v>
      </c>
      <c r="AG282" s="212">
        <f t="shared" ref="AG282" si="3227">IF(E279="",0,IF(AD282=0,0,IF(AD282&gt;=3,E279&amp;$AG$6,0)))</f>
        <v>0</v>
      </c>
      <c r="AH282" s="212">
        <f>IF(AG282=0,0,E279&amp;COUNTIF($AG$7:AG282,AG282))</f>
        <v>0</v>
      </c>
      <c r="AI282" s="212">
        <f t="shared" ref="AI282" si="3228">IF($AD282=AI$6,$E279,0)</f>
        <v>0</v>
      </c>
      <c r="AJ282" s="212" t="b">
        <f>IF(AI282=0,FALSE,IF(COUNTIF(AI$7:AI282,AI282)&gt;1,TRUE,FALSE))</f>
        <v>0</v>
      </c>
      <c r="AK282" s="212">
        <f t="shared" ref="AK282" si="3229">IF($AD282=AK$6,$E279,0)</f>
        <v>0</v>
      </c>
      <c r="AL282" s="212" t="b">
        <f>IF(AK282=0,FALSE,IF(COUNTIF(AK$7:AK282,AK282)&gt;1,TRUE,FALSE))</f>
        <v>0</v>
      </c>
      <c r="AM282" s="212">
        <f t="shared" ref="AM282" si="3230">IF(COUNTIF(Y282,"*七種*")&gt;0,0,IF($AD282=AM$6,$E279,0))</f>
        <v>0</v>
      </c>
      <c r="AN282" s="212" t="b">
        <f>IF(AM282=0,FALSE,IF(COUNTIF(AM$7:AM282,AM282)&gt;1,TRUE,FALSE))</f>
        <v>0</v>
      </c>
      <c r="AO282" s="212">
        <f t="shared" ref="AO282" si="3231">IF($AD282=AO$6,$E279,0)</f>
        <v>0</v>
      </c>
      <c r="AP282" s="212" t="b">
        <f>IF(AO282=0,FALSE,IF(COUNTIF(AO$7:AO282,AO282)&gt;1,TRUE,FALSE))</f>
        <v>0</v>
      </c>
      <c r="AQ282" s="212">
        <f t="shared" ref="AQ282" si="3232">IF(COUNTIF(Y282,"*七種競技*")&gt;0,E279,0)</f>
        <v>0</v>
      </c>
      <c r="AR282" s="212" t="b">
        <f t="shared" si="3021"/>
        <v>0</v>
      </c>
      <c r="AT282" s="212" t="b">
        <f t="shared" si="3034"/>
        <v>0</v>
      </c>
      <c r="AX282" s="274"/>
      <c r="BD282" s="212" t="b">
        <f t="shared" si="3008"/>
        <v>0</v>
      </c>
      <c r="BF282" s="212" t="b">
        <f t="shared" ref="BF282" si="3233">IF(J282="",FALSE,IF(OR(AND(AU279,L282=""),AND(AU279,L282="",OR(M282&lt;&gt;"",N282&lt;&gt;"",O282&lt;&gt;"",P282&lt;&gt;""))),TRUE,FALSE))</f>
        <v>0</v>
      </c>
      <c r="BG282" s="212" t="b">
        <f t="shared" si="3010"/>
        <v>0</v>
      </c>
      <c r="BH282" s="212" t="b">
        <f t="shared" si="3023"/>
        <v>0</v>
      </c>
      <c r="BI282" s="212" t="b">
        <f t="shared" ref="BI282" si="3234">IF(J282="",FALSE,IF(L282=0,FALSE,IF(AND(AU279,NOT(BF282),OR(M282="",N282="",O282="")),TRUE,FALSE)))</f>
        <v>0</v>
      </c>
      <c r="BJ282" s="231" t="b">
        <f t="shared" si="3025"/>
        <v>0</v>
      </c>
      <c r="BK282" s="231" t="b">
        <f>IF(NOT(BJ282),FALSE,IF(AND(競技会設定!$C$5&lt;=BJ282,BJ282&lt;=競技会設定!$C$6),FALSE,TRUE))</f>
        <v>0</v>
      </c>
      <c r="BL282" s="212" t="b">
        <f>IF(J282="",FALSE,IF(L282=0,FALSE,IF(AND(AU279,NOT(BF282),NOT(BI282),P282=""),TRUE,FALSE)))</f>
        <v>0</v>
      </c>
    </row>
    <row r="283" spans="1:67" ht="18" customHeight="1" thickTop="1">
      <c r="A283" s="461">
        <v>70</v>
      </c>
      <c r="B283" s="373" t="s">
        <v>4018</v>
      </c>
      <c r="C283" s="375"/>
      <c r="D283" s="158" t="str">
        <f t="shared" ref="D283" si="3235">IF(C283="","",502&amp;TEXT(C283,"000000"))</f>
        <v/>
      </c>
      <c r="E283" s="464" t="str">
        <f>IF(D283="","",(VLOOKUP(D283,女子登録!$A$2:$N$2001,3,0)))</f>
        <v/>
      </c>
      <c r="F283" s="464" t="str">
        <f>IF(D283="","",(VLOOKUP(D283,女子登録!$A$2:$N$2001,4,0)))</f>
        <v/>
      </c>
      <c r="G283" s="158" t="str">
        <f>IF(C283="","",(VLOOKUP(D283,女子登録!$A$2:$N$2001,8,0)))</f>
        <v/>
      </c>
      <c r="H283" s="158">
        <f>IFERROR(VLOOKUP(D283,女子登録!$A$2:$N$2001,11,0),基本情報!$E$5)</f>
        <v>0</v>
      </c>
      <c r="I283" s="158" t="s">
        <v>4019</v>
      </c>
      <c r="J283" s="174"/>
      <c r="K283" s="158" t="s">
        <v>4022</v>
      </c>
      <c r="L283" s="174"/>
      <c r="M283" s="261"/>
      <c r="N283" s="262"/>
      <c r="O283" s="263"/>
      <c r="P283" s="174"/>
      <c r="Q283" s="448"/>
      <c r="R283" s="408"/>
      <c r="S283" s="136">
        <f t="shared" ref="S283" si="3236">IF(OR(E283="",Q283=""),0,E283)</f>
        <v>0</v>
      </c>
      <c r="T283" s="137">
        <f>IF(S283=0,0,COUNTIF($S$7:S283,"*"))</f>
        <v>0</v>
      </c>
      <c r="U283" s="137">
        <f>IF(S283=0,0,COUNTIF($S$7:S283,S283))</f>
        <v>0</v>
      </c>
      <c r="V283" s="137">
        <f t="shared" ref="V283:V343" si="3237">IF(OR(E283="",R283=""),0,E283&amp;MAX(COUNTIF($AG$7:$AG$406,E283&amp;"nans21v"))+1)</f>
        <v>0</v>
      </c>
      <c r="W283" s="137">
        <f>IF(V283=0,0,COUNTIF($V$7:V283,"*"))</f>
        <v>0</v>
      </c>
      <c r="X283" s="137">
        <f>IF(V283=0,0,COUNTIF($V$7:V283,V283))</f>
        <v>0</v>
      </c>
      <c r="Y283" s="212">
        <f t="shared" ref="Y283" si="3238">IF(OR(E283="",J283=""),0,J283&amp;E283)</f>
        <v>0</v>
      </c>
      <c r="Z283" s="212">
        <f>IF(Y283=0,0,COUNTIF($Y$7:Y283,Y283))</f>
        <v>0</v>
      </c>
      <c r="AA283" s="212" t="b">
        <f>IF(COUNTIF(J283:J286,"七種競技")&gt;0,TRUE,FALSE)</f>
        <v>0</v>
      </c>
      <c r="AB283" s="212">
        <f>IF(E283="",0,IF(AA283,COUNTIF($AA$7:AA283,TRUE),0))</f>
        <v>0</v>
      </c>
      <c r="AC283" s="212">
        <f>IFERROR(VLOOKUP("七種競技",J283:L286,3,0),0)</f>
        <v>0</v>
      </c>
      <c r="AD283" s="212">
        <f>IFERROR(VLOOKUP(J283,競技会設定!$T$2:$W$22,2,0),0)</f>
        <v>0</v>
      </c>
      <c r="AE283" s="212">
        <f t="shared" ref="AE283" si="3239">IF(E283="",0,IF(AD283=0,0,IF(AD283&lt;3,E283&amp;$AE$6,0)))</f>
        <v>0</v>
      </c>
      <c r="AF283" s="212">
        <f>IF(AE283=0,0,E283&amp;COUNTIF($AE$7:AE283,AE283))</f>
        <v>0</v>
      </c>
      <c r="AG283" s="212">
        <f t="shared" ref="AG283" si="3240">IF(E283="",0,IF(AD283=0,0,IF(AD283&gt;=3,E283&amp;$AG$6,0)))</f>
        <v>0</v>
      </c>
      <c r="AH283" s="212">
        <f>IF(AG283=0,0,E283&amp;COUNTIF($AG$7:AG283,AG283))</f>
        <v>0</v>
      </c>
      <c r="AI283" s="212">
        <f t="shared" ref="AI283" si="3241">IF($AD283=AI$6,$E283,0)</f>
        <v>0</v>
      </c>
      <c r="AJ283" s="212" t="b">
        <f>IF(AI283=0,FALSE,IF(COUNTIF(AI$7:AI283,AI283)&gt;1,TRUE,FALSE))</f>
        <v>0</v>
      </c>
      <c r="AK283" s="212">
        <f t="shared" ref="AK283" si="3242">IF($AD283=AK$6,$E283,0)</f>
        <v>0</v>
      </c>
      <c r="AL283" s="212" t="b">
        <f>IF(AK283=0,FALSE,IF(COUNTIF(AK$7:AK283,AK283)&gt;1,TRUE,FALSE))</f>
        <v>0</v>
      </c>
      <c r="AM283" s="212">
        <f t="shared" ref="AM283" si="3243">IF(COUNTIF(Y283,"*七種*")&gt;0,0,IF($AD283=AM$6,$E283,0))</f>
        <v>0</v>
      </c>
      <c r="AN283" s="212" t="b">
        <f>IF(AM283=0,FALSE,IF(COUNTIF(AM$7:AM283,AM283)&gt;1,TRUE,FALSE))</f>
        <v>0</v>
      </c>
      <c r="AO283" s="212">
        <f t="shared" ref="AO283" si="3244">IF($AD283=AO$6,$E283,0)</f>
        <v>0</v>
      </c>
      <c r="AP283" s="212" t="b">
        <f>IF(AO283=0,FALSE,IF(COUNTIF(AO$7:AO283,AO283)&gt;1,TRUE,FALSE))</f>
        <v>0</v>
      </c>
      <c r="AQ283" s="212">
        <f t="shared" ref="AQ283" si="3245">IF(COUNTIF(Y283,"*七種競技*")&gt;0,E283,0)</f>
        <v>0</v>
      </c>
      <c r="AR283" s="212" t="b">
        <f t="shared" si="3021"/>
        <v>0</v>
      </c>
      <c r="AS283" s="212" t="b">
        <f t="shared" ref="AS283" si="3246">IF(AND(C283="",E283&lt;&gt;"",F283&lt;&gt;"",E285&lt;&gt;"",G283&lt;&gt;"",G284&lt;&gt;"",G285&lt;&gt;""),TRUE,FALSE)</f>
        <v>0</v>
      </c>
      <c r="AT283" s="212" t="b">
        <f t="shared" si="3034"/>
        <v>0</v>
      </c>
      <c r="AU283" s="212" t="b">
        <f>IFERROR(IF(E283&amp;F283&amp;E285&amp;G283&amp;G284&amp;G285&amp;J283&amp;J284&amp;J285&amp;J286&amp;L283&amp;L284&amp;L285&amp;L286&amp;M283&amp;M284&amp;M285&amp;M286&amp;P283&amp;P284&amp;P285&amp;P286&amp;Q283&amp;R283="",FALSE,TRUE),FALSE)</f>
        <v>0</v>
      </c>
      <c r="AV283" s="212" t="b">
        <f t="shared" ref="AV283" si="3247">IF(AS283,FALSE,IF(C283="",AU283,FALSE))</f>
        <v>0</v>
      </c>
      <c r="AW283" s="212" t="b">
        <f t="shared" ref="AW283" si="3248">IF(C283="",FALSE,IF(C283&lt;=2000,TRUE,FALSE))</f>
        <v>0</v>
      </c>
      <c r="AX283" s="274" t="b">
        <f>IF(H283=0,FALSE,IF(EXACT(基本情報!$E$5,H283)=TRUE,FALSE,TRUE))</f>
        <v>0</v>
      </c>
      <c r="AY283" s="212" t="b">
        <f>IF(C283="",FALSE,IF(ISNA(E283)=TRUE,TRUE,FALSE))</f>
        <v>0</v>
      </c>
      <c r="AZ283" s="274" t="b">
        <f>IFERROR(IF(E283="",FALSE,IF(COUNTIF($E$7:E283,E283)&gt;1,TRUE,FALSE)),FALSE)</f>
        <v>0</v>
      </c>
      <c r="BA283" s="212" t="b">
        <f t="shared" ref="BA283" si="3249">IF(OR(J283&amp;J284&amp;J285&amp;J286&amp;Q283&amp;R283="",AT283,AT284,AT285,AT286),AU283,FALSE)</f>
        <v>0</v>
      </c>
      <c r="BB283" s="212" t="b">
        <f>IF(U283&gt;1,TRUE,FALSE)</f>
        <v>0</v>
      </c>
      <c r="BC283" s="212" t="b">
        <f>IF(X283&gt;1,TRUE,FALSE)</f>
        <v>0</v>
      </c>
      <c r="BD283" s="212" t="b">
        <f t="shared" si="3008"/>
        <v>0</v>
      </c>
      <c r="BF283" s="212" t="b">
        <f t="shared" ref="BF283" si="3250">IF(J283="",FALSE,IF(OR(AND(AU283,L283=""),AND(AU283,L283="",OR(M283&lt;&gt;"",N283&lt;&gt;"",O283&lt;&gt;"",P283&lt;&gt;""))),TRUE,FALSE))</f>
        <v>0</v>
      </c>
      <c r="BG283" s="212" t="b">
        <f t="shared" si="3010"/>
        <v>0</v>
      </c>
      <c r="BH283" s="212" t="b">
        <f t="shared" si="3023"/>
        <v>0</v>
      </c>
      <c r="BI283" s="212" t="b">
        <f t="shared" ref="BI283" si="3251">IF(J283="",FALSE,IF(L283=0,FALSE,IF(AND(AU283,NOT(BF283),OR(M283="",N283="",O283="")),TRUE,FALSE)))</f>
        <v>0</v>
      </c>
      <c r="BJ283" s="231" t="b">
        <f t="shared" si="3025"/>
        <v>0</v>
      </c>
      <c r="BK283" s="231" t="b">
        <f>IF(NOT(BJ283),FALSE,IF(AND(競技会設定!$C$5&lt;=BJ283,BJ283&lt;=競技会設定!$C$6),FALSE,TRUE))</f>
        <v>0</v>
      </c>
      <c r="BL283" s="212" t="b">
        <f>IF(J283="",FALSE,IF(L283=0,FALSE,IF(AND(AU283,NOT(BF283),NOT(BI283),P283=""),TRUE,FALSE)))</f>
        <v>0</v>
      </c>
      <c r="BO283" s="274">
        <f t="shared" ref="BO283" si="3252">IF(AND(AU283,SUM(COUNTIF(AV283:BC283,TRUE),COUNTIF(BF283:BL286,TRUE),COUNTIF(BD283:BD286,TRUE))=0,NOT($BE$7)),1,0)</f>
        <v>0</v>
      </c>
    </row>
    <row r="284" spans="1:67" ht="17.399999999999999" customHeight="1">
      <c r="A284" s="462"/>
      <c r="B284" s="374"/>
      <c r="C284" s="376"/>
      <c r="D284" s="159"/>
      <c r="E284" s="465"/>
      <c r="F284" s="465"/>
      <c r="G284" s="159" t="str">
        <f>IF(C283="","",(VLOOKUP(D283,女子登録!$A$2:$N$2001,13,0)))</f>
        <v/>
      </c>
      <c r="H284" s="159"/>
      <c r="I284" s="159" t="s">
        <v>4020</v>
      </c>
      <c r="J284" s="175"/>
      <c r="K284" s="159" t="s">
        <v>4023</v>
      </c>
      <c r="L284" s="175"/>
      <c r="M284" s="264"/>
      <c r="N284" s="265"/>
      <c r="O284" s="266"/>
      <c r="P284" s="175"/>
      <c r="Q284" s="449"/>
      <c r="R284" s="409"/>
      <c r="S284" s="136"/>
      <c r="T284" s="137"/>
      <c r="U284" s="137"/>
      <c r="V284" s="137"/>
      <c r="W284" s="137"/>
      <c r="X284" s="137"/>
      <c r="Y284" s="212">
        <f t="shared" ref="Y284" si="3253">IF(OR(E283="",J284=""),0,J284&amp;E283)</f>
        <v>0</v>
      </c>
      <c r="Z284" s="212">
        <f>IF(Y284=0,0,COUNTIF($Y$7:Y284,Y284))</f>
        <v>0</v>
      </c>
      <c r="AD284" s="212">
        <f>IFERROR(VLOOKUP(J284,競技会設定!$T$2:$W$22,2,0),0)</f>
        <v>0</v>
      </c>
      <c r="AE284" s="212">
        <f t="shared" ref="AE284" si="3254">IF(E283="",0,IF(AD284=0,0,IF(AD284&lt;3,E283&amp;$AE$6,0)))</f>
        <v>0</v>
      </c>
      <c r="AF284" s="212">
        <f>IF(AE284=0,0,E283&amp;COUNTIF($AE$7:AE284,AE284))</f>
        <v>0</v>
      </c>
      <c r="AG284" s="212">
        <f t="shared" ref="AG284" si="3255">IF(E283="",0,IF(AD284=0,0,IF(AD284&gt;=3,E283&amp;$AG$6,0)))</f>
        <v>0</v>
      </c>
      <c r="AH284" s="212">
        <f>IF(AG284=0,0,E283&amp;COUNTIF($AG$7:AG284,AG284))</f>
        <v>0</v>
      </c>
      <c r="AI284" s="212">
        <f t="shared" ref="AI284" si="3256">IF($AD284=AI$6,$E283,0)</f>
        <v>0</v>
      </c>
      <c r="AJ284" s="212" t="b">
        <f>IF(AI284=0,FALSE,IF(COUNTIF(AI$7:AI284,AI284)&gt;1,TRUE,FALSE))</f>
        <v>0</v>
      </c>
      <c r="AK284" s="212">
        <f t="shared" ref="AK284" si="3257">IF($AD284=AK$6,$E283,0)</f>
        <v>0</v>
      </c>
      <c r="AL284" s="212" t="b">
        <f>IF(AK284=0,FALSE,IF(COUNTIF(AK$7:AK284,AK284)&gt;1,TRUE,FALSE))</f>
        <v>0</v>
      </c>
      <c r="AM284" s="212">
        <f t="shared" ref="AM284" si="3258">IF(COUNTIF(Y284,"*七種*")&gt;0,0,IF($AD284=AM$6,$E283,0))</f>
        <v>0</v>
      </c>
      <c r="AN284" s="212" t="b">
        <f>IF(AM284=0,FALSE,IF(COUNTIF(AM$7:AM284,AM284)&gt;1,TRUE,FALSE))</f>
        <v>0</v>
      </c>
      <c r="AO284" s="212">
        <f t="shared" ref="AO284" si="3259">IF($AD284=AO$6,$E283,0)</f>
        <v>0</v>
      </c>
      <c r="AP284" s="212" t="b">
        <f>IF(AO284=0,FALSE,IF(COUNTIF(AO$7:AO284,AO284)&gt;1,TRUE,FALSE))</f>
        <v>0</v>
      </c>
      <c r="AQ284" s="212">
        <f t="shared" ref="AQ284" si="3260">IF(COUNTIF(Y284,"*七種競技*")&gt;0,E283,0)</f>
        <v>0</v>
      </c>
      <c r="AR284" s="212" t="b">
        <f t="shared" si="3021"/>
        <v>0</v>
      </c>
      <c r="AT284" s="212" t="b">
        <f t="shared" si="3034"/>
        <v>0</v>
      </c>
      <c r="AX284" s="274"/>
      <c r="BD284" s="212" t="b">
        <f t="shared" si="3008"/>
        <v>0</v>
      </c>
      <c r="BF284" s="212" t="b">
        <f t="shared" ref="BF284" si="3261">IF(J284="",FALSE,IF(OR(AND(AU283,L284=""),AND(AU283,L284="",OR(M284&lt;&gt;"",N284&lt;&gt;"",O284&lt;&gt;"",P284&lt;&gt;""))),TRUE,FALSE))</f>
        <v>0</v>
      </c>
      <c r="BG284" s="212" t="b">
        <f t="shared" si="3010"/>
        <v>0</v>
      </c>
      <c r="BH284" s="212" t="b">
        <f t="shared" si="3023"/>
        <v>0</v>
      </c>
      <c r="BI284" s="212" t="b">
        <f t="shared" ref="BI284" si="3262">IF(J284="",FALSE,IF(L284=0,FALSE,IF(AND(AU283,NOT(BF284),OR(M284="",N284="",O284="")),TRUE,FALSE)))</f>
        <v>0</v>
      </c>
      <c r="BJ284" s="231" t="b">
        <f t="shared" si="3025"/>
        <v>0</v>
      </c>
      <c r="BK284" s="231" t="b">
        <f>IF(NOT(BJ284),FALSE,IF(AND(競技会設定!$C$5&lt;=BJ284,BJ284&lt;=競技会設定!$C$6),FALSE,TRUE))</f>
        <v>0</v>
      </c>
      <c r="BL284" s="212" t="b">
        <f>IF(J284="",FALSE,IF(L284=0,FALSE,IF(AND(AU283,NOT(BF284),NOT(BI284),P284=""),TRUE,FALSE)))</f>
        <v>0</v>
      </c>
    </row>
    <row r="285" spans="1:67" ht="17.399999999999999" customHeight="1">
      <c r="A285" s="462"/>
      <c r="B285" s="374"/>
      <c r="C285" s="376"/>
      <c r="D285" s="160"/>
      <c r="E285" s="452" t="str">
        <f>IF(C283="","",VLOOKUP(D283,女子登録!$A$2:$O$2001,14,0)&amp;" ("&amp;VLOOKUP(D283,女子登録!$A$2:$O$2001,15,0)&amp;")")</f>
        <v/>
      </c>
      <c r="F285" s="453"/>
      <c r="G285" s="160" t="str">
        <f>IF(C283="","",(VLOOKUP(D283,女子登録!$A$2:$N$2001,9,0)))</f>
        <v/>
      </c>
      <c r="H285" s="160"/>
      <c r="I285" s="160" t="s">
        <v>4021</v>
      </c>
      <c r="J285" s="176"/>
      <c r="K285" s="160" t="s">
        <v>6760</v>
      </c>
      <c r="L285" s="176"/>
      <c r="M285" s="264"/>
      <c r="N285" s="265"/>
      <c r="O285" s="266"/>
      <c r="P285" s="175"/>
      <c r="Q285" s="449"/>
      <c r="R285" s="409"/>
      <c r="S285" s="136"/>
      <c r="T285" s="137"/>
      <c r="U285" s="137"/>
      <c r="V285" s="137"/>
      <c r="W285" s="137"/>
      <c r="X285" s="137"/>
      <c r="Y285" s="212">
        <f t="shared" ref="Y285" si="3263">IF(OR(E283="",J285=""),0,J285&amp;E283)</f>
        <v>0</v>
      </c>
      <c r="Z285" s="212">
        <f>IF(Y285=0,0,COUNTIF($Y$7:Y285,Y285))</f>
        <v>0</v>
      </c>
      <c r="AD285" s="212">
        <f>IFERROR(VLOOKUP(J285,競技会設定!$T$2:$W$22,2,0),0)</f>
        <v>0</v>
      </c>
      <c r="AE285" s="212">
        <f t="shared" ref="AE285" si="3264">IF(E283="",0,IF(AD285=0,0,IF(AD285&lt;3,E283&amp;$AE$6,0)))</f>
        <v>0</v>
      </c>
      <c r="AF285" s="212">
        <f>IF(AE285=0,0,E283&amp;COUNTIF($AE$7:AE285,AE285))</f>
        <v>0</v>
      </c>
      <c r="AG285" s="212">
        <f t="shared" ref="AG285" si="3265">IF(E283="",0,IF(AD285=0,0,IF(AD285&gt;=3,E283&amp;$AG$6,0)))</f>
        <v>0</v>
      </c>
      <c r="AH285" s="212">
        <f>IF(AG285=0,0,E283&amp;COUNTIF($AG$7:AG285,AG285))</f>
        <v>0</v>
      </c>
      <c r="AI285" s="212">
        <f t="shared" ref="AI285" si="3266">IF($AD285=AI$6,$E283,0)</f>
        <v>0</v>
      </c>
      <c r="AJ285" s="212" t="b">
        <f>IF(AI285=0,FALSE,IF(COUNTIF(AI$7:AI285,AI285)&gt;1,TRUE,FALSE))</f>
        <v>0</v>
      </c>
      <c r="AK285" s="212">
        <f t="shared" ref="AK285" si="3267">IF($AD285=AK$6,$E283,0)</f>
        <v>0</v>
      </c>
      <c r="AL285" s="212" t="b">
        <f>IF(AK285=0,FALSE,IF(COUNTIF(AK$7:AK285,AK285)&gt;1,TRUE,FALSE))</f>
        <v>0</v>
      </c>
      <c r="AM285" s="212">
        <f t="shared" ref="AM285" si="3268">IF(COUNTIF(Y285,"*七種*")&gt;0,0,IF($AD285=AM$6,$E283,0))</f>
        <v>0</v>
      </c>
      <c r="AN285" s="212" t="b">
        <f>IF(AM285=0,FALSE,IF(COUNTIF(AM$7:AM285,AM285)&gt;1,TRUE,FALSE))</f>
        <v>0</v>
      </c>
      <c r="AO285" s="212">
        <f t="shared" ref="AO285" si="3269">IF($AD285=AO$6,$E283,0)</f>
        <v>0</v>
      </c>
      <c r="AP285" s="212" t="b">
        <f>IF(AO285=0,FALSE,IF(COUNTIF(AO$7:AO285,AO285)&gt;1,TRUE,FALSE))</f>
        <v>0</v>
      </c>
      <c r="AQ285" s="212">
        <f t="shared" ref="AQ285" si="3270">IF(COUNTIF(Y285,"*七種競技*")&gt;0,E283,0)</f>
        <v>0</v>
      </c>
      <c r="AR285" s="212" t="b">
        <f t="shared" si="3021"/>
        <v>0</v>
      </c>
      <c r="AT285" s="212" t="b">
        <f t="shared" si="3034"/>
        <v>0</v>
      </c>
      <c r="AX285" s="274"/>
      <c r="BD285" s="212" t="b">
        <f t="shared" si="3008"/>
        <v>0</v>
      </c>
      <c r="BF285" s="212" t="b">
        <f t="shared" ref="BF285" si="3271">IF(J285="",FALSE,IF(OR(AND(AU283,L285=""),AND(AU283,L285="",OR(M285&lt;&gt;"",N285&lt;&gt;"",O285&lt;&gt;"",P285&lt;&gt;""))),TRUE,FALSE))</f>
        <v>0</v>
      </c>
      <c r="BG285" s="212" t="b">
        <f t="shared" si="3010"/>
        <v>0</v>
      </c>
      <c r="BH285" s="212" t="b">
        <f t="shared" si="3023"/>
        <v>0</v>
      </c>
      <c r="BI285" s="212" t="b">
        <f t="shared" ref="BI285" si="3272">IF(J285="",FALSE,IF(L285=0,FALSE,IF(AND(AU283,NOT(BF285),OR(M285="",N285="",O285="")),TRUE,FALSE)))</f>
        <v>0</v>
      </c>
      <c r="BJ285" s="231" t="b">
        <f t="shared" si="3025"/>
        <v>0</v>
      </c>
      <c r="BK285" s="231" t="b">
        <f>IF(NOT(BJ285),FALSE,IF(AND(競技会設定!$C$5&lt;=BJ285,BJ285&lt;=競技会設定!$C$6),FALSE,TRUE))</f>
        <v>0</v>
      </c>
      <c r="BL285" s="212" t="b">
        <f>IF(J285="",FALSE,IF(L285=0,FALSE,IF(AND(AU283,NOT(BF285),NOT(BI285),P285=""),TRUE,FALSE)))</f>
        <v>0</v>
      </c>
    </row>
    <row r="286" spans="1:67" ht="18" customHeight="1" thickBot="1">
      <c r="A286" s="475"/>
      <c r="B286" s="387" t="s">
        <v>6764</v>
      </c>
      <c r="C286" s="387"/>
      <c r="D286" s="161"/>
      <c r="E286" s="467"/>
      <c r="F286" s="468"/>
      <c r="G286" s="469"/>
      <c r="H286" s="162"/>
      <c r="I286" s="161" t="s">
        <v>6759</v>
      </c>
      <c r="J286" s="177"/>
      <c r="K286" s="161" t="s">
        <v>6761</v>
      </c>
      <c r="L286" s="177"/>
      <c r="M286" s="267"/>
      <c r="N286" s="268"/>
      <c r="O286" s="269"/>
      <c r="P286" s="177"/>
      <c r="Q286" s="466"/>
      <c r="R286" s="410"/>
      <c r="S286" s="136"/>
      <c r="T286" s="137"/>
      <c r="U286" s="137"/>
      <c r="V286" s="137"/>
      <c r="W286" s="137"/>
      <c r="X286" s="137"/>
      <c r="Y286" s="212">
        <f t="shared" ref="Y286" si="3273">IF(OR(E283="",J286=""),0,J286&amp;E283)</f>
        <v>0</v>
      </c>
      <c r="Z286" s="212">
        <f>IF(Y286=0,0,COUNTIF($Y$7:Y286,Y286))</f>
        <v>0</v>
      </c>
      <c r="AD286" s="212">
        <f>IFERROR(VLOOKUP(J286,競技会設定!$T$2:$W$22,2,0),0)</f>
        <v>0</v>
      </c>
      <c r="AE286" s="212">
        <f t="shared" ref="AE286" si="3274">IF(E283="",0,IF(AD286=0,0,IF(AD286&lt;3,E283&amp;$AE$6,0)))</f>
        <v>0</v>
      </c>
      <c r="AF286" s="212">
        <f>IF(AE286=0,0,E283&amp;COUNTIF($AE$7:AE286,AE286))</f>
        <v>0</v>
      </c>
      <c r="AG286" s="212">
        <f t="shared" ref="AG286" si="3275">IF(E283="",0,IF(AD286=0,0,IF(AD286&gt;=3,E283&amp;$AG$6,0)))</f>
        <v>0</v>
      </c>
      <c r="AH286" s="212">
        <f>IF(AG286=0,0,E283&amp;COUNTIF($AG$7:AG286,AG286))</f>
        <v>0</v>
      </c>
      <c r="AI286" s="212">
        <f t="shared" ref="AI286" si="3276">IF($AD286=AI$6,$E283,0)</f>
        <v>0</v>
      </c>
      <c r="AJ286" s="212" t="b">
        <f>IF(AI286=0,FALSE,IF(COUNTIF(AI$7:AI286,AI286)&gt;1,TRUE,FALSE))</f>
        <v>0</v>
      </c>
      <c r="AK286" s="212">
        <f t="shared" ref="AK286" si="3277">IF($AD286=AK$6,$E283,0)</f>
        <v>0</v>
      </c>
      <c r="AL286" s="212" t="b">
        <f>IF(AK286=0,FALSE,IF(COUNTIF(AK$7:AK286,AK286)&gt;1,TRUE,FALSE))</f>
        <v>0</v>
      </c>
      <c r="AM286" s="212">
        <f t="shared" ref="AM286" si="3278">IF(COUNTIF(Y286,"*七種*")&gt;0,0,IF($AD286=AM$6,$E283,0))</f>
        <v>0</v>
      </c>
      <c r="AN286" s="212" t="b">
        <f>IF(AM286=0,FALSE,IF(COUNTIF(AM$7:AM286,AM286)&gt;1,TRUE,FALSE))</f>
        <v>0</v>
      </c>
      <c r="AO286" s="212">
        <f t="shared" ref="AO286" si="3279">IF($AD286=AO$6,$E283,0)</f>
        <v>0</v>
      </c>
      <c r="AP286" s="212" t="b">
        <f>IF(AO286=0,FALSE,IF(COUNTIF(AO$7:AO286,AO286)&gt;1,TRUE,FALSE))</f>
        <v>0</v>
      </c>
      <c r="AQ286" s="212">
        <f t="shared" ref="AQ286" si="3280">IF(COUNTIF(Y286,"*七種競技*")&gt;0,E283,0)</f>
        <v>0</v>
      </c>
      <c r="AR286" s="212" t="b">
        <f t="shared" si="3021"/>
        <v>0</v>
      </c>
      <c r="AT286" s="212" t="b">
        <f t="shared" si="3034"/>
        <v>0</v>
      </c>
      <c r="AX286" s="274"/>
      <c r="BD286" s="212" t="b">
        <f t="shared" si="3008"/>
        <v>0</v>
      </c>
      <c r="BF286" s="212" t="b">
        <f t="shared" ref="BF286" si="3281">IF(J286="",FALSE,IF(OR(AND(AU283,L286=""),AND(AU283,L286="",OR(M286&lt;&gt;"",N286&lt;&gt;"",O286&lt;&gt;"",P286&lt;&gt;""))),TRUE,FALSE))</f>
        <v>0</v>
      </c>
      <c r="BG286" s="212" t="b">
        <f t="shared" si="3010"/>
        <v>0</v>
      </c>
      <c r="BH286" s="212" t="b">
        <f t="shared" si="3023"/>
        <v>0</v>
      </c>
      <c r="BI286" s="212" t="b">
        <f t="shared" ref="BI286" si="3282">IF(J286="",FALSE,IF(L286=0,FALSE,IF(AND(AU283,NOT(BF286),OR(M286="",N286="",O286="")),TRUE,FALSE)))</f>
        <v>0</v>
      </c>
      <c r="BJ286" s="231" t="b">
        <f t="shared" si="3025"/>
        <v>0</v>
      </c>
      <c r="BK286" s="231" t="b">
        <f>IF(NOT(BJ286),FALSE,IF(AND(競技会設定!$C$5&lt;=BJ286,BJ286&lt;=競技会設定!$C$6),FALSE,TRUE))</f>
        <v>0</v>
      </c>
      <c r="BL286" s="212" t="b">
        <f>IF(J286="",FALSE,IF(L286=0,FALSE,IF(AND(AU283,NOT(BF286),NOT(BI286),P286=""),TRUE,FALSE)))</f>
        <v>0</v>
      </c>
    </row>
    <row r="287" spans="1:67" ht="18" customHeight="1" thickTop="1">
      <c r="A287" s="470">
        <v>71</v>
      </c>
      <c r="B287" s="401" t="s">
        <v>4018</v>
      </c>
      <c r="C287" s="403"/>
      <c r="D287" s="156" t="str">
        <f t="shared" ref="D287" si="3283">IF(C287="","",502&amp;TEXT(C287,"000000"))</f>
        <v/>
      </c>
      <c r="E287" s="473" t="str">
        <f>IF(D287="","",(VLOOKUP(D287,女子登録!$A$2:$N$2001,3,0)))</f>
        <v/>
      </c>
      <c r="F287" s="473" t="str">
        <f>IF(D287="","",(VLOOKUP(D287,女子登録!$A$2:$N$2001,4,0)))</f>
        <v/>
      </c>
      <c r="G287" s="156" t="str">
        <f>IF(C287="","",(VLOOKUP(D287,女子登録!$A$2:$N$2001,8,0)))</f>
        <v/>
      </c>
      <c r="H287" s="156">
        <f>IFERROR(VLOOKUP(D287,女子登録!$A$2:$N$2001,11,0),基本情報!$E$5)</f>
        <v>0</v>
      </c>
      <c r="I287" s="156" t="s">
        <v>4019</v>
      </c>
      <c r="J287" s="170"/>
      <c r="K287" s="156" t="s">
        <v>4022</v>
      </c>
      <c r="L287" s="170"/>
      <c r="M287" s="252"/>
      <c r="N287" s="253"/>
      <c r="O287" s="254"/>
      <c r="P287" s="170"/>
      <c r="Q287" s="457"/>
      <c r="R287" s="414"/>
      <c r="S287" s="136">
        <f t="shared" ref="S287" si="3284">IF(OR(E287="",Q287=""),0,E287)</f>
        <v>0</v>
      </c>
      <c r="T287" s="137">
        <f>IF(S287=0,0,COUNTIF($S$7:S287,"*"))</f>
        <v>0</v>
      </c>
      <c r="U287" s="137">
        <f>IF(S287=0,0,COUNTIF($S$7:S287,S287))</f>
        <v>0</v>
      </c>
      <c r="V287" s="137">
        <f t="shared" si="3237"/>
        <v>0</v>
      </c>
      <c r="W287" s="137">
        <f>IF(V287=0,0,COUNTIF($V$7:V287,"*"))</f>
        <v>0</v>
      </c>
      <c r="X287" s="137">
        <f>IF(V287=0,0,COUNTIF($V$7:V287,V287))</f>
        <v>0</v>
      </c>
      <c r="Y287" s="212">
        <f t="shared" ref="Y287" si="3285">IF(OR(E287="",J287=""),0,J287&amp;E287)</f>
        <v>0</v>
      </c>
      <c r="Z287" s="212">
        <f>IF(Y287=0,0,COUNTIF($Y$7:Y287,Y287))</f>
        <v>0</v>
      </c>
      <c r="AA287" s="212" t="b">
        <f>IF(COUNTIF(J287:J290,"七種競技")&gt;0,TRUE,FALSE)</f>
        <v>0</v>
      </c>
      <c r="AB287" s="212">
        <f>IF(E287="",0,IF(AA287,COUNTIF($AA$7:AA287,TRUE),0))</f>
        <v>0</v>
      </c>
      <c r="AC287" s="212">
        <f>IFERROR(VLOOKUP("七種競技",J287:L290,3,0),0)</f>
        <v>0</v>
      </c>
      <c r="AD287" s="212">
        <f>IFERROR(VLOOKUP(J287,競技会設定!$T$2:$W$22,2,0),0)</f>
        <v>0</v>
      </c>
      <c r="AE287" s="212">
        <f t="shared" ref="AE287" si="3286">IF(E287="",0,IF(AD287=0,0,IF(AD287&lt;3,E287&amp;$AE$6,0)))</f>
        <v>0</v>
      </c>
      <c r="AF287" s="212">
        <f>IF(AE287=0,0,E287&amp;COUNTIF($AE$7:AE287,AE287))</f>
        <v>0</v>
      </c>
      <c r="AG287" s="212">
        <f t="shared" ref="AG287" si="3287">IF(E287="",0,IF(AD287=0,0,IF(AD287&gt;=3,E287&amp;$AG$6,0)))</f>
        <v>0</v>
      </c>
      <c r="AH287" s="212">
        <f>IF(AG287=0,0,E287&amp;COUNTIF($AG$7:AG287,AG287))</f>
        <v>0</v>
      </c>
      <c r="AI287" s="212">
        <f t="shared" ref="AI287" si="3288">IF($AD287=AI$6,$E287,0)</f>
        <v>0</v>
      </c>
      <c r="AJ287" s="212" t="b">
        <f>IF(AI287=0,FALSE,IF(COUNTIF(AI$7:AI287,AI287)&gt;1,TRUE,FALSE))</f>
        <v>0</v>
      </c>
      <c r="AK287" s="212">
        <f t="shared" ref="AK287" si="3289">IF($AD287=AK$6,$E287,0)</f>
        <v>0</v>
      </c>
      <c r="AL287" s="212" t="b">
        <f>IF(AK287=0,FALSE,IF(COUNTIF(AK$7:AK287,AK287)&gt;1,TRUE,FALSE))</f>
        <v>0</v>
      </c>
      <c r="AM287" s="212">
        <f t="shared" ref="AM287" si="3290">IF(COUNTIF(Y287,"*七種*")&gt;0,0,IF($AD287=AM$6,$E287,0))</f>
        <v>0</v>
      </c>
      <c r="AN287" s="212" t="b">
        <f>IF(AM287=0,FALSE,IF(COUNTIF(AM$7:AM287,AM287)&gt;1,TRUE,FALSE))</f>
        <v>0</v>
      </c>
      <c r="AO287" s="212">
        <f t="shared" ref="AO287" si="3291">IF($AD287=AO$6,$E287,0)</f>
        <v>0</v>
      </c>
      <c r="AP287" s="212" t="b">
        <f>IF(AO287=0,FALSE,IF(COUNTIF(AO$7:AO287,AO287)&gt;1,TRUE,FALSE))</f>
        <v>0</v>
      </c>
      <c r="AQ287" s="212">
        <f t="shared" ref="AQ287" si="3292">IF(COUNTIF(Y287,"*七種競技*")&gt;0,E287,0)</f>
        <v>0</v>
      </c>
      <c r="AR287" s="212" t="b">
        <f t="shared" si="3021"/>
        <v>0</v>
      </c>
      <c r="AS287" s="212" t="b">
        <f t="shared" ref="AS287" si="3293">IF(AND(C287="",E287&lt;&gt;"",F287&lt;&gt;"",E289&lt;&gt;"",G287&lt;&gt;"",G288&lt;&gt;"",G289&lt;&gt;""),TRUE,FALSE)</f>
        <v>0</v>
      </c>
      <c r="AT287" s="212" t="b">
        <f t="shared" si="3034"/>
        <v>0</v>
      </c>
      <c r="AU287" s="212" t="b">
        <f>IFERROR(IF(E287&amp;F287&amp;E289&amp;G287&amp;G288&amp;G289&amp;J287&amp;J288&amp;J289&amp;J290&amp;L287&amp;L288&amp;L289&amp;L290&amp;M287&amp;M288&amp;M289&amp;M290&amp;P287&amp;P288&amp;P289&amp;P290&amp;Q287&amp;R287="",FALSE,TRUE),FALSE)</f>
        <v>0</v>
      </c>
      <c r="AV287" s="212" t="b">
        <f t="shared" ref="AV287" si="3294">IF(AS287,FALSE,IF(C287="",AU287,FALSE))</f>
        <v>0</v>
      </c>
      <c r="AW287" s="212" t="b">
        <f t="shared" ref="AW287" si="3295">IF(C287="",FALSE,IF(C287&lt;=2000,TRUE,FALSE))</f>
        <v>0</v>
      </c>
      <c r="AX287" s="274" t="b">
        <f>IF(H287=0,FALSE,IF(EXACT(基本情報!$E$5,H287)=TRUE,FALSE,TRUE))</f>
        <v>0</v>
      </c>
      <c r="AY287" s="212" t="b">
        <f>IF(C287="",FALSE,IF(ISNA(E287)=TRUE,TRUE,FALSE))</f>
        <v>0</v>
      </c>
      <c r="AZ287" s="274" t="b">
        <f>IFERROR(IF(E287="",FALSE,IF(COUNTIF($E$7:E287,E287)&gt;1,TRUE,FALSE)),FALSE)</f>
        <v>0</v>
      </c>
      <c r="BA287" s="212" t="b">
        <f t="shared" ref="BA287" si="3296">IF(OR(J287&amp;J288&amp;J289&amp;J290&amp;Q287&amp;R287="",AT287,AT288,AT289,AT290),AU287,FALSE)</f>
        <v>0</v>
      </c>
      <c r="BB287" s="212" t="b">
        <f>IF(U287&gt;1,TRUE,FALSE)</f>
        <v>0</v>
      </c>
      <c r="BC287" s="212" t="b">
        <f>IF(X287&gt;1,TRUE,FALSE)</f>
        <v>0</v>
      </c>
      <c r="BD287" s="212" t="b">
        <f t="shared" si="3008"/>
        <v>0</v>
      </c>
      <c r="BF287" s="212" t="b">
        <f t="shared" ref="BF287" si="3297">IF(J287="",FALSE,IF(OR(AND(AU287,L287=""),AND(AU287,L287="",OR(M287&lt;&gt;"",N287&lt;&gt;"",O287&lt;&gt;"",P287&lt;&gt;""))),TRUE,FALSE))</f>
        <v>0</v>
      </c>
      <c r="BG287" s="212" t="b">
        <f t="shared" si="3010"/>
        <v>0</v>
      </c>
      <c r="BH287" s="212" t="b">
        <f t="shared" si="3023"/>
        <v>0</v>
      </c>
      <c r="BI287" s="212" t="b">
        <f t="shared" ref="BI287" si="3298">IF(J287="",FALSE,IF(L287=0,FALSE,IF(AND(AU287,NOT(BF287),OR(M287="",N287="",O287="")),TRUE,FALSE)))</f>
        <v>0</v>
      </c>
      <c r="BJ287" s="231" t="b">
        <f t="shared" si="3025"/>
        <v>0</v>
      </c>
      <c r="BK287" s="231" t="b">
        <f>IF(NOT(BJ287),FALSE,IF(AND(競技会設定!$C$5&lt;=BJ287,BJ287&lt;=競技会設定!$C$6),FALSE,TRUE))</f>
        <v>0</v>
      </c>
      <c r="BL287" s="212" t="b">
        <f>IF(J287="",FALSE,IF(L287=0,FALSE,IF(AND(AU287,NOT(BF287),NOT(BI287),P287=""),TRUE,FALSE)))</f>
        <v>0</v>
      </c>
      <c r="BO287" s="274">
        <f t="shared" ref="BO287" si="3299">IF(AND(AU287,SUM(COUNTIF(AV287:BC287,TRUE),COUNTIF(BF287:BL290,TRUE),COUNTIF(BD287:BD290,TRUE))=0,NOT($BE$7)),1,0)</f>
        <v>0</v>
      </c>
    </row>
    <row r="288" spans="1:67" ht="17.399999999999999" customHeight="1">
      <c r="A288" s="471"/>
      <c r="B288" s="402"/>
      <c r="C288" s="404"/>
      <c r="D288" s="11"/>
      <c r="E288" s="474"/>
      <c r="F288" s="474"/>
      <c r="G288" s="11" t="str">
        <f>IF(C287="","",(VLOOKUP(D287,女子登録!$A$2:$N$2001,13,0)))</f>
        <v/>
      </c>
      <c r="H288" s="11"/>
      <c r="I288" s="11" t="s">
        <v>4020</v>
      </c>
      <c r="J288" s="171"/>
      <c r="K288" s="11" t="s">
        <v>4023</v>
      </c>
      <c r="L288" s="171"/>
      <c r="M288" s="255"/>
      <c r="N288" s="256"/>
      <c r="O288" s="257"/>
      <c r="P288" s="171"/>
      <c r="Q288" s="458"/>
      <c r="R288" s="415"/>
      <c r="S288" s="136"/>
      <c r="T288" s="137"/>
      <c r="U288" s="137"/>
      <c r="V288" s="137"/>
      <c r="W288" s="137"/>
      <c r="X288" s="137"/>
      <c r="Y288" s="212">
        <f t="shared" ref="Y288" si="3300">IF(OR(E287="",J288=""),0,J288&amp;E287)</f>
        <v>0</v>
      </c>
      <c r="Z288" s="212">
        <f>IF(Y288=0,0,COUNTIF($Y$7:Y288,Y288))</f>
        <v>0</v>
      </c>
      <c r="AD288" s="212">
        <f>IFERROR(VLOOKUP(J288,競技会設定!$T$2:$W$22,2,0),0)</f>
        <v>0</v>
      </c>
      <c r="AE288" s="212">
        <f t="shared" ref="AE288" si="3301">IF(E287="",0,IF(AD288=0,0,IF(AD288&lt;3,E287&amp;$AE$6,0)))</f>
        <v>0</v>
      </c>
      <c r="AF288" s="212">
        <f>IF(AE288=0,0,E287&amp;COUNTIF($AE$7:AE288,AE288))</f>
        <v>0</v>
      </c>
      <c r="AG288" s="212">
        <f t="shared" ref="AG288" si="3302">IF(E287="",0,IF(AD288=0,0,IF(AD288&gt;=3,E287&amp;$AG$6,0)))</f>
        <v>0</v>
      </c>
      <c r="AH288" s="212">
        <f>IF(AG288=0,0,E287&amp;COUNTIF($AG$7:AG288,AG288))</f>
        <v>0</v>
      </c>
      <c r="AI288" s="212">
        <f t="shared" ref="AI288" si="3303">IF($AD288=AI$6,$E287,0)</f>
        <v>0</v>
      </c>
      <c r="AJ288" s="212" t="b">
        <f>IF(AI288=0,FALSE,IF(COUNTIF(AI$7:AI288,AI288)&gt;1,TRUE,FALSE))</f>
        <v>0</v>
      </c>
      <c r="AK288" s="212">
        <f t="shared" ref="AK288" si="3304">IF($AD288=AK$6,$E287,0)</f>
        <v>0</v>
      </c>
      <c r="AL288" s="212" t="b">
        <f>IF(AK288=0,FALSE,IF(COUNTIF(AK$7:AK288,AK288)&gt;1,TRUE,FALSE))</f>
        <v>0</v>
      </c>
      <c r="AM288" s="212">
        <f t="shared" ref="AM288" si="3305">IF(COUNTIF(Y288,"*七種*")&gt;0,0,IF($AD288=AM$6,$E287,0))</f>
        <v>0</v>
      </c>
      <c r="AN288" s="212" t="b">
        <f>IF(AM288=0,FALSE,IF(COUNTIF(AM$7:AM288,AM288)&gt;1,TRUE,FALSE))</f>
        <v>0</v>
      </c>
      <c r="AO288" s="212">
        <f t="shared" ref="AO288" si="3306">IF($AD288=AO$6,$E287,0)</f>
        <v>0</v>
      </c>
      <c r="AP288" s="212" t="b">
        <f>IF(AO288=0,FALSE,IF(COUNTIF(AO$7:AO288,AO288)&gt;1,TRUE,FALSE))</f>
        <v>0</v>
      </c>
      <c r="AQ288" s="212">
        <f t="shared" ref="AQ288" si="3307">IF(COUNTIF(Y288,"*七種競技*")&gt;0,E287,0)</f>
        <v>0</v>
      </c>
      <c r="AR288" s="212" t="b">
        <f t="shared" si="3021"/>
        <v>0</v>
      </c>
      <c r="AT288" s="212" t="b">
        <f t="shared" si="3034"/>
        <v>0</v>
      </c>
      <c r="AX288" s="274"/>
      <c r="BD288" s="212" t="b">
        <f t="shared" si="3008"/>
        <v>0</v>
      </c>
      <c r="BF288" s="212" t="b">
        <f t="shared" ref="BF288" si="3308">IF(J288="",FALSE,IF(OR(AND(AU287,L288=""),AND(AU287,L288="",OR(M288&lt;&gt;"",N288&lt;&gt;"",O288&lt;&gt;"",P288&lt;&gt;""))),TRUE,FALSE))</f>
        <v>0</v>
      </c>
      <c r="BG288" s="212" t="b">
        <f t="shared" si="3010"/>
        <v>0</v>
      </c>
      <c r="BH288" s="212" t="b">
        <f t="shared" si="3023"/>
        <v>0</v>
      </c>
      <c r="BI288" s="212" t="b">
        <f t="shared" ref="BI288" si="3309">IF(J288="",FALSE,IF(L288=0,FALSE,IF(AND(AU287,NOT(BF288),OR(M288="",N288="",O288="")),TRUE,FALSE)))</f>
        <v>0</v>
      </c>
      <c r="BJ288" s="231" t="b">
        <f t="shared" si="3025"/>
        <v>0</v>
      </c>
      <c r="BK288" s="231" t="b">
        <f>IF(NOT(BJ288),FALSE,IF(AND(競技会設定!$C$5&lt;=BJ288,BJ288&lt;=競技会設定!$C$6),FALSE,TRUE))</f>
        <v>0</v>
      </c>
      <c r="BL288" s="212" t="b">
        <f>IF(J288="",FALSE,IF(L288=0,FALSE,IF(AND(AU287,NOT(BF288),NOT(BI288),P288=""),TRUE,FALSE)))</f>
        <v>0</v>
      </c>
    </row>
    <row r="289" spans="1:67" ht="17.399999999999999" customHeight="1">
      <c r="A289" s="471"/>
      <c r="B289" s="402"/>
      <c r="C289" s="404"/>
      <c r="D289" s="11"/>
      <c r="E289" s="348" t="str">
        <f>IF(C287="","",VLOOKUP(D287,女子登録!$A$2:$O$2001,14,0)&amp;" ("&amp;VLOOKUP(D287,女子登録!$A$2:$O$2001,15,0)&amp;")")</f>
        <v/>
      </c>
      <c r="F289" s="348"/>
      <c r="G289" s="13" t="str">
        <f>IF(C287="","",(VLOOKUP(D287,女子登録!$A$2:$N$2001,9,0)))</f>
        <v/>
      </c>
      <c r="H289" s="13"/>
      <c r="I289" s="13" t="s">
        <v>4021</v>
      </c>
      <c r="J289" s="172"/>
      <c r="K289" s="13" t="s">
        <v>6760</v>
      </c>
      <c r="L289" s="172"/>
      <c r="M289" s="255"/>
      <c r="N289" s="256"/>
      <c r="O289" s="257"/>
      <c r="P289" s="171"/>
      <c r="Q289" s="458"/>
      <c r="R289" s="415"/>
      <c r="S289" s="136"/>
      <c r="T289" s="137"/>
      <c r="U289" s="137"/>
      <c r="V289" s="137"/>
      <c r="W289" s="137"/>
      <c r="X289" s="137"/>
      <c r="Y289" s="212">
        <f t="shared" ref="Y289" si="3310">IF(OR(E287="",J289=""),0,J289&amp;E287)</f>
        <v>0</v>
      </c>
      <c r="Z289" s="212">
        <f>IF(Y289=0,0,COUNTIF($Y$7:Y289,Y289))</f>
        <v>0</v>
      </c>
      <c r="AD289" s="212">
        <f>IFERROR(VLOOKUP(J289,競技会設定!$T$2:$W$22,2,0),0)</f>
        <v>0</v>
      </c>
      <c r="AE289" s="212">
        <f t="shared" ref="AE289" si="3311">IF(E287="",0,IF(AD289=0,0,IF(AD289&lt;3,E287&amp;$AE$6,0)))</f>
        <v>0</v>
      </c>
      <c r="AF289" s="212">
        <f>IF(AE289=0,0,E287&amp;COUNTIF($AE$7:AE289,AE289))</f>
        <v>0</v>
      </c>
      <c r="AG289" s="212">
        <f t="shared" ref="AG289" si="3312">IF(E287="",0,IF(AD289=0,0,IF(AD289&gt;=3,E287&amp;$AG$6,0)))</f>
        <v>0</v>
      </c>
      <c r="AH289" s="212">
        <f>IF(AG289=0,0,E287&amp;COUNTIF($AG$7:AG289,AG289))</f>
        <v>0</v>
      </c>
      <c r="AI289" s="212">
        <f t="shared" ref="AI289" si="3313">IF($AD289=AI$6,$E287,0)</f>
        <v>0</v>
      </c>
      <c r="AJ289" s="212" t="b">
        <f>IF(AI289=0,FALSE,IF(COUNTIF(AI$7:AI289,AI289)&gt;1,TRUE,FALSE))</f>
        <v>0</v>
      </c>
      <c r="AK289" s="212">
        <f t="shared" ref="AK289" si="3314">IF($AD289=AK$6,$E287,0)</f>
        <v>0</v>
      </c>
      <c r="AL289" s="212" t="b">
        <f>IF(AK289=0,FALSE,IF(COUNTIF(AK$7:AK289,AK289)&gt;1,TRUE,FALSE))</f>
        <v>0</v>
      </c>
      <c r="AM289" s="212">
        <f t="shared" ref="AM289" si="3315">IF(COUNTIF(Y289,"*七種*")&gt;0,0,IF($AD289=AM$6,$E287,0))</f>
        <v>0</v>
      </c>
      <c r="AN289" s="212" t="b">
        <f>IF(AM289=0,FALSE,IF(COUNTIF(AM$7:AM289,AM289)&gt;1,TRUE,FALSE))</f>
        <v>0</v>
      </c>
      <c r="AO289" s="212">
        <f t="shared" ref="AO289" si="3316">IF($AD289=AO$6,$E287,0)</f>
        <v>0</v>
      </c>
      <c r="AP289" s="212" t="b">
        <f>IF(AO289=0,FALSE,IF(COUNTIF(AO$7:AO289,AO289)&gt;1,TRUE,FALSE))</f>
        <v>0</v>
      </c>
      <c r="AQ289" s="212">
        <f t="shared" ref="AQ289" si="3317">IF(COUNTIF(Y289,"*七種競技*")&gt;0,E287,0)</f>
        <v>0</v>
      </c>
      <c r="AR289" s="212" t="b">
        <f t="shared" si="3021"/>
        <v>0</v>
      </c>
      <c r="AT289" s="212" t="b">
        <f t="shared" si="3034"/>
        <v>0</v>
      </c>
      <c r="AX289" s="274"/>
      <c r="BD289" s="212" t="b">
        <f t="shared" si="3008"/>
        <v>0</v>
      </c>
      <c r="BF289" s="212" t="b">
        <f t="shared" ref="BF289" si="3318">IF(J289="",FALSE,IF(OR(AND(AU287,L289=""),AND(AU287,L289="",OR(M289&lt;&gt;"",N289&lt;&gt;"",O289&lt;&gt;"",P289&lt;&gt;""))),TRUE,FALSE))</f>
        <v>0</v>
      </c>
      <c r="BG289" s="212" t="b">
        <f t="shared" si="3010"/>
        <v>0</v>
      </c>
      <c r="BH289" s="212" t="b">
        <f t="shared" si="3023"/>
        <v>0</v>
      </c>
      <c r="BI289" s="212" t="b">
        <f t="shared" ref="BI289" si="3319">IF(J289="",FALSE,IF(L289=0,FALSE,IF(AND(AU287,NOT(BF289),OR(M289="",N289="",O289="")),TRUE,FALSE)))</f>
        <v>0</v>
      </c>
      <c r="BJ289" s="231" t="b">
        <f t="shared" si="3025"/>
        <v>0</v>
      </c>
      <c r="BK289" s="231" t="b">
        <f>IF(NOT(BJ289),FALSE,IF(AND(競技会設定!$C$5&lt;=BJ289,BJ289&lt;=競技会設定!$C$6),FALSE,TRUE))</f>
        <v>0</v>
      </c>
      <c r="BL289" s="212" t="b">
        <f>IF(J289="",FALSE,IF(L289=0,FALSE,IF(AND(AU287,NOT(BF289),NOT(BI289),P289=""),TRUE,FALSE)))</f>
        <v>0</v>
      </c>
    </row>
    <row r="290" spans="1:67" ht="18" customHeight="1" thickBot="1">
      <c r="A290" s="472"/>
      <c r="B290" s="395" t="s">
        <v>6764</v>
      </c>
      <c r="C290" s="395"/>
      <c r="D290" s="11"/>
      <c r="E290" s="460"/>
      <c r="F290" s="460"/>
      <c r="G290" s="460"/>
      <c r="H290" s="157"/>
      <c r="I290" s="157" t="s">
        <v>6759</v>
      </c>
      <c r="J290" s="173"/>
      <c r="K290" s="157" t="s">
        <v>6761</v>
      </c>
      <c r="L290" s="173"/>
      <c r="M290" s="258"/>
      <c r="N290" s="259"/>
      <c r="O290" s="260"/>
      <c r="P290" s="173"/>
      <c r="Q290" s="459"/>
      <c r="R290" s="416"/>
      <c r="S290" s="136"/>
      <c r="T290" s="137"/>
      <c r="U290" s="137"/>
      <c r="V290" s="137"/>
      <c r="W290" s="137"/>
      <c r="X290" s="137"/>
      <c r="Y290" s="212">
        <f t="shared" ref="Y290" si="3320">IF(OR(E287="",J290=""),0,J290&amp;E287)</f>
        <v>0</v>
      </c>
      <c r="Z290" s="212">
        <f>IF(Y290=0,0,COUNTIF($Y$7:Y290,Y290))</f>
        <v>0</v>
      </c>
      <c r="AD290" s="212">
        <f>IFERROR(VLOOKUP(J290,競技会設定!$T$2:$W$22,2,0),0)</f>
        <v>0</v>
      </c>
      <c r="AE290" s="212">
        <f t="shared" ref="AE290" si="3321">IF(E287="",0,IF(AD290=0,0,IF(AD290&lt;3,E287&amp;$AE$6,0)))</f>
        <v>0</v>
      </c>
      <c r="AF290" s="212">
        <f>IF(AE290=0,0,E287&amp;COUNTIF($AE$7:AE290,AE290))</f>
        <v>0</v>
      </c>
      <c r="AG290" s="212">
        <f t="shared" ref="AG290" si="3322">IF(E287="",0,IF(AD290=0,0,IF(AD290&gt;=3,E287&amp;$AG$6,0)))</f>
        <v>0</v>
      </c>
      <c r="AH290" s="212">
        <f>IF(AG290=0,0,E287&amp;COUNTIF($AG$7:AG290,AG290))</f>
        <v>0</v>
      </c>
      <c r="AI290" s="212">
        <f t="shared" ref="AI290" si="3323">IF($AD290=AI$6,$E287,0)</f>
        <v>0</v>
      </c>
      <c r="AJ290" s="212" t="b">
        <f>IF(AI290=0,FALSE,IF(COUNTIF(AI$7:AI290,AI290)&gt;1,TRUE,FALSE))</f>
        <v>0</v>
      </c>
      <c r="AK290" s="212">
        <f t="shared" ref="AK290" si="3324">IF($AD290=AK$6,$E287,0)</f>
        <v>0</v>
      </c>
      <c r="AL290" s="212" t="b">
        <f>IF(AK290=0,FALSE,IF(COUNTIF(AK$7:AK290,AK290)&gt;1,TRUE,FALSE))</f>
        <v>0</v>
      </c>
      <c r="AM290" s="212">
        <f t="shared" ref="AM290" si="3325">IF(COUNTIF(Y290,"*七種*")&gt;0,0,IF($AD290=AM$6,$E287,0))</f>
        <v>0</v>
      </c>
      <c r="AN290" s="212" t="b">
        <f>IF(AM290=0,FALSE,IF(COUNTIF(AM$7:AM290,AM290)&gt;1,TRUE,FALSE))</f>
        <v>0</v>
      </c>
      <c r="AO290" s="212">
        <f t="shared" ref="AO290" si="3326">IF($AD290=AO$6,$E287,0)</f>
        <v>0</v>
      </c>
      <c r="AP290" s="212" t="b">
        <f>IF(AO290=0,FALSE,IF(COUNTIF(AO$7:AO290,AO290)&gt;1,TRUE,FALSE))</f>
        <v>0</v>
      </c>
      <c r="AQ290" s="212">
        <f t="shared" ref="AQ290" si="3327">IF(COUNTIF(Y290,"*七種競技*")&gt;0,E287,0)</f>
        <v>0</v>
      </c>
      <c r="AR290" s="212" t="b">
        <f t="shared" si="3021"/>
        <v>0</v>
      </c>
      <c r="AT290" s="212" t="b">
        <f t="shared" si="3034"/>
        <v>0</v>
      </c>
      <c r="AX290" s="274"/>
      <c r="BD290" s="212" t="b">
        <f t="shared" si="3008"/>
        <v>0</v>
      </c>
      <c r="BF290" s="212" t="b">
        <f t="shared" ref="BF290" si="3328">IF(J290="",FALSE,IF(OR(AND(AU287,L290=""),AND(AU287,L290="",OR(M290&lt;&gt;"",N290&lt;&gt;"",O290&lt;&gt;"",P290&lt;&gt;""))),TRUE,FALSE))</f>
        <v>0</v>
      </c>
      <c r="BG290" s="212" t="b">
        <f t="shared" si="3010"/>
        <v>0</v>
      </c>
      <c r="BH290" s="212" t="b">
        <f t="shared" si="3023"/>
        <v>0</v>
      </c>
      <c r="BI290" s="212" t="b">
        <f t="shared" ref="BI290" si="3329">IF(J290="",FALSE,IF(L290=0,FALSE,IF(AND(AU287,NOT(BF290),OR(M290="",N290="",O290="")),TRUE,FALSE)))</f>
        <v>0</v>
      </c>
      <c r="BJ290" s="231" t="b">
        <f t="shared" si="3025"/>
        <v>0</v>
      </c>
      <c r="BK290" s="231" t="b">
        <f>IF(NOT(BJ290),FALSE,IF(AND(競技会設定!$C$5&lt;=BJ290,BJ290&lt;=競技会設定!$C$6),FALSE,TRUE))</f>
        <v>0</v>
      </c>
      <c r="BL290" s="212" t="b">
        <f>IF(J290="",FALSE,IF(L290=0,FALSE,IF(AND(AU287,NOT(BF290),NOT(BI290),P290=""),TRUE,FALSE)))</f>
        <v>0</v>
      </c>
    </row>
    <row r="291" spans="1:67" ht="18" customHeight="1" thickTop="1">
      <c r="A291" s="461">
        <v>72</v>
      </c>
      <c r="B291" s="373" t="s">
        <v>4018</v>
      </c>
      <c r="C291" s="375"/>
      <c r="D291" s="158" t="str">
        <f t="shared" ref="D291" si="3330">IF(C291="","",502&amp;TEXT(C291,"000000"))</f>
        <v/>
      </c>
      <c r="E291" s="464" t="str">
        <f>IF(D291="","",(VLOOKUP(D291,女子登録!$A$2:$N$2001,3,0)))</f>
        <v/>
      </c>
      <c r="F291" s="464" t="str">
        <f>IF(D291="","",(VLOOKUP(D291,女子登録!$A$2:$N$2001,4,0)))</f>
        <v/>
      </c>
      <c r="G291" s="158" t="str">
        <f>IF(C291="","",(VLOOKUP(D291,女子登録!$A$2:$N$2001,8,0)))</f>
        <v/>
      </c>
      <c r="H291" s="158">
        <f>IFERROR(VLOOKUP(D291,女子登録!$A$2:$N$2001,11,0),基本情報!$E$5)</f>
        <v>0</v>
      </c>
      <c r="I291" s="158" t="s">
        <v>4019</v>
      </c>
      <c r="J291" s="174"/>
      <c r="K291" s="158" t="s">
        <v>4022</v>
      </c>
      <c r="L291" s="174"/>
      <c r="M291" s="261"/>
      <c r="N291" s="262"/>
      <c r="O291" s="263"/>
      <c r="P291" s="174"/>
      <c r="Q291" s="448"/>
      <c r="R291" s="408"/>
      <c r="S291" s="136">
        <f t="shared" ref="S291" si="3331">IF(OR(E291="",Q291=""),0,E291)</f>
        <v>0</v>
      </c>
      <c r="T291" s="137">
        <f>IF(S291=0,0,COUNTIF($S$7:S291,"*"))</f>
        <v>0</v>
      </c>
      <c r="U291" s="137">
        <f>IF(S291=0,0,COUNTIF($S$7:S291,S291))</f>
        <v>0</v>
      </c>
      <c r="V291" s="137">
        <f t="shared" si="3237"/>
        <v>0</v>
      </c>
      <c r="W291" s="137">
        <f>IF(V291=0,0,COUNTIF($V$7:V291,"*"))</f>
        <v>0</v>
      </c>
      <c r="X291" s="137">
        <f>IF(V291=0,0,COUNTIF($V$7:V291,V291))</f>
        <v>0</v>
      </c>
      <c r="Y291" s="212">
        <f t="shared" ref="Y291" si="3332">IF(OR(E291="",J291=""),0,J291&amp;E291)</f>
        <v>0</v>
      </c>
      <c r="Z291" s="212">
        <f>IF(Y291=0,0,COUNTIF($Y$7:Y291,Y291))</f>
        <v>0</v>
      </c>
      <c r="AA291" s="212" t="b">
        <f>IF(COUNTIF(J291:J294,"七種競技")&gt;0,TRUE,FALSE)</f>
        <v>0</v>
      </c>
      <c r="AB291" s="212">
        <f>IF(E291="",0,IF(AA291,COUNTIF($AA$7:AA291,TRUE),0))</f>
        <v>0</v>
      </c>
      <c r="AC291" s="212">
        <f>IFERROR(VLOOKUP("七種競技",J291:L294,3,0),0)</f>
        <v>0</v>
      </c>
      <c r="AD291" s="212">
        <f>IFERROR(VLOOKUP(J291,競技会設定!$T$2:$W$22,2,0),0)</f>
        <v>0</v>
      </c>
      <c r="AE291" s="212">
        <f t="shared" ref="AE291" si="3333">IF(E291="",0,IF(AD291=0,0,IF(AD291&lt;3,E291&amp;$AE$6,0)))</f>
        <v>0</v>
      </c>
      <c r="AF291" s="212">
        <f>IF(AE291=0,0,E291&amp;COUNTIF($AE$7:AE291,AE291))</f>
        <v>0</v>
      </c>
      <c r="AG291" s="212">
        <f t="shared" ref="AG291" si="3334">IF(E291="",0,IF(AD291=0,0,IF(AD291&gt;=3,E291&amp;$AG$6,0)))</f>
        <v>0</v>
      </c>
      <c r="AH291" s="212">
        <f>IF(AG291=0,0,E291&amp;COUNTIF($AG$7:AG291,AG291))</f>
        <v>0</v>
      </c>
      <c r="AI291" s="212">
        <f t="shared" ref="AI291" si="3335">IF($AD291=AI$6,$E291,0)</f>
        <v>0</v>
      </c>
      <c r="AJ291" s="212" t="b">
        <f>IF(AI291=0,FALSE,IF(COUNTIF(AI$7:AI291,AI291)&gt;1,TRUE,FALSE))</f>
        <v>0</v>
      </c>
      <c r="AK291" s="212">
        <f t="shared" ref="AK291" si="3336">IF($AD291=AK$6,$E291,0)</f>
        <v>0</v>
      </c>
      <c r="AL291" s="212" t="b">
        <f>IF(AK291=0,FALSE,IF(COUNTIF(AK$7:AK291,AK291)&gt;1,TRUE,FALSE))</f>
        <v>0</v>
      </c>
      <c r="AM291" s="212">
        <f t="shared" ref="AM291" si="3337">IF(COUNTIF(Y291,"*七種*")&gt;0,0,IF($AD291=AM$6,$E291,0))</f>
        <v>0</v>
      </c>
      <c r="AN291" s="212" t="b">
        <f>IF(AM291=0,FALSE,IF(COUNTIF(AM$7:AM291,AM291)&gt;1,TRUE,FALSE))</f>
        <v>0</v>
      </c>
      <c r="AO291" s="212">
        <f t="shared" ref="AO291" si="3338">IF($AD291=AO$6,$E291,0)</f>
        <v>0</v>
      </c>
      <c r="AP291" s="212" t="b">
        <f>IF(AO291=0,FALSE,IF(COUNTIF(AO$7:AO291,AO291)&gt;1,TRUE,FALSE))</f>
        <v>0</v>
      </c>
      <c r="AQ291" s="212">
        <f t="shared" ref="AQ291" si="3339">IF(COUNTIF(Y291,"*七種競技*")&gt;0,E291,0)</f>
        <v>0</v>
      </c>
      <c r="AR291" s="212" t="b">
        <f t="shared" si="3021"/>
        <v>0</v>
      </c>
      <c r="AS291" s="212" t="b">
        <f t="shared" ref="AS291" si="3340">IF(AND(C291="",E291&lt;&gt;"",F291&lt;&gt;"",E293&lt;&gt;"",G291&lt;&gt;"",G292&lt;&gt;"",G293&lt;&gt;""),TRUE,FALSE)</f>
        <v>0</v>
      </c>
      <c r="AT291" s="212" t="b">
        <f t="shared" si="3034"/>
        <v>0</v>
      </c>
      <c r="AU291" s="212" t="b">
        <f>IFERROR(IF(E291&amp;F291&amp;E293&amp;G291&amp;G292&amp;G293&amp;J291&amp;J292&amp;J293&amp;J294&amp;L291&amp;L292&amp;L293&amp;L294&amp;M291&amp;M292&amp;M293&amp;M294&amp;P291&amp;P292&amp;P293&amp;P294&amp;Q291&amp;R291="",FALSE,TRUE),FALSE)</f>
        <v>0</v>
      </c>
      <c r="AV291" s="212" t="b">
        <f t="shared" ref="AV291" si="3341">IF(AS291,FALSE,IF(C291="",AU291,FALSE))</f>
        <v>0</v>
      </c>
      <c r="AW291" s="212" t="b">
        <f t="shared" ref="AW291" si="3342">IF(C291="",FALSE,IF(C291&lt;=2000,TRUE,FALSE))</f>
        <v>0</v>
      </c>
      <c r="AX291" s="274" t="b">
        <f>IF(H291=0,FALSE,IF(EXACT(基本情報!$E$5,H291)=TRUE,FALSE,TRUE))</f>
        <v>0</v>
      </c>
      <c r="AY291" s="212" t="b">
        <f>IF(C291="",FALSE,IF(ISNA(E291)=TRUE,TRUE,FALSE))</f>
        <v>0</v>
      </c>
      <c r="AZ291" s="274" t="b">
        <f>IFERROR(IF(E291="",FALSE,IF(COUNTIF($E$7:E291,E291)&gt;1,TRUE,FALSE)),FALSE)</f>
        <v>0</v>
      </c>
      <c r="BA291" s="212" t="b">
        <f t="shared" ref="BA291" si="3343">IF(OR(J291&amp;J292&amp;J293&amp;J294&amp;Q291&amp;R291="",AT291,AT292,AT293,AT294),AU291,FALSE)</f>
        <v>0</v>
      </c>
      <c r="BB291" s="212" t="b">
        <f>IF(U291&gt;1,TRUE,FALSE)</f>
        <v>0</v>
      </c>
      <c r="BC291" s="212" t="b">
        <f>IF(X291&gt;1,TRUE,FALSE)</f>
        <v>0</v>
      </c>
      <c r="BD291" s="212" t="b">
        <f t="shared" si="3008"/>
        <v>0</v>
      </c>
      <c r="BF291" s="212" t="b">
        <f t="shared" ref="BF291" si="3344">IF(J291="",FALSE,IF(OR(AND(AU291,L291=""),AND(AU291,L291="",OR(M291&lt;&gt;"",N291&lt;&gt;"",O291&lt;&gt;"",P291&lt;&gt;""))),TRUE,FALSE))</f>
        <v>0</v>
      </c>
      <c r="BG291" s="212" t="b">
        <f t="shared" si="3010"/>
        <v>0</v>
      </c>
      <c r="BH291" s="212" t="b">
        <f t="shared" si="3023"/>
        <v>0</v>
      </c>
      <c r="BI291" s="212" t="b">
        <f t="shared" ref="BI291" si="3345">IF(J291="",FALSE,IF(L291=0,FALSE,IF(AND(AU291,NOT(BF291),OR(M291="",N291="",O291="")),TRUE,FALSE)))</f>
        <v>0</v>
      </c>
      <c r="BJ291" s="231" t="b">
        <f t="shared" si="3025"/>
        <v>0</v>
      </c>
      <c r="BK291" s="231" t="b">
        <f>IF(NOT(BJ291),FALSE,IF(AND(競技会設定!$C$5&lt;=BJ291,BJ291&lt;=競技会設定!$C$6),FALSE,TRUE))</f>
        <v>0</v>
      </c>
      <c r="BL291" s="212" t="b">
        <f>IF(J291="",FALSE,IF(L291=0,FALSE,IF(AND(AU291,NOT(BF291),NOT(BI291),P291=""),TRUE,FALSE)))</f>
        <v>0</v>
      </c>
      <c r="BO291" s="274">
        <f t="shared" ref="BO291" si="3346">IF(AND(AU291,SUM(COUNTIF(AV291:BC291,TRUE),COUNTIF(BF291:BL294,TRUE),COUNTIF(BD291:BD294,TRUE))=0,NOT($BE$7)),1,0)</f>
        <v>0</v>
      </c>
    </row>
    <row r="292" spans="1:67" ht="17.399999999999999" customHeight="1">
      <c r="A292" s="462"/>
      <c r="B292" s="374"/>
      <c r="C292" s="376"/>
      <c r="D292" s="159"/>
      <c r="E292" s="465"/>
      <c r="F292" s="465"/>
      <c r="G292" s="159" t="str">
        <f>IF(C291="","",(VLOOKUP(D291,女子登録!$A$2:$N$2001,13,0)))</f>
        <v/>
      </c>
      <c r="H292" s="159"/>
      <c r="I292" s="159" t="s">
        <v>4020</v>
      </c>
      <c r="J292" s="175"/>
      <c r="K292" s="159" t="s">
        <v>4023</v>
      </c>
      <c r="L292" s="175"/>
      <c r="M292" s="264"/>
      <c r="N292" s="265"/>
      <c r="O292" s="266"/>
      <c r="P292" s="175"/>
      <c r="Q292" s="449"/>
      <c r="R292" s="409"/>
      <c r="S292" s="136"/>
      <c r="T292" s="137"/>
      <c r="U292" s="137"/>
      <c r="V292" s="137"/>
      <c r="W292" s="137"/>
      <c r="X292" s="137"/>
      <c r="Y292" s="212">
        <f t="shared" ref="Y292" si="3347">IF(OR(E291="",J292=""),0,J292&amp;E291)</f>
        <v>0</v>
      </c>
      <c r="Z292" s="212">
        <f>IF(Y292=0,0,COUNTIF($Y$7:Y292,Y292))</f>
        <v>0</v>
      </c>
      <c r="AD292" s="212">
        <f>IFERROR(VLOOKUP(J292,競技会設定!$T$2:$W$22,2,0),0)</f>
        <v>0</v>
      </c>
      <c r="AE292" s="212">
        <f t="shared" ref="AE292" si="3348">IF(E291="",0,IF(AD292=0,0,IF(AD292&lt;3,E291&amp;$AE$6,0)))</f>
        <v>0</v>
      </c>
      <c r="AF292" s="212">
        <f>IF(AE292=0,0,E291&amp;COUNTIF($AE$7:AE292,AE292))</f>
        <v>0</v>
      </c>
      <c r="AG292" s="212">
        <f t="shared" ref="AG292" si="3349">IF(E291="",0,IF(AD292=0,0,IF(AD292&gt;=3,E291&amp;$AG$6,0)))</f>
        <v>0</v>
      </c>
      <c r="AH292" s="212">
        <f>IF(AG292=0,0,E291&amp;COUNTIF($AG$7:AG292,AG292))</f>
        <v>0</v>
      </c>
      <c r="AI292" s="212">
        <f t="shared" ref="AI292" si="3350">IF($AD292=AI$6,$E291,0)</f>
        <v>0</v>
      </c>
      <c r="AJ292" s="212" t="b">
        <f>IF(AI292=0,FALSE,IF(COUNTIF(AI$7:AI292,AI292)&gt;1,TRUE,FALSE))</f>
        <v>0</v>
      </c>
      <c r="AK292" s="212">
        <f t="shared" ref="AK292" si="3351">IF($AD292=AK$6,$E291,0)</f>
        <v>0</v>
      </c>
      <c r="AL292" s="212" t="b">
        <f>IF(AK292=0,FALSE,IF(COUNTIF(AK$7:AK292,AK292)&gt;1,TRUE,FALSE))</f>
        <v>0</v>
      </c>
      <c r="AM292" s="212">
        <f t="shared" ref="AM292" si="3352">IF(COUNTIF(Y292,"*七種*")&gt;0,0,IF($AD292=AM$6,$E291,0))</f>
        <v>0</v>
      </c>
      <c r="AN292" s="212" t="b">
        <f>IF(AM292=0,FALSE,IF(COUNTIF(AM$7:AM292,AM292)&gt;1,TRUE,FALSE))</f>
        <v>0</v>
      </c>
      <c r="AO292" s="212">
        <f t="shared" ref="AO292" si="3353">IF($AD292=AO$6,$E291,0)</f>
        <v>0</v>
      </c>
      <c r="AP292" s="212" t="b">
        <f>IF(AO292=0,FALSE,IF(COUNTIF(AO$7:AO292,AO292)&gt;1,TRUE,FALSE))</f>
        <v>0</v>
      </c>
      <c r="AQ292" s="212">
        <f t="shared" ref="AQ292" si="3354">IF(COUNTIF(Y292,"*七種競技*")&gt;0,E291,0)</f>
        <v>0</v>
      </c>
      <c r="AR292" s="212" t="b">
        <f t="shared" si="3021"/>
        <v>0</v>
      </c>
      <c r="AT292" s="212" t="b">
        <f t="shared" si="3034"/>
        <v>0</v>
      </c>
      <c r="AX292" s="274"/>
      <c r="BD292" s="212" t="b">
        <f t="shared" si="3008"/>
        <v>0</v>
      </c>
      <c r="BF292" s="212" t="b">
        <f t="shared" ref="BF292" si="3355">IF(J292="",FALSE,IF(OR(AND(AU291,L292=""),AND(AU291,L292="",OR(M292&lt;&gt;"",N292&lt;&gt;"",O292&lt;&gt;"",P292&lt;&gt;""))),TRUE,FALSE))</f>
        <v>0</v>
      </c>
      <c r="BG292" s="212" t="b">
        <f t="shared" si="3010"/>
        <v>0</v>
      </c>
      <c r="BH292" s="212" t="b">
        <f t="shared" si="3023"/>
        <v>0</v>
      </c>
      <c r="BI292" s="212" t="b">
        <f t="shared" ref="BI292" si="3356">IF(J292="",FALSE,IF(L292=0,FALSE,IF(AND(AU291,NOT(BF292),OR(M292="",N292="",O292="")),TRUE,FALSE)))</f>
        <v>0</v>
      </c>
      <c r="BJ292" s="231" t="b">
        <f t="shared" si="3025"/>
        <v>0</v>
      </c>
      <c r="BK292" s="231" t="b">
        <f>IF(NOT(BJ292),FALSE,IF(AND(競技会設定!$C$5&lt;=BJ292,BJ292&lt;=競技会設定!$C$6),FALSE,TRUE))</f>
        <v>0</v>
      </c>
      <c r="BL292" s="212" t="b">
        <f>IF(J292="",FALSE,IF(L292=0,FALSE,IF(AND(AU291,NOT(BF292),NOT(BI292),P292=""),TRUE,FALSE)))</f>
        <v>0</v>
      </c>
    </row>
    <row r="293" spans="1:67" ht="17.399999999999999" customHeight="1">
      <c r="A293" s="462"/>
      <c r="B293" s="374"/>
      <c r="C293" s="376"/>
      <c r="D293" s="160"/>
      <c r="E293" s="452" t="str">
        <f>IF(C291="","",VLOOKUP(D291,女子登録!$A$2:$O$2001,14,0)&amp;" ("&amp;VLOOKUP(D291,女子登録!$A$2:$O$2001,15,0)&amp;")")</f>
        <v/>
      </c>
      <c r="F293" s="453"/>
      <c r="G293" s="160" t="str">
        <f>IF(C291="","",(VLOOKUP(D291,女子登録!$A$2:$N$2001,9,0)))</f>
        <v/>
      </c>
      <c r="H293" s="160"/>
      <c r="I293" s="160" t="s">
        <v>4021</v>
      </c>
      <c r="J293" s="176"/>
      <c r="K293" s="160" t="s">
        <v>6760</v>
      </c>
      <c r="L293" s="176"/>
      <c r="M293" s="264"/>
      <c r="N293" s="265"/>
      <c r="O293" s="266"/>
      <c r="P293" s="175"/>
      <c r="Q293" s="449"/>
      <c r="R293" s="409"/>
      <c r="S293" s="136"/>
      <c r="T293" s="137"/>
      <c r="U293" s="137"/>
      <c r="V293" s="137"/>
      <c r="W293" s="137"/>
      <c r="X293" s="137"/>
      <c r="Y293" s="212">
        <f t="shared" ref="Y293" si="3357">IF(OR(E291="",J293=""),0,J293&amp;E291)</f>
        <v>0</v>
      </c>
      <c r="Z293" s="212">
        <f>IF(Y293=0,0,COUNTIF($Y$7:Y293,Y293))</f>
        <v>0</v>
      </c>
      <c r="AD293" s="212">
        <f>IFERROR(VLOOKUP(J293,競技会設定!$T$2:$W$22,2,0),0)</f>
        <v>0</v>
      </c>
      <c r="AE293" s="212">
        <f t="shared" ref="AE293" si="3358">IF(E291="",0,IF(AD293=0,0,IF(AD293&lt;3,E291&amp;$AE$6,0)))</f>
        <v>0</v>
      </c>
      <c r="AF293" s="212">
        <f>IF(AE293=0,0,E291&amp;COUNTIF($AE$7:AE293,AE293))</f>
        <v>0</v>
      </c>
      <c r="AG293" s="212">
        <f t="shared" ref="AG293" si="3359">IF(E291="",0,IF(AD293=0,0,IF(AD293&gt;=3,E291&amp;$AG$6,0)))</f>
        <v>0</v>
      </c>
      <c r="AH293" s="212">
        <f>IF(AG293=0,0,E291&amp;COUNTIF($AG$7:AG293,AG293))</f>
        <v>0</v>
      </c>
      <c r="AI293" s="212">
        <f t="shared" ref="AI293" si="3360">IF($AD293=AI$6,$E291,0)</f>
        <v>0</v>
      </c>
      <c r="AJ293" s="212" t="b">
        <f>IF(AI293=0,FALSE,IF(COUNTIF(AI$7:AI293,AI293)&gt;1,TRUE,FALSE))</f>
        <v>0</v>
      </c>
      <c r="AK293" s="212">
        <f t="shared" ref="AK293" si="3361">IF($AD293=AK$6,$E291,0)</f>
        <v>0</v>
      </c>
      <c r="AL293" s="212" t="b">
        <f>IF(AK293=0,FALSE,IF(COUNTIF(AK$7:AK293,AK293)&gt;1,TRUE,FALSE))</f>
        <v>0</v>
      </c>
      <c r="AM293" s="212">
        <f t="shared" ref="AM293" si="3362">IF(COUNTIF(Y293,"*七種*")&gt;0,0,IF($AD293=AM$6,$E291,0))</f>
        <v>0</v>
      </c>
      <c r="AN293" s="212" t="b">
        <f>IF(AM293=0,FALSE,IF(COUNTIF(AM$7:AM293,AM293)&gt;1,TRUE,FALSE))</f>
        <v>0</v>
      </c>
      <c r="AO293" s="212">
        <f t="shared" ref="AO293" si="3363">IF($AD293=AO$6,$E291,0)</f>
        <v>0</v>
      </c>
      <c r="AP293" s="212" t="b">
        <f>IF(AO293=0,FALSE,IF(COUNTIF(AO$7:AO293,AO293)&gt;1,TRUE,FALSE))</f>
        <v>0</v>
      </c>
      <c r="AQ293" s="212">
        <f t="shared" ref="AQ293" si="3364">IF(COUNTIF(Y293,"*七種競技*")&gt;0,E291,0)</f>
        <v>0</v>
      </c>
      <c r="AR293" s="212" t="b">
        <f t="shared" si="3021"/>
        <v>0</v>
      </c>
      <c r="AT293" s="212" t="b">
        <f t="shared" si="3034"/>
        <v>0</v>
      </c>
      <c r="AX293" s="274"/>
      <c r="BD293" s="212" t="b">
        <f t="shared" si="3008"/>
        <v>0</v>
      </c>
      <c r="BF293" s="212" t="b">
        <f t="shared" ref="BF293" si="3365">IF(J293="",FALSE,IF(OR(AND(AU291,L293=""),AND(AU291,L293="",OR(M293&lt;&gt;"",N293&lt;&gt;"",O293&lt;&gt;"",P293&lt;&gt;""))),TRUE,FALSE))</f>
        <v>0</v>
      </c>
      <c r="BG293" s="212" t="b">
        <f t="shared" si="3010"/>
        <v>0</v>
      </c>
      <c r="BH293" s="212" t="b">
        <f t="shared" si="3023"/>
        <v>0</v>
      </c>
      <c r="BI293" s="212" t="b">
        <f t="shared" ref="BI293" si="3366">IF(J293="",FALSE,IF(L293=0,FALSE,IF(AND(AU291,NOT(BF293),OR(M293="",N293="",O293="")),TRUE,FALSE)))</f>
        <v>0</v>
      </c>
      <c r="BJ293" s="231" t="b">
        <f t="shared" si="3025"/>
        <v>0</v>
      </c>
      <c r="BK293" s="231" t="b">
        <f>IF(NOT(BJ293),FALSE,IF(AND(競技会設定!$C$5&lt;=BJ293,BJ293&lt;=競技会設定!$C$6),FALSE,TRUE))</f>
        <v>0</v>
      </c>
      <c r="BL293" s="212" t="b">
        <f>IF(J293="",FALSE,IF(L293=0,FALSE,IF(AND(AU291,NOT(BF293),NOT(BI293),P293=""),TRUE,FALSE)))</f>
        <v>0</v>
      </c>
    </row>
    <row r="294" spans="1:67" ht="18" customHeight="1" thickBot="1">
      <c r="A294" s="475"/>
      <c r="B294" s="387" t="s">
        <v>6764</v>
      </c>
      <c r="C294" s="387"/>
      <c r="D294" s="161"/>
      <c r="E294" s="467"/>
      <c r="F294" s="468"/>
      <c r="G294" s="469"/>
      <c r="H294" s="162"/>
      <c r="I294" s="161" t="s">
        <v>6759</v>
      </c>
      <c r="J294" s="177"/>
      <c r="K294" s="161" t="s">
        <v>6761</v>
      </c>
      <c r="L294" s="177"/>
      <c r="M294" s="267"/>
      <c r="N294" s="268"/>
      <c r="O294" s="269"/>
      <c r="P294" s="177"/>
      <c r="Q294" s="466"/>
      <c r="R294" s="410"/>
      <c r="S294" s="136"/>
      <c r="T294" s="137"/>
      <c r="U294" s="137"/>
      <c r="V294" s="137"/>
      <c r="W294" s="137"/>
      <c r="X294" s="137"/>
      <c r="Y294" s="212">
        <f t="shared" ref="Y294" si="3367">IF(OR(E291="",J294=""),0,J294&amp;E291)</f>
        <v>0</v>
      </c>
      <c r="Z294" s="212">
        <f>IF(Y294=0,0,COUNTIF($Y$7:Y294,Y294))</f>
        <v>0</v>
      </c>
      <c r="AD294" s="212">
        <f>IFERROR(VLOOKUP(J294,競技会設定!$T$2:$W$22,2,0),0)</f>
        <v>0</v>
      </c>
      <c r="AE294" s="212">
        <f t="shared" ref="AE294" si="3368">IF(E291="",0,IF(AD294=0,0,IF(AD294&lt;3,E291&amp;$AE$6,0)))</f>
        <v>0</v>
      </c>
      <c r="AF294" s="212">
        <f>IF(AE294=0,0,E291&amp;COUNTIF($AE$7:AE294,AE294))</f>
        <v>0</v>
      </c>
      <c r="AG294" s="212">
        <f t="shared" ref="AG294" si="3369">IF(E291="",0,IF(AD294=0,0,IF(AD294&gt;=3,E291&amp;$AG$6,0)))</f>
        <v>0</v>
      </c>
      <c r="AH294" s="212">
        <f>IF(AG294=0,0,E291&amp;COUNTIF($AG$7:AG294,AG294))</f>
        <v>0</v>
      </c>
      <c r="AI294" s="212">
        <f t="shared" ref="AI294" si="3370">IF($AD294=AI$6,$E291,0)</f>
        <v>0</v>
      </c>
      <c r="AJ294" s="212" t="b">
        <f>IF(AI294=0,FALSE,IF(COUNTIF(AI$7:AI294,AI294)&gt;1,TRUE,FALSE))</f>
        <v>0</v>
      </c>
      <c r="AK294" s="212">
        <f t="shared" ref="AK294" si="3371">IF($AD294=AK$6,$E291,0)</f>
        <v>0</v>
      </c>
      <c r="AL294" s="212" t="b">
        <f>IF(AK294=0,FALSE,IF(COUNTIF(AK$7:AK294,AK294)&gt;1,TRUE,FALSE))</f>
        <v>0</v>
      </c>
      <c r="AM294" s="212">
        <f t="shared" ref="AM294" si="3372">IF(COUNTIF(Y294,"*七種*")&gt;0,0,IF($AD294=AM$6,$E291,0))</f>
        <v>0</v>
      </c>
      <c r="AN294" s="212" t="b">
        <f>IF(AM294=0,FALSE,IF(COUNTIF(AM$7:AM294,AM294)&gt;1,TRUE,FALSE))</f>
        <v>0</v>
      </c>
      <c r="AO294" s="212">
        <f t="shared" ref="AO294" si="3373">IF($AD294=AO$6,$E291,0)</f>
        <v>0</v>
      </c>
      <c r="AP294" s="212" t="b">
        <f>IF(AO294=0,FALSE,IF(COUNTIF(AO$7:AO294,AO294)&gt;1,TRUE,FALSE))</f>
        <v>0</v>
      </c>
      <c r="AQ294" s="212">
        <f t="shared" ref="AQ294" si="3374">IF(COUNTIF(Y294,"*七種競技*")&gt;0,E291,0)</f>
        <v>0</v>
      </c>
      <c r="AR294" s="212" t="b">
        <f t="shared" si="3021"/>
        <v>0</v>
      </c>
      <c r="AT294" s="212" t="b">
        <f t="shared" si="3034"/>
        <v>0</v>
      </c>
      <c r="AX294" s="274"/>
      <c r="BD294" s="212" t="b">
        <f t="shared" si="3008"/>
        <v>0</v>
      </c>
      <c r="BF294" s="212" t="b">
        <f t="shared" ref="BF294" si="3375">IF(J294="",FALSE,IF(OR(AND(AU291,L294=""),AND(AU291,L294="",OR(M294&lt;&gt;"",N294&lt;&gt;"",O294&lt;&gt;"",P294&lt;&gt;""))),TRUE,FALSE))</f>
        <v>0</v>
      </c>
      <c r="BG294" s="212" t="b">
        <f t="shared" si="3010"/>
        <v>0</v>
      </c>
      <c r="BH294" s="212" t="b">
        <f t="shared" si="3023"/>
        <v>0</v>
      </c>
      <c r="BI294" s="212" t="b">
        <f t="shared" ref="BI294" si="3376">IF(J294="",FALSE,IF(L294=0,FALSE,IF(AND(AU291,NOT(BF294),OR(M294="",N294="",O294="")),TRUE,FALSE)))</f>
        <v>0</v>
      </c>
      <c r="BJ294" s="231" t="b">
        <f t="shared" si="3025"/>
        <v>0</v>
      </c>
      <c r="BK294" s="231" t="b">
        <f>IF(NOT(BJ294),FALSE,IF(AND(競技会設定!$C$5&lt;=BJ294,BJ294&lt;=競技会設定!$C$6),FALSE,TRUE))</f>
        <v>0</v>
      </c>
      <c r="BL294" s="212" t="b">
        <f>IF(J294="",FALSE,IF(L294=0,FALSE,IF(AND(AU291,NOT(BF294),NOT(BI294),P294=""),TRUE,FALSE)))</f>
        <v>0</v>
      </c>
    </row>
    <row r="295" spans="1:67" ht="18" customHeight="1" thickTop="1">
      <c r="A295" s="470">
        <v>73</v>
      </c>
      <c r="B295" s="401" t="s">
        <v>4018</v>
      </c>
      <c r="C295" s="403"/>
      <c r="D295" s="156" t="str">
        <f t="shared" ref="D295" si="3377">IF(C295="","",502&amp;TEXT(C295,"000000"))</f>
        <v/>
      </c>
      <c r="E295" s="473" t="str">
        <f>IF(D295="","",(VLOOKUP(D295,女子登録!$A$2:$N$2001,3,0)))</f>
        <v/>
      </c>
      <c r="F295" s="473" t="str">
        <f>IF(D295="","",(VLOOKUP(D295,女子登録!$A$2:$N$2001,4,0)))</f>
        <v/>
      </c>
      <c r="G295" s="156" t="str">
        <f>IF(C295="","",(VLOOKUP(D295,女子登録!$A$2:$N$2001,8,0)))</f>
        <v/>
      </c>
      <c r="H295" s="156">
        <f>IFERROR(VLOOKUP(D295,女子登録!$A$2:$N$2001,11,0),基本情報!$E$5)</f>
        <v>0</v>
      </c>
      <c r="I295" s="156" t="s">
        <v>4019</v>
      </c>
      <c r="J295" s="170"/>
      <c r="K295" s="156" t="s">
        <v>4022</v>
      </c>
      <c r="L295" s="170"/>
      <c r="M295" s="252"/>
      <c r="N295" s="253"/>
      <c r="O295" s="254"/>
      <c r="P295" s="170"/>
      <c r="Q295" s="457"/>
      <c r="R295" s="414"/>
      <c r="S295" s="136">
        <f t="shared" ref="S295" si="3378">IF(OR(E295="",Q295=""),0,E295)</f>
        <v>0</v>
      </c>
      <c r="T295" s="137">
        <f>IF(S295=0,0,COUNTIF($S$7:S295,"*"))</f>
        <v>0</v>
      </c>
      <c r="U295" s="137">
        <f>IF(S295=0,0,COUNTIF($S$7:S295,S295))</f>
        <v>0</v>
      </c>
      <c r="V295" s="137">
        <f t="shared" si="3237"/>
        <v>0</v>
      </c>
      <c r="W295" s="137">
        <f>IF(V295=0,0,COUNTIF($V$7:V295,"*"))</f>
        <v>0</v>
      </c>
      <c r="X295" s="137">
        <f>IF(V295=0,0,COUNTIF($V$7:V295,V295))</f>
        <v>0</v>
      </c>
      <c r="Y295" s="212">
        <f t="shared" ref="Y295" si="3379">IF(OR(E295="",J295=""),0,J295&amp;E295)</f>
        <v>0</v>
      </c>
      <c r="Z295" s="212">
        <f>IF(Y295=0,0,COUNTIF($Y$7:Y295,Y295))</f>
        <v>0</v>
      </c>
      <c r="AA295" s="212" t="b">
        <f>IF(COUNTIF(J295:J298,"七種競技")&gt;0,TRUE,FALSE)</f>
        <v>0</v>
      </c>
      <c r="AB295" s="212">
        <f>IF(E295="",0,IF(AA295,COUNTIF($AA$7:AA295,TRUE),0))</f>
        <v>0</v>
      </c>
      <c r="AC295" s="212">
        <f>IFERROR(VLOOKUP("七種競技",J295:L298,3,0),0)</f>
        <v>0</v>
      </c>
      <c r="AD295" s="212">
        <f>IFERROR(VLOOKUP(J295,競技会設定!$T$2:$W$22,2,0),0)</f>
        <v>0</v>
      </c>
      <c r="AE295" s="212">
        <f t="shared" ref="AE295" si="3380">IF(E295="",0,IF(AD295=0,0,IF(AD295&lt;3,E295&amp;$AE$6,0)))</f>
        <v>0</v>
      </c>
      <c r="AF295" s="212">
        <f>IF(AE295=0,0,E295&amp;COUNTIF($AE$7:AE295,AE295))</f>
        <v>0</v>
      </c>
      <c r="AG295" s="212">
        <f t="shared" ref="AG295" si="3381">IF(E295="",0,IF(AD295=0,0,IF(AD295&gt;=3,E295&amp;$AG$6,0)))</f>
        <v>0</v>
      </c>
      <c r="AH295" s="212">
        <f>IF(AG295=0,0,E295&amp;COUNTIF($AG$7:AG295,AG295))</f>
        <v>0</v>
      </c>
      <c r="AI295" s="212">
        <f t="shared" ref="AI295" si="3382">IF($AD295=AI$6,$E295,0)</f>
        <v>0</v>
      </c>
      <c r="AJ295" s="212" t="b">
        <f>IF(AI295=0,FALSE,IF(COUNTIF(AI$7:AI295,AI295)&gt;1,TRUE,FALSE))</f>
        <v>0</v>
      </c>
      <c r="AK295" s="212">
        <f t="shared" ref="AK295" si="3383">IF($AD295=AK$6,$E295,0)</f>
        <v>0</v>
      </c>
      <c r="AL295" s="212" t="b">
        <f>IF(AK295=0,FALSE,IF(COUNTIF(AK$7:AK295,AK295)&gt;1,TRUE,FALSE))</f>
        <v>0</v>
      </c>
      <c r="AM295" s="212">
        <f t="shared" ref="AM295" si="3384">IF(COUNTIF(Y295,"*七種*")&gt;0,0,IF($AD295=AM$6,$E295,0))</f>
        <v>0</v>
      </c>
      <c r="AN295" s="212" t="b">
        <f>IF(AM295=0,FALSE,IF(COUNTIF(AM$7:AM295,AM295)&gt;1,TRUE,FALSE))</f>
        <v>0</v>
      </c>
      <c r="AO295" s="212">
        <f t="shared" ref="AO295" si="3385">IF($AD295=AO$6,$E295,0)</f>
        <v>0</v>
      </c>
      <c r="AP295" s="212" t="b">
        <f>IF(AO295=0,FALSE,IF(COUNTIF(AO$7:AO295,AO295)&gt;1,TRUE,FALSE))</f>
        <v>0</v>
      </c>
      <c r="AQ295" s="212">
        <f t="shared" ref="AQ295" si="3386">IF(COUNTIF(Y295,"*七種競技*")&gt;0,E295,0)</f>
        <v>0</v>
      </c>
      <c r="AR295" s="212" t="b">
        <f t="shared" si="3021"/>
        <v>0</v>
      </c>
      <c r="AS295" s="212" t="b">
        <f t="shared" ref="AS295" si="3387">IF(AND(C295="",E295&lt;&gt;"",F295&lt;&gt;"",E297&lt;&gt;"",G295&lt;&gt;"",G296&lt;&gt;"",G297&lt;&gt;""),TRUE,FALSE)</f>
        <v>0</v>
      </c>
      <c r="AT295" s="212" t="b">
        <f t="shared" si="3034"/>
        <v>0</v>
      </c>
      <c r="AU295" s="212" t="b">
        <f>IFERROR(IF(E295&amp;F295&amp;E297&amp;G295&amp;G296&amp;G297&amp;J295&amp;J296&amp;J297&amp;J298&amp;L295&amp;L296&amp;L297&amp;L298&amp;M295&amp;M296&amp;M297&amp;M298&amp;P295&amp;P296&amp;P297&amp;P298&amp;Q295&amp;R295="",FALSE,TRUE),FALSE)</f>
        <v>0</v>
      </c>
      <c r="AV295" s="212" t="b">
        <f t="shared" ref="AV295" si="3388">IF(AS295,FALSE,IF(C295="",AU295,FALSE))</f>
        <v>0</v>
      </c>
      <c r="AW295" s="212" t="b">
        <f t="shared" ref="AW295" si="3389">IF(C295="",FALSE,IF(C295&lt;=2000,TRUE,FALSE))</f>
        <v>0</v>
      </c>
      <c r="AX295" s="274" t="b">
        <f>IF(H295=0,FALSE,IF(EXACT(基本情報!$E$5,H295)=TRUE,FALSE,TRUE))</f>
        <v>0</v>
      </c>
      <c r="AY295" s="212" t="b">
        <f>IF(C295="",FALSE,IF(ISNA(E295)=TRUE,TRUE,FALSE))</f>
        <v>0</v>
      </c>
      <c r="AZ295" s="274" t="b">
        <f>IFERROR(IF(E295="",FALSE,IF(COUNTIF($E$7:E295,E295)&gt;1,TRUE,FALSE)),FALSE)</f>
        <v>0</v>
      </c>
      <c r="BA295" s="212" t="b">
        <f t="shared" ref="BA295" si="3390">IF(OR(J295&amp;J296&amp;J297&amp;J298&amp;Q295&amp;R295="",AT295,AT296,AT297,AT298),AU295,FALSE)</f>
        <v>0</v>
      </c>
      <c r="BB295" s="212" t="b">
        <f>IF(U295&gt;1,TRUE,FALSE)</f>
        <v>0</v>
      </c>
      <c r="BC295" s="212" t="b">
        <f>IF(X295&gt;1,TRUE,FALSE)</f>
        <v>0</v>
      </c>
      <c r="BD295" s="212" t="b">
        <f t="shared" si="3008"/>
        <v>0</v>
      </c>
      <c r="BF295" s="212" t="b">
        <f t="shared" ref="BF295" si="3391">IF(J295="",FALSE,IF(OR(AND(AU295,L295=""),AND(AU295,L295="",OR(M295&lt;&gt;"",N295&lt;&gt;"",O295&lt;&gt;"",P295&lt;&gt;""))),TRUE,FALSE))</f>
        <v>0</v>
      </c>
      <c r="BG295" s="212" t="b">
        <f t="shared" si="3010"/>
        <v>0</v>
      </c>
      <c r="BH295" s="212" t="b">
        <f t="shared" si="3023"/>
        <v>0</v>
      </c>
      <c r="BI295" s="212" t="b">
        <f t="shared" ref="BI295" si="3392">IF(J295="",FALSE,IF(L295=0,FALSE,IF(AND(AU295,NOT(BF295),OR(M295="",N295="",O295="")),TRUE,FALSE)))</f>
        <v>0</v>
      </c>
      <c r="BJ295" s="231" t="b">
        <f t="shared" si="3025"/>
        <v>0</v>
      </c>
      <c r="BK295" s="231" t="b">
        <f>IF(NOT(BJ295),FALSE,IF(AND(競技会設定!$C$5&lt;=BJ295,BJ295&lt;=競技会設定!$C$6),FALSE,TRUE))</f>
        <v>0</v>
      </c>
      <c r="BL295" s="212" t="b">
        <f>IF(J295="",FALSE,IF(L295=0,FALSE,IF(AND(AU295,NOT(BF295),NOT(BI295),P295=""),TRUE,FALSE)))</f>
        <v>0</v>
      </c>
      <c r="BO295" s="274">
        <f t="shared" ref="BO295" si="3393">IF(AND(AU295,SUM(COUNTIF(AV295:BC295,TRUE),COUNTIF(BF295:BL298,TRUE),COUNTIF(BD295:BD298,TRUE))=0,NOT($BE$7)),1,0)</f>
        <v>0</v>
      </c>
    </row>
    <row r="296" spans="1:67" ht="17.399999999999999" customHeight="1">
      <c r="A296" s="471"/>
      <c r="B296" s="402"/>
      <c r="C296" s="404"/>
      <c r="D296" s="11"/>
      <c r="E296" s="474"/>
      <c r="F296" s="474"/>
      <c r="G296" s="11" t="str">
        <f>IF(C295="","",(VLOOKUP(D295,女子登録!$A$2:$N$2001,13,0)))</f>
        <v/>
      </c>
      <c r="H296" s="11"/>
      <c r="I296" s="11" t="s">
        <v>4020</v>
      </c>
      <c r="J296" s="171"/>
      <c r="K296" s="11" t="s">
        <v>4023</v>
      </c>
      <c r="L296" s="171"/>
      <c r="M296" s="255"/>
      <c r="N296" s="256"/>
      <c r="O296" s="257"/>
      <c r="P296" s="171"/>
      <c r="Q296" s="458"/>
      <c r="R296" s="415"/>
      <c r="S296" s="136"/>
      <c r="T296" s="137"/>
      <c r="U296" s="137"/>
      <c r="V296" s="137"/>
      <c r="W296" s="137"/>
      <c r="X296" s="137"/>
      <c r="Y296" s="212">
        <f t="shared" ref="Y296" si="3394">IF(OR(E295="",J296=""),0,J296&amp;E295)</f>
        <v>0</v>
      </c>
      <c r="Z296" s="212">
        <f>IF(Y296=0,0,COUNTIF($Y$7:Y296,Y296))</f>
        <v>0</v>
      </c>
      <c r="AD296" s="212">
        <f>IFERROR(VLOOKUP(J296,競技会設定!$T$2:$W$22,2,0),0)</f>
        <v>0</v>
      </c>
      <c r="AE296" s="212">
        <f t="shared" ref="AE296" si="3395">IF(E295="",0,IF(AD296=0,0,IF(AD296&lt;3,E295&amp;$AE$6,0)))</f>
        <v>0</v>
      </c>
      <c r="AF296" s="212">
        <f>IF(AE296=0,0,E295&amp;COUNTIF($AE$7:AE296,AE296))</f>
        <v>0</v>
      </c>
      <c r="AG296" s="212">
        <f t="shared" ref="AG296" si="3396">IF(E295="",0,IF(AD296=0,0,IF(AD296&gt;=3,E295&amp;$AG$6,0)))</f>
        <v>0</v>
      </c>
      <c r="AH296" s="212">
        <f>IF(AG296=0,0,E295&amp;COUNTIF($AG$7:AG296,AG296))</f>
        <v>0</v>
      </c>
      <c r="AI296" s="212">
        <f t="shared" ref="AI296" si="3397">IF($AD296=AI$6,$E295,0)</f>
        <v>0</v>
      </c>
      <c r="AJ296" s="212" t="b">
        <f>IF(AI296=0,FALSE,IF(COUNTIF(AI$7:AI296,AI296)&gt;1,TRUE,FALSE))</f>
        <v>0</v>
      </c>
      <c r="AK296" s="212">
        <f t="shared" ref="AK296" si="3398">IF($AD296=AK$6,$E295,0)</f>
        <v>0</v>
      </c>
      <c r="AL296" s="212" t="b">
        <f>IF(AK296=0,FALSE,IF(COUNTIF(AK$7:AK296,AK296)&gt;1,TRUE,FALSE))</f>
        <v>0</v>
      </c>
      <c r="AM296" s="212">
        <f t="shared" ref="AM296" si="3399">IF(COUNTIF(Y296,"*七種*")&gt;0,0,IF($AD296=AM$6,$E295,0))</f>
        <v>0</v>
      </c>
      <c r="AN296" s="212" t="b">
        <f>IF(AM296=0,FALSE,IF(COUNTIF(AM$7:AM296,AM296)&gt;1,TRUE,FALSE))</f>
        <v>0</v>
      </c>
      <c r="AO296" s="212">
        <f t="shared" ref="AO296" si="3400">IF($AD296=AO$6,$E295,0)</f>
        <v>0</v>
      </c>
      <c r="AP296" s="212" t="b">
        <f>IF(AO296=0,FALSE,IF(COUNTIF(AO$7:AO296,AO296)&gt;1,TRUE,FALSE))</f>
        <v>0</v>
      </c>
      <c r="AQ296" s="212">
        <f t="shared" ref="AQ296" si="3401">IF(COUNTIF(Y296,"*七種競技*")&gt;0,E295,0)</f>
        <v>0</v>
      </c>
      <c r="AR296" s="212" t="b">
        <f t="shared" si="3021"/>
        <v>0</v>
      </c>
      <c r="AT296" s="212" t="b">
        <f t="shared" si="3034"/>
        <v>0</v>
      </c>
      <c r="AX296" s="274"/>
      <c r="BD296" s="212" t="b">
        <f t="shared" si="3008"/>
        <v>0</v>
      </c>
      <c r="BF296" s="212" t="b">
        <f t="shared" ref="BF296" si="3402">IF(J296="",FALSE,IF(OR(AND(AU295,L296=""),AND(AU295,L296="",OR(M296&lt;&gt;"",N296&lt;&gt;"",O296&lt;&gt;"",P296&lt;&gt;""))),TRUE,FALSE))</f>
        <v>0</v>
      </c>
      <c r="BG296" s="212" t="b">
        <f t="shared" si="3010"/>
        <v>0</v>
      </c>
      <c r="BH296" s="212" t="b">
        <f t="shared" si="3023"/>
        <v>0</v>
      </c>
      <c r="BI296" s="212" t="b">
        <f t="shared" ref="BI296" si="3403">IF(J296="",FALSE,IF(L296=0,FALSE,IF(AND(AU295,NOT(BF296),OR(M296="",N296="",O296="")),TRUE,FALSE)))</f>
        <v>0</v>
      </c>
      <c r="BJ296" s="231" t="b">
        <f t="shared" si="3025"/>
        <v>0</v>
      </c>
      <c r="BK296" s="231" t="b">
        <f>IF(NOT(BJ296),FALSE,IF(AND(競技会設定!$C$5&lt;=BJ296,BJ296&lt;=競技会設定!$C$6),FALSE,TRUE))</f>
        <v>0</v>
      </c>
      <c r="BL296" s="212" t="b">
        <f>IF(J296="",FALSE,IF(L296=0,FALSE,IF(AND(AU295,NOT(BF296),NOT(BI296),P296=""),TRUE,FALSE)))</f>
        <v>0</v>
      </c>
    </row>
    <row r="297" spans="1:67" ht="17.399999999999999" customHeight="1">
      <c r="A297" s="471"/>
      <c r="B297" s="402"/>
      <c r="C297" s="404"/>
      <c r="D297" s="11"/>
      <c r="E297" s="348" t="str">
        <f>IF(C295="","",VLOOKUP(D295,女子登録!$A$2:$O$2001,14,0)&amp;" ("&amp;VLOOKUP(D295,女子登録!$A$2:$O$2001,15,0)&amp;")")</f>
        <v/>
      </c>
      <c r="F297" s="348"/>
      <c r="G297" s="13" t="str">
        <f>IF(C295="","",(VLOOKUP(D295,女子登録!$A$2:$N$2001,9,0)))</f>
        <v/>
      </c>
      <c r="H297" s="13"/>
      <c r="I297" s="13" t="s">
        <v>4021</v>
      </c>
      <c r="J297" s="172"/>
      <c r="K297" s="13" t="s">
        <v>6760</v>
      </c>
      <c r="L297" s="172"/>
      <c r="M297" s="255"/>
      <c r="N297" s="256"/>
      <c r="O297" s="257"/>
      <c r="P297" s="171"/>
      <c r="Q297" s="458"/>
      <c r="R297" s="415"/>
      <c r="S297" s="136"/>
      <c r="T297" s="137"/>
      <c r="U297" s="137"/>
      <c r="V297" s="137"/>
      <c r="W297" s="137"/>
      <c r="X297" s="137"/>
      <c r="Y297" s="212">
        <f t="shared" ref="Y297" si="3404">IF(OR(E295="",J297=""),0,J297&amp;E295)</f>
        <v>0</v>
      </c>
      <c r="Z297" s="212">
        <f>IF(Y297=0,0,COUNTIF($Y$7:Y297,Y297))</f>
        <v>0</v>
      </c>
      <c r="AD297" s="212">
        <f>IFERROR(VLOOKUP(J297,競技会設定!$T$2:$W$22,2,0),0)</f>
        <v>0</v>
      </c>
      <c r="AE297" s="212">
        <f t="shared" ref="AE297" si="3405">IF(E295="",0,IF(AD297=0,0,IF(AD297&lt;3,E295&amp;$AE$6,0)))</f>
        <v>0</v>
      </c>
      <c r="AF297" s="212">
        <f>IF(AE297=0,0,E295&amp;COUNTIF($AE$7:AE297,AE297))</f>
        <v>0</v>
      </c>
      <c r="AG297" s="212">
        <f t="shared" ref="AG297" si="3406">IF(E295="",0,IF(AD297=0,0,IF(AD297&gt;=3,E295&amp;$AG$6,0)))</f>
        <v>0</v>
      </c>
      <c r="AH297" s="212">
        <f>IF(AG297=0,0,E295&amp;COUNTIF($AG$7:AG297,AG297))</f>
        <v>0</v>
      </c>
      <c r="AI297" s="212">
        <f t="shared" ref="AI297" si="3407">IF($AD297=AI$6,$E295,0)</f>
        <v>0</v>
      </c>
      <c r="AJ297" s="212" t="b">
        <f>IF(AI297=0,FALSE,IF(COUNTIF(AI$7:AI297,AI297)&gt;1,TRUE,FALSE))</f>
        <v>0</v>
      </c>
      <c r="AK297" s="212">
        <f t="shared" ref="AK297" si="3408">IF($AD297=AK$6,$E295,0)</f>
        <v>0</v>
      </c>
      <c r="AL297" s="212" t="b">
        <f>IF(AK297=0,FALSE,IF(COUNTIF(AK$7:AK297,AK297)&gt;1,TRUE,FALSE))</f>
        <v>0</v>
      </c>
      <c r="AM297" s="212">
        <f t="shared" ref="AM297" si="3409">IF(COUNTIF(Y297,"*七種*")&gt;0,0,IF($AD297=AM$6,$E295,0))</f>
        <v>0</v>
      </c>
      <c r="AN297" s="212" t="b">
        <f>IF(AM297=0,FALSE,IF(COUNTIF(AM$7:AM297,AM297)&gt;1,TRUE,FALSE))</f>
        <v>0</v>
      </c>
      <c r="AO297" s="212">
        <f t="shared" ref="AO297" si="3410">IF($AD297=AO$6,$E295,0)</f>
        <v>0</v>
      </c>
      <c r="AP297" s="212" t="b">
        <f>IF(AO297=0,FALSE,IF(COUNTIF(AO$7:AO297,AO297)&gt;1,TRUE,FALSE))</f>
        <v>0</v>
      </c>
      <c r="AQ297" s="212">
        <f t="shared" ref="AQ297" si="3411">IF(COUNTIF(Y297,"*七種競技*")&gt;0,E295,0)</f>
        <v>0</v>
      </c>
      <c r="AR297" s="212" t="b">
        <f t="shared" si="3021"/>
        <v>0</v>
      </c>
      <c r="AT297" s="212" t="b">
        <f t="shared" si="3034"/>
        <v>0</v>
      </c>
      <c r="AX297" s="274"/>
      <c r="BD297" s="212" t="b">
        <f t="shared" si="3008"/>
        <v>0</v>
      </c>
      <c r="BF297" s="212" t="b">
        <f t="shared" ref="BF297" si="3412">IF(J297="",FALSE,IF(OR(AND(AU295,L297=""),AND(AU295,L297="",OR(M297&lt;&gt;"",N297&lt;&gt;"",O297&lt;&gt;"",P297&lt;&gt;""))),TRUE,FALSE))</f>
        <v>0</v>
      </c>
      <c r="BG297" s="212" t="b">
        <f t="shared" si="3010"/>
        <v>0</v>
      </c>
      <c r="BH297" s="212" t="b">
        <f t="shared" si="3023"/>
        <v>0</v>
      </c>
      <c r="BI297" s="212" t="b">
        <f t="shared" ref="BI297" si="3413">IF(J297="",FALSE,IF(L297=0,FALSE,IF(AND(AU295,NOT(BF297),OR(M297="",N297="",O297="")),TRUE,FALSE)))</f>
        <v>0</v>
      </c>
      <c r="BJ297" s="231" t="b">
        <f t="shared" si="3025"/>
        <v>0</v>
      </c>
      <c r="BK297" s="231" t="b">
        <f>IF(NOT(BJ297),FALSE,IF(AND(競技会設定!$C$5&lt;=BJ297,BJ297&lt;=競技会設定!$C$6),FALSE,TRUE))</f>
        <v>0</v>
      </c>
      <c r="BL297" s="212" t="b">
        <f>IF(J297="",FALSE,IF(L297=0,FALSE,IF(AND(AU295,NOT(BF297),NOT(BI297),P297=""),TRUE,FALSE)))</f>
        <v>0</v>
      </c>
    </row>
    <row r="298" spans="1:67" ht="18" customHeight="1" thickBot="1">
      <c r="A298" s="472"/>
      <c r="B298" s="395" t="s">
        <v>6764</v>
      </c>
      <c r="C298" s="395"/>
      <c r="D298" s="11"/>
      <c r="E298" s="460"/>
      <c r="F298" s="460"/>
      <c r="G298" s="460"/>
      <c r="H298" s="157"/>
      <c r="I298" s="157" t="s">
        <v>6759</v>
      </c>
      <c r="J298" s="173"/>
      <c r="K298" s="157" t="s">
        <v>6761</v>
      </c>
      <c r="L298" s="173"/>
      <c r="M298" s="258"/>
      <c r="N298" s="259"/>
      <c r="O298" s="260"/>
      <c r="P298" s="173"/>
      <c r="Q298" s="459"/>
      <c r="R298" s="416"/>
      <c r="S298" s="136"/>
      <c r="T298" s="137"/>
      <c r="U298" s="137"/>
      <c r="V298" s="137"/>
      <c r="W298" s="137"/>
      <c r="X298" s="137"/>
      <c r="Y298" s="212">
        <f t="shared" ref="Y298" si="3414">IF(OR(E295="",J298=""),0,J298&amp;E295)</f>
        <v>0</v>
      </c>
      <c r="Z298" s="212">
        <f>IF(Y298=0,0,COUNTIF($Y$7:Y298,Y298))</f>
        <v>0</v>
      </c>
      <c r="AD298" s="212">
        <f>IFERROR(VLOOKUP(J298,競技会設定!$T$2:$W$22,2,0),0)</f>
        <v>0</v>
      </c>
      <c r="AE298" s="212">
        <f t="shared" ref="AE298" si="3415">IF(E295="",0,IF(AD298=0,0,IF(AD298&lt;3,E295&amp;$AE$6,0)))</f>
        <v>0</v>
      </c>
      <c r="AF298" s="212">
        <f>IF(AE298=0,0,E295&amp;COUNTIF($AE$7:AE298,AE298))</f>
        <v>0</v>
      </c>
      <c r="AG298" s="212">
        <f t="shared" ref="AG298" si="3416">IF(E295="",0,IF(AD298=0,0,IF(AD298&gt;=3,E295&amp;$AG$6,0)))</f>
        <v>0</v>
      </c>
      <c r="AH298" s="212">
        <f>IF(AG298=0,0,E295&amp;COUNTIF($AG$7:AG298,AG298))</f>
        <v>0</v>
      </c>
      <c r="AI298" s="212">
        <f t="shared" ref="AI298" si="3417">IF($AD298=AI$6,$E295,0)</f>
        <v>0</v>
      </c>
      <c r="AJ298" s="212" t="b">
        <f>IF(AI298=0,FALSE,IF(COUNTIF(AI$7:AI298,AI298)&gt;1,TRUE,FALSE))</f>
        <v>0</v>
      </c>
      <c r="AK298" s="212">
        <f t="shared" ref="AK298" si="3418">IF($AD298=AK$6,$E295,0)</f>
        <v>0</v>
      </c>
      <c r="AL298" s="212" t="b">
        <f>IF(AK298=0,FALSE,IF(COUNTIF(AK$7:AK298,AK298)&gt;1,TRUE,FALSE))</f>
        <v>0</v>
      </c>
      <c r="AM298" s="212">
        <f t="shared" ref="AM298" si="3419">IF(COUNTIF(Y298,"*七種*")&gt;0,0,IF($AD298=AM$6,$E295,0))</f>
        <v>0</v>
      </c>
      <c r="AN298" s="212" t="b">
        <f>IF(AM298=0,FALSE,IF(COUNTIF(AM$7:AM298,AM298)&gt;1,TRUE,FALSE))</f>
        <v>0</v>
      </c>
      <c r="AO298" s="212">
        <f t="shared" ref="AO298" si="3420">IF($AD298=AO$6,$E295,0)</f>
        <v>0</v>
      </c>
      <c r="AP298" s="212" t="b">
        <f>IF(AO298=0,FALSE,IF(COUNTIF(AO$7:AO298,AO298)&gt;1,TRUE,FALSE))</f>
        <v>0</v>
      </c>
      <c r="AQ298" s="212">
        <f t="shared" ref="AQ298" si="3421">IF(COUNTIF(Y298,"*七種競技*")&gt;0,E295,0)</f>
        <v>0</v>
      </c>
      <c r="AR298" s="212" t="b">
        <f t="shared" si="3021"/>
        <v>0</v>
      </c>
      <c r="AT298" s="212" t="b">
        <f t="shared" si="3034"/>
        <v>0</v>
      </c>
      <c r="AX298" s="274"/>
      <c r="BD298" s="212" t="b">
        <f t="shared" si="3008"/>
        <v>0</v>
      </c>
      <c r="BF298" s="212" t="b">
        <f t="shared" ref="BF298" si="3422">IF(J298="",FALSE,IF(OR(AND(AU295,L298=""),AND(AU295,L298="",OR(M298&lt;&gt;"",N298&lt;&gt;"",O298&lt;&gt;"",P298&lt;&gt;""))),TRUE,FALSE))</f>
        <v>0</v>
      </c>
      <c r="BG298" s="212" t="b">
        <f t="shared" si="3010"/>
        <v>0</v>
      </c>
      <c r="BH298" s="212" t="b">
        <f t="shared" si="3023"/>
        <v>0</v>
      </c>
      <c r="BI298" s="212" t="b">
        <f t="shared" ref="BI298" si="3423">IF(J298="",FALSE,IF(L298=0,FALSE,IF(AND(AU295,NOT(BF298),OR(M298="",N298="",O298="")),TRUE,FALSE)))</f>
        <v>0</v>
      </c>
      <c r="BJ298" s="231" t="b">
        <f t="shared" si="3025"/>
        <v>0</v>
      </c>
      <c r="BK298" s="231" t="b">
        <f>IF(NOT(BJ298),FALSE,IF(AND(競技会設定!$C$5&lt;=BJ298,BJ298&lt;=競技会設定!$C$6),FALSE,TRUE))</f>
        <v>0</v>
      </c>
      <c r="BL298" s="212" t="b">
        <f>IF(J298="",FALSE,IF(L298=0,FALSE,IF(AND(AU295,NOT(BF298),NOT(BI298),P298=""),TRUE,FALSE)))</f>
        <v>0</v>
      </c>
    </row>
    <row r="299" spans="1:67" ht="18" customHeight="1" thickTop="1">
      <c r="A299" s="461">
        <v>74</v>
      </c>
      <c r="B299" s="373" t="s">
        <v>4018</v>
      </c>
      <c r="C299" s="375"/>
      <c r="D299" s="158" t="str">
        <f t="shared" ref="D299" si="3424">IF(C299="","",502&amp;TEXT(C299,"000000"))</f>
        <v/>
      </c>
      <c r="E299" s="464" t="str">
        <f>IF(D299="","",(VLOOKUP(D299,女子登録!$A$2:$N$2001,3,0)))</f>
        <v/>
      </c>
      <c r="F299" s="464" t="str">
        <f>IF(D299="","",(VLOOKUP(D299,女子登録!$A$2:$N$2001,4,0)))</f>
        <v/>
      </c>
      <c r="G299" s="158" t="str">
        <f>IF(C299="","",(VLOOKUP(D299,女子登録!$A$2:$N$2001,8,0)))</f>
        <v/>
      </c>
      <c r="H299" s="158">
        <f>IFERROR(VLOOKUP(D299,女子登録!$A$2:$N$2001,11,0),基本情報!$E$5)</f>
        <v>0</v>
      </c>
      <c r="I299" s="158" t="s">
        <v>4019</v>
      </c>
      <c r="J299" s="174"/>
      <c r="K299" s="158" t="s">
        <v>4022</v>
      </c>
      <c r="L299" s="174"/>
      <c r="M299" s="261"/>
      <c r="N299" s="262"/>
      <c r="O299" s="263"/>
      <c r="P299" s="174"/>
      <c r="Q299" s="448"/>
      <c r="R299" s="408"/>
      <c r="S299" s="136">
        <f t="shared" ref="S299" si="3425">IF(OR(E299="",Q299=""),0,E299)</f>
        <v>0</v>
      </c>
      <c r="T299" s="137">
        <f>IF(S299=0,0,COUNTIF($S$7:S299,"*"))</f>
        <v>0</v>
      </c>
      <c r="U299" s="137">
        <f>IF(S299=0,0,COUNTIF($S$7:S299,S299))</f>
        <v>0</v>
      </c>
      <c r="V299" s="137">
        <f t="shared" si="3237"/>
        <v>0</v>
      </c>
      <c r="W299" s="137">
        <f>IF(V299=0,0,COUNTIF($V$7:V299,"*"))</f>
        <v>0</v>
      </c>
      <c r="X299" s="137">
        <f>IF(V299=0,0,COUNTIF($V$7:V299,V299))</f>
        <v>0</v>
      </c>
      <c r="Y299" s="212">
        <f t="shared" ref="Y299" si="3426">IF(OR(E299="",J299=""),0,J299&amp;E299)</f>
        <v>0</v>
      </c>
      <c r="Z299" s="212">
        <f>IF(Y299=0,0,COUNTIF($Y$7:Y299,Y299))</f>
        <v>0</v>
      </c>
      <c r="AA299" s="212" t="b">
        <f>IF(COUNTIF(J299:J302,"七種競技")&gt;0,TRUE,FALSE)</f>
        <v>0</v>
      </c>
      <c r="AB299" s="212">
        <f>IF(E299="",0,IF(AA299,COUNTIF($AA$7:AA299,TRUE),0))</f>
        <v>0</v>
      </c>
      <c r="AC299" s="212">
        <f>IFERROR(VLOOKUP("七種競技",J299:L302,3,0),0)</f>
        <v>0</v>
      </c>
      <c r="AD299" s="212">
        <f>IFERROR(VLOOKUP(J299,競技会設定!$T$2:$W$22,2,0),0)</f>
        <v>0</v>
      </c>
      <c r="AE299" s="212">
        <f t="shared" ref="AE299" si="3427">IF(E299="",0,IF(AD299=0,0,IF(AD299&lt;3,E299&amp;$AE$6,0)))</f>
        <v>0</v>
      </c>
      <c r="AF299" s="212">
        <f>IF(AE299=0,0,E299&amp;COUNTIF($AE$7:AE299,AE299))</f>
        <v>0</v>
      </c>
      <c r="AG299" s="212">
        <f t="shared" ref="AG299" si="3428">IF(E299="",0,IF(AD299=0,0,IF(AD299&gt;=3,E299&amp;$AG$6,0)))</f>
        <v>0</v>
      </c>
      <c r="AH299" s="212">
        <f>IF(AG299=0,0,E299&amp;COUNTIF($AG$7:AG299,AG299))</f>
        <v>0</v>
      </c>
      <c r="AI299" s="212">
        <f t="shared" ref="AI299" si="3429">IF($AD299=AI$6,$E299,0)</f>
        <v>0</v>
      </c>
      <c r="AJ299" s="212" t="b">
        <f>IF(AI299=0,FALSE,IF(COUNTIF(AI$7:AI299,AI299)&gt;1,TRUE,FALSE))</f>
        <v>0</v>
      </c>
      <c r="AK299" s="212">
        <f t="shared" ref="AK299" si="3430">IF($AD299=AK$6,$E299,0)</f>
        <v>0</v>
      </c>
      <c r="AL299" s="212" t="b">
        <f>IF(AK299=0,FALSE,IF(COUNTIF(AK$7:AK299,AK299)&gt;1,TRUE,FALSE))</f>
        <v>0</v>
      </c>
      <c r="AM299" s="212">
        <f t="shared" ref="AM299" si="3431">IF(COUNTIF(Y299,"*七種*")&gt;0,0,IF($AD299=AM$6,$E299,0))</f>
        <v>0</v>
      </c>
      <c r="AN299" s="212" t="b">
        <f>IF(AM299=0,FALSE,IF(COUNTIF(AM$7:AM299,AM299)&gt;1,TRUE,FALSE))</f>
        <v>0</v>
      </c>
      <c r="AO299" s="212">
        <f t="shared" ref="AO299" si="3432">IF($AD299=AO$6,$E299,0)</f>
        <v>0</v>
      </c>
      <c r="AP299" s="212" t="b">
        <f>IF(AO299=0,FALSE,IF(COUNTIF(AO$7:AO299,AO299)&gt;1,TRUE,FALSE))</f>
        <v>0</v>
      </c>
      <c r="AQ299" s="212">
        <f t="shared" ref="AQ299" si="3433">IF(COUNTIF(Y299,"*七種競技*")&gt;0,E299,0)</f>
        <v>0</v>
      </c>
      <c r="AR299" s="212" t="b">
        <f t="shared" si="3021"/>
        <v>0</v>
      </c>
      <c r="AS299" s="212" t="b">
        <f t="shared" ref="AS299" si="3434">IF(AND(C299="",E299&lt;&gt;"",F299&lt;&gt;"",E301&lt;&gt;"",G299&lt;&gt;"",G300&lt;&gt;"",G301&lt;&gt;""),TRUE,FALSE)</f>
        <v>0</v>
      </c>
      <c r="AT299" s="212" t="b">
        <f t="shared" si="3034"/>
        <v>0</v>
      </c>
      <c r="AU299" s="212" t="b">
        <f>IFERROR(IF(E299&amp;F299&amp;E301&amp;G299&amp;G300&amp;G301&amp;J299&amp;J300&amp;J301&amp;J302&amp;L299&amp;L300&amp;L301&amp;L302&amp;M299&amp;M300&amp;M301&amp;M302&amp;P299&amp;P300&amp;P301&amp;P302&amp;Q299&amp;R299="",FALSE,TRUE),FALSE)</f>
        <v>0</v>
      </c>
      <c r="AV299" s="212" t="b">
        <f t="shared" ref="AV299" si="3435">IF(AS299,FALSE,IF(C299="",AU299,FALSE))</f>
        <v>0</v>
      </c>
      <c r="AW299" s="212" t="b">
        <f t="shared" ref="AW299" si="3436">IF(C299="",FALSE,IF(C299&lt;=2000,TRUE,FALSE))</f>
        <v>0</v>
      </c>
      <c r="AX299" s="274" t="b">
        <f>IF(H299=0,FALSE,IF(EXACT(基本情報!$E$5,H299)=TRUE,FALSE,TRUE))</f>
        <v>0</v>
      </c>
      <c r="AY299" s="212" t="b">
        <f>IF(C299="",FALSE,IF(ISNA(E299)=TRUE,TRUE,FALSE))</f>
        <v>0</v>
      </c>
      <c r="AZ299" s="274" t="b">
        <f>IFERROR(IF(E299="",FALSE,IF(COUNTIF($E$7:E299,E299)&gt;1,TRUE,FALSE)),FALSE)</f>
        <v>0</v>
      </c>
      <c r="BA299" s="212" t="b">
        <f t="shared" ref="BA299" si="3437">IF(OR(J299&amp;J300&amp;J301&amp;J302&amp;Q299&amp;R299="",AT299,AT300,AT301,AT302),AU299,FALSE)</f>
        <v>0</v>
      </c>
      <c r="BB299" s="212" t="b">
        <f>IF(U299&gt;1,TRUE,FALSE)</f>
        <v>0</v>
      </c>
      <c r="BC299" s="212" t="b">
        <f>IF(X299&gt;1,TRUE,FALSE)</f>
        <v>0</v>
      </c>
      <c r="BD299" s="212" t="b">
        <f t="shared" si="3008"/>
        <v>0</v>
      </c>
      <c r="BF299" s="212" t="b">
        <f t="shared" ref="BF299" si="3438">IF(J299="",FALSE,IF(OR(AND(AU299,L299=""),AND(AU299,L299="",OR(M299&lt;&gt;"",N299&lt;&gt;"",O299&lt;&gt;"",P299&lt;&gt;""))),TRUE,FALSE))</f>
        <v>0</v>
      </c>
      <c r="BG299" s="212" t="b">
        <f t="shared" si="3010"/>
        <v>0</v>
      </c>
      <c r="BH299" s="212" t="b">
        <f t="shared" si="3023"/>
        <v>0</v>
      </c>
      <c r="BI299" s="212" t="b">
        <f t="shared" ref="BI299" si="3439">IF(J299="",FALSE,IF(L299=0,FALSE,IF(AND(AU299,NOT(BF299),OR(M299="",N299="",O299="")),TRUE,FALSE)))</f>
        <v>0</v>
      </c>
      <c r="BJ299" s="231" t="b">
        <f t="shared" si="3025"/>
        <v>0</v>
      </c>
      <c r="BK299" s="231" t="b">
        <f>IF(NOT(BJ299),FALSE,IF(AND(競技会設定!$C$5&lt;=BJ299,BJ299&lt;=競技会設定!$C$6),FALSE,TRUE))</f>
        <v>0</v>
      </c>
      <c r="BL299" s="212" t="b">
        <f>IF(J299="",FALSE,IF(L299=0,FALSE,IF(AND(AU299,NOT(BF299),NOT(BI299),P299=""),TRUE,FALSE)))</f>
        <v>0</v>
      </c>
      <c r="BO299" s="274">
        <f t="shared" ref="BO299" si="3440">IF(AND(AU299,SUM(COUNTIF(AV299:BC299,TRUE),COUNTIF(BF299:BL302,TRUE),COUNTIF(BD299:BD302,TRUE))=0,NOT($BE$7)),1,0)</f>
        <v>0</v>
      </c>
    </row>
    <row r="300" spans="1:67" ht="17.399999999999999" customHeight="1">
      <c r="A300" s="462"/>
      <c r="B300" s="374"/>
      <c r="C300" s="376"/>
      <c r="D300" s="159"/>
      <c r="E300" s="465"/>
      <c r="F300" s="465"/>
      <c r="G300" s="159" t="str">
        <f>IF(C299="","",(VLOOKUP(D299,女子登録!$A$2:$N$2001,13,0)))</f>
        <v/>
      </c>
      <c r="H300" s="159"/>
      <c r="I300" s="159" t="s">
        <v>4020</v>
      </c>
      <c r="J300" s="175"/>
      <c r="K300" s="159" t="s">
        <v>4023</v>
      </c>
      <c r="L300" s="175"/>
      <c r="M300" s="264"/>
      <c r="N300" s="265"/>
      <c r="O300" s="266"/>
      <c r="P300" s="175"/>
      <c r="Q300" s="449"/>
      <c r="R300" s="409"/>
      <c r="S300" s="136"/>
      <c r="T300" s="137"/>
      <c r="U300" s="137"/>
      <c r="V300" s="137"/>
      <c r="W300" s="137"/>
      <c r="X300" s="137"/>
      <c r="Y300" s="212">
        <f t="shared" ref="Y300" si="3441">IF(OR(E299="",J300=""),0,J300&amp;E299)</f>
        <v>0</v>
      </c>
      <c r="Z300" s="212">
        <f>IF(Y300=0,0,COUNTIF($Y$7:Y300,Y300))</f>
        <v>0</v>
      </c>
      <c r="AD300" s="212">
        <f>IFERROR(VLOOKUP(J300,競技会設定!$T$2:$W$22,2,0),0)</f>
        <v>0</v>
      </c>
      <c r="AE300" s="212">
        <f t="shared" ref="AE300" si="3442">IF(E299="",0,IF(AD300=0,0,IF(AD300&lt;3,E299&amp;$AE$6,0)))</f>
        <v>0</v>
      </c>
      <c r="AF300" s="212">
        <f>IF(AE300=0,0,E299&amp;COUNTIF($AE$7:AE300,AE300))</f>
        <v>0</v>
      </c>
      <c r="AG300" s="212">
        <f t="shared" ref="AG300" si="3443">IF(E299="",0,IF(AD300=0,0,IF(AD300&gt;=3,E299&amp;$AG$6,0)))</f>
        <v>0</v>
      </c>
      <c r="AH300" s="212">
        <f>IF(AG300=0,0,E299&amp;COUNTIF($AG$7:AG300,AG300))</f>
        <v>0</v>
      </c>
      <c r="AI300" s="212">
        <f t="shared" ref="AI300" si="3444">IF($AD300=AI$6,$E299,0)</f>
        <v>0</v>
      </c>
      <c r="AJ300" s="212" t="b">
        <f>IF(AI300=0,FALSE,IF(COUNTIF(AI$7:AI300,AI300)&gt;1,TRUE,FALSE))</f>
        <v>0</v>
      </c>
      <c r="AK300" s="212">
        <f t="shared" ref="AK300" si="3445">IF($AD300=AK$6,$E299,0)</f>
        <v>0</v>
      </c>
      <c r="AL300" s="212" t="b">
        <f>IF(AK300=0,FALSE,IF(COUNTIF(AK$7:AK300,AK300)&gt;1,TRUE,FALSE))</f>
        <v>0</v>
      </c>
      <c r="AM300" s="212">
        <f t="shared" ref="AM300" si="3446">IF(COUNTIF(Y300,"*七種*")&gt;0,0,IF($AD300=AM$6,$E299,0))</f>
        <v>0</v>
      </c>
      <c r="AN300" s="212" t="b">
        <f>IF(AM300=0,FALSE,IF(COUNTIF(AM$7:AM300,AM300)&gt;1,TRUE,FALSE))</f>
        <v>0</v>
      </c>
      <c r="AO300" s="212">
        <f t="shared" ref="AO300" si="3447">IF($AD300=AO$6,$E299,0)</f>
        <v>0</v>
      </c>
      <c r="AP300" s="212" t="b">
        <f>IF(AO300=0,FALSE,IF(COUNTIF(AO$7:AO300,AO300)&gt;1,TRUE,FALSE))</f>
        <v>0</v>
      </c>
      <c r="AQ300" s="212">
        <f t="shared" ref="AQ300" si="3448">IF(COUNTIF(Y300,"*七種競技*")&gt;0,E299,0)</f>
        <v>0</v>
      </c>
      <c r="AR300" s="212" t="b">
        <f t="shared" si="3021"/>
        <v>0</v>
      </c>
      <c r="AT300" s="212" t="b">
        <f t="shared" si="3034"/>
        <v>0</v>
      </c>
      <c r="AX300" s="274"/>
      <c r="BD300" s="212" t="b">
        <f t="shared" si="3008"/>
        <v>0</v>
      </c>
      <c r="BF300" s="212" t="b">
        <f t="shared" ref="BF300" si="3449">IF(J300="",FALSE,IF(OR(AND(AU299,L300=""),AND(AU299,L300="",OR(M300&lt;&gt;"",N300&lt;&gt;"",O300&lt;&gt;"",P300&lt;&gt;""))),TRUE,FALSE))</f>
        <v>0</v>
      </c>
      <c r="BG300" s="212" t="b">
        <f t="shared" si="3010"/>
        <v>0</v>
      </c>
      <c r="BH300" s="212" t="b">
        <f t="shared" si="3023"/>
        <v>0</v>
      </c>
      <c r="BI300" s="212" t="b">
        <f t="shared" ref="BI300" si="3450">IF(J300="",FALSE,IF(L300=0,FALSE,IF(AND(AU299,NOT(BF300),OR(M300="",N300="",O300="")),TRUE,FALSE)))</f>
        <v>0</v>
      </c>
      <c r="BJ300" s="231" t="b">
        <f t="shared" si="3025"/>
        <v>0</v>
      </c>
      <c r="BK300" s="231" t="b">
        <f>IF(NOT(BJ300),FALSE,IF(AND(競技会設定!$C$5&lt;=BJ300,BJ300&lt;=競技会設定!$C$6),FALSE,TRUE))</f>
        <v>0</v>
      </c>
      <c r="BL300" s="212" t="b">
        <f>IF(J300="",FALSE,IF(L300=0,FALSE,IF(AND(AU299,NOT(BF300),NOT(BI300),P300=""),TRUE,FALSE)))</f>
        <v>0</v>
      </c>
    </row>
    <row r="301" spans="1:67" ht="17.399999999999999" customHeight="1">
      <c r="A301" s="462"/>
      <c r="B301" s="374"/>
      <c r="C301" s="376"/>
      <c r="D301" s="160"/>
      <c r="E301" s="452" t="str">
        <f>IF(C299="","",VLOOKUP(D299,女子登録!$A$2:$O$2001,14,0)&amp;" ("&amp;VLOOKUP(D299,女子登録!$A$2:$O$2001,15,0)&amp;")")</f>
        <v/>
      </c>
      <c r="F301" s="453"/>
      <c r="G301" s="160" t="str">
        <f>IF(C299="","",(VLOOKUP(D299,女子登録!$A$2:$N$2001,9,0)))</f>
        <v/>
      </c>
      <c r="H301" s="160"/>
      <c r="I301" s="160" t="s">
        <v>4021</v>
      </c>
      <c r="J301" s="176"/>
      <c r="K301" s="160" t="s">
        <v>6760</v>
      </c>
      <c r="L301" s="176"/>
      <c r="M301" s="264"/>
      <c r="N301" s="265"/>
      <c r="O301" s="266"/>
      <c r="P301" s="175"/>
      <c r="Q301" s="449"/>
      <c r="R301" s="409"/>
      <c r="S301" s="136"/>
      <c r="T301" s="137"/>
      <c r="U301" s="137"/>
      <c r="V301" s="137"/>
      <c r="W301" s="137"/>
      <c r="X301" s="137"/>
      <c r="Y301" s="212">
        <f t="shared" ref="Y301" si="3451">IF(OR(E299="",J301=""),0,J301&amp;E299)</f>
        <v>0</v>
      </c>
      <c r="Z301" s="212">
        <f>IF(Y301=0,0,COUNTIF($Y$7:Y301,Y301))</f>
        <v>0</v>
      </c>
      <c r="AD301" s="212">
        <f>IFERROR(VLOOKUP(J301,競技会設定!$T$2:$W$22,2,0),0)</f>
        <v>0</v>
      </c>
      <c r="AE301" s="212">
        <f t="shared" ref="AE301" si="3452">IF(E299="",0,IF(AD301=0,0,IF(AD301&lt;3,E299&amp;$AE$6,0)))</f>
        <v>0</v>
      </c>
      <c r="AF301" s="212">
        <f>IF(AE301=0,0,E299&amp;COUNTIF($AE$7:AE301,AE301))</f>
        <v>0</v>
      </c>
      <c r="AG301" s="212">
        <f t="shared" ref="AG301" si="3453">IF(E299="",0,IF(AD301=0,0,IF(AD301&gt;=3,E299&amp;$AG$6,0)))</f>
        <v>0</v>
      </c>
      <c r="AH301" s="212">
        <f>IF(AG301=0,0,E299&amp;COUNTIF($AG$7:AG301,AG301))</f>
        <v>0</v>
      </c>
      <c r="AI301" s="212">
        <f t="shared" ref="AI301" si="3454">IF($AD301=AI$6,$E299,0)</f>
        <v>0</v>
      </c>
      <c r="AJ301" s="212" t="b">
        <f>IF(AI301=0,FALSE,IF(COUNTIF(AI$7:AI301,AI301)&gt;1,TRUE,FALSE))</f>
        <v>0</v>
      </c>
      <c r="AK301" s="212">
        <f t="shared" ref="AK301" si="3455">IF($AD301=AK$6,$E299,0)</f>
        <v>0</v>
      </c>
      <c r="AL301" s="212" t="b">
        <f>IF(AK301=0,FALSE,IF(COUNTIF(AK$7:AK301,AK301)&gt;1,TRUE,FALSE))</f>
        <v>0</v>
      </c>
      <c r="AM301" s="212">
        <f t="shared" ref="AM301" si="3456">IF(COUNTIF(Y301,"*七種*")&gt;0,0,IF($AD301=AM$6,$E299,0))</f>
        <v>0</v>
      </c>
      <c r="AN301" s="212" t="b">
        <f>IF(AM301=0,FALSE,IF(COUNTIF(AM$7:AM301,AM301)&gt;1,TRUE,FALSE))</f>
        <v>0</v>
      </c>
      <c r="AO301" s="212">
        <f t="shared" ref="AO301" si="3457">IF($AD301=AO$6,$E299,0)</f>
        <v>0</v>
      </c>
      <c r="AP301" s="212" t="b">
        <f>IF(AO301=0,FALSE,IF(COUNTIF(AO$7:AO301,AO301)&gt;1,TRUE,FALSE))</f>
        <v>0</v>
      </c>
      <c r="AQ301" s="212">
        <f t="shared" ref="AQ301" si="3458">IF(COUNTIF(Y301,"*七種競技*")&gt;0,E299,0)</f>
        <v>0</v>
      </c>
      <c r="AR301" s="212" t="b">
        <f t="shared" si="3021"/>
        <v>0</v>
      </c>
      <c r="AT301" s="212" t="b">
        <f t="shared" si="3034"/>
        <v>0</v>
      </c>
      <c r="AX301" s="274"/>
      <c r="BD301" s="212" t="b">
        <f t="shared" si="3008"/>
        <v>0</v>
      </c>
      <c r="BF301" s="212" t="b">
        <f t="shared" ref="BF301" si="3459">IF(J301="",FALSE,IF(OR(AND(AU299,L301=""),AND(AU299,L301="",OR(M301&lt;&gt;"",N301&lt;&gt;"",O301&lt;&gt;"",P301&lt;&gt;""))),TRUE,FALSE))</f>
        <v>0</v>
      </c>
      <c r="BG301" s="212" t="b">
        <f t="shared" si="3010"/>
        <v>0</v>
      </c>
      <c r="BH301" s="212" t="b">
        <f t="shared" si="3023"/>
        <v>0</v>
      </c>
      <c r="BI301" s="212" t="b">
        <f t="shared" ref="BI301" si="3460">IF(J301="",FALSE,IF(L301=0,FALSE,IF(AND(AU299,NOT(BF301),OR(M301="",N301="",O301="")),TRUE,FALSE)))</f>
        <v>0</v>
      </c>
      <c r="BJ301" s="231" t="b">
        <f t="shared" si="3025"/>
        <v>0</v>
      </c>
      <c r="BK301" s="231" t="b">
        <f>IF(NOT(BJ301),FALSE,IF(AND(競技会設定!$C$5&lt;=BJ301,BJ301&lt;=競技会設定!$C$6),FALSE,TRUE))</f>
        <v>0</v>
      </c>
      <c r="BL301" s="212" t="b">
        <f>IF(J301="",FALSE,IF(L301=0,FALSE,IF(AND(AU299,NOT(BF301),NOT(BI301),P301=""),TRUE,FALSE)))</f>
        <v>0</v>
      </c>
    </row>
    <row r="302" spans="1:67" ht="18" customHeight="1" thickBot="1">
      <c r="A302" s="475"/>
      <c r="B302" s="387" t="s">
        <v>6764</v>
      </c>
      <c r="C302" s="387"/>
      <c r="D302" s="161"/>
      <c r="E302" s="467"/>
      <c r="F302" s="468"/>
      <c r="G302" s="469"/>
      <c r="H302" s="162"/>
      <c r="I302" s="161" t="s">
        <v>6759</v>
      </c>
      <c r="J302" s="177"/>
      <c r="K302" s="161" t="s">
        <v>6761</v>
      </c>
      <c r="L302" s="177"/>
      <c r="M302" s="267"/>
      <c r="N302" s="268"/>
      <c r="O302" s="269"/>
      <c r="P302" s="177"/>
      <c r="Q302" s="466"/>
      <c r="R302" s="410"/>
      <c r="S302" s="136"/>
      <c r="T302" s="137"/>
      <c r="U302" s="137"/>
      <c r="V302" s="137"/>
      <c r="W302" s="137"/>
      <c r="X302" s="137"/>
      <c r="Y302" s="212">
        <f t="shared" ref="Y302" si="3461">IF(OR(E299="",J302=""),0,J302&amp;E299)</f>
        <v>0</v>
      </c>
      <c r="Z302" s="212">
        <f>IF(Y302=0,0,COUNTIF($Y$7:Y302,Y302))</f>
        <v>0</v>
      </c>
      <c r="AD302" s="212">
        <f>IFERROR(VLOOKUP(J302,競技会設定!$T$2:$W$22,2,0),0)</f>
        <v>0</v>
      </c>
      <c r="AE302" s="212">
        <f t="shared" ref="AE302" si="3462">IF(E299="",0,IF(AD302=0,0,IF(AD302&lt;3,E299&amp;$AE$6,0)))</f>
        <v>0</v>
      </c>
      <c r="AF302" s="212">
        <f>IF(AE302=0,0,E299&amp;COUNTIF($AE$7:AE302,AE302))</f>
        <v>0</v>
      </c>
      <c r="AG302" s="212">
        <f t="shared" ref="AG302" si="3463">IF(E299="",0,IF(AD302=0,0,IF(AD302&gt;=3,E299&amp;$AG$6,0)))</f>
        <v>0</v>
      </c>
      <c r="AH302" s="212">
        <f>IF(AG302=0,0,E299&amp;COUNTIF($AG$7:AG302,AG302))</f>
        <v>0</v>
      </c>
      <c r="AI302" s="212">
        <f t="shared" ref="AI302" si="3464">IF($AD302=AI$6,$E299,0)</f>
        <v>0</v>
      </c>
      <c r="AJ302" s="212" t="b">
        <f>IF(AI302=0,FALSE,IF(COUNTIF(AI$7:AI302,AI302)&gt;1,TRUE,FALSE))</f>
        <v>0</v>
      </c>
      <c r="AK302" s="212">
        <f t="shared" ref="AK302" si="3465">IF($AD302=AK$6,$E299,0)</f>
        <v>0</v>
      </c>
      <c r="AL302" s="212" t="b">
        <f>IF(AK302=0,FALSE,IF(COUNTIF(AK$7:AK302,AK302)&gt;1,TRUE,FALSE))</f>
        <v>0</v>
      </c>
      <c r="AM302" s="212">
        <f t="shared" ref="AM302" si="3466">IF(COUNTIF(Y302,"*七種*")&gt;0,0,IF($AD302=AM$6,$E299,0))</f>
        <v>0</v>
      </c>
      <c r="AN302" s="212" t="b">
        <f>IF(AM302=0,FALSE,IF(COUNTIF(AM$7:AM302,AM302)&gt;1,TRUE,FALSE))</f>
        <v>0</v>
      </c>
      <c r="AO302" s="212">
        <f t="shared" ref="AO302" si="3467">IF($AD302=AO$6,$E299,0)</f>
        <v>0</v>
      </c>
      <c r="AP302" s="212" t="b">
        <f>IF(AO302=0,FALSE,IF(COUNTIF(AO$7:AO302,AO302)&gt;1,TRUE,FALSE))</f>
        <v>0</v>
      </c>
      <c r="AQ302" s="212">
        <f t="shared" ref="AQ302" si="3468">IF(COUNTIF(Y302,"*七種競技*")&gt;0,E299,0)</f>
        <v>0</v>
      </c>
      <c r="AR302" s="212" t="b">
        <f t="shared" si="3021"/>
        <v>0</v>
      </c>
      <c r="AT302" s="212" t="b">
        <f t="shared" si="3034"/>
        <v>0</v>
      </c>
      <c r="AX302" s="274"/>
      <c r="BD302" s="212" t="b">
        <f t="shared" si="3008"/>
        <v>0</v>
      </c>
      <c r="BF302" s="212" t="b">
        <f t="shared" ref="BF302" si="3469">IF(J302="",FALSE,IF(OR(AND(AU299,L302=""),AND(AU299,L302="",OR(M302&lt;&gt;"",N302&lt;&gt;"",O302&lt;&gt;"",P302&lt;&gt;""))),TRUE,FALSE))</f>
        <v>0</v>
      </c>
      <c r="BG302" s="212" t="b">
        <f t="shared" si="3010"/>
        <v>0</v>
      </c>
      <c r="BH302" s="212" t="b">
        <f t="shared" si="3023"/>
        <v>0</v>
      </c>
      <c r="BI302" s="212" t="b">
        <f t="shared" ref="BI302" si="3470">IF(J302="",FALSE,IF(L302=0,FALSE,IF(AND(AU299,NOT(BF302),OR(M302="",N302="",O302="")),TRUE,FALSE)))</f>
        <v>0</v>
      </c>
      <c r="BJ302" s="231" t="b">
        <f t="shared" si="3025"/>
        <v>0</v>
      </c>
      <c r="BK302" s="231" t="b">
        <f>IF(NOT(BJ302),FALSE,IF(AND(競技会設定!$C$5&lt;=BJ302,BJ302&lt;=競技会設定!$C$6),FALSE,TRUE))</f>
        <v>0</v>
      </c>
      <c r="BL302" s="212" t="b">
        <f>IF(J302="",FALSE,IF(L302=0,FALSE,IF(AND(AU299,NOT(BF302),NOT(BI302),P302=""),TRUE,FALSE)))</f>
        <v>0</v>
      </c>
    </row>
    <row r="303" spans="1:67" ht="18" customHeight="1" thickTop="1">
      <c r="A303" s="470">
        <v>75</v>
      </c>
      <c r="B303" s="401" t="s">
        <v>4018</v>
      </c>
      <c r="C303" s="403"/>
      <c r="D303" s="156" t="str">
        <f t="shared" ref="D303" si="3471">IF(C303="","",502&amp;TEXT(C303,"000000"))</f>
        <v/>
      </c>
      <c r="E303" s="473" t="str">
        <f>IF(D303="","",(VLOOKUP(D303,女子登録!$A$2:$N$2001,3,0)))</f>
        <v/>
      </c>
      <c r="F303" s="473" t="str">
        <f>IF(D303="","",(VLOOKUP(D303,女子登録!$A$2:$N$2001,4,0)))</f>
        <v/>
      </c>
      <c r="G303" s="156" t="str">
        <f>IF(C303="","",(VLOOKUP(D303,女子登録!$A$2:$N$2001,8,0)))</f>
        <v/>
      </c>
      <c r="H303" s="156">
        <f>IFERROR(VLOOKUP(D303,女子登録!$A$2:$N$2001,11,0),基本情報!$E$5)</f>
        <v>0</v>
      </c>
      <c r="I303" s="156" t="s">
        <v>4019</v>
      </c>
      <c r="J303" s="170"/>
      <c r="K303" s="156" t="s">
        <v>4022</v>
      </c>
      <c r="L303" s="170"/>
      <c r="M303" s="252"/>
      <c r="N303" s="253"/>
      <c r="O303" s="254"/>
      <c r="P303" s="170"/>
      <c r="Q303" s="457"/>
      <c r="R303" s="414"/>
      <c r="S303" s="136">
        <f t="shared" ref="S303" si="3472">IF(OR(E303="",Q303=""),0,E303)</f>
        <v>0</v>
      </c>
      <c r="T303" s="137">
        <f>IF(S303=0,0,COUNTIF($S$7:S303,"*"))</f>
        <v>0</v>
      </c>
      <c r="U303" s="137">
        <f>IF(S303=0,0,COUNTIF($S$7:S303,S303))</f>
        <v>0</v>
      </c>
      <c r="V303" s="137">
        <f t="shared" si="3237"/>
        <v>0</v>
      </c>
      <c r="W303" s="137">
        <f>IF(V303=0,0,COUNTIF($V$7:V303,"*"))</f>
        <v>0</v>
      </c>
      <c r="X303" s="137">
        <f>IF(V303=0,0,COUNTIF($V$7:V303,V303))</f>
        <v>0</v>
      </c>
      <c r="Y303" s="212">
        <f t="shared" ref="Y303" si="3473">IF(OR(E303="",J303=""),0,J303&amp;E303)</f>
        <v>0</v>
      </c>
      <c r="Z303" s="212">
        <f>IF(Y303=0,0,COUNTIF($Y$7:Y303,Y303))</f>
        <v>0</v>
      </c>
      <c r="AA303" s="212" t="b">
        <f>IF(COUNTIF(J303:J306,"七種競技")&gt;0,TRUE,FALSE)</f>
        <v>0</v>
      </c>
      <c r="AB303" s="212">
        <f>IF(E303="",0,IF(AA303,COUNTIF($AA$7:AA303,TRUE),0))</f>
        <v>0</v>
      </c>
      <c r="AC303" s="212">
        <f>IFERROR(VLOOKUP("七種競技",J303:L306,3,0),0)</f>
        <v>0</v>
      </c>
      <c r="AD303" s="212">
        <f>IFERROR(VLOOKUP(J303,競技会設定!$T$2:$W$22,2,0),0)</f>
        <v>0</v>
      </c>
      <c r="AE303" s="212">
        <f t="shared" ref="AE303" si="3474">IF(E303="",0,IF(AD303=0,0,IF(AD303&lt;3,E303&amp;$AE$6,0)))</f>
        <v>0</v>
      </c>
      <c r="AF303" s="212">
        <f>IF(AE303=0,0,E303&amp;COUNTIF($AE$7:AE303,AE303))</f>
        <v>0</v>
      </c>
      <c r="AG303" s="212">
        <f t="shared" ref="AG303" si="3475">IF(E303="",0,IF(AD303=0,0,IF(AD303&gt;=3,E303&amp;$AG$6,0)))</f>
        <v>0</v>
      </c>
      <c r="AH303" s="212">
        <f>IF(AG303=0,0,E303&amp;COUNTIF($AG$7:AG303,AG303))</f>
        <v>0</v>
      </c>
      <c r="AI303" s="212">
        <f t="shared" ref="AI303" si="3476">IF($AD303=AI$6,$E303,0)</f>
        <v>0</v>
      </c>
      <c r="AJ303" s="212" t="b">
        <f>IF(AI303=0,FALSE,IF(COUNTIF(AI$7:AI303,AI303)&gt;1,TRUE,FALSE))</f>
        <v>0</v>
      </c>
      <c r="AK303" s="212">
        <f t="shared" ref="AK303" si="3477">IF($AD303=AK$6,$E303,0)</f>
        <v>0</v>
      </c>
      <c r="AL303" s="212" t="b">
        <f>IF(AK303=0,FALSE,IF(COUNTIF(AK$7:AK303,AK303)&gt;1,TRUE,FALSE))</f>
        <v>0</v>
      </c>
      <c r="AM303" s="212">
        <f t="shared" ref="AM303" si="3478">IF(COUNTIF(Y303,"*七種*")&gt;0,0,IF($AD303=AM$6,$E303,0))</f>
        <v>0</v>
      </c>
      <c r="AN303" s="212" t="b">
        <f>IF(AM303=0,FALSE,IF(COUNTIF(AM$7:AM303,AM303)&gt;1,TRUE,FALSE))</f>
        <v>0</v>
      </c>
      <c r="AO303" s="212">
        <f t="shared" ref="AO303" si="3479">IF($AD303=AO$6,$E303,0)</f>
        <v>0</v>
      </c>
      <c r="AP303" s="212" t="b">
        <f>IF(AO303=0,FALSE,IF(COUNTIF(AO$7:AO303,AO303)&gt;1,TRUE,FALSE))</f>
        <v>0</v>
      </c>
      <c r="AQ303" s="212">
        <f t="shared" ref="AQ303" si="3480">IF(COUNTIF(Y303,"*七種競技*")&gt;0,E303,0)</f>
        <v>0</v>
      </c>
      <c r="AR303" s="212" t="b">
        <f t="shared" si="3021"/>
        <v>0</v>
      </c>
      <c r="AS303" s="212" t="b">
        <f t="shared" ref="AS303" si="3481">IF(AND(C303="",E303&lt;&gt;"",F303&lt;&gt;"",E305&lt;&gt;"",G303&lt;&gt;"",G304&lt;&gt;"",G305&lt;&gt;""),TRUE,FALSE)</f>
        <v>0</v>
      </c>
      <c r="AT303" s="212" t="b">
        <f t="shared" si="3034"/>
        <v>0</v>
      </c>
      <c r="AU303" s="212" t="b">
        <f>IFERROR(IF(E303&amp;F303&amp;E305&amp;G303&amp;G304&amp;G305&amp;J303&amp;J304&amp;J305&amp;J306&amp;L303&amp;L304&amp;L305&amp;L306&amp;M303&amp;M304&amp;M305&amp;M306&amp;P303&amp;P304&amp;P305&amp;P306&amp;Q303&amp;R303="",FALSE,TRUE),FALSE)</f>
        <v>0</v>
      </c>
      <c r="AV303" s="212" t="b">
        <f t="shared" ref="AV303" si="3482">IF(AS303,FALSE,IF(C303="",AU303,FALSE))</f>
        <v>0</v>
      </c>
      <c r="AW303" s="212" t="b">
        <f t="shared" ref="AW303" si="3483">IF(C303="",FALSE,IF(C303&lt;=2000,TRUE,FALSE))</f>
        <v>0</v>
      </c>
      <c r="AX303" s="274" t="b">
        <f>IF(H303=0,FALSE,IF(EXACT(基本情報!$E$5,H303)=TRUE,FALSE,TRUE))</f>
        <v>0</v>
      </c>
      <c r="AY303" s="212" t="b">
        <f>IF(C303="",FALSE,IF(ISNA(E303)=TRUE,TRUE,FALSE))</f>
        <v>0</v>
      </c>
      <c r="AZ303" s="274" t="b">
        <f>IFERROR(IF(E303="",FALSE,IF(COUNTIF($E$7:E303,E303)&gt;1,TRUE,FALSE)),FALSE)</f>
        <v>0</v>
      </c>
      <c r="BA303" s="212" t="b">
        <f t="shared" ref="BA303" si="3484">IF(OR(J303&amp;J304&amp;J305&amp;J306&amp;Q303&amp;R303="",AT303,AT304,AT305,AT306),AU303,FALSE)</f>
        <v>0</v>
      </c>
      <c r="BB303" s="212" t="b">
        <f>IF(U303&gt;1,TRUE,FALSE)</f>
        <v>0</v>
      </c>
      <c r="BC303" s="212" t="b">
        <f>IF(X303&gt;1,TRUE,FALSE)</f>
        <v>0</v>
      </c>
      <c r="BD303" s="212" t="b">
        <f t="shared" si="3008"/>
        <v>0</v>
      </c>
      <c r="BF303" s="212" t="b">
        <f t="shared" ref="BF303" si="3485">IF(J303="",FALSE,IF(OR(AND(AU303,L303=""),AND(AU303,L303="",OR(M303&lt;&gt;"",N303&lt;&gt;"",O303&lt;&gt;"",P303&lt;&gt;""))),TRUE,FALSE))</f>
        <v>0</v>
      </c>
      <c r="BG303" s="212" t="b">
        <f t="shared" si="3010"/>
        <v>0</v>
      </c>
      <c r="BH303" s="212" t="b">
        <f t="shared" si="3023"/>
        <v>0</v>
      </c>
      <c r="BI303" s="212" t="b">
        <f t="shared" ref="BI303" si="3486">IF(J303="",FALSE,IF(L303=0,FALSE,IF(AND(AU303,NOT(BF303),OR(M303="",N303="",O303="")),TRUE,FALSE)))</f>
        <v>0</v>
      </c>
      <c r="BJ303" s="231" t="b">
        <f t="shared" si="3025"/>
        <v>0</v>
      </c>
      <c r="BK303" s="231" t="b">
        <f>IF(NOT(BJ303),FALSE,IF(AND(競技会設定!$C$5&lt;=BJ303,BJ303&lt;=競技会設定!$C$6),FALSE,TRUE))</f>
        <v>0</v>
      </c>
      <c r="BL303" s="212" t="b">
        <f>IF(J303="",FALSE,IF(L303=0,FALSE,IF(AND(AU303,NOT(BF303),NOT(BI303),P303=""),TRUE,FALSE)))</f>
        <v>0</v>
      </c>
      <c r="BO303" s="274">
        <f t="shared" ref="BO303" si="3487">IF(AND(AU303,SUM(COUNTIF(AV303:BC303,TRUE),COUNTIF(BF303:BL306,TRUE),COUNTIF(BD303:BD306,TRUE))=0,NOT($BE$7)),1,0)</f>
        <v>0</v>
      </c>
    </row>
    <row r="304" spans="1:67" ht="17.399999999999999" customHeight="1">
      <c r="A304" s="471"/>
      <c r="B304" s="402"/>
      <c r="C304" s="404"/>
      <c r="D304" s="11"/>
      <c r="E304" s="474"/>
      <c r="F304" s="474"/>
      <c r="G304" s="11" t="str">
        <f>IF(C303="","",(VLOOKUP(D303,女子登録!$A$2:$N$2001,13,0)))</f>
        <v/>
      </c>
      <c r="H304" s="11"/>
      <c r="I304" s="11" t="s">
        <v>4020</v>
      </c>
      <c r="J304" s="171"/>
      <c r="K304" s="11" t="s">
        <v>4023</v>
      </c>
      <c r="L304" s="171"/>
      <c r="M304" s="255"/>
      <c r="N304" s="256"/>
      <c r="O304" s="257"/>
      <c r="P304" s="171"/>
      <c r="Q304" s="458"/>
      <c r="R304" s="415"/>
      <c r="S304" s="136"/>
      <c r="T304" s="137"/>
      <c r="U304" s="137"/>
      <c r="V304" s="137"/>
      <c r="W304" s="137"/>
      <c r="X304" s="137"/>
      <c r="Y304" s="212">
        <f t="shared" ref="Y304" si="3488">IF(OR(E303="",J304=""),0,J304&amp;E303)</f>
        <v>0</v>
      </c>
      <c r="Z304" s="212">
        <f>IF(Y304=0,0,COUNTIF($Y$7:Y304,Y304))</f>
        <v>0</v>
      </c>
      <c r="AD304" s="212">
        <f>IFERROR(VLOOKUP(J304,競技会設定!$T$2:$W$22,2,0),0)</f>
        <v>0</v>
      </c>
      <c r="AE304" s="212">
        <f t="shared" ref="AE304" si="3489">IF(E303="",0,IF(AD304=0,0,IF(AD304&lt;3,E303&amp;$AE$6,0)))</f>
        <v>0</v>
      </c>
      <c r="AF304" s="212">
        <f>IF(AE304=0,0,E303&amp;COUNTIF($AE$7:AE304,AE304))</f>
        <v>0</v>
      </c>
      <c r="AG304" s="212">
        <f t="shared" ref="AG304" si="3490">IF(E303="",0,IF(AD304=0,0,IF(AD304&gt;=3,E303&amp;$AG$6,0)))</f>
        <v>0</v>
      </c>
      <c r="AH304" s="212">
        <f>IF(AG304=0,0,E303&amp;COUNTIF($AG$7:AG304,AG304))</f>
        <v>0</v>
      </c>
      <c r="AI304" s="212">
        <f t="shared" ref="AI304" si="3491">IF($AD304=AI$6,$E303,0)</f>
        <v>0</v>
      </c>
      <c r="AJ304" s="212" t="b">
        <f>IF(AI304=0,FALSE,IF(COUNTIF(AI$7:AI304,AI304)&gt;1,TRUE,FALSE))</f>
        <v>0</v>
      </c>
      <c r="AK304" s="212">
        <f t="shared" ref="AK304" si="3492">IF($AD304=AK$6,$E303,0)</f>
        <v>0</v>
      </c>
      <c r="AL304" s="212" t="b">
        <f>IF(AK304=0,FALSE,IF(COUNTIF(AK$7:AK304,AK304)&gt;1,TRUE,FALSE))</f>
        <v>0</v>
      </c>
      <c r="AM304" s="212">
        <f t="shared" ref="AM304" si="3493">IF(COUNTIF(Y304,"*七種*")&gt;0,0,IF($AD304=AM$6,$E303,0))</f>
        <v>0</v>
      </c>
      <c r="AN304" s="212" t="b">
        <f>IF(AM304=0,FALSE,IF(COUNTIF(AM$7:AM304,AM304)&gt;1,TRUE,FALSE))</f>
        <v>0</v>
      </c>
      <c r="AO304" s="212">
        <f t="shared" ref="AO304" si="3494">IF($AD304=AO$6,$E303,0)</f>
        <v>0</v>
      </c>
      <c r="AP304" s="212" t="b">
        <f>IF(AO304=0,FALSE,IF(COUNTIF(AO$7:AO304,AO304)&gt;1,TRUE,FALSE))</f>
        <v>0</v>
      </c>
      <c r="AQ304" s="212">
        <f t="shared" ref="AQ304" si="3495">IF(COUNTIF(Y304,"*七種競技*")&gt;0,E303,0)</f>
        <v>0</v>
      </c>
      <c r="AR304" s="212" t="b">
        <f t="shared" si="3021"/>
        <v>0</v>
      </c>
      <c r="AT304" s="212" t="b">
        <f t="shared" si="3034"/>
        <v>0</v>
      </c>
      <c r="AX304" s="274"/>
      <c r="BD304" s="212" t="b">
        <f t="shared" si="3008"/>
        <v>0</v>
      </c>
      <c r="BF304" s="212" t="b">
        <f t="shared" ref="BF304" si="3496">IF(J304="",FALSE,IF(OR(AND(AU303,L304=""),AND(AU303,L304="",OR(M304&lt;&gt;"",N304&lt;&gt;"",O304&lt;&gt;"",P304&lt;&gt;""))),TRUE,FALSE))</f>
        <v>0</v>
      </c>
      <c r="BG304" s="212" t="b">
        <f t="shared" si="3010"/>
        <v>0</v>
      </c>
      <c r="BH304" s="212" t="b">
        <f t="shared" si="3023"/>
        <v>0</v>
      </c>
      <c r="BI304" s="212" t="b">
        <f t="shared" ref="BI304" si="3497">IF(J304="",FALSE,IF(L304=0,FALSE,IF(AND(AU303,NOT(BF304),OR(M304="",N304="",O304="")),TRUE,FALSE)))</f>
        <v>0</v>
      </c>
      <c r="BJ304" s="231" t="b">
        <f t="shared" si="3025"/>
        <v>0</v>
      </c>
      <c r="BK304" s="231" t="b">
        <f>IF(NOT(BJ304),FALSE,IF(AND(競技会設定!$C$5&lt;=BJ304,BJ304&lt;=競技会設定!$C$6),FALSE,TRUE))</f>
        <v>0</v>
      </c>
      <c r="BL304" s="212" t="b">
        <f>IF(J304="",FALSE,IF(L304=0,FALSE,IF(AND(AU303,NOT(BF304),NOT(BI304),P304=""),TRUE,FALSE)))</f>
        <v>0</v>
      </c>
    </row>
    <row r="305" spans="1:67" ht="17.399999999999999" customHeight="1">
      <c r="A305" s="471"/>
      <c r="B305" s="402"/>
      <c r="C305" s="404"/>
      <c r="D305" s="11"/>
      <c r="E305" s="348" t="str">
        <f>IF(C303="","",VLOOKUP(D303,女子登録!$A$2:$O$2001,14,0)&amp;" ("&amp;VLOOKUP(D303,女子登録!$A$2:$O$2001,15,0)&amp;")")</f>
        <v/>
      </c>
      <c r="F305" s="348"/>
      <c r="G305" s="13" t="str">
        <f>IF(C303="","",(VLOOKUP(D303,女子登録!$A$2:$N$2001,9,0)))</f>
        <v/>
      </c>
      <c r="H305" s="13"/>
      <c r="I305" s="13" t="s">
        <v>4021</v>
      </c>
      <c r="J305" s="172"/>
      <c r="K305" s="13" t="s">
        <v>6760</v>
      </c>
      <c r="L305" s="172"/>
      <c r="M305" s="255"/>
      <c r="N305" s="256"/>
      <c r="O305" s="257"/>
      <c r="P305" s="171"/>
      <c r="Q305" s="458"/>
      <c r="R305" s="415"/>
      <c r="S305" s="136"/>
      <c r="T305" s="137"/>
      <c r="U305" s="137"/>
      <c r="V305" s="137"/>
      <c r="W305" s="137"/>
      <c r="X305" s="137"/>
      <c r="Y305" s="212">
        <f t="shared" ref="Y305" si="3498">IF(OR(E303="",J305=""),0,J305&amp;E303)</f>
        <v>0</v>
      </c>
      <c r="Z305" s="212">
        <f>IF(Y305=0,0,COUNTIF($Y$7:Y305,Y305))</f>
        <v>0</v>
      </c>
      <c r="AD305" s="212">
        <f>IFERROR(VLOOKUP(J305,競技会設定!$T$2:$W$22,2,0),0)</f>
        <v>0</v>
      </c>
      <c r="AE305" s="212">
        <f t="shared" ref="AE305" si="3499">IF(E303="",0,IF(AD305=0,0,IF(AD305&lt;3,E303&amp;$AE$6,0)))</f>
        <v>0</v>
      </c>
      <c r="AF305" s="212">
        <f>IF(AE305=0,0,E303&amp;COUNTIF($AE$7:AE305,AE305))</f>
        <v>0</v>
      </c>
      <c r="AG305" s="212">
        <f t="shared" ref="AG305" si="3500">IF(E303="",0,IF(AD305=0,0,IF(AD305&gt;=3,E303&amp;$AG$6,0)))</f>
        <v>0</v>
      </c>
      <c r="AH305" s="212">
        <f>IF(AG305=0,0,E303&amp;COUNTIF($AG$7:AG305,AG305))</f>
        <v>0</v>
      </c>
      <c r="AI305" s="212">
        <f t="shared" ref="AI305" si="3501">IF($AD305=AI$6,$E303,0)</f>
        <v>0</v>
      </c>
      <c r="AJ305" s="212" t="b">
        <f>IF(AI305=0,FALSE,IF(COUNTIF(AI$7:AI305,AI305)&gt;1,TRUE,FALSE))</f>
        <v>0</v>
      </c>
      <c r="AK305" s="212">
        <f t="shared" ref="AK305" si="3502">IF($AD305=AK$6,$E303,0)</f>
        <v>0</v>
      </c>
      <c r="AL305" s="212" t="b">
        <f>IF(AK305=0,FALSE,IF(COUNTIF(AK$7:AK305,AK305)&gt;1,TRUE,FALSE))</f>
        <v>0</v>
      </c>
      <c r="AM305" s="212">
        <f t="shared" ref="AM305" si="3503">IF(COUNTIF(Y305,"*七種*")&gt;0,0,IF($AD305=AM$6,$E303,0))</f>
        <v>0</v>
      </c>
      <c r="AN305" s="212" t="b">
        <f>IF(AM305=0,FALSE,IF(COUNTIF(AM$7:AM305,AM305)&gt;1,TRUE,FALSE))</f>
        <v>0</v>
      </c>
      <c r="AO305" s="212">
        <f t="shared" ref="AO305" si="3504">IF($AD305=AO$6,$E303,0)</f>
        <v>0</v>
      </c>
      <c r="AP305" s="212" t="b">
        <f>IF(AO305=0,FALSE,IF(COUNTIF(AO$7:AO305,AO305)&gt;1,TRUE,FALSE))</f>
        <v>0</v>
      </c>
      <c r="AQ305" s="212">
        <f t="shared" ref="AQ305" si="3505">IF(COUNTIF(Y305,"*七種競技*")&gt;0,E303,0)</f>
        <v>0</v>
      </c>
      <c r="AR305" s="212" t="b">
        <f t="shared" si="3021"/>
        <v>0</v>
      </c>
      <c r="AT305" s="212" t="b">
        <f t="shared" si="3034"/>
        <v>0</v>
      </c>
      <c r="AX305" s="274"/>
      <c r="BD305" s="212" t="b">
        <f t="shared" si="3008"/>
        <v>0</v>
      </c>
      <c r="BF305" s="212" t="b">
        <f t="shared" ref="BF305" si="3506">IF(J305="",FALSE,IF(OR(AND(AU303,L305=""),AND(AU303,L305="",OR(M305&lt;&gt;"",N305&lt;&gt;"",O305&lt;&gt;"",P305&lt;&gt;""))),TRUE,FALSE))</f>
        <v>0</v>
      </c>
      <c r="BG305" s="212" t="b">
        <f t="shared" si="3010"/>
        <v>0</v>
      </c>
      <c r="BH305" s="212" t="b">
        <f t="shared" si="3023"/>
        <v>0</v>
      </c>
      <c r="BI305" s="212" t="b">
        <f t="shared" ref="BI305" si="3507">IF(J305="",FALSE,IF(L305=0,FALSE,IF(AND(AU303,NOT(BF305),OR(M305="",N305="",O305="")),TRUE,FALSE)))</f>
        <v>0</v>
      </c>
      <c r="BJ305" s="231" t="b">
        <f t="shared" si="3025"/>
        <v>0</v>
      </c>
      <c r="BK305" s="231" t="b">
        <f>IF(NOT(BJ305),FALSE,IF(AND(競技会設定!$C$5&lt;=BJ305,BJ305&lt;=競技会設定!$C$6),FALSE,TRUE))</f>
        <v>0</v>
      </c>
      <c r="BL305" s="212" t="b">
        <f>IF(J305="",FALSE,IF(L305=0,FALSE,IF(AND(AU303,NOT(BF305),NOT(BI305),P305=""),TRUE,FALSE)))</f>
        <v>0</v>
      </c>
    </row>
    <row r="306" spans="1:67" ht="18" customHeight="1" thickBot="1">
      <c r="A306" s="472"/>
      <c r="B306" s="395" t="s">
        <v>6764</v>
      </c>
      <c r="C306" s="395"/>
      <c r="D306" s="11"/>
      <c r="E306" s="460"/>
      <c r="F306" s="460"/>
      <c r="G306" s="460"/>
      <c r="H306" s="157"/>
      <c r="I306" s="157" t="s">
        <v>6759</v>
      </c>
      <c r="J306" s="173"/>
      <c r="K306" s="157" t="s">
        <v>6761</v>
      </c>
      <c r="L306" s="173"/>
      <c r="M306" s="258"/>
      <c r="N306" s="259"/>
      <c r="O306" s="260"/>
      <c r="P306" s="173"/>
      <c r="Q306" s="459"/>
      <c r="R306" s="416"/>
      <c r="S306" s="136"/>
      <c r="T306" s="137"/>
      <c r="U306" s="137"/>
      <c r="V306" s="137"/>
      <c r="W306" s="137"/>
      <c r="X306" s="137"/>
      <c r="Y306" s="212">
        <f t="shared" ref="Y306" si="3508">IF(OR(E303="",J306=""),0,J306&amp;E303)</f>
        <v>0</v>
      </c>
      <c r="Z306" s="212">
        <f>IF(Y306=0,0,COUNTIF($Y$7:Y306,Y306))</f>
        <v>0</v>
      </c>
      <c r="AD306" s="212">
        <f>IFERROR(VLOOKUP(J306,競技会設定!$T$2:$W$22,2,0),0)</f>
        <v>0</v>
      </c>
      <c r="AE306" s="212">
        <f t="shared" ref="AE306" si="3509">IF(E303="",0,IF(AD306=0,0,IF(AD306&lt;3,E303&amp;$AE$6,0)))</f>
        <v>0</v>
      </c>
      <c r="AF306" s="212">
        <f>IF(AE306=0,0,E303&amp;COUNTIF($AE$7:AE306,AE306))</f>
        <v>0</v>
      </c>
      <c r="AG306" s="212">
        <f t="shared" ref="AG306" si="3510">IF(E303="",0,IF(AD306=0,0,IF(AD306&gt;=3,E303&amp;$AG$6,0)))</f>
        <v>0</v>
      </c>
      <c r="AH306" s="212">
        <f>IF(AG306=0,0,E303&amp;COUNTIF($AG$7:AG306,AG306))</f>
        <v>0</v>
      </c>
      <c r="AI306" s="212">
        <f t="shared" ref="AI306" si="3511">IF($AD306=AI$6,$E303,0)</f>
        <v>0</v>
      </c>
      <c r="AJ306" s="212" t="b">
        <f>IF(AI306=0,FALSE,IF(COUNTIF(AI$7:AI306,AI306)&gt;1,TRUE,FALSE))</f>
        <v>0</v>
      </c>
      <c r="AK306" s="212">
        <f t="shared" ref="AK306" si="3512">IF($AD306=AK$6,$E303,0)</f>
        <v>0</v>
      </c>
      <c r="AL306" s="212" t="b">
        <f>IF(AK306=0,FALSE,IF(COUNTIF(AK$7:AK306,AK306)&gt;1,TRUE,FALSE))</f>
        <v>0</v>
      </c>
      <c r="AM306" s="212">
        <f t="shared" ref="AM306" si="3513">IF(COUNTIF(Y306,"*七種*")&gt;0,0,IF($AD306=AM$6,$E303,0))</f>
        <v>0</v>
      </c>
      <c r="AN306" s="212" t="b">
        <f>IF(AM306=0,FALSE,IF(COUNTIF(AM$7:AM306,AM306)&gt;1,TRUE,FALSE))</f>
        <v>0</v>
      </c>
      <c r="AO306" s="212">
        <f t="shared" ref="AO306" si="3514">IF($AD306=AO$6,$E303,0)</f>
        <v>0</v>
      </c>
      <c r="AP306" s="212" t="b">
        <f>IF(AO306=0,FALSE,IF(COUNTIF(AO$7:AO306,AO306)&gt;1,TRUE,FALSE))</f>
        <v>0</v>
      </c>
      <c r="AQ306" s="212">
        <f t="shared" ref="AQ306" si="3515">IF(COUNTIF(Y306,"*七種競技*")&gt;0,E303,0)</f>
        <v>0</v>
      </c>
      <c r="AR306" s="212" t="b">
        <f t="shared" si="3021"/>
        <v>0</v>
      </c>
      <c r="AT306" s="212" t="b">
        <f t="shared" si="3034"/>
        <v>0</v>
      </c>
      <c r="AX306" s="274"/>
      <c r="BD306" s="212" t="b">
        <f t="shared" si="3008"/>
        <v>0</v>
      </c>
      <c r="BF306" s="212" t="b">
        <f t="shared" ref="BF306" si="3516">IF(J306="",FALSE,IF(OR(AND(AU303,L306=""),AND(AU303,L306="",OR(M306&lt;&gt;"",N306&lt;&gt;"",O306&lt;&gt;"",P306&lt;&gt;""))),TRUE,FALSE))</f>
        <v>0</v>
      </c>
      <c r="BG306" s="212" t="b">
        <f t="shared" si="3010"/>
        <v>0</v>
      </c>
      <c r="BH306" s="212" t="b">
        <f t="shared" si="3023"/>
        <v>0</v>
      </c>
      <c r="BI306" s="212" t="b">
        <f t="shared" ref="BI306" si="3517">IF(J306="",FALSE,IF(L306=0,FALSE,IF(AND(AU303,NOT(BF306),OR(M306="",N306="",O306="")),TRUE,FALSE)))</f>
        <v>0</v>
      </c>
      <c r="BJ306" s="231" t="b">
        <f t="shared" si="3025"/>
        <v>0</v>
      </c>
      <c r="BK306" s="231" t="b">
        <f>IF(NOT(BJ306),FALSE,IF(AND(競技会設定!$C$5&lt;=BJ306,BJ306&lt;=競技会設定!$C$6),FALSE,TRUE))</f>
        <v>0</v>
      </c>
      <c r="BL306" s="212" t="b">
        <f>IF(J306="",FALSE,IF(L306=0,FALSE,IF(AND(AU303,NOT(BF306),NOT(BI306),P306=""),TRUE,FALSE)))</f>
        <v>0</v>
      </c>
    </row>
    <row r="307" spans="1:67" ht="18" customHeight="1" thickTop="1">
      <c r="A307" s="461">
        <v>76</v>
      </c>
      <c r="B307" s="373" t="s">
        <v>4018</v>
      </c>
      <c r="C307" s="375"/>
      <c r="D307" s="158" t="str">
        <f t="shared" ref="D307" si="3518">IF(C307="","",502&amp;TEXT(C307,"000000"))</f>
        <v/>
      </c>
      <c r="E307" s="464" t="str">
        <f>IF(D307="","",(VLOOKUP(D307,女子登録!$A$2:$N$2001,3,0)))</f>
        <v/>
      </c>
      <c r="F307" s="464" t="str">
        <f>IF(D307="","",(VLOOKUP(D307,女子登録!$A$2:$N$2001,4,0)))</f>
        <v/>
      </c>
      <c r="G307" s="158" t="str">
        <f>IF(C307="","",(VLOOKUP(D307,女子登録!$A$2:$N$2001,8,0)))</f>
        <v/>
      </c>
      <c r="H307" s="158">
        <f>IFERROR(VLOOKUP(D307,女子登録!$A$2:$N$2001,11,0),基本情報!$E$5)</f>
        <v>0</v>
      </c>
      <c r="I307" s="158" t="s">
        <v>4019</v>
      </c>
      <c r="J307" s="174"/>
      <c r="K307" s="158" t="s">
        <v>4022</v>
      </c>
      <c r="L307" s="174"/>
      <c r="M307" s="261"/>
      <c r="N307" s="262"/>
      <c r="O307" s="263"/>
      <c r="P307" s="174"/>
      <c r="Q307" s="448"/>
      <c r="R307" s="408"/>
      <c r="S307" s="136">
        <f t="shared" ref="S307" si="3519">IF(OR(E307="",Q307=""),0,E307)</f>
        <v>0</v>
      </c>
      <c r="T307" s="137">
        <f>IF(S307=0,0,COUNTIF($S$7:S307,"*"))</f>
        <v>0</v>
      </c>
      <c r="U307" s="137">
        <f>IF(S307=0,0,COUNTIF($S$7:S307,S307))</f>
        <v>0</v>
      </c>
      <c r="V307" s="137">
        <f t="shared" si="3237"/>
        <v>0</v>
      </c>
      <c r="W307" s="137">
        <f>IF(V307=0,0,COUNTIF($V$7:V307,"*"))</f>
        <v>0</v>
      </c>
      <c r="X307" s="137">
        <f>IF(V307=0,0,COUNTIF($V$7:V307,V307))</f>
        <v>0</v>
      </c>
      <c r="Y307" s="212">
        <f t="shared" ref="Y307" si="3520">IF(OR(E307="",J307=""),0,J307&amp;E307)</f>
        <v>0</v>
      </c>
      <c r="Z307" s="212">
        <f>IF(Y307=0,0,COUNTIF($Y$7:Y307,Y307))</f>
        <v>0</v>
      </c>
      <c r="AA307" s="212" t="b">
        <f>IF(COUNTIF(J307:J310,"七種競技")&gt;0,TRUE,FALSE)</f>
        <v>0</v>
      </c>
      <c r="AB307" s="212">
        <f>IF(E307="",0,IF(AA307,COUNTIF($AA$7:AA307,TRUE),0))</f>
        <v>0</v>
      </c>
      <c r="AC307" s="212">
        <f>IFERROR(VLOOKUP("七種競技",J307:L310,3,0),0)</f>
        <v>0</v>
      </c>
      <c r="AD307" s="212">
        <f>IFERROR(VLOOKUP(J307,競技会設定!$T$2:$W$22,2,0),0)</f>
        <v>0</v>
      </c>
      <c r="AE307" s="212">
        <f t="shared" ref="AE307" si="3521">IF(E307="",0,IF(AD307=0,0,IF(AD307&lt;3,E307&amp;$AE$6,0)))</f>
        <v>0</v>
      </c>
      <c r="AF307" s="212">
        <f>IF(AE307=0,0,E307&amp;COUNTIF($AE$7:AE307,AE307))</f>
        <v>0</v>
      </c>
      <c r="AG307" s="212">
        <f t="shared" ref="AG307" si="3522">IF(E307="",0,IF(AD307=0,0,IF(AD307&gt;=3,E307&amp;$AG$6,0)))</f>
        <v>0</v>
      </c>
      <c r="AH307" s="212">
        <f>IF(AG307=0,0,E307&amp;COUNTIF($AG$7:AG307,AG307))</f>
        <v>0</v>
      </c>
      <c r="AI307" s="212">
        <f t="shared" ref="AI307" si="3523">IF($AD307=AI$6,$E307,0)</f>
        <v>0</v>
      </c>
      <c r="AJ307" s="212" t="b">
        <f>IF(AI307=0,FALSE,IF(COUNTIF(AI$7:AI307,AI307)&gt;1,TRUE,FALSE))</f>
        <v>0</v>
      </c>
      <c r="AK307" s="212">
        <f t="shared" ref="AK307" si="3524">IF($AD307=AK$6,$E307,0)</f>
        <v>0</v>
      </c>
      <c r="AL307" s="212" t="b">
        <f>IF(AK307=0,FALSE,IF(COUNTIF(AK$7:AK307,AK307)&gt;1,TRUE,FALSE))</f>
        <v>0</v>
      </c>
      <c r="AM307" s="212">
        <f t="shared" ref="AM307" si="3525">IF(COUNTIF(Y307,"*七種*")&gt;0,0,IF($AD307=AM$6,$E307,0))</f>
        <v>0</v>
      </c>
      <c r="AN307" s="212" t="b">
        <f>IF(AM307=0,FALSE,IF(COUNTIF(AM$7:AM307,AM307)&gt;1,TRUE,FALSE))</f>
        <v>0</v>
      </c>
      <c r="AO307" s="212">
        <f t="shared" ref="AO307" si="3526">IF($AD307=AO$6,$E307,0)</f>
        <v>0</v>
      </c>
      <c r="AP307" s="212" t="b">
        <f>IF(AO307=0,FALSE,IF(COUNTIF(AO$7:AO307,AO307)&gt;1,TRUE,FALSE))</f>
        <v>0</v>
      </c>
      <c r="AQ307" s="212">
        <f t="shared" ref="AQ307" si="3527">IF(COUNTIF(Y307,"*七種競技*")&gt;0,E307,0)</f>
        <v>0</v>
      </c>
      <c r="AR307" s="212" t="b">
        <f t="shared" si="3021"/>
        <v>0</v>
      </c>
      <c r="AS307" s="212" t="b">
        <f t="shared" ref="AS307" si="3528">IF(AND(C307="",E307&lt;&gt;"",F307&lt;&gt;"",E309&lt;&gt;"",G307&lt;&gt;"",G308&lt;&gt;"",G309&lt;&gt;""),TRUE,FALSE)</f>
        <v>0</v>
      </c>
      <c r="AT307" s="212" t="b">
        <f t="shared" si="3034"/>
        <v>0</v>
      </c>
      <c r="AU307" s="212" t="b">
        <f>IFERROR(IF(E307&amp;F307&amp;E309&amp;G307&amp;G308&amp;G309&amp;J307&amp;J308&amp;J309&amp;J310&amp;L307&amp;L308&amp;L309&amp;L310&amp;M307&amp;M308&amp;M309&amp;M310&amp;P307&amp;P308&amp;P309&amp;P310&amp;Q307&amp;R307="",FALSE,TRUE),FALSE)</f>
        <v>0</v>
      </c>
      <c r="AV307" s="212" t="b">
        <f t="shared" ref="AV307" si="3529">IF(AS307,FALSE,IF(C307="",AU307,FALSE))</f>
        <v>0</v>
      </c>
      <c r="AW307" s="212" t="b">
        <f t="shared" ref="AW307" si="3530">IF(C307="",FALSE,IF(C307&lt;=2000,TRUE,FALSE))</f>
        <v>0</v>
      </c>
      <c r="AX307" s="274" t="b">
        <f>IF(H307=0,FALSE,IF(EXACT(基本情報!$E$5,H307)=TRUE,FALSE,TRUE))</f>
        <v>0</v>
      </c>
      <c r="AY307" s="212" t="b">
        <f>IF(C307="",FALSE,IF(ISNA(E307)=TRUE,TRUE,FALSE))</f>
        <v>0</v>
      </c>
      <c r="AZ307" s="274" t="b">
        <f>IFERROR(IF(E307="",FALSE,IF(COUNTIF($E$7:E307,E307)&gt;1,TRUE,FALSE)),FALSE)</f>
        <v>0</v>
      </c>
      <c r="BA307" s="212" t="b">
        <f t="shared" ref="BA307" si="3531">IF(OR(J307&amp;J308&amp;J309&amp;J310&amp;Q307&amp;R307="",AT307,AT308,AT309,AT310),AU307,FALSE)</f>
        <v>0</v>
      </c>
      <c r="BB307" s="212" t="b">
        <f>IF(U307&gt;1,TRUE,FALSE)</f>
        <v>0</v>
      </c>
      <c r="BC307" s="212" t="b">
        <f>IF(X307&gt;1,TRUE,FALSE)</f>
        <v>0</v>
      </c>
      <c r="BD307" s="212" t="b">
        <f t="shared" si="3008"/>
        <v>0</v>
      </c>
      <c r="BF307" s="212" t="b">
        <f t="shared" ref="BF307" si="3532">IF(J307="",FALSE,IF(OR(AND(AU307,L307=""),AND(AU307,L307="",OR(M307&lt;&gt;"",N307&lt;&gt;"",O307&lt;&gt;"",P307&lt;&gt;""))),TRUE,FALSE))</f>
        <v>0</v>
      </c>
      <c r="BG307" s="212" t="b">
        <f t="shared" si="3010"/>
        <v>0</v>
      </c>
      <c r="BH307" s="212" t="b">
        <f t="shared" si="3023"/>
        <v>0</v>
      </c>
      <c r="BI307" s="212" t="b">
        <f t="shared" ref="BI307" si="3533">IF(J307="",FALSE,IF(L307=0,FALSE,IF(AND(AU307,NOT(BF307),OR(M307="",N307="",O307="")),TRUE,FALSE)))</f>
        <v>0</v>
      </c>
      <c r="BJ307" s="231" t="b">
        <f t="shared" si="3025"/>
        <v>0</v>
      </c>
      <c r="BK307" s="231" t="b">
        <f>IF(NOT(BJ307),FALSE,IF(AND(競技会設定!$C$5&lt;=BJ307,BJ307&lt;=競技会設定!$C$6),FALSE,TRUE))</f>
        <v>0</v>
      </c>
      <c r="BL307" s="212" t="b">
        <f>IF(J307="",FALSE,IF(L307=0,FALSE,IF(AND(AU307,NOT(BF307),NOT(BI307),P307=""),TRUE,FALSE)))</f>
        <v>0</v>
      </c>
      <c r="BO307" s="274">
        <f t="shared" ref="BO307" si="3534">IF(AND(AU307,SUM(COUNTIF(AV307:BC307,TRUE),COUNTIF(BF307:BL310,TRUE),COUNTIF(BD307:BD310,TRUE))=0,NOT($BE$7)),1,0)</f>
        <v>0</v>
      </c>
    </row>
    <row r="308" spans="1:67" ht="17.399999999999999" customHeight="1">
      <c r="A308" s="462"/>
      <c r="B308" s="374"/>
      <c r="C308" s="376"/>
      <c r="D308" s="159"/>
      <c r="E308" s="465"/>
      <c r="F308" s="465"/>
      <c r="G308" s="159" t="str">
        <f>IF(C307="","",(VLOOKUP(D307,女子登録!$A$2:$N$2001,13,0)))</f>
        <v/>
      </c>
      <c r="H308" s="159"/>
      <c r="I308" s="159" t="s">
        <v>4020</v>
      </c>
      <c r="J308" s="175"/>
      <c r="K308" s="159" t="s">
        <v>4023</v>
      </c>
      <c r="L308" s="175"/>
      <c r="M308" s="264"/>
      <c r="N308" s="265"/>
      <c r="O308" s="266"/>
      <c r="P308" s="175"/>
      <c r="Q308" s="449"/>
      <c r="R308" s="409"/>
      <c r="S308" s="136"/>
      <c r="T308" s="137"/>
      <c r="U308" s="137"/>
      <c r="V308" s="137"/>
      <c r="W308" s="137"/>
      <c r="X308" s="137"/>
      <c r="Y308" s="212">
        <f t="shared" ref="Y308" si="3535">IF(OR(E307="",J308=""),0,J308&amp;E307)</f>
        <v>0</v>
      </c>
      <c r="Z308" s="212">
        <f>IF(Y308=0,0,COUNTIF($Y$7:Y308,Y308))</f>
        <v>0</v>
      </c>
      <c r="AD308" s="212">
        <f>IFERROR(VLOOKUP(J308,競技会設定!$T$2:$W$22,2,0),0)</f>
        <v>0</v>
      </c>
      <c r="AE308" s="212">
        <f t="shared" ref="AE308" si="3536">IF(E307="",0,IF(AD308=0,0,IF(AD308&lt;3,E307&amp;$AE$6,0)))</f>
        <v>0</v>
      </c>
      <c r="AF308" s="212">
        <f>IF(AE308=0,0,E307&amp;COUNTIF($AE$7:AE308,AE308))</f>
        <v>0</v>
      </c>
      <c r="AG308" s="212">
        <f t="shared" ref="AG308" si="3537">IF(E307="",0,IF(AD308=0,0,IF(AD308&gt;=3,E307&amp;$AG$6,0)))</f>
        <v>0</v>
      </c>
      <c r="AH308" s="212">
        <f>IF(AG308=0,0,E307&amp;COUNTIF($AG$7:AG308,AG308))</f>
        <v>0</v>
      </c>
      <c r="AI308" s="212">
        <f t="shared" ref="AI308" si="3538">IF($AD308=AI$6,$E307,0)</f>
        <v>0</v>
      </c>
      <c r="AJ308" s="212" t="b">
        <f>IF(AI308=0,FALSE,IF(COUNTIF(AI$7:AI308,AI308)&gt;1,TRUE,FALSE))</f>
        <v>0</v>
      </c>
      <c r="AK308" s="212">
        <f t="shared" ref="AK308" si="3539">IF($AD308=AK$6,$E307,0)</f>
        <v>0</v>
      </c>
      <c r="AL308" s="212" t="b">
        <f>IF(AK308=0,FALSE,IF(COUNTIF(AK$7:AK308,AK308)&gt;1,TRUE,FALSE))</f>
        <v>0</v>
      </c>
      <c r="AM308" s="212">
        <f t="shared" ref="AM308" si="3540">IF(COUNTIF(Y308,"*七種*")&gt;0,0,IF($AD308=AM$6,$E307,0))</f>
        <v>0</v>
      </c>
      <c r="AN308" s="212" t="b">
        <f>IF(AM308=0,FALSE,IF(COUNTIF(AM$7:AM308,AM308)&gt;1,TRUE,FALSE))</f>
        <v>0</v>
      </c>
      <c r="AO308" s="212">
        <f t="shared" ref="AO308" si="3541">IF($AD308=AO$6,$E307,0)</f>
        <v>0</v>
      </c>
      <c r="AP308" s="212" t="b">
        <f>IF(AO308=0,FALSE,IF(COUNTIF(AO$7:AO308,AO308)&gt;1,TRUE,FALSE))</f>
        <v>0</v>
      </c>
      <c r="AQ308" s="212">
        <f t="shared" ref="AQ308" si="3542">IF(COUNTIF(Y308,"*七種競技*")&gt;0,E307,0)</f>
        <v>0</v>
      </c>
      <c r="AR308" s="212" t="b">
        <f t="shared" si="3021"/>
        <v>0</v>
      </c>
      <c r="AT308" s="212" t="b">
        <f t="shared" si="3034"/>
        <v>0</v>
      </c>
      <c r="AX308" s="274"/>
      <c r="BD308" s="212" t="b">
        <f t="shared" si="3008"/>
        <v>0</v>
      </c>
      <c r="BF308" s="212" t="b">
        <f t="shared" ref="BF308" si="3543">IF(J308="",FALSE,IF(OR(AND(AU307,L308=""),AND(AU307,L308="",OR(M308&lt;&gt;"",N308&lt;&gt;"",O308&lt;&gt;"",P308&lt;&gt;""))),TRUE,FALSE))</f>
        <v>0</v>
      </c>
      <c r="BG308" s="212" t="b">
        <f t="shared" si="3010"/>
        <v>0</v>
      </c>
      <c r="BH308" s="212" t="b">
        <f t="shared" si="3023"/>
        <v>0</v>
      </c>
      <c r="BI308" s="212" t="b">
        <f t="shared" ref="BI308" si="3544">IF(J308="",FALSE,IF(L308=0,FALSE,IF(AND(AU307,NOT(BF308),OR(M308="",N308="",O308="")),TRUE,FALSE)))</f>
        <v>0</v>
      </c>
      <c r="BJ308" s="231" t="b">
        <f t="shared" si="3025"/>
        <v>0</v>
      </c>
      <c r="BK308" s="231" t="b">
        <f>IF(NOT(BJ308),FALSE,IF(AND(競技会設定!$C$5&lt;=BJ308,BJ308&lt;=競技会設定!$C$6),FALSE,TRUE))</f>
        <v>0</v>
      </c>
      <c r="BL308" s="212" t="b">
        <f>IF(J308="",FALSE,IF(L308=0,FALSE,IF(AND(AU307,NOT(BF308),NOT(BI308),P308=""),TRUE,FALSE)))</f>
        <v>0</v>
      </c>
    </row>
    <row r="309" spans="1:67" ht="17.399999999999999" customHeight="1">
      <c r="A309" s="462"/>
      <c r="B309" s="374"/>
      <c r="C309" s="376"/>
      <c r="D309" s="160"/>
      <c r="E309" s="452" t="str">
        <f>IF(C307="","",VLOOKUP(D307,女子登録!$A$2:$O$2001,14,0)&amp;" ("&amp;VLOOKUP(D307,女子登録!$A$2:$O$2001,15,0)&amp;")")</f>
        <v/>
      </c>
      <c r="F309" s="453"/>
      <c r="G309" s="160" t="str">
        <f>IF(C307="","",(VLOOKUP(D307,女子登録!$A$2:$N$2001,9,0)))</f>
        <v/>
      </c>
      <c r="H309" s="160"/>
      <c r="I309" s="160" t="s">
        <v>4021</v>
      </c>
      <c r="J309" s="176"/>
      <c r="K309" s="160" t="s">
        <v>6760</v>
      </c>
      <c r="L309" s="176"/>
      <c r="M309" s="264"/>
      <c r="N309" s="265"/>
      <c r="O309" s="266"/>
      <c r="P309" s="175"/>
      <c r="Q309" s="449"/>
      <c r="R309" s="409"/>
      <c r="S309" s="136"/>
      <c r="T309" s="137"/>
      <c r="U309" s="137"/>
      <c r="V309" s="137"/>
      <c r="W309" s="137"/>
      <c r="X309" s="137"/>
      <c r="Y309" s="212">
        <f t="shared" ref="Y309" si="3545">IF(OR(E307="",J309=""),0,J309&amp;E307)</f>
        <v>0</v>
      </c>
      <c r="Z309" s="212">
        <f>IF(Y309=0,0,COUNTIF($Y$7:Y309,Y309))</f>
        <v>0</v>
      </c>
      <c r="AD309" s="212">
        <f>IFERROR(VLOOKUP(J309,競技会設定!$T$2:$W$22,2,0),0)</f>
        <v>0</v>
      </c>
      <c r="AE309" s="212">
        <f t="shared" ref="AE309" si="3546">IF(E307="",0,IF(AD309=0,0,IF(AD309&lt;3,E307&amp;$AE$6,0)))</f>
        <v>0</v>
      </c>
      <c r="AF309" s="212">
        <f>IF(AE309=0,0,E307&amp;COUNTIF($AE$7:AE309,AE309))</f>
        <v>0</v>
      </c>
      <c r="AG309" s="212">
        <f t="shared" ref="AG309" si="3547">IF(E307="",0,IF(AD309=0,0,IF(AD309&gt;=3,E307&amp;$AG$6,0)))</f>
        <v>0</v>
      </c>
      <c r="AH309" s="212">
        <f>IF(AG309=0,0,E307&amp;COUNTIF($AG$7:AG309,AG309))</f>
        <v>0</v>
      </c>
      <c r="AI309" s="212">
        <f t="shared" ref="AI309" si="3548">IF($AD309=AI$6,$E307,0)</f>
        <v>0</v>
      </c>
      <c r="AJ309" s="212" t="b">
        <f>IF(AI309=0,FALSE,IF(COUNTIF(AI$7:AI309,AI309)&gt;1,TRUE,FALSE))</f>
        <v>0</v>
      </c>
      <c r="AK309" s="212">
        <f t="shared" ref="AK309" si="3549">IF($AD309=AK$6,$E307,0)</f>
        <v>0</v>
      </c>
      <c r="AL309" s="212" t="b">
        <f>IF(AK309=0,FALSE,IF(COUNTIF(AK$7:AK309,AK309)&gt;1,TRUE,FALSE))</f>
        <v>0</v>
      </c>
      <c r="AM309" s="212">
        <f t="shared" ref="AM309" si="3550">IF(COUNTIF(Y309,"*七種*")&gt;0,0,IF($AD309=AM$6,$E307,0))</f>
        <v>0</v>
      </c>
      <c r="AN309" s="212" t="b">
        <f>IF(AM309=0,FALSE,IF(COUNTIF(AM$7:AM309,AM309)&gt;1,TRUE,FALSE))</f>
        <v>0</v>
      </c>
      <c r="AO309" s="212">
        <f t="shared" ref="AO309" si="3551">IF($AD309=AO$6,$E307,0)</f>
        <v>0</v>
      </c>
      <c r="AP309" s="212" t="b">
        <f>IF(AO309=0,FALSE,IF(COUNTIF(AO$7:AO309,AO309)&gt;1,TRUE,FALSE))</f>
        <v>0</v>
      </c>
      <c r="AQ309" s="212">
        <f t="shared" ref="AQ309" si="3552">IF(COUNTIF(Y309,"*七種競技*")&gt;0,E307,0)</f>
        <v>0</v>
      </c>
      <c r="AR309" s="212" t="b">
        <f t="shared" si="3021"/>
        <v>0</v>
      </c>
      <c r="AT309" s="212" t="b">
        <f t="shared" si="3034"/>
        <v>0</v>
      </c>
      <c r="AX309" s="274"/>
      <c r="BD309" s="212" t="b">
        <f t="shared" si="3008"/>
        <v>0</v>
      </c>
      <c r="BF309" s="212" t="b">
        <f t="shared" ref="BF309" si="3553">IF(J309="",FALSE,IF(OR(AND(AU307,L309=""),AND(AU307,L309="",OR(M309&lt;&gt;"",N309&lt;&gt;"",O309&lt;&gt;"",P309&lt;&gt;""))),TRUE,FALSE))</f>
        <v>0</v>
      </c>
      <c r="BG309" s="212" t="b">
        <f t="shared" si="3010"/>
        <v>0</v>
      </c>
      <c r="BH309" s="212" t="b">
        <f t="shared" si="3023"/>
        <v>0</v>
      </c>
      <c r="BI309" s="212" t="b">
        <f t="shared" ref="BI309" si="3554">IF(J309="",FALSE,IF(L309=0,FALSE,IF(AND(AU307,NOT(BF309),OR(M309="",N309="",O309="")),TRUE,FALSE)))</f>
        <v>0</v>
      </c>
      <c r="BJ309" s="231" t="b">
        <f t="shared" si="3025"/>
        <v>0</v>
      </c>
      <c r="BK309" s="231" t="b">
        <f>IF(NOT(BJ309),FALSE,IF(AND(競技会設定!$C$5&lt;=BJ309,BJ309&lt;=競技会設定!$C$6),FALSE,TRUE))</f>
        <v>0</v>
      </c>
      <c r="BL309" s="212" t="b">
        <f>IF(J309="",FALSE,IF(L309=0,FALSE,IF(AND(AU307,NOT(BF309),NOT(BI309),P309=""),TRUE,FALSE)))</f>
        <v>0</v>
      </c>
    </row>
    <row r="310" spans="1:67" ht="18" customHeight="1" thickBot="1">
      <c r="A310" s="475"/>
      <c r="B310" s="387" t="s">
        <v>6764</v>
      </c>
      <c r="C310" s="387"/>
      <c r="D310" s="161"/>
      <c r="E310" s="467"/>
      <c r="F310" s="468"/>
      <c r="G310" s="469"/>
      <c r="H310" s="162"/>
      <c r="I310" s="161" t="s">
        <v>6759</v>
      </c>
      <c r="J310" s="177"/>
      <c r="K310" s="161" t="s">
        <v>6761</v>
      </c>
      <c r="L310" s="177"/>
      <c r="M310" s="267"/>
      <c r="N310" s="268"/>
      <c r="O310" s="269"/>
      <c r="P310" s="177"/>
      <c r="Q310" s="466"/>
      <c r="R310" s="410"/>
      <c r="S310" s="136"/>
      <c r="T310" s="137"/>
      <c r="U310" s="137"/>
      <c r="V310" s="137"/>
      <c r="W310" s="137"/>
      <c r="X310" s="137"/>
      <c r="Y310" s="212">
        <f t="shared" ref="Y310" si="3555">IF(OR(E307="",J310=""),0,J310&amp;E307)</f>
        <v>0</v>
      </c>
      <c r="Z310" s="212">
        <f>IF(Y310=0,0,COUNTIF($Y$7:Y310,Y310))</f>
        <v>0</v>
      </c>
      <c r="AD310" s="212">
        <f>IFERROR(VLOOKUP(J310,競技会設定!$T$2:$W$22,2,0),0)</f>
        <v>0</v>
      </c>
      <c r="AE310" s="212">
        <f t="shared" ref="AE310" si="3556">IF(E307="",0,IF(AD310=0,0,IF(AD310&lt;3,E307&amp;$AE$6,0)))</f>
        <v>0</v>
      </c>
      <c r="AF310" s="212">
        <f>IF(AE310=0,0,E307&amp;COUNTIF($AE$7:AE310,AE310))</f>
        <v>0</v>
      </c>
      <c r="AG310" s="212">
        <f t="shared" ref="AG310" si="3557">IF(E307="",0,IF(AD310=0,0,IF(AD310&gt;=3,E307&amp;$AG$6,0)))</f>
        <v>0</v>
      </c>
      <c r="AH310" s="212">
        <f>IF(AG310=0,0,E307&amp;COUNTIF($AG$7:AG310,AG310))</f>
        <v>0</v>
      </c>
      <c r="AI310" s="212">
        <f t="shared" ref="AI310" si="3558">IF($AD310=AI$6,$E307,0)</f>
        <v>0</v>
      </c>
      <c r="AJ310" s="212" t="b">
        <f>IF(AI310=0,FALSE,IF(COUNTIF(AI$7:AI310,AI310)&gt;1,TRUE,FALSE))</f>
        <v>0</v>
      </c>
      <c r="AK310" s="212">
        <f t="shared" ref="AK310" si="3559">IF($AD310=AK$6,$E307,0)</f>
        <v>0</v>
      </c>
      <c r="AL310" s="212" t="b">
        <f>IF(AK310=0,FALSE,IF(COUNTIF(AK$7:AK310,AK310)&gt;1,TRUE,FALSE))</f>
        <v>0</v>
      </c>
      <c r="AM310" s="212">
        <f t="shared" ref="AM310" si="3560">IF(COUNTIF(Y310,"*七種*")&gt;0,0,IF($AD310=AM$6,$E307,0))</f>
        <v>0</v>
      </c>
      <c r="AN310" s="212" t="b">
        <f>IF(AM310=0,FALSE,IF(COUNTIF(AM$7:AM310,AM310)&gt;1,TRUE,FALSE))</f>
        <v>0</v>
      </c>
      <c r="AO310" s="212">
        <f t="shared" ref="AO310" si="3561">IF($AD310=AO$6,$E307,0)</f>
        <v>0</v>
      </c>
      <c r="AP310" s="212" t="b">
        <f>IF(AO310=0,FALSE,IF(COUNTIF(AO$7:AO310,AO310)&gt;1,TRUE,FALSE))</f>
        <v>0</v>
      </c>
      <c r="AQ310" s="212">
        <f t="shared" ref="AQ310" si="3562">IF(COUNTIF(Y310,"*七種競技*")&gt;0,E307,0)</f>
        <v>0</v>
      </c>
      <c r="AR310" s="212" t="b">
        <f t="shared" si="3021"/>
        <v>0</v>
      </c>
      <c r="AT310" s="212" t="b">
        <f t="shared" si="3034"/>
        <v>0</v>
      </c>
      <c r="AX310" s="274"/>
      <c r="BD310" s="212" t="b">
        <f t="shared" si="3008"/>
        <v>0</v>
      </c>
      <c r="BF310" s="212" t="b">
        <f t="shared" ref="BF310" si="3563">IF(J310="",FALSE,IF(OR(AND(AU307,L310=""),AND(AU307,L310="",OR(M310&lt;&gt;"",N310&lt;&gt;"",O310&lt;&gt;"",P310&lt;&gt;""))),TRUE,FALSE))</f>
        <v>0</v>
      </c>
      <c r="BG310" s="212" t="b">
        <f t="shared" si="3010"/>
        <v>0</v>
      </c>
      <c r="BH310" s="212" t="b">
        <f t="shared" si="3023"/>
        <v>0</v>
      </c>
      <c r="BI310" s="212" t="b">
        <f t="shared" ref="BI310" si="3564">IF(J310="",FALSE,IF(L310=0,FALSE,IF(AND(AU307,NOT(BF310),OR(M310="",N310="",O310="")),TRUE,FALSE)))</f>
        <v>0</v>
      </c>
      <c r="BJ310" s="231" t="b">
        <f t="shared" si="3025"/>
        <v>0</v>
      </c>
      <c r="BK310" s="231" t="b">
        <f>IF(NOT(BJ310),FALSE,IF(AND(競技会設定!$C$5&lt;=BJ310,BJ310&lt;=競技会設定!$C$6),FALSE,TRUE))</f>
        <v>0</v>
      </c>
      <c r="BL310" s="212" t="b">
        <f>IF(J310="",FALSE,IF(L310=0,FALSE,IF(AND(AU307,NOT(BF310),NOT(BI310),P310=""),TRUE,FALSE)))</f>
        <v>0</v>
      </c>
    </row>
    <row r="311" spans="1:67" ht="18" customHeight="1" thickTop="1">
      <c r="A311" s="470">
        <v>77</v>
      </c>
      <c r="B311" s="401" t="s">
        <v>4018</v>
      </c>
      <c r="C311" s="403"/>
      <c r="D311" s="156" t="str">
        <f t="shared" ref="D311" si="3565">IF(C311="","",502&amp;TEXT(C311,"000000"))</f>
        <v/>
      </c>
      <c r="E311" s="473" t="str">
        <f>IF(D311="","",(VLOOKUP(D311,女子登録!$A$2:$N$2001,3,0)))</f>
        <v/>
      </c>
      <c r="F311" s="473" t="str">
        <f>IF(D311="","",(VLOOKUP(D311,女子登録!$A$2:$N$2001,4,0)))</f>
        <v/>
      </c>
      <c r="G311" s="156" t="str">
        <f>IF(C311="","",(VLOOKUP(D311,女子登録!$A$2:$N$2001,8,0)))</f>
        <v/>
      </c>
      <c r="H311" s="156">
        <f>IFERROR(VLOOKUP(D311,女子登録!$A$2:$N$2001,11,0),基本情報!$E$5)</f>
        <v>0</v>
      </c>
      <c r="I311" s="156" t="s">
        <v>4019</v>
      </c>
      <c r="J311" s="170"/>
      <c r="K311" s="156" t="s">
        <v>4022</v>
      </c>
      <c r="L311" s="170"/>
      <c r="M311" s="252"/>
      <c r="N311" s="253"/>
      <c r="O311" s="254"/>
      <c r="P311" s="170"/>
      <c r="Q311" s="457"/>
      <c r="R311" s="414"/>
      <c r="S311" s="136">
        <f t="shared" ref="S311" si="3566">IF(OR(E311="",Q311=""),0,E311)</f>
        <v>0</v>
      </c>
      <c r="T311" s="137">
        <f>IF(S311=0,0,COUNTIF($S$7:S311,"*"))</f>
        <v>0</v>
      </c>
      <c r="U311" s="137">
        <f>IF(S311=0,0,COUNTIF($S$7:S311,S311))</f>
        <v>0</v>
      </c>
      <c r="V311" s="137">
        <f t="shared" si="3237"/>
        <v>0</v>
      </c>
      <c r="W311" s="137">
        <f>IF(V311=0,0,COUNTIF($V$7:V311,"*"))</f>
        <v>0</v>
      </c>
      <c r="X311" s="137">
        <f>IF(V311=0,0,COUNTIF($V$7:V311,V311))</f>
        <v>0</v>
      </c>
      <c r="Y311" s="212">
        <f t="shared" ref="Y311" si="3567">IF(OR(E311="",J311=""),0,J311&amp;E311)</f>
        <v>0</v>
      </c>
      <c r="Z311" s="212">
        <f>IF(Y311=0,0,COUNTIF($Y$7:Y311,Y311))</f>
        <v>0</v>
      </c>
      <c r="AA311" s="212" t="b">
        <f>IF(COUNTIF(J311:J314,"七種競技")&gt;0,TRUE,FALSE)</f>
        <v>0</v>
      </c>
      <c r="AB311" s="212">
        <f>IF(E311="",0,IF(AA311,COUNTIF($AA$7:AA311,TRUE),0))</f>
        <v>0</v>
      </c>
      <c r="AC311" s="212">
        <f>IFERROR(VLOOKUP("七種競技",J311:L314,3,0),0)</f>
        <v>0</v>
      </c>
      <c r="AD311" s="212">
        <f>IFERROR(VLOOKUP(J311,競技会設定!$T$2:$W$22,2,0),0)</f>
        <v>0</v>
      </c>
      <c r="AE311" s="212">
        <f t="shared" ref="AE311" si="3568">IF(E311="",0,IF(AD311=0,0,IF(AD311&lt;3,E311&amp;$AE$6,0)))</f>
        <v>0</v>
      </c>
      <c r="AF311" s="212">
        <f>IF(AE311=0,0,E311&amp;COUNTIF($AE$7:AE311,AE311))</f>
        <v>0</v>
      </c>
      <c r="AG311" s="212">
        <f t="shared" ref="AG311" si="3569">IF(E311="",0,IF(AD311=0,0,IF(AD311&gt;=3,E311&amp;$AG$6,0)))</f>
        <v>0</v>
      </c>
      <c r="AH311" s="212">
        <f>IF(AG311=0,0,E311&amp;COUNTIF($AG$7:AG311,AG311))</f>
        <v>0</v>
      </c>
      <c r="AI311" s="212">
        <f t="shared" ref="AI311" si="3570">IF($AD311=AI$6,$E311,0)</f>
        <v>0</v>
      </c>
      <c r="AJ311" s="212" t="b">
        <f>IF(AI311=0,FALSE,IF(COUNTIF(AI$7:AI311,AI311)&gt;1,TRUE,FALSE))</f>
        <v>0</v>
      </c>
      <c r="AK311" s="212">
        <f t="shared" ref="AK311" si="3571">IF($AD311=AK$6,$E311,0)</f>
        <v>0</v>
      </c>
      <c r="AL311" s="212" t="b">
        <f>IF(AK311=0,FALSE,IF(COUNTIF(AK$7:AK311,AK311)&gt;1,TRUE,FALSE))</f>
        <v>0</v>
      </c>
      <c r="AM311" s="212">
        <f t="shared" ref="AM311" si="3572">IF(COUNTIF(Y311,"*七種*")&gt;0,0,IF($AD311=AM$6,$E311,0))</f>
        <v>0</v>
      </c>
      <c r="AN311" s="212" t="b">
        <f>IF(AM311=0,FALSE,IF(COUNTIF(AM$7:AM311,AM311)&gt;1,TRUE,FALSE))</f>
        <v>0</v>
      </c>
      <c r="AO311" s="212">
        <f t="shared" ref="AO311" si="3573">IF($AD311=AO$6,$E311,0)</f>
        <v>0</v>
      </c>
      <c r="AP311" s="212" t="b">
        <f>IF(AO311=0,FALSE,IF(COUNTIF(AO$7:AO311,AO311)&gt;1,TRUE,FALSE))</f>
        <v>0</v>
      </c>
      <c r="AQ311" s="212">
        <f t="shared" ref="AQ311" si="3574">IF(COUNTIF(Y311,"*七種競技*")&gt;0,E311,0)</f>
        <v>0</v>
      </c>
      <c r="AR311" s="212" t="b">
        <f t="shared" si="3021"/>
        <v>0</v>
      </c>
      <c r="AS311" s="212" t="b">
        <f t="shared" ref="AS311" si="3575">IF(AND(C311="",E311&lt;&gt;"",F311&lt;&gt;"",E313&lt;&gt;"",G311&lt;&gt;"",G312&lt;&gt;"",G313&lt;&gt;""),TRUE,FALSE)</f>
        <v>0</v>
      </c>
      <c r="AT311" s="212" t="b">
        <f t="shared" si="3034"/>
        <v>0</v>
      </c>
      <c r="AU311" s="212" t="b">
        <f>IFERROR(IF(E311&amp;F311&amp;E313&amp;G311&amp;G312&amp;G313&amp;J311&amp;J312&amp;J313&amp;J314&amp;L311&amp;L312&amp;L313&amp;L314&amp;M311&amp;M312&amp;M313&amp;M314&amp;P311&amp;P312&amp;P313&amp;P314&amp;Q311&amp;R311="",FALSE,TRUE),FALSE)</f>
        <v>0</v>
      </c>
      <c r="AV311" s="212" t="b">
        <f t="shared" ref="AV311" si="3576">IF(AS311,FALSE,IF(C311="",AU311,FALSE))</f>
        <v>0</v>
      </c>
      <c r="AW311" s="212" t="b">
        <f t="shared" ref="AW311" si="3577">IF(C311="",FALSE,IF(C311&lt;=2000,TRUE,FALSE))</f>
        <v>0</v>
      </c>
      <c r="AX311" s="274" t="b">
        <f>IF(H311=0,FALSE,IF(EXACT(基本情報!$E$5,H311)=TRUE,FALSE,TRUE))</f>
        <v>0</v>
      </c>
      <c r="AY311" s="212" t="b">
        <f>IF(C311="",FALSE,IF(ISNA(E311)=TRUE,TRUE,FALSE))</f>
        <v>0</v>
      </c>
      <c r="AZ311" s="274" t="b">
        <f>IFERROR(IF(E311="",FALSE,IF(COUNTIF($E$7:E311,E311)&gt;1,TRUE,FALSE)),FALSE)</f>
        <v>0</v>
      </c>
      <c r="BA311" s="212" t="b">
        <f t="shared" ref="BA311" si="3578">IF(OR(J311&amp;J312&amp;J313&amp;J314&amp;Q311&amp;R311="",AT311,AT312,AT313,AT314),AU311,FALSE)</f>
        <v>0</v>
      </c>
      <c r="BB311" s="212" t="b">
        <f>IF(U311&gt;1,TRUE,FALSE)</f>
        <v>0</v>
      </c>
      <c r="BC311" s="212" t="b">
        <f>IF(X311&gt;1,TRUE,FALSE)</f>
        <v>0</v>
      </c>
      <c r="BD311" s="212" t="b">
        <f t="shared" si="3008"/>
        <v>0</v>
      </c>
      <c r="BF311" s="212" t="b">
        <f t="shared" ref="BF311" si="3579">IF(J311="",FALSE,IF(OR(AND(AU311,L311=""),AND(AU311,L311="",OR(M311&lt;&gt;"",N311&lt;&gt;"",O311&lt;&gt;"",P311&lt;&gt;""))),TRUE,FALSE))</f>
        <v>0</v>
      </c>
      <c r="BG311" s="212" t="b">
        <f t="shared" si="3010"/>
        <v>0</v>
      </c>
      <c r="BH311" s="212" t="b">
        <f t="shared" si="3023"/>
        <v>0</v>
      </c>
      <c r="BI311" s="212" t="b">
        <f t="shared" ref="BI311" si="3580">IF(J311="",FALSE,IF(L311=0,FALSE,IF(AND(AU311,NOT(BF311),OR(M311="",N311="",O311="")),TRUE,FALSE)))</f>
        <v>0</v>
      </c>
      <c r="BJ311" s="231" t="b">
        <f t="shared" si="3025"/>
        <v>0</v>
      </c>
      <c r="BK311" s="231" t="b">
        <f>IF(NOT(BJ311),FALSE,IF(AND(競技会設定!$C$5&lt;=BJ311,BJ311&lt;=競技会設定!$C$6),FALSE,TRUE))</f>
        <v>0</v>
      </c>
      <c r="BL311" s="212" t="b">
        <f>IF(J311="",FALSE,IF(L311=0,FALSE,IF(AND(AU311,NOT(BF311),NOT(BI311),P311=""),TRUE,FALSE)))</f>
        <v>0</v>
      </c>
      <c r="BO311" s="274">
        <f t="shared" ref="BO311" si="3581">IF(AND(AU311,SUM(COUNTIF(AV311:BC311,TRUE),COUNTIF(BF311:BL314,TRUE),COUNTIF(BD311:BD314,TRUE))=0,NOT($BE$7)),1,0)</f>
        <v>0</v>
      </c>
    </row>
    <row r="312" spans="1:67" ht="17.399999999999999" customHeight="1">
      <c r="A312" s="471"/>
      <c r="B312" s="402"/>
      <c r="C312" s="404"/>
      <c r="D312" s="11"/>
      <c r="E312" s="474"/>
      <c r="F312" s="474"/>
      <c r="G312" s="11" t="str">
        <f>IF(C311="","",(VLOOKUP(D311,女子登録!$A$2:$N$2001,13,0)))</f>
        <v/>
      </c>
      <c r="H312" s="11"/>
      <c r="I312" s="11" t="s">
        <v>4020</v>
      </c>
      <c r="J312" s="171"/>
      <c r="K312" s="11" t="s">
        <v>4023</v>
      </c>
      <c r="L312" s="171"/>
      <c r="M312" s="255"/>
      <c r="N312" s="256"/>
      <c r="O312" s="257"/>
      <c r="P312" s="171"/>
      <c r="Q312" s="458"/>
      <c r="R312" s="415"/>
      <c r="S312" s="136"/>
      <c r="T312" s="137"/>
      <c r="U312" s="137"/>
      <c r="V312" s="137"/>
      <c r="W312" s="137"/>
      <c r="X312" s="137"/>
      <c r="Y312" s="212">
        <f t="shared" ref="Y312" si="3582">IF(OR(E311="",J312=""),0,J312&amp;E311)</f>
        <v>0</v>
      </c>
      <c r="Z312" s="212">
        <f>IF(Y312=0,0,COUNTIF($Y$7:Y312,Y312))</f>
        <v>0</v>
      </c>
      <c r="AD312" s="212">
        <f>IFERROR(VLOOKUP(J312,競技会設定!$T$2:$W$22,2,0),0)</f>
        <v>0</v>
      </c>
      <c r="AE312" s="212">
        <f t="shared" ref="AE312" si="3583">IF(E311="",0,IF(AD312=0,0,IF(AD312&lt;3,E311&amp;$AE$6,0)))</f>
        <v>0</v>
      </c>
      <c r="AF312" s="212">
        <f>IF(AE312=0,0,E311&amp;COUNTIF($AE$7:AE312,AE312))</f>
        <v>0</v>
      </c>
      <c r="AG312" s="212">
        <f t="shared" ref="AG312" si="3584">IF(E311="",0,IF(AD312=0,0,IF(AD312&gt;=3,E311&amp;$AG$6,0)))</f>
        <v>0</v>
      </c>
      <c r="AH312" s="212">
        <f>IF(AG312=0,0,E311&amp;COUNTIF($AG$7:AG312,AG312))</f>
        <v>0</v>
      </c>
      <c r="AI312" s="212">
        <f t="shared" ref="AI312" si="3585">IF($AD312=AI$6,$E311,0)</f>
        <v>0</v>
      </c>
      <c r="AJ312" s="212" t="b">
        <f>IF(AI312=0,FALSE,IF(COUNTIF(AI$7:AI312,AI312)&gt;1,TRUE,FALSE))</f>
        <v>0</v>
      </c>
      <c r="AK312" s="212">
        <f t="shared" ref="AK312" si="3586">IF($AD312=AK$6,$E311,0)</f>
        <v>0</v>
      </c>
      <c r="AL312" s="212" t="b">
        <f>IF(AK312=0,FALSE,IF(COUNTIF(AK$7:AK312,AK312)&gt;1,TRUE,FALSE))</f>
        <v>0</v>
      </c>
      <c r="AM312" s="212">
        <f t="shared" ref="AM312" si="3587">IF(COUNTIF(Y312,"*七種*")&gt;0,0,IF($AD312=AM$6,$E311,0))</f>
        <v>0</v>
      </c>
      <c r="AN312" s="212" t="b">
        <f>IF(AM312=0,FALSE,IF(COUNTIF(AM$7:AM312,AM312)&gt;1,TRUE,FALSE))</f>
        <v>0</v>
      </c>
      <c r="AO312" s="212">
        <f t="shared" ref="AO312" si="3588">IF($AD312=AO$6,$E311,0)</f>
        <v>0</v>
      </c>
      <c r="AP312" s="212" t="b">
        <f>IF(AO312=0,FALSE,IF(COUNTIF(AO$7:AO312,AO312)&gt;1,TRUE,FALSE))</f>
        <v>0</v>
      </c>
      <c r="AQ312" s="212">
        <f t="shared" ref="AQ312" si="3589">IF(COUNTIF(Y312,"*七種競技*")&gt;0,E311,0)</f>
        <v>0</v>
      </c>
      <c r="AR312" s="212" t="b">
        <f t="shared" si="3021"/>
        <v>0</v>
      </c>
      <c r="AT312" s="212" t="b">
        <f t="shared" si="3034"/>
        <v>0</v>
      </c>
      <c r="AX312" s="274"/>
      <c r="BD312" s="212" t="b">
        <f t="shared" si="3008"/>
        <v>0</v>
      </c>
      <c r="BF312" s="212" t="b">
        <f t="shared" ref="BF312" si="3590">IF(J312="",FALSE,IF(OR(AND(AU311,L312=""),AND(AU311,L312="",OR(M312&lt;&gt;"",N312&lt;&gt;"",O312&lt;&gt;"",P312&lt;&gt;""))),TRUE,FALSE))</f>
        <v>0</v>
      </c>
      <c r="BG312" s="212" t="b">
        <f t="shared" si="3010"/>
        <v>0</v>
      </c>
      <c r="BH312" s="212" t="b">
        <f t="shared" si="3023"/>
        <v>0</v>
      </c>
      <c r="BI312" s="212" t="b">
        <f t="shared" ref="BI312" si="3591">IF(J312="",FALSE,IF(L312=0,FALSE,IF(AND(AU311,NOT(BF312),OR(M312="",N312="",O312="")),TRUE,FALSE)))</f>
        <v>0</v>
      </c>
      <c r="BJ312" s="231" t="b">
        <f t="shared" si="3025"/>
        <v>0</v>
      </c>
      <c r="BK312" s="231" t="b">
        <f>IF(NOT(BJ312),FALSE,IF(AND(競技会設定!$C$5&lt;=BJ312,BJ312&lt;=競技会設定!$C$6),FALSE,TRUE))</f>
        <v>0</v>
      </c>
      <c r="BL312" s="212" t="b">
        <f>IF(J312="",FALSE,IF(L312=0,FALSE,IF(AND(AU311,NOT(BF312),NOT(BI312),P312=""),TRUE,FALSE)))</f>
        <v>0</v>
      </c>
    </row>
    <row r="313" spans="1:67" ht="17.399999999999999" customHeight="1">
      <c r="A313" s="471"/>
      <c r="B313" s="402"/>
      <c r="C313" s="404"/>
      <c r="D313" s="11"/>
      <c r="E313" s="348" t="str">
        <f>IF(C311="","",VLOOKUP(D311,女子登録!$A$2:$O$2001,14,0)&amp;" ("&amp;VLOOKUP(D311,女子登録!$A$2:$O$2001,15,0)&amp;")")</f>
        <v/>
      </c>
      <c r="F313" s="348"/>
      <c r="G313" s="13" t="str">
        <f>IF(C311="","",(VLOOKUP(D311,女子登録!$A$2:$N$2001,9,0)))</f>
        <v/>
      </c>
      <c r="H313" s="13"/>
      <c r="I313" s="13" t="s">
        <v>4021</v>
      </c>
      <c r="J313" s="172"/>
      <c r="K313" s="13" t="s">
        <v>6760</v>
      </c>
      <c r="L313" s="172"/>
      <c r="M313" s="255"/>
      <c r="N313" s="256"/>
      <c r="O313" s="257"/>
      <c r="P313" s="171"/>
      <c r="Q313" s="458"/>
      <c r="R313" s="415"/>
      <c r="S313" s="136"/>
      <c r="T313" s="137"/>
      <c r="U313" s="137"/>
      <c r="V313" s="137"/>
      <c r="W313" s="137"/>
      <c r="X313" s="137"/>
      <c r="Y313" s="212">
        <f t="shared" ref="Y313" si="3592">IF(OR(E311="",J313=""),0,J313&amp;E311)</f>
        <v>0</v>
      </c>
      <c r="Z313" s="212">
        <f>IF(Y313=0,0,COUNTIF($Y$7:Y313,Y313))</f>
        <v>0</v>
      </c>
      <c r="AD313" s="212">
        <f>IFERROR(VLOOKUP(J313,競技会設定!$T$2:$W$22,2,0),0)</f>
        <v>0</v>
      </c>
      <c r="AE313" s="212">
        <f t="shared" ref="AE313" si="3593">IF(E311="",0,IF(AD313=0,0,IF(AD313&lt;3,E311&amp;$AE$6,0)))</f>
        <v>0</v>
      </c>
      <c r="AF313" s="212">
        <f>IF(AE313=0,0,E311&amp;COUNTIF($AE$7:AE313,AE313))</f>
        <v>0</v>
      </c>
      <c r="AG313" s="212">
        <f t="shared" ref="AG313" si="3594">IF(E311="",0,IF(AD313=0,0,IF(AD313&gt;=3,E311&amp;$AG$6,0)))</f>
        <v>0</v>
      </c>
      <c r="AH313" s="212">
        <f>IF(AG313=0,0,E311&amp;COUNTIF($AG$7:AG313,AG313))</f>
        <v>0</v>
      </c>
      <c r="AI313" s="212">
        <f t="shared" ref="AI313" si="3595">IF($AD313=AI$6,$E311,0)</f>
        <v>0</v>
      </c>
      <c r="AJ313" s="212" t="b">
        <f>IF(AI313=0,FALSE,IF(COUNTIF(AI$7:AI313,AI313)&gt;1,TRUE,FALSE))</f>
        <v>0</v>
      </c>
      <c r="AK313" s="212">
        <f t="shared" ref="AK313" si="3596">IF($AD313=AK$6,$E311,0)</f>
        <v>0</v>
      </c>
      <c r="AL313" s="212" t="b">
        <f>IF(AK313=0,FALSE,IF(COUNTIF(AK$7:AK313,AK313)&gt;1,TRUE,FALSE))</f>
        <v>0</v>
      </c>
      <c r="AM313" s="212">
        <f t="shared" ref="AM313" si="3597">IF(COUNTIF(Y313,"*七種*")&gt;0,0,IF($AD313=AM$6,$E311,0))</f>
        <v>0</v>
      </c>
      <c r="AN313" s="212" t="b">
        <f>IF(AM313=0,FALSE,IF(COUNTIF(AM$7:AM313,AM313)&gt;1,TRUE,FALSE))</f>
        <v>0</v>
      </c>
      <c r="AO313" s="212">
        <f t="shared" ref="AO313" si="3598">IF($AD313=AO$6,$E311,0)</f>
        <v>0</v>
      </c>
      <c r="AP313" s="212" t="b">
        <f>IF(AO313=0,FALSE,IF(COUNTIF(AO$7:AO313,AO313)&gt;1,TRUE,FALSE))</f>
        <v>0</v>
      </c>
      <c r="AQ313" s="212">
        <f t="shared" ref="AQ313" si="3599">IF(COUNTIF(Y313,"*七種競技*")&gt;0,E311,0)</f>
        <v>0</v>
      </c>
      <c r="AR313" s="212" t="b">
        <f t="shared" si="3021"/>
        <v>0</v>
      </c>
      <c r="AT313" s="212" t="b">
        <f t="shared" si="3034"/>
        <v>0</v>
      </c>
      <c r="AX313" s="274"/>
      <c r="BD313" s="212" t="b">
        <f t="shared" si="3008"/>
        <v>0</v>
      </c>
      <c r="BF313" s="212" t="b">
        <f t="shared" ref="BF313" si="3600">IF(J313="",FALSE,IF(OR(AND(AU311,L313=""),AND(AU311,L313="",OR(M313&lt;&gt;"",N313&lt;&gt;"",O313&lt;&gt;"",P313&lt;&gt;""))),TRUE,FALSE))</f>
        <v>0</v>
      </c>
      <c r="BG313" s="212" t="b">
        <f t="shared" si="3010"/>
        <v>0</v>
      </c>
      <c r="BH313" s="212" t="b">
        <f t="shared" si="3023"/>
        <v>0</v>
      </c>
      <c r="BI313" s="212" t="b">
        <f t="shared" ref="BI313" si="3601">IF(J313="",FALSE,IF(L313=0,FALSE,IF(AND(AU311,NOT(BF313),OR(M313="",N313="",O313="")),TRUE,FALSE)))</f>
        <v>0</v>
      </c>
      <c r="BJ313" s="231" t="b">
        <f t="shared" si="3025"/>
        <v>0</v>
      </c>
      <c r="BK313" s="231" t="b">
        <f>IF(NOT(BJ313),FALSE,IF(AND(競技会設定!$C$5&lt;=BJ313,BJ313&lt;=競技会設定!$C$6),FALSE,TRUE))</f>
        <v>0</v>
      </c>
      <c r="BL313" s="212" t="b">
        <f>IF(J313="",FALSE,IF(L313=0,FALSE,IF(AND(AU311,NOT(BF313),NOT(BI313),P313=""),TRUE,FALSE)))</f>
        <v>0</v>
      </c>
    </row>
    <row r="314" spans="1:67" ht="18" customHeight="1" thickBot="1">
      <c r="A314" s="472"/>
      <c r="B314" s="395" t="s">
        <v>6764</v>
      </c>
      <c r="C314" s="395"/>
      <c r="D314" s="11"/>
      <c r="E314" s="460"/>
      <c r="F314" s="460"/>
      <c r="G314" s="460"/>
      <c r="H314" s="157"/>
      <c r="I314" s="157" t="s">
        <v>6759</v>
      </c>
      <c r="J314" s="173"/>
      <c r="K314" s="157" t="s">
        <v>6761</v>
      </c>
      <c r="L314" s="173"/>
      <c r="M314" s="258"/>
      <c r="N314" s="259"/>
      <c r="O314" s="260"/>
      <c r="P314" s="173"/>
      <c r="Q314" s="459"/>
      <c r="R314" s="416"/>
      <c r="S314" s="136"/>
      <c r="T314" s="137"/>
      <c r="U314" s="137"/>
      <c r="V314" s="137"/>
      <c r="W314" s="137"/>
      <c r="X314" s="137"/>
      <c r="Y314" s="212">
        <f t="shared" ref="Y314" si="3602">IF(OR(E311="",J314=""),0,J314&amp;E311)</f>
        <v>0</v>
      </c>
      <c r="Z314" s="212">
        <f>IF(Y314=0,0,COUNTIF($Y$7:Y314,Y314))</f>
        <v>0</v>
      </c>
      <c r="AD314" s="212">
        <f>IFERROR(VLOOKUP(J314,競技会設定!$T$2:$W$22,2,0),0)</f>
        <v>0</v>
      </c>
      <c r="AE314" s="212">
        <f t="shared" ref="AE314" si="3603">IF(E311="",0,IF(AD314=0,0,IF(AD314&lt;3,E311&amp;$AE$6,0)))</f>
        <v>0</v>
      </c>
      <c r="AF314" s="212">
        <f>IF(AE314=0,0,E311&amp;COUNTIF($AE$7:AE314,AE314))</f>
        <v>0</v>
      </c>
      <c r="AG314" s="212">
        <f t="shared" ref="AG314" si="3604">IF(E311="",0,IF(AD314=0,0,IF(AD314&gt;=3,E311&amp;$AG$6,0)))</f>
        <v>0</v>
      </c>
      <c r="AH314" s="212">
        <f>IF(AG314=0,0,E311&amp;COUNTIF($AG$7:AG314,AG314))</f>
        <v>0</v>
      </c>
      <c r="AI314" s="212">
        <f t="shared" ref="AI314" si="3605">IF($AD314=AI$6,$E311,0)</f>
        <v>0</v>
      </c>
      <c r="AJ314" s="212" t="b">
        <f>IF(AI314=0,FALSE,IF(COUNTIF(AI$7:AI314,AI314)&gt;1,TRUE,FALSE))</f>
        <v>0</v>
      </c>
      <c r="AK314" s="212">
        <f t="shared" ref="AK314" si="3606">IF($AD314=AK$6,$E311,0)</f>
        <v>0</v>
      </c>
      <c r="AL314" s="212" t="b">
        <f>IF(AK314=0,FALSE,IF(COUNTIF(AK$7:AK314,AK314)&gt;1,TRUE,FALSE))</f>
        <v>0</v>
      </c>
      <c r="AM314" s="212">
        <f t="shared" ref="AM314" si="3607">IF(COUNTIF(Y314,"*七種*")&gt;0,0,IF($AD314=AM$6,$E311,0))</f>
        <v>0</v>
      </c>
      <c r="AN314" s="212" t="b">
        <f>IF(AM314=0,FALSE,IF(COUNTIF(AM$7:AM314,AM314)&gt;1,TRUE,FALSE))</f>
        <v>0</v>
      </c>
      <c r="AO314" s="212">
        <f t="shared" ref="AO314" si="3608">IF($AD314=AO$6,$E311,0)</f>
        <v>0</v>
      </c>
      <c r="AP314" s="212" t="b">
        <f>IF(AO314=0,FALSE,IF(COUNTIF(AO$7:AO314,AO314)&gt;1,TRUE,FALSE))</f>
        <v>0</v>
      </c>
      <c r="AQ314" s="212">
        <f t="shared" ref="AQ314" si="3609">IF(COUNTIF(Y314,"*七種競技*")&gt;0,E311,0)</f>
        <v>0</v>
      </c>
      <c r="AR314" s="212" t="b">
        <f t="shared" si="3021"/>
        <v>0</v>
      </c>
      <c r="AT314" s="212" t="b">
        <f t="shared" si="3034"/>
        <v>0</v>
      </c>
      <c r="AX314" s="274"/>
      <c r="BD314" s="212" t="b">
        <f t="shared" si="3008"/>
        <v>0</v>
      </c>
      <c r="BF314" s="212" t="b">
        <f t="shared" ref="BF314" si="3610">IF(J314="",FALSE,IF(OR(AND(AU311,L314=""),AND(AU311,L314="",OR(M314&lt;&gt;"",N314&lt;&gt;"",O314&lt;&gt;"",P314&lt;&gt;""))),TRUE,FALSE))</f>
        <v>0</v>
      </c>
      <c r="BG314" s="212" t="b">
        <f t="shared" si="3010"/>
        <v>0</v>
      </c>
      <c r="BH314" s="212" t="b">
        <f t="shared" si="3023"/>
        <v>0</v>
      </c>
      <c r="BI314" s="212" t="b">
        <f t="shared" ref="BI314" si="3611">IF(J314="",FALSE,IF(L314=0,FALSE,IF(AND(AU311,NOT(BF314),OR(M314="",N314="",O314="")),TRUE,FALSE)))</f>
        <v>0</v>
      </c>
      <c r="BJ314" s="231" t="b">
        <f t="shared" si="3025"/>
        <v>0</v>
      </c>
      <c r="BK314" s="231" t="b">
        <f>IF(NOT(BJ314),FALSE,IF(AND(競技会設定!$C$5&lt;=BJ314,BJ314&lt;=競技会設定!$C$6),FALSE,TRUE))</f>
        <v>0</v>
      </c>
      <c r="BL314" s="212" t="b">
        <f>IF(J314="",FALSE,IF(L314=0,FALSE,IF(AND(AU311,NOT(BF314),NOT(BI314),P314=""),TRUE,FALSE)))</f>
        <v>0</v>
      </c>
    </row>
    <row r="315" spans="1:67" ht="18" customHeight="1" thickTop="1">
      <c r="A315" s="461">
        <v>78</v>
      </c>
      <c r="B315" s="373" t="s">
        <v>4018</v>
      </c>
      <c r="C315" s="375"/>
      <c r="D315" s="158" t="str">
        <f t="shared" ref="D315" si="3612">IF(C315="","",502&amp;TEXT(C315,"000000"))</f>
        <v/>
      </c>
      <c r="E315" s="464" t="str">
        <f>IF(D315="","",(VLOOKUP(D315,女子登録!$A$2:$N$2001,3,0)))</f>
        <v/>
      </c>
      <c r="F315" s="464" t="str">
        <f>IF(D315="","",(VLOOKUP(D315,女子登録!$A$2:$N$2001,4,0)))</f>
        <v/>
      </c>
      <c r="G315" s="158" t="str">
        <f>IF(C315="","",(VLOOKUP(D315,女子登録!$A$2:$N$2001,8,0)))</f>
        <v/>
      </c>
      <c r="H315" s="158">
        <f>IFERROR(VLOOKUP(D315,女子登録!$A$2:$N$2001,11,0),基本情報!$E$5)</f>
        <v>0</v>
      </c>
      <c r="I315" s="158" t="s">
        <v>4019</v>
      </c>
      <c r="J315" s="174"/>
      <c r="K315" s="158" t="s">
        <v>4022</v>
      </c>
      <c r="L315" s="174"/>
      <c r="M315" s="261"/>
      <c r="N315" s="262"/>
      <c r="O315" s="263"/>
      <c r="P315" s="174"/>
      <c r="Q315" s="448"/>
      <c r="R315" s="408"/>
      <c r="S315" s="136">
        <f t="shared" ref="S315" si="3613">IF(OR(E315="",Q315=""),0,E315)</f>
        <v>0</v>
      </c>
      <c r="T315" s="137">
        <f>IF(S315=0,0,COUNTIF($S$7:S315,"*"))</f>
        <v>0</v>
      </c>
      <c r="U315" s="137">
        <f>IF(S315=0,0,COUNTIF($S$7:S315,S315))</f>
        <v>0</v>
      </c>
      <c r="V315" s="137">
        <f t="shared" si="3237"/>
        <v>0</v>
      </c>
      <c r="W315" s="137">
        <f>IF(V315=0,0,COUNTIF($V$7:V315,"*"))</f>
        <v>0</v>
      </c>
      <c r="X315" s="137">
        <f>IF(V315=0,0,COUNTIF($V$7:V315,V315))</f>
        <v>0</v>
      </c>
      <c r="Y315" s="212">
        <f t="shared" ref="Y315" si="3614">IF(OR(E315="",J315=""),0,J315&amp;E315)</f>
        <v>0</v>
      </c>
      <c r="Z315" s="212">
        <f>IF(Y315=0,0,COUNTIF($Y$7:Y315,Y315))</f>
        <v>0</v>
      </c>
      <c r="AA315" s="212" t="b">
        <f>IF(COUNTIF(J315:J318,"七種競技")&gt;0,TRUE,FALSE)</f>
        <v>0</v>
      </c>
      <c r="AB315" s="212">
        <f>IF(E315="",0,IF(AA315,COUNTIF($AA$7:AA315,TRUE),0))</f>
        <v>0</v>
      </c>
      <c r="AC315" s="212">
        <f>IFERROR(VLOOKUP("七種競技",J315:L318,3,0),0)</f>
        <v>0</v>
      </c>
      <c r="AD315" s="212">
        <f>IFERROR(VLOOKUP(J315,競技会設定!$T$2:$W$22,2,0),0)</f>
        <v>0</v>
      </c>
      <c r="AE315" s="212">
        <f t="shared" ref="AE315" si="3615">IF(E315="",0,IF(AD315=0,0,IF(AD315&lt;3,E315&amp;$AE$6,0)))</f>
        <v>0</v>
      </c>
      <c r="AF315" s="212">
        <f>IF(AE315=0,0,E315&amp;COUNTIF($AE$7:AE315,AE315))</f>
        <v>0</v>
      </c>
      <c r="AG315" s="212">
        <f t="shared" ref="AG315" si="3616">IF(E315="",0,IF(AD315=0,0,IF(AD315&gt;=3,E315&amp;$AG$6,0)))</f>
        <v>0</v>
      </c>
      <c r="AH315" s="212">
        <f>IF(AG315=0,0,E315&amp;COUNTIF($AG$7:AG315,AG315))</f>
        <v>0</v>
      </c>
      <c r="AI315" s="212">
        <f t="shared" ref="AI315" si="3617">IF($AD315=AI$6,$E315,0)</f>
        <v>0</v>
      </c>
      <c r="AJ315" s="212" t="b">
        <f>IF(AI315=0,FALSE,IF(COUNTIF(AI$7:AI315,AI315)&gt;1,TRUE,FALSE))</f>
        <v>0</v>
      </c>
      <c r="AK315" s="212">
        <f t="shared" ref="AK315" si="3618">IF($AD315=AK$6,$E315,0)</f>
        <v>0</v>
      </c>
      <c r="AL315" s="212" t="b">
        <f>IF(AK315=0,FALSE,IF(COUNTIF(AK$7:AK315,AK315)&gt;1,TRUE,FALSE))</f>
        <v>0</v>
      </c>
      <c r="AM315" s="212">
        <f t="shared" ref="AM315" si="3619">IF(COUNTIF(Y315,"*七種*")&gt;0,0,IF($AD315=AM$6,$E315,0))</f>
        <v>0</v>
      </c>
      <c r="AN315" s="212" t="b">
        <f>IF(AM315=0,FALSE,IF(COUNTIF(AM$7:AM315,AM315)&gt;1,TRUE,FALSE))</f>
        <v>0</v>
      </c>
      <c r="AO315" s="212">
        <f t="shared" ref="AO315" si="3620">IF($AD315=AO$6,$E315,0)</f>
        <v>0</v>
      </c>
      <c r="AP315" s="212" t="b">
        <f>IF(AO315=0,FALSE,IF(COUNTIF(AO$7:AO315,AO315)&gt;1,TRUE,FALSE))</f>
        <v>0</v>
      </c>
      <c r="AQ315" s="212">
        <f t="shared" ref="AQ315" si="3621">IF(COUNTIF(Y315,"*七種競技*")&gt;0,E315,0)</f>
        <v>0</v>
      </c>
      <c r="AR315" s="212" t="b">
        <f t="shared" si="3021"/>
        <v>0</v>
      </c>
      <c r="AS315" s="212" t="b">
        <f t="shared" ref="AS315" si="3622">IF(AND(C315="",E315&lt;&gt;"",F315&lt;&gt;"",E317&lt;&gt;"",G315&lt;&gt;"",G316&lt;&gt;"",G317&lt;&gt;""),TRUE,FALSE)</f>
        <v>0</v>
      </c>
      <c r="AT315" s="212" t="b">
        <f t="shared" si="3034"/>
        <v>0</v>
      </c>
      <c r="AU315" s="212" t="b">
        <f>IFERROR(IF(E315&amp;F315&amp;E317&amp;G315&amp;G316&amp;G317&amp;J315&amp;J316&amp;J317&amp;J318&amp;L315&amp;L316&amp;L317&amp;L318&amp;M315&amp;M316&amp;M317&amp;M318&amp;P315&amp;P316&amp;P317&amp;P318&amp;Q315&amp;R315="",FALSE,TRUE),FALSE)</f>
        <v>0</v>
      </c>
      <c r="AV315" s="212" t="b">
        <f t="shared" ref="AV315" si="3623">IF(AS315,FALSE,IF(C315="",AU315,FALSE))</f>
        <v>0</v>
      </c>
      <c r="AW315" s="212" t="b">
        <f t="shared" ref="AW315" si="3624">IF(C315="",FALSE,IF(C315&lt;=2000,TRUE,FALSE))</f>
        <v>0</v>
      </c>
      <c r="AX315" s="274" t="b">
        <f>IF(H315=0,FALSE,IF(EXACT(基本情報!$E$5,H315)=TRUE,FALSE,TRUE))</f>
        <v>0</v>
      </c>
      <c r="AY315" s="212" t="b">
        <f>IF(C315="",FALSE,IF(ISNA(E315)=TRUE,TRUE,FALSE))</f>
        <v>0</v>
      </c>
      <c r="AZ315" s="274" t="b">
        <f>IFERROR(IF(E315="",FALSE,IF(COUNTIF($E$7:E315,E315)&gt;1,TRUE,FALSE)),FALSE)</f>
        <v>0</v>
      </c>
      <c r="BA315" s="212" t="b">
        <f t="shared" ref="BA315" si="3625">IF(OR(J315&amp;J316&amp;J317&amp;J318&amp;Q315&amp;R315="",AT315,AT316,AT317,AT318),AU315,FALSE)</f>
        <v>0</v>
      </c>
      <c r="BB315" s="212" t="b">
        <f>IF(U315&gt;1,TRUE,FALSE)</f>
        <v>0</v>
      </c>
      <c r="BC315" s="212" t="b">
        <f>IF(X315&gt;1,TRUE,FALSE)</f>
        <v>0</v>
      </c>
      <c r="BD315" s="212" t="b">
        <f t="shared" si="3008"/>
        <v>0</v>
      </c>
      <c r="BF315" s="212" t="b">
        <f t="shared" ref="BF315" si="3626">IF(J315="",FALSE,IF(OR(AND(AU315,L315=""),AND(AU315,L315="",OR(M315&lt;&gt;"",N315&lt;&gt;"",O315&lt;&gt;"",P315&lt;&gt;""))),TRUE,FALSE))</f>
        <v>0</v>
      </c>
      <c r="BG315" s="212" t="b">
        <f t="shared" si="3010"/>
        <v>0</v>
      </c>
      <c r="BH315" s="212" t="b">
        <f t="shared" si="3023"/>
        <v>0</v>
      </c>
      <c r="BI315" s="212" t="b">
        <f t="shared" ref="BI315" si="3627">IF(J315="",FALSE,IF(L315=0,FALSE,IF(AND(AU315,NOT(BF315),OR(M315="",N315="",O315="")),TRUE,FALSE)))</f>
        <v>0</v>
      </c>
      <c r="BJ315" s="231" t="b">
        <f t="shared" si="3025"/>
        <v>0</v>
      </c>
      <c r="BK315" s="231" t="b">
        <f>IF(NOT(BJ315),FALSE,IF(AND(競技会設定!$C$5&lt;=BJ315,BJ315&lt;=競技会設定!$C$6),FALSE,TRUE))</f>
        <v>0</v>
      </c>
      <c r="BL315" s="212" t="b">
        <f>IF(J315="",FALSE,IF(L315=0,FALSE,IF(AND(AU315,NOT(BF315),NOT(BI315),P315=""),TRUE,FALSE)))</f>
        <v>0</v>
      </c>
      <c r="BO315" s="274">
        <f t="shared" ref="BO315" si="3628">IF(AND(AU315,SUM(COUNTIF(AV315:BC315,TRUE),COUNTIF(BF315:BL318,TRUE),COUNTIF(BD315:BD318,TRUE))=0,NOT($BE$7)),1,0)</f>
        <v>0</v>
      </c>
    </row>
    <row r="316" spans="1:67" ht="17.399999999999999" customHeight="1">
      <c r="A316" s="462"/>
      <c r="B316" s="374"/>
      <c r="C316" s="376"/>
      <c r="D316" s="159"/>
      <c r="E316" s="465"/>
      <c r="F316" s="465"/>
      <c r="G316" s="159" t="str">
        <f>IF(C315="","",(VLOOKUP(D315,女子登録!$A$2:$N$2001,13,0)))</f>
        <v/>
      </c>
      <c r="H316" s="159"/>
      <c r="I316" s="159" t="s">
        <v>4020</v>
      </c>
      <c r="J316" s="175"/>
      <c r="K316" s="159" t="s">
        <v>4023</v>
      </c>
      <c r="L316" s="175"/>
      <c r="M316" s="264"/>
      <c r="N316" s="265"/>
      <c r="O316" s="266"/>
      <c r="P316" s="175"/>
      <c r="Q316" s="449"/>
      <c r="R316" s="409"/>
      <c r="S316" s="136"/>
      <c r="T316" s="137"/>
      <c r="U316" s="137"/>
      <c r="V316" s="137"/>
      <c r="W316" s="137"/>
      <c r="X316" s="137"/>
      <c r="Y316" s="212">
        <f t="shared" ref="Y316" si="3629">IF(OR(E315="",J316=""),0,J316&amp;E315)</f>
        <v>0</v>
      </c>
      <c r="Z316" s="212">
        <f>IF(Y316=0,0,COUNTIF($Y$7:Y316,Y316))</f>
        <v>0</v>
      </c>
      <c r="AD316" s="212">
        <f>IFERROR(VLOOKUP(J316,競技会設定!$T$2:$W$22,2,0),0)</f>
        <v>0</v>
      </c>
      <c r="AE316" s="212">
        <f t="shared" ref="AE316" si="3630">IF(E315="",0,IF(AD316=0,0,IF(AD316&lt;3,E315&amp;$AE$6,0)))</f>
        <v>0</v>
      </c>
      <c r="AF316" s="212">
        <f>IF(AE316=0,0,E315&amp;COUNTIF($AE$7:AE316,AE316))</f>
        <v>0</v>
      </c>
      <c r="AG316" s="212">
        <f t="shared" ref="AG316" si="3631">IF(E315="",0,IF(AD316=0,0,IF(AD316&gt;=3,E315&amp;$AG$6,0)))</f>
        <v>0</v>
      </c>
      <c r="AH316" s="212">
        <f>IF(AG316=0,0,E315&amp;COUNTIF($AG$7:AG316,AG316))</f>
        <v>0</v>
      </c>
      <c r="AI316" s="212">
        <f t="shared" ref="AI316" si="3632">IF($AD316=AI$6,$E315,0)</f>
        <v>0</v>
      </c>
      <c r="AJ316" s="212" t="b">
        <f>IF(AI316=0,FALSE,IF(COUNTIF(AI$7:AI316,AI316)&gt;1,TRUE,FALSE))</f>
        <v>0</v>
      </c>
      <c r="AK316" s="212">
        <f t="shared" ref="AK316" si="3633">IF($AD316=AK$6,$E315,0)</f>
        <v>0</v>
      </c>
      <c r="AL316" s="212" t="b">
        <f>IF(AK316=0,FALSE,IF(COUNTIF(AK$7:AK316,AK316)&gt;1,TRUE,FALSE))</f>
        <v>0</v>
      </c>
      <c r="AM316" s="212">
        <f t="shared" ref="AM316" si="3634">IF(COUNTIF(Y316,"*七種*")&gt;0,0,IF($AD316=AM$6,$E315,0))</f>
        <v>0</v>
      </c>
      <c r="AN316" s="212" t="b">
        <f>IF(AM316=0,FALSE,IF(COUNTIF(AM$7:AM316,AM316)&gt;1,TRUE,FALSE))</f>
        <v>0</v>
      </c>
      <c r="AO316" s="212">
        <f t="shared" ref="AO316" si="3635">IF($AD316=AO$6,$E315,0)</f>
        <v>0</v>
      </c>
      <c r="AP316" s="212" t="b">
        <f>IF(AO316=0,FALSE,IF(COUNTIF(AO$7:AO316,AO316)&gt;1,TRUE,FALSE))</f>
        <v>0</v>
      </c>
      <c r="AQ316" s="212">
        <f t="shared" ref="AQ316" si="3636">IF(COUNTIF(Y316,"*七種競技*")&gt;0,E315,0)</f>
        <v>0</v>
      </c>
      <c r="AR316" s="212" t="b">
        <f t="shared" si="3021"/>
        <v>0</v>
      </c>
      <c r="AT316" s="212" t="b">
        <f t="shared" si="3034"/>
        <v>0</v>
      </c>
      <c r="AX316" s="274"/>
      <c r="BD316" s="212" t="b">
        <f t="shared" si="3008"/>
        <v>0</v>
      </c>
      <c r="BF316" s="212" t="b">
        <f t="shared" ref="BF316" si="3637">IF(J316="",FALSE,IF(OR(AND(AU315,L316=""),AND(AU315,L316="",OR(M316&lt;&gt;"",N316&lt;&gt;"",O316&lt;&gt;"",P316&lt;&gt;""))),TRUE,FALSE))</f>
        <v>0</v>
      </c>
      <c r="BG316" s="212" t="b">
        <f t="shared" si="3010"/>
        <v>0</v>
      </c>
      <c r="BH316" s="212" t="b">
        <f t="shared" si="3023"/>
        <v>0</v>
      </c>
      <c r="BI316" s="212" t="b">
        <f t="shared" ref="BI316" si="3638">IF(J316="",FALSE,IF(L316=0,FALSE,IF(AND(AU315,NOT(BF316),OR(M316="",N316="",O316="")),TRUE,FALSE)))</f>
        <v>0</v>
      </c>
      <c r="BJ316" s="231" t="b">
        <f t="shared" si="3025"/>
        <v>0</v>
      </c>
      <c r="BK316" s="231" t="b">
        <f>IF(NOT(BJ316),FALSE,IF(AND(競技会設定!$C$5&lt;=BJ316,BJ316&lt;=競技会設定!$C$6),FALSE,TRUE))</f>
        <v>0</v>
      </c>
      <c r="BL316" s="212" t="b">
        <f>IF(J316="",FALSE,IF(L316=0,FALSE,IF(AND(AU315,NOT(BF316),NOT(BI316),P316=""),TRUE,FALSE)))</f>
        <v>0</v>
      </c>
    </row>
    <row r="317" spans="1:67" ht="17.399999999999999" customHeight="1">
      <c r="A317" s="462"/>
      <c r="B317" s="374"/>
      <c r="C317" s="376"/>
      <c r="D317" s="160"/>
      <c r="E317" s="452" t="str">
        <f>IF(C315="","",VLOOKUP(D315,女子登録!$A$2:$O$2001,14,0)&amp;" ("&amp;VLOOKUP(D315,女子登録!$A$2:$O$2001,15,0)&amp;")")</f>
        <v/>
      </c>
      <c r="F317" s="453"/>
      <c r="G317" s="160" t="str">
        <f>IF(C315="","",(VLOOKUP(D315,女子登録!$A$2:$N$2001,9,0)))</f>
        <v/>
      </c>
      <c r="H317" s="160"/>
      <c r="I317" s="160" t="s">
        <v>4021</v>
      </c>
      <c r="J317" s="176"/>
      <c r="K317" s="160" t="s">
        <v>6760</v>
      </c>
      <c r="L317" s="176"/>
      <c r="M317" s="264"/>
      <c r="N317" s="265"/>
      <c r="O317" s="266"/>
      <c r="P317" s="175"/>
      <c r="Q317" s="449"/>
      <c r="R317" s="409"/>
      <c r="S317" s="136"/>
      <c r="T317" s="137"/>
      <c r="U317" s="137"/>
      <c r="V317" s="137"/>
      <c r="W317" s="137"/>
      <c r="X317" s="137"/>
      <c r="Y317" s="212">
        <f t="shared" ref="Y317" si="3639">IF(OR(E315="",J317=""),0,J317&amp;E315)</f>
        <v>0</v>
      </c>
      <c r="Z317" s="212">
        <f>IF(Y317=0,0,COUNTIF($Y$7:Y317,Y317))</f>
        <v>0</v>
      </c>
      <c r="AD317" s="212">
        <f>IFERROR(VLOOKUP(J317,競技会設定!$T$2:$W$22,2,0),0)</f>
        <v>0</v>
      </c>
      <c r="AE317" s="212">
        <f t="shared" ref="AE317" si="3640">IF(E315="",0,IF(AD317=0,0,IF(AD317&lt;3,E315&amp;$AE$6,0)))</f>
        <v>0</v>
      </c>
      <c r="AF317" s="212">
        <f>IF(AE317=0,0,E315&amp;COUNTIF($AE$7:AE317,AE317))</f>
        <v>0</v>
      </c>
      <c r="AG317" s="212">
        <f t="shared" ref="AG317" si="3641">IF(E315="",0,IF(AD317=0,0,IF(AD317&gt;=3,E315&amp;$AG$6,0)))</f>
        <v>0</v>
      </c>
      <c r="AH317" s="212">
        <f>IF(AG317=0,0,E315&amp;COUNTIF($AG$7:AG317,AG317))</f>
        <v>0</v>
      </c>
      <c r="AI317" s="212">
        <f t="shared" ref="AI317" si="3642">IF($AD317=AI$6,$E315,0)</f>
        <v>0</v>
      </c>
      <c r="AJ317" s="212" t="b">
        <f>IF(AI317=0,FALSE,IF(COUNTIF(AI$7:AI317,AI317)&gt;1,TRUE,FALSE))</f>
        <v>0</v>
      </c>
      <c r="AK317" s="212">
        <f t="shared" ref="AK317" si="3643">IF($AD317=AK$6,$E315,0)</f>
        <v>0</v>
      </c>
      <c r="AL317" s="212" t="b">
        <f>IF(AK317=0,FALSE,IF(COUNTIF(AK$7:AK317,AK317)&gt;1,TRUE,FALSE))</f>
        <v>0</v>
      </c>
      <c r="AM317" s="212">
        <f t="shared" ref="AM317" si="3644">IF(COUNTIF(Y317,"*七種*")&gt;0,0,IF($AD317=AM$6,$E315,0))</f>
        <v>0</v>
      </c>
      <c r="AN317" s="212" t="b">
        <f>IF(AM317=0,FALSE,IF(COUNTIF(AM$7:AM317,AM317)&gt;1,TRUE,FALSE))</f>
        <v>0</v>
      </c>
      <c r="AO317" s="212">
        <f t="shared" ref="AO317" si="3645">IF($AD317=AO$6,$E315,0)</f>
        <v>0</v>
      </c>
      <c r="AP317" s="212" t="b">
        <f>IF(AO317=0,FALSE,IF(COUNTIF(AO$7:AO317,AO317)&gt;1,TRUE,FALSE))</f>
        <v>0</v>
      </c>
      <c r="AQ317" s="212">
        <f t="shared" ref="AQ317" si="3646">IF(COUNTIF(Y317,"*七種競技*")&gt;0,E315,0)</f>
        <v>0</v>
      </c>
      <c r="AR317" s="212" t="b">
        <f t="shared" si="3021"/>
        <v>0</v>
      </c>
      <c r="AT317" s="212" t="b">
        <f t="shared" si="3034"/>
        <v>0</v>
      </c>
      <c r="AX317" s="274"/>
      <c r="BD317" s="212" t="b">
        <f t="shared" si="3008"/>
        <v>0</v>
      </c>
      <c r="BF317" s="212" t="b">
        <f t="shared" ref="BF317" si="3647">IF(J317="",FALSE,IF(OR(AND(AU315,L317=""),AND(AU315,L317="",OR(M317&lt;&gt;"",N317&lt;&gt;"",O317&lt;&gt;"",P317&lt;&gt;""))),TRUE,FALSE))</f>
        <v>0</v>
      </c>
      <c r="BG317" s="212" t="b">
        <f t="shared" si="3010"/>
        <v>0</v>
      </c>
      <c r="BH317" s="212" t="b">
        <f t="shared" si="3023"/>
        <v>0</v>
      </c>
      <c r="BI317" s="212" t="b">
        <f t="shared" ref="BI317" si="3648">IF(J317="",FALSE,IF(L317=0,FALSE,IF(AND(AU315,NOT(BF317),OR(M317="",N317="",O317="")),TRUE,FALSE)))</f>
        <v>0</v>
      </c>
      <c r="BJ317" s="231" t="b">
        <f t="shared" si="3025"/>
        <v>0</v>
      </c>
      <c r="BK317" s="231" t="b">
        <f>IF(NOT(BJ317),FALSE,IF(AND(競技会設定!$C$5&lt;=BJ317,BJ317&lt;=競技会設定!$C$6),FALSE,TRUE))</f>
        <v>0</v>
      </c>
      <c r="BL317" s="212" t="b">
        <f>IF(J317="",FALSE,IF(L317=0,FALSE,IF(AND(AU315,NOT(BF317),NOT(BI317),P317=""),TRUE,FALSE)))</f>
        <v>0</v>
      </c>
    </row>
    <row r="318" spans="1:67" ht="18" customHeight="1" thickBot="1">
      <c r="A318" s="475"/>
      <c r="B318" s="387" t="s">
        <v>6764</v>
      </c>
      <c r="C318" s="387"/>
      <c r="D318" s="161"/>
      <c r="E318" s="467"/>
      <c r="F318" s="468"/>
      <c r="G318" s="469"/>
      <c r="H318" s="162"/>
      <c r="I318" s="161" t="s">
        <v>6759</v>
      </c>
      <c r="J318" s="177"/>
      <c r="K318" s="161" t="s">
        <v>6761</v>
      </c>
      <c r="L318" s="177"/>
      <c r="M318" s="267"/>
      <c r="N318" s="268"/>
      <c r="O318" s="269"/>
      <c r="P318" s="177"/>
      <c r="Q318" s="466"/>
      <c r="R318" s="410"/>
      <c r="S318" s="136"/>
      <c r="T318" s="137"/>
      <c r="U318" s="137"/>
      <c r="V318" s="137"/>
      <c r="W318" s="137"/>
      <c r="X318" s="137"/>
      <c r="Y318" s="212">
        <f t="shared" ref="Y318" si="3649">IF(OR(E315="",J318=""),0,J318&amp;E315)</f>
        <v>0</v>
      </c>
      <c r="Z318" s="212">
        <f>IF(Y318=0,0,COUNTIF($Y$7:Y318,Y318))</f>
        <v>0</v>
      </c>
      <c r="AD318" s="212">
        <f>IFERROR(VLOOKUP(J318,競技会設定!$T$2:$W$22,2,0),0)</f>
        <v>0</v>
      </c>
      <c r="AE318" s="212">
        <f t="shared" ref="AE318" si="3650">IF(E315="",0,IF(AD318=0,0,IF(AD318&lt;3,E315&amp;$AE$6,0)))</f>
        <v>0</v>
      </c>
      <c r="AF318" s="212">
        <f>IF(AE318=0,0,E315&amp;COUNTIF($AE$7:AE318,AE318))</f>
        <v>0</v>
      </c>
      <c r="AG318" s="212">
        <f t="shared" ref="AG318" si="3651">IF(E315="",0,IF(AD318=0,0,IF(AD318&gt;=3,E315&amp;$AG$6,0)))</f>
        <v>0</v>
      </c>
      <c r="AH318" s="212">
        <f>IF(AG318=0,0,E315&amp;COUNTIF($AG$7:AG318,AG318))</f>
        <v>0</v>
      </c>
      <c r="AI318" s="212">
        <f t="shared" ref="AI318" si="3652">IF($AD318=AI$6,$E315,0)</f>
        <v>0</v>
      </c>
      <c r="AJ318" s="212" t="b">
        <f>IF(AI318=0,FALSE,IF(COUNTIF(AI$7:AI318,AI318)&gt;1,TRUE,FALSE))</f>
        <v>0</v>
      </c>
      <c r="AK318" s="212">
        <f t="shared" ref="AK318" si="3653">IF($AD318=AK$6,$E315,0)</f>
        <v>0</v>
      </c>
      <c r="AL318" s="212" t="b">
        <f>IF(AK318=0,FALSE,IF(COUNTIF(AK$7:AK318,AK318)&gt;1,TRUE,FALSE))</f>
        <v>0</v>
      </c>
      <c r="AM318" s="212">
        <f t="shared" ref="AM318" si="3654">IF(COUNTIF(Y318,"*七種*")&gt;0,0,IF($AD318=AM$6,$E315,0))</f>
        <v>0</v>
      </c>
      <c r="AN318" s="212" t="b">
        <f>IF(AM318=0,FALSE,IF(COUNTIF(AM$7:AM318,AM318)&gt;1,TRUE,FALSE))</f>
        <v>0</v>
      </c>
      <c r="AO318" s="212">
        <f t="shared" ref="AO318" si="3655">IF($AD318=AO$6,$E315,0)</f>
        <v>0</v>
      </c>
      <c r="AP318" s="212" t="b">
        <f>IF(AO318=0,FALSE,IF(COUNTIF(AO$7:AO318,AO318)&gt;1,TRUE,FALSE))</f>
        <v>0</v>
      </c>
      <c r="AQ318" s="212">
        <f t="shared" ref="AQ318" si="3656">IF(COUNTIF(Y318,"*七種競技*")&gt;0,E315,0)</f>
        <v>0</v>
      </c>
      <c r="AR318" s="212" t="b">
        <f t="shared" si="3021"/>
        <v>0</v>
      </c>
      <c r="AT318" s="212" t="b">
        <f t="shared" si="3034"/>
        <v>0</v>
      </c>
      <c r="AX318" s="274"/>
      <c r="BD318" s="212" t="b">
        <f t="shared" si="3008"/>
        <v>0</v>
      </c>
      <c r="BF318" s="212" t="b">
        <f t="shared" ref="BF318" si="3657">IF(J318="",FALSE,IF(OR(AND(AU315,L318=""),AND(AU315,L318="",OR(M318&lt;&gt;"",N318&lt;&gt;"",O318&lt;&gt;"",P318&lt;&gt;""))),TRUE,FALSE))</f>
        <v>0</v>
      </c>
      <c r="BG318" s="212" t="b">
        <f t="shared" si="3010"/>
        <v>0</v>
      </c>
      <c r="BH318" s="212" t="b">
        <f t="shared" si="3023"/>
        <v>0</v>
      </c>
      <c r="BI318" s="212" t="b">
        <f t="shared" ref="BI318" si="3658">IF(J318="",FALSE,IF(L318=0,FALSE,IF(AND(AU315,NOT(BF318),OR(M318="",N318="",O318="")),TRUE,FALSE)))</f>
        <v>0</v>
      </c>
      <c r="BJ318" s="231" t="b">
        <f t="shared" si="3025"/>
        <v>0</v>
      </c>
      <c r="BK318" s="231" t="b">
        <f>IF(NOT(BJ318),FALSE,IF(AND(競技会設定!$C$5&lt;=BJ318,BJ318&lt;=競技会設定!$C$6),FALSE,TRUE))</f>
        <v>0</v>
      </c>
      <c r="BL318" s="212" t="b">
        <f>IF(J318="",FALSE,IF(L318=0,FALSE,IF(AND(AU315,NOT(BF318),NOT(BI318),P318=""),TRUE,FALSE)))</f>
        <v>0</v>
      </c>
    </row>
    <row r="319" spans="1:67" ht="18" customHeight="1" thickTop="1">
      <c r="A319" s="470">
        <v>79</v>
      </c>
      <c r="B319" s="401" t="s">
        <v>4018</v>
      </c>
      <c r="C319" s="403"/>
      <c r="D319" s="156" t="str">
        <f t="shared" ref="D319" si="3659">IF(C319="","",502&amp;TEXT(C319,"000000"))</f>
        <v/>
      </c>
      <c r="E319" s="473" t="str">
        <f>IF(D319="","",(VLOOKUP(D319,女子登録!$A$2:$N$2001,3,0)))</f>
        <v/>
      </c>
      <c r="F319" s="473" t="str">
        <f>IF(D319="","",(VLOOKUP(D319,女子登録!$A$2:$N$2001,4,0)))</f>
        <v/>
      </c>
      <c r="G319" s="156" t="str">
        <f>IF(C319="","",(VLOOKUP(D319,女子登録!$A$2:$N$2001,8,0)))</f>
        <v/>
      </c>
      <c r="H319" s="156">
        <f>IFERROR(VLOOKUP(D319,女子登録!$A$2:$N$2001,11,0),基本情報!$E$5)</f>
        <v>0</v>
      </c>
      <c r="I319" s="156" t="s">
        <v>4019</v>
      </c>
      <c r="J319" s="170"/>
      <c r="K319" s="156" t="s">
        <v>4022</v>
      </c>
      <c r="L319" s="170"/>
      <c r="M319" s="252"/>
      <c r="N319" s="253"/>
      <c r="O319" s="254"/>
      <c r="P319" s="170"/>
      <c r="Q319" s="457"/>
      <c r="R319" s="414"/>
      <c r="S319" s="136">
        <f t="shared" ref="S319" si="3660">IF(OR(E319="",Q319=""),0,E319)</f>
        <v>0</v>
      </c>
      <c r="T319" s="137">
        <f>IF(S319=0,0,COUNTIF($S$7:S319,"*"))</f>
        <v>0</v>
      </c>
      <c r="U319" s="137">
        <f>IF(S319=0,0,COUNTIF($S$7:S319,S319))</f>
        <v>0</v>
      </c>
      <c r="V319" s="137">
        <f t="shared" si="3237"/>
        <v>0</v>
      </c>
      <c r="W319" s="137">
        <f>IF(V319=0,0,COUNTIF($V$7:V319,"*"))</f>
        <v>0</v>
      </c>
      <c r="X319" s="137">
        <f>IF(V319=0,0,COUNTIF($V$7:V319,V319))</f>
        <v>0</v>
      </c>
      <c r="Y319" s="212">
        <f t="shared" ref="Y319" si="3661">IF(OR(E319="",J319=""),0,J319&amp;E319)</f>
        <v>0</v>
      </c>
      <c r="Z319" s="212">
        <f>IF(Y319=0,0,COUNTIF($Y$7:Y319,Y319))</f>
        <v>0</v>
      </c>
      <c r="AA319" s="212" t="b">
        <f>IF(COUNTIF(J319:J322,"七種競技")&gt;0,TRUE,FALSE)</f>
        <v>0</v>
      </c>
      <c r="AB319" s="212">
        <f>IF(E319="",0,IF(AA319,COUNTIF($AA$7:AA319,TRUE),0))</f>
        <v>0</v>
      </c>
      <c r="AC319" s="212">
        <f>IFERROR(VLOOKUP("七種競技",J319:L322,3,0),0)</f>
        <v>0</v>
      </c>
      <c r="AD319" s="212">
        <f>IFERROR(VLOOKUP(J319,競技会設定!$T$2:$W$22,2,0),0)</f>
        <v>0</v>
      </c>
      <c r="AE319" s="212">
        <f t="shared" ref="AE319" si="3662">IF(E319="",0,IF(AD319=0,0,IF(AD319&lt;3,E319&amp;$AE$6,0)))</f>
        <v>0</v>
      </c>
      <c r="AF319" s="212">
        <f>IF(AE319=0,0,E319&amp;COUNTIF($AE$7:AE319,AE319))</f>
        <v>0</v>
      </c>
      <c r="AG319" s="212">
        <f t="shared" ref="AG319" si="3663">IF(E319="",0,IF(AD319=0,0,IF(AD319&gt;=3,E319&amp;$AG$6,0)))</f>
        <v>0</v>
      </c>
      <c r="AH319" s="212">
        <f>IF(AG319=0,0,E319&amp;COUNTIF($AG$7:AG319,AG319))</f>
        <v>0</v>
      </c>
      <c r="AI319" s="212">
        <f t="shared" ref="AI319" si="3664">IF($AD319=AI$6,$E319,0)</f>
        <v>0</v>
      </c>
      <c r="AJ319" s="212" t="b">
        <f>IF(AI319=0,FALSE,IF(COUNTIF(AI$7:AI319,AI319)&gt;1,TRUE,FALSE))</f>
        <v>0</v>
      </c>
      <c r="AK319" s="212">
        <f t="shared" ref="AK319" si="3665">IF($AD319=AK$6,$E319,0)</f>
        <v>0</v>
      </c>
      <c r="AL319" s="212" t="b">
        <f>IF(AK319=0,FALSE,IF(COUNTIF(AK$7:AK319,AK319)&gt;1,TRUE,FALSE))</f>
        <v>0</v>
      </c>
      <c r="AM319" s="212">
        <f t="shared" ref="AM319" si="3666">IF(COUNTIF(Y319,"*七種*")&gt;0,0,IF($AD319=AM$6,$E319,0))</f>
        <v>0</v>
      </c>
      <c r="AN319" s="212" t="b">
        <f>IF(AM319=0,FALSE,IF(COUNTIF(AM$7:AM319,AM319)&gt;1,TRUE,FALSE))</f>
        <v>0</v>
      </c>
      <c r="AO319" s="212">
        <f t="shared" ref="AO319" si="3667">IF($AD319=AO$6,$E319,0)</f>
        <v>0</v>
      </c>
      <c r="AP319" s="212" t="b">
        <f>IF(AO319=0,FALSE,IF(COUNTIF(AO$7:AO319,AO319)&gt;1,TRUE,FALSE))</f>
        <v>0</v>
      </c>
      <c r="AQ319" s="212">
        <f t="shared" ref="AQ319" si="3668">IF(COUNTIF(Y319,"*七種競技*")&gt;0,E319,0)</f>
        <v>0</v>
      </c>
      <c r="AR319" s="212" t="b">
        <f t="shared" si="3021"/>
        <v>0</v>
      </c>
      <c r="AS319" s="212" t="b">
        <f t="shared" ref="AS319" si="3669">IF(AND(C319="",E319&lt;&gt;"",F319&lt;&gt;"",E321&lt;&gt;"",G319&lt;&gt;"",G320&lt;&gt;"",G321&lt;&gt;""),TRUE,FALSE)</f>
        <v>0</v>
      </c>
      <c r="AT319" s="212" t="b">
        <f t="shared" si="3034"/>
        <v>0</v>
      </c>
      <c r="AU319" s="212" t="b">
        <f>IFERROR(IF(E319&amp;F319&amp;E321&amp;G319&amp;G320&amp;G321&amp;J319&amp;J320&amp;J321&amp;J322&amp;L319&amp;L320&amp;L321&amp;L322&amp;M319&amp;M320&amp;M321&amp;M322&amp;P319&amp;P320&amp;P321&amp;P322&amp;Q319&amp;R319="",FALSE,TRUE),FALSE)</f>
        <v>0</v>
      </c>
      <c r="AV319" s="212" t="b">
        <f t="shared" ref="AV319" si="3670">IF(AS319,FALSE,IF(C319="",AU319,FALSE))</f>
        <v>0</v>
      </c>
      <c r="AW319" s="212" t="b">
        <f t="shared" ref="AW319" si="3671">IF(C319="",FALSE,IF(C319&lt;=2000,TRUE,FALSE))</f>
        <v>0</v>
      </c>
      <c r="AX319" s="274" t="b">
        <f>IF(H319=0,FALSE,IF(EXACT(基本情報!$E$5,H319)=TRUE,FALSE,TRUE))</f>
        <v>0</v>
      </c>
      <c r="AY319" s="212" t="b">
        <f>IF(C319="",FALSE,IF(ISNA(E319)=TRUE,TRUE,FALSE))</f>
        <v>0</v>
      </c>
      <c r="AZ319" s="274" t="b">
        <f>IFERROR(IF(E319="",FALSE,IF(COUNTIF($E$7:E319,E319)&gt;1,TRUE,FALSE)),FALSE)</f>
        <v>0</v>
      </c>
      <c r="BA319" s="212" t="b">
        <f t="shared" ref="BA319" si="3672">IF(OR(J319&amp;J320&amp;J321&amp;J322&amp;Q319&amp;R319="",AT319,AT320,AT321,AT322),AU319,FALSE)</f>
        <v>0</v>
      </c>
      <c r="BB319" s="212" t="b">
        <f>IF(U319&gt;1,TRUE,FALSE)</f>
        <v>0</v>
      </c>
      <c r="BC319" s="212" t="b">
        <f>IF(X319&gt;1,TRUE,FALSE)</f>
        <v>0</v>
      </c>
      <c r="BD319" s="212" t="b">
        <f t="shared" si="3008"/>
        <v>0</v>
      </c>
      <c r="BF319" s="212" t="b">
        <f t="shared" ref="BF319" si="3673">IF(J319="",FALSE,IF(OR(AND(AU319,L319=""),AND(AU319,L319="",OR(M319&lt;&gt;"",N319&lt;&gt;"",O319&lt;&gt;"",P319&lt;&gt;""))),TRUE,FALSE))</f>
        <v>0</v>
      </c>
      <c r="BG319" s="212" t="b">
        <f t="shared" si="3010"/>
        <v>0</v>
      </c>
      <c r="BH319" s="212" t="b">
        <f t="shared" si="3023"/>
        <v>0</v>
      </c>
      <c r="BI319" s="212" t="b">
        <f t="shared" ref="BI319" si="3674">IF(J319="",FALSE,IF(L319=0,FALSE,IF(AND(AU319,NOT(BF319),OR(M319="",N319="",O319="")),TRUE,FALSE)))</f>
        <v>0</v>
      </c>
      <c r="BJ319" s="231" t="b">
        <f t="shared" si="3025"/>
        <v>0</v>
      </c>
      <c r="BK319" s="231" t="b">
        <f>IF(NOT(BJ319),FALSE,IF(AND(競技会設定!$C$5&lt;=BJ319,BJ319&lt;=競技会設定!$C$6),FALSE,TRUE))</f>
        <v>0</v>
      </c>
      <c r="BL319" s="212" t="b">
        <f>IF(J319="",FALSE,IF(L319=0,FALSE,IF(AND(AU319,NOT(BF319),NOT(BI319),P319=""),TRUE,FALSE)))</f>
        <v>0</v>
      </c>
      <c r="BO319" s="274">
        <f t="shared" ref="BO319" si="3675">IF(AND(AU319,SUM(COUNTIF(AV319:BC319,TRUE),COUNTIF(BF319:BL322,TRUE),COUNTIF(BD319:BD322,TRUE))=0,NOT($BE$7)),1,0)</f>
        <v>0</v>
      </c>
    </row>
    <row r="320" spans="1:67" ht="17.399999999999999" customHeight="1">
      <c r="A320" s="471"/>
      <c r="B320" s="402"/>
      <c r="C320" s="404"/>
      <c r="D320" s="11"/>
      <c r="E320" s="474"/>
      <c r="F320" s="474"/>
      <c r="G320" s="11" t="str">
        <f>IF(C319="","",(VLOOKUP(D319,女子登録!$A$2:$N$2001,13,0)))</f>
        <v/>
      </c>
      <c r="H320" s="11"/>
      <c r="I320" s="11" t="s">
        <v>4020</v>
      </c>
      <c r="J320" s="171"/>
      <c r="K320" s="11" t="s">
        <v>4023</v>
      </c>
      <c r="L320" s="171"/>
      <c r="M320" s="255"/>
      <c r="N320" s="256"/>
      <c r="O320" s="257"/>
      <c r="P320" s="171"/>
      <c r="Q320" s="458"/>
      <c r="R320" s="415"/>
      <c r="S320" s="136"/>
      <c r="T320" s="137"/>
      <c r="U320" s="137"/>
      <c r="V320" s="137"/>
      <c r="W320" s="137"/>
      <c r="X320" s="137"/>
      <c r="Y320" s="212">
        <f t="shared" ref="Y320" si="3676">IF(OR(E319="",J320=""),0,J320&amp;E319)</f>
        <v>0</v>
      </c>
      <c r="Z320" s="212">
        <f>IF(Y320=0,0,COUNTIF($Y$7:Y320,Y320))</f>
        <v>0</v>
      </c>
      <c r="AD320" s="212">
        <f>IFERROR(VLOOKUP(J320,競技会設定!$T$2:$W$22,2,0),0)</f>
        <v>0</v>
      </c>
      <c r="AE320" s="212">
        <f t="shared" ref="AE320" si="3677">IF(E319="",0,IF(AD320=0,0,IF(AD320&lt;3,E319&amp;$AE$6,0)))</f>
        <v>0</v>
      </c>
      <c r="AF320" s="212">
        <f>IF(AE320=0,0,E319&amp;COUNTIF($AE$7:AE320,AE320))</f>
        <v>0</v>
      </c>
      <c r="AG320" s="212">
        <f t="shared" ref="AG320" si="3678">IF(E319="",0,IF(AD320=0,0,IF(AD320&gt;=3,E319&amp;$AG$6,0)))</f>
        <v>0</v>
      </c>
      <c r="AH320" s="212">
        <f>IF(AG320=0,0,E319&amp;COUNTIF($AG$7:AG320,AG320))</f>
        <v>0</v>
      </c>
      <c r="AI320" s="212">
        <f t="shared" ref="AI320" si="3679">IF($AD320=AI$6,$E319,0)</f>
        <v>0</v>
      </c>
      <c r="AJ320" s="212" t="b">
        <f>IF(AI320=0,FALSE,IF(COUNTIF(AI$7:AI320,AI320)&gt;1,TRUE,FALSE))</f>
        <v>0</v>
      </c>
      <c r="AK320" s="212">
        <f t="shared" ref="AK320" si="3680">IF($AD320=AK$6,$E319,0)</f>
        <v>0</v>
      </c>
      <c r="AL320" s="212" t="b">
        <f>IF(AK320=0,FALSE,IF(COUNTIF(AK$7:AK320,AK320)&gt;1,TRUE,FALSE))</f>
        <v>0</v>
      </c>
      <c r="AM320" s="212">
        <f t="shared" ref="AM320" si="3681">IF(COUNTIF(Y320,"*七種*")&gt;0,0,IF($AD320=AM$6,$E319,0))</f>
        <v>0</v>
      </c>
      <c r="AN320" s="212" t="b">
        <f>IF(AM320=0,FALSE,IF(COUNTIF(AM$7:AM320,AM320)&gt;1,TRUE,FALSE))</f>
        <v>0</v>
      </c>
      <c r="AO320" s="212">
        <f t="shared" ref="AO320" si="3682">IF($AD320=AO$6,$E319,0)</f>
        <v>0</v>
      </c>
      <c r="AP320" s="212" t="b">
        <f>IF(AO320=0,FALSE,IF(COUNTIF(AO$7:AO320,AO320)&gt;1,TRUE,FALSE))</f>
        <v>0</v>
      </c>
      <c r="AQ320" s="212">
        <f t="shared" ref="AQ320" si="3683">IF(COUNTIF(Y320,"*七種競技*")&gt;0,E319,0)</f>
        <v>0</v>
      </c>
      <c r="AR320" s="212" t="b">
        <f t="shared" si="3021"/>
        <v>0</v>
      </c>
      <c r="AT320" s="212" t="b">
        <f t="shared" si="3034"/>
        <v>0</v>
      </c>
      <c r="AX320" s="274"/>
      <c r="BD320" s="212" t="b">
        <f t="shared" si="3008"/>
        <v>0</v>
      </c>
      <c r="BF320" s="212" t="b">
        <f t="shared" ref="BF320" si="3684">IF(J320="",FALSE,IF(OR(AND(AU319,L320=""),AND(AU319,L320="",OR(M320&lt;&gt;"",N320&lt;&gt;"",O320&lt;&gt;"",P320&lt;&gt;""))),TRUE,FALSE))</f>
        <v>0</v>
      </c>
      <c r="BG320" s="212" t="b">
        <f t="shared" si="3010"/>
        <v>0</v>
      </c>
      <c r="BH320" s="212" t="b">
        <f t="shared" si="3023"/>
        <v>0</v>
      </c>
      <c r="BI320" s="212" t="b">
        <f t="shared" ref="BI320" si="3685">IF(J320="",FALSE,IF(L320=0,FALSE,IF(AND(AU319,NOT(BF320),OR(M320="",N320="",O320="")),TRUE,FALSE)))</f>
        <v>0</v>
      </c>
      <c r="BJ320" s="231" t="b">
        <f t="shared" si="3025"/>
        <v>0</v>
      </c>
      <c r="BK320" s="231" t="b">
        <f>IF(NOT(BJ320),FALSE,IF(AND(競技会設定!$C$5&lt;=BJ320,BJ320&lt;=競技会設定!$C$6),FALSE,TRUE))</f>
        <v>0</v>
      </c>
      <c r="BL320" s="212" t="b">
        <f>IF(J320="",FALSE,IF(L320=0,FALSE,IF(AND(AU319,NOT(BF320),NOT(BI320),P320=""),TRUE,FALSE)))</f>
        <v>0</v>
      </c>
    </row>
    <row r="321" spans="1:67" ht="17.399999999999999" customHeight="1">
      <c r="A321" s="471"/>
      <c r="B321" s="402"/>
      <c r="C321" s="404"/>
      <c r="D321" s="11"/>
      <c r="E321" s="348" t="str">
        <f>IF(C319="","",VLOOKUP(D319,女子登録!$A$2:$O$2001,14,0)&amp;" ("&amp;VLOOKUP(D319,女子登録!$A$2:$O$2001,15,0)&amp;")")</f>
        <v/>
      </c>
      <c r="F321" s="348"/>
      <c r="G321" s="13" t="str">
        <f>IF(C319="","",(VLOOKUP(D319,女子登録!$A$2:$N$2001,9,0)))</f>
        <v/>
      </c>
      <c r="H321" s="13"/>
      <c r="I321" s="13" t="s">
        <v>4021</v>
      </c>
      <c r="J321" s="172"/>
      <c r="K321" s="13" t="s">
        <v>6760</v>
      </c>
      <c r="L321" s="172"/>
      <c r="M321" s="255"/>
      <c r="N321" s="256"/>
      <c r="O321" s="257"/>
      <c r="P321" s="171"/>
      <c r="Q321" s="458"/>
      <c r="R321" s="415"/>
      <c r="S321" s="136"/>
      <c r="T321" s="137"/>
      <c r="U321" s="137"/>
      <c r="V321" s="137"/>
      <c r="W321" s="137"/>
      <c r="X321" s="137"/>
      <c r="Y321" s="212">
        <f t="shared" ref="Y321" si="3686">IF(OR(E319="",J321=""),0,J321&amp;E319)</f>
        <v>0</v>
      </c>
      <c r="Z321" s="212">
        <f>IF(Y321=0,0,COUNTIF($Y$7:Y321,Y321))</f>
        <v>0</v>
      </c>
      <c r="AD321" s="212">
        <f>IFERROR(VLOOKUP(J321,競技会設定!$T$2:$W$22,2,0),0)</f>
        <v>0</v>
      </c>
      <c r="AE321" s="212">
        <f t="shared" ref="AE321" si="3687">IF(E319="",0,IF(AD321=0,0,IF(AD321&lt;3,E319&amp;$AE$6,0)))</f>
        <v>0</v>
      </c>
      <c r="AF321" s="212">
        <f>IF(AE321=0,0,E319&amp;COUNTIF($AE$7:AE321,AE321))</f>
        <v>0</v>
      </c>
      <c r="AG321" s="212">
        <f t="shared" ref="AG321" si="3688">IF(E319="",0,IF(AD321=0,0,IF(AD321&gt;=3,E319&amp;$AG$6,0)))</f>
        <v>0</v>
      </c>
      <c r="AH321" s="212">
        <f>IF(AG321=0,0,E319&amp;COUNTIF($AG$7:AG321,AG321))</f>
        <v>0</v>
      </c>
      <c r="AI321" s="212">
        <f t="shared" ref="AI321" si="3689">IF($AD321=AI$6,$E319,0)</f>
        <v>0</v>
      </c>
      <c r="AJ321" s="212" t="b">
        <f>IF(AI321=0,FALSE,IF(COUNTIF(AI$7:AI321,AI321)&gt;1,TRUE,FALSE))</f>
        <v>0</v>
      </c>
      <c r="AK321" s="212">
        <f t="shared" ref="AK321" si="3690">IF($AD321=AK$6,$E319,0)</f>
        <v>0</v>
      </c>
      <c r="AL321" s="212" t="b">
        <f>IF(AK321=0,FALSE,IF(COUNTIF(AK$7:AK321,AK321)&gt;1,TRUE,FALSE))</f>
        <v>0</v>
      </c>
      <c r="AM321" s="212">
        <f t="shared" ref="AM321" si="3691">IF(COUNTIF(Y321,"*七種*")&gt;0,0,IF($AD321=AM$6,$E319,0))</f>
        <v>0</v>
      </c>
      <c r="AN321" s="212" t="b">
        <f>IF(AM321=0,FALSE,IF(COUNTIF(AM$7:AM321,AM321)&gt;1,TRUE,FALSE))</f>
        <v>0</v>
      </c>
      <c r="AO321" s="212">
        <f t="shared" ref="AO321" si="3692">IF($AD321=AO$6,$E319,0)</f>
        <v>0</v>
      </c>
      <c r="AP321" s="212" t="b">
        <f>IF(AO321=0,FALSE,IF(COUNTIF(AO$7:AO321,AO321)&gt;1,TRUE,FALSE))</f>
        <v>0</v>
      </c>
      <c r="AQ321" s="212">
        <f t="shared" ref="AQ321" si="3693">IF(COUNTIF(Y321,"*七種競技*")&gt;0,E319,0)</f>
        <v>0</v>
      </c>
      <c r="AR321" s="212" t="b">
        <f t="shared" si="3021"/>
        <v>0</v>
      </c>
      <c r="AT321" s="212" t="b">
        <f t="shared" si="3034"/>
        <v>0</v>
      </c>
      <c r="AX321" s="274"/>
      <c r="BD321" s="212" t="b">
        <f t="shared" si="3008"/>
        <v>0</v>
      </c>
      <c r="BF321" s="212" t="b">
        <f t="shared" ref="BF321" si="3694">IF(J321="",FALSE,IF(OR(AND(AU319,L321=""),AND(AU319,L321="",OR(M321&lt;&gt;"",N321&lt;&gt;"",O321&lt;&gt;"",P321&lt;&gt;""))),TRUE,FALSE))</f>
        <v>0</v>
      </c>
      <c r="BG321" s="212" t="b">
        <f t="shared" si="3010"/>
        <v>0</v>
      </c>
      <c r="BH321" s="212" t="b">
        <f t="shared" si="3023"/>
        <v>0</v>
      </c>
      <c r="BI321" s="212" t="b">
        <f t="shared" ref="BI321" si="3695">IF(J321="",FALSE,IF(L321=0,FALSE,IF(AND(AU319,NOT(BF321),OR(M321="",N321="",O321="")),TRUE,FALSE)))</f>
        <v>0</v>
      </c>
      <c r="BJ321" s="231" t="b">
        <f t="shared" si="3025"/>
        <v>0</v>
      </c>
      <c r="BK321" s="231" t="b">
        <f>IF(NOT(BJ321),FALSE,IF(AND(競技会設定!$C$5&lt;=BJ321,BJ321&lt;=競技会設定!$C$6),FALSE,TRUE))</f>
        <v>0</v>
      </c>
      <c r="BL321" s="212" t="b">
        <f>IF(J321="",FALSE,IF(L321=0,FALSE,IF(AND(AU319,NOT(BF321),NOT(BI321),P321=""),TRUE,FALSE)))</f>
        <v>0</v>
      </c>
    </row>
    <row r="322" spans="1:67" ht="18" customHeight="1" thickBot="1">
      <c r="A322" s="472"/>
      <c r="B322" s="395" t="s">
        <v>6764</v>
      </c>
      <c r="C322" s="395"/>
      <c r="D322" s="11"/>
      <c r="E322" s="460"/>
      <c r="F322" s="460"/>
      <c r="G322" s="460"/>
      <c r="H322" s="157"/>
      <c r="I322" s="157" t="s">
        <v>6759</v>
      </c>
      <c r="J322" s="173"/>
      <c r="K322" s="157" t="s">
        <v>6761</v>
      </c>
      <c r="L322" s="173"/>
      <c r="M322" s="258"/>
      <c r="N322" s="259"/>
      <c r="O322" s="260"/>
      <c r="P322" s="173"/>
      <c r="Q322" s="459"/>
      <c r="R322" s="416"/>
      <c r="S322" s="136"/>
      <c r="T322" s="137"/>
      <c r="U322" s="137"/>
      <c r="V322" s="137"/>
      <c r="W322" s="137"/>
      <c r="X322" s="137"/>
      <c r="Y322" s="212">
        <f t="shared" ref="Y322" si="3696">IF(OR(E319="",J322=""),0,J322&amp;E319)</f>
        <v>0</v>
      </c>
      <c r="Z322" s="212">
        <f>IF(Y322=0,0,COUNTIF($Y$7:Y322,Y322))</f>
        <v>0</v>
      </c>
      <c r="AD322" s="212">
        <f>IFERROR(VLOOKUP(J322,競技会設定!$T$2:$W$22,2,0),0)</f>
        <v>0</v>
      </c>
      <c r="AE322" s="212">
        <f t="shared" ref="AE322" si="3697">IF(E319="",0,IF(AD322=0,0,IF(AD322&lt;3,E319&amp;$AE$6,0)))</f>
        <v>0</v>
      </c>
      <c r="AF322" s="212">
        <f>IF(AE322=0,0,E319&amp;COUNTIF($AE$7:AE322,AE322))</f>
        <v>0</v>
      </c>
      <c r="AG322" s="212">
        <f t="shared" ref="AG322" si="3698">IF(E319="",0,IF(AD322=0,0,IF(AD322&gt;=3,E319&amp;$AG$6,0)))</f>
        <v>0</v>
      </c>
      <c r="AH322" s="212">
        <f>IF(AG322=0,0,E319&amp;COUNTIF($AG$7:AG322,AG322))</f>
        <v>0</v>
      </c>
      <c r="AI322" s="212">
        <f t="shared" ref="AI322" si="3699">IF($AD322=AI$6,$E319,0)</f>
        <v>0</v>
      </c>
      <c r="AJ322" s="212" t="b">
        <f>IF(AI322=0,FALSE,IF(COUNTIF(AI$7:AI322,AI322)&gt;1,TRUE,FALSE))</f>
        <v>0</v>
      </c>
      <c r="AK322" s="212">
        <f t="shared" ref="AK322" si="3700">IF($AD322=AK$6,$E319,0)</f>
        <v>0</v>
      </c>
      <c r="AL322" s="212" t="b">
        <f>IF(AK322=0,FALSE,IF(COUNTIF(AK$7:AK322,AK322)&gt;1,TRUE,FALSE))</f>
        <v>0</v>
      </c>
      <c r="AM322" s="212">
        <f t="shared" ref="AM322" si="3701">IF(COUNTIF(Y322,"*七種*")&gt;0,0,IF($AD322=AM$6,$E319,0))</f>
        <v>0</v>
      </c>
      <c r="AN322" s="212" t="b">
        <f>IF(AM322=0,FALSE,IF(COUNTIF(AM$7:AM322,AM322)&gt;1,TRUE,FALSE))</f>
        <v>0</v>
      </c>
      <c r="AO322" s="212">
        <f t="shared" ref="AO322" si="3702">IF($AD322=AO$6,$E319,0)</f>
        <v>0</v>
      </c>
      <c r="AP322" s="212" t="b">
        <f>IF(AO322=0,FALSE,IF(COUNTIF(AO$7:AO322,AO322)&gt;1,TRUE,FALSE))</f>
        <v>0</v>
      </c>
      <c r="AQ322" s="212">
        <f t="shared" ref="AQ322" si="3703">IF(COUNTIF(Y322,"*七種競技*")&gt;0,E319,0)</f>
        <v>0</v>
      </c>
      <c r="AR322" s="212" t="b">
        <f t="shared" si="3021"/>
        <v>0</v>
      </c>
      <c r="AT322" s="212" t="b">
        <f t="shared" si="3034"/>
        <v>0</v>
      </c>
      <c r="AX322" s="274"/>
      <c r="BD322" s="212" t="b">
        <f t="shared" si="3008"/>
        <v>0</v>
      </c>
      <c r="BF322" s="212" t="b">
        <f t="shared" ref="BF322" si="3704">IF(J322="",FALSE,IF(OR(AND(AU319,L322=""),AND(AU319,L322="",OR(M322&lt;&gt;"",N322&lt;&gt;"",O322&lt;&gt;"",P322&lt;&gt;""))),TRUE,FALSE))</f>
        <v>0</v>
      </c>
      <c r="BG322" s="212" t="b">
        <f t="shared" si="3010"/>
        <v>0</v>
      </c>
      <c r="BH322" s="212" t="b">
        <f t="shared" si="3023"/>
        <v>0</v>
      </c>
      <c r="BI322" s="212" t="b">
        <f t="shared" ref="BI322" si="3705">IF(J322="",FALSE,IF(L322=0,FALSE,IF(AND(AU319,NOT(BF322),OR(M322="",N322="",O322="")),TRUE,FALSE)))</f>
        <v>0</v>
      </c>
      <c r="BJ322" s="231" t="b">
        <f t="shared" si="3025"/>
        <v>0</v>
      </c>
      <c r="BK322" s="231" t="b">
        <f>IF(NOT(BJ322),FALSE,IF(AND(競技会設定!$C$5&lt;=BJ322,BJ322&lt;=競技会設定!$C$6),FALSE,TRUE))</f>
        <v>0</v>
      </c>
      <c r="BL322" s="212" t="b">
        <f>IF(J322="",FALSE,IF(L322=0,FALSE,IF(AND(AU319,NOT(BF322),NOT(BI322),P322=""),TRUE,FALSE)))</f>
        <v>0</v>
      </c>
    </row>
    <row r="323" spans="1:67" ht="18" customHeight="1" thickTop="1">
      <c r="A323" s="461">
        <v>80</v>
      </c>
      <c r="B323" s="373" t="s">
        <v>4018</v>
      </c>
      <c r="C323" s="375"/>
      <c r="D323" s="158" t="str">
        <f t="shared" ref="D323" si="3706">IF(C323="","",502&amp;TEXT(C323,"000000"))</f>
        <v/>
      </c>
      <c r="E323" s="464" t="str">
        <f>IF(D323="","",(VLOOKUP(D323,女子登録!$A$2:$N$2001,3,0)))</f>
        <v/>
      </c>
      <c r="F323" s="464" t="str">
        <f>IF(D323="","",(VLOOKUP(D323,女子登録!$A$2:$N$2001,4,0)))</f>
        <v/>
      </c>
      <c r="G323" s="158" t="str">
        <f>IF(C323="","",(VLOOKUP(D323,女子登録!$A$2:$N$2001,8,0)))</f>
        <v/>
      </c>
      <c r="H323" s="158">
        <f>IFERROR(VLOOKUP(D323,女子登録!$A$2:$N$2001,11,0),基本情報!$E$5)</f>
        <v>0</v>
      </c>
      <c r="I323" s="158" t="s">
        <v>4019</v>
      </c>
      <c r="J323" s="174"/>
      <c r="K323" s="158" t="s">
        <v>4022</v>
      </c>
      <c r="L323" s="174"/>
      <c r="M323" s="261"/>
      <c r="N323" s="262"/>
      <c r="O323" s="263"/>
      <c r="P323" s="174"/>
      <c r="Q323" s="448"/>
      <c r="R323" s="408"/>
      <c r="S323" s="136">
        <f t="shared" ref="S323" si="3707">IF(OR(E323="",Q323=""),0,E323)</f>
        <v>0</v>
      </c>
      <c r="T323" s="137">
        <f>IF(S323=0,0,COUNTIF($S$7:S323,"*"))</f>
        <v>0</v>
      </c>
      <c r="U323" s="137">
        <f>IF(S323=0,0,COUNTIF($S$7:S323,S323))</f>
        <v>0</v>
      </c>
      <c r="V323" s="137">
        <f t="shared" si="3237"/>
        <v>0</v>
      </c>
      <c r="W323" s="137">
        <f>IF(V323=0,0,COUNTIF($V$7:V323,"*"))</f>
        <v>0</v>
      </c>
      <c r="X323" s="137">
        <f>IF(V323=0,0,COUNTIF($V$7:V323,V323))</f>
        <v>0</v>
      </c>
      <c r="Y323" s="212">
        <f t="shared" ref="Y323" si="3708">IF(OR(E323="",J323=""),0,J323&amp;E323)</f>
        <v>0</v>
      </c>
      <c r="Z323" s="212">
        <f>IF(Y323=0,0,COUNTIF($Y$7:Y323,Y323))</f>
        <v>0</v>
      </c>
      <c r="AA323" s="212" t="b">
        <f>IF(COUNTIF(J323:J326,"七種競技")&gt;0,TRUE,FALSE)</f>
        <v>0</v>
      </c>
      <c r="AB323" s="212">
        <f>IF(E323="",0,IF(AA323,COUNTIF($AA$7:AA323,TRUE),0))</f>
        <v>0</v>
      </c>
      <c r="AC323" s="212">
        <f>IFERROR(VLOOKUP("七種競技",J323:L326,3,0),0)</f>
        <v>0</v>
      </c>
      <c r="AD323" s="212">
        <f>IFERROR(VLOOKUP(J323,競技会設定!$T$2:$W$22,2,0),0)</f>
        <v>0</v>
      </c>
      <c r="AE323" s="212">
        <f t="shared" ref="AE323" si="3709">IF(E323="",0,IF(AD323=0,0,IF(AD323&lt;3,E323&amp;$AE$6,0)))</f>
        <v>0</v>
      </c>
      <c r="AF323" s="212">
        <f>IF(AE323=0,0,E323&amp;COUNTIF($AE$7:AE323,AE323))</f>
        <v>0</v>
      </c>
      <c r="AG323" s="212">
        <f t="shared" ref="AG323" si="3710">IF(E323="",0,IF(AD323=0,0,IF(AD323&gt;=3,E323&amp;$AG$6,0)))</f>
        <v>0</v>
      </c>
      <c r="AH323" s="212">
        <f>IF(AG323=0,0,E323&amp;COUNTIF($AG$7:AG323,AG323))</f>
        <v>0</v>
      </c>
      <c r="AI323" s="212">
        <f t="shared" ref="AI323" si="3711">IF($AD323=AI$6,$E323,0)</f>
        <v>0</v>
      </c>
      <c r="AJ323" s="212" t="b">
        <f>IF(AI323=0,FALSE,IF(COUNTIF(AI$7:AI323,AI323)&gt;1,TRUE,FALSE))</f>
        <v>0</v>
      </c>
      <c r="AK323" s="212">
        <f t="shared" ref="AK323" si="3712">IF($AD323=AK$6,$E323,0)</f>
        <v>0</v>
      </c>
      <c r="AL323" s="212" t="b">
        <f>IF(AK323=0,FALSE,IF(COUNTIF(AK$7:AK323,AK323)&gt;1,TRUE,FALSE))</f>
        <v>0</v>
      </c>
      <c r="AM323" s="212">
        <f t="shared" ref="AM323" si="3713">IF(COUNTIF(Y323,"*七種*")&gt;0,0,IF($AD323=AM$6,$E323,0))</f>
        <v>0</v>
      </c>
      <c r="AN323" s="212" t="b">
        <f>IF(AM323=0,FALSE,IF(COUNTIF(AM$7:AM323,AM323)&gt;1,TRUE,FALSE))</f>
        <v>0</v>
      </c>
      <c r="AO323" s="212">
        <f t="shared" ref="AO323" si="3714">IF($AD323=AO$6,$E323,0)</f>
        <v>0</v>
      </c>
      <c r="AP323" s="212" t="b">
        <f>IF(AO323=0,FALSE,IF(COUNTIF(AO$7:AO323,AO323)&gt;1,TRUE,FALSE))</f>
        <v>0</v>
      </c>
      <c r="AQ323" s="212">
        <f t="shared" ref="AQ323" si="3715">IF(COUNTIF(Y323,"*七種競技*")&gt;0,E323,0)</f>
        <v>0</v>
      </c>
      <c r="AR323" s="212" t="b">
        <f t="shared" si="3021"/>
        <v>0</v>
      </c>
      <c r="AS323" s="212" t="b">
        <f t="shared" ref="AS323" si="3716">IF(AND(C323="",E323&lt;&gt;"",F323&lt;&gt;"",E325&lt;&gt;"",G323&lt;&gt;"",G324&lt;&gt;"",G325&lt;&gt;""),TRUE,FALSE)</f>
        <v>0</v>
      </c>
      <c r="AT323" s="212" t="b">
        <f t="shared" si="3034"/>
        <v>0</v>
      </c>
      <c r="AU323" s="212" t="b">
        <f>IFERROR(IF(E323&amp;F323&amp;E325&amp;G323&amp;G324&amp;G325&amp;J323&amp;J324&amp;J325&amp;J326&amp;L323&amp;L324&amp;L325&amp;L326&amp;M323&amp;M324&amp;M325&amp;M326&amp;P323&amp;P324&amp;P325&amp;P326&amp;Q323&amp;R323="",FALSE,TRUE),FALSE)</f>
        <v>0</v>
      </c>
      <c r="AV323" s="212" t="b">
        <f t="shared" ref="AV323" si="3717">IF(AS323,FALSE,IF(C323="",AU323,FALSE))</f>
        <v>0</v>
      </c>
      <c r="AW323" s="212" t="b">
        <f t="shared" ref="AW323" si="3718">IF(C323="",FALSE,IF(C323&lt;=2000,TRUE,FALSE))</f>
        <v>0</v>
      </c>
      <c r="AX323" s="274" t="b">
        <f>IF(H323=0,FALSE,IF(EXACT(基本情報!$E$5,H323)=TRUE,FALSE,TRUE))</f>
        <v>0</v>
      </c>
      <c r="AY323" s="212" t="b">
        <f>IF(C323="",FALSE,IF(ISNA(E323)=TRUE,TRUE,FALSE))</f>
        <v>0</v>
      </c>
      <c r="AZ323" s="274" t="b">
        <f>IFERROR(IF(E323="",FALSE,IF(COUNTIF($E$7:E323,E323)&gt;1,TRUE,FALSE)),FALSE)</f>
        <v>0</v>
      </c>
      <c r="BA323" s="212" t="b">
        <f t="shared" ref="BA323" si="3719">IF(OR(J323&amp;J324&amp;J325&amp;J326&amp;Q323&amp;R323="",AT323,AT324,AT325,AT326),AU323,FALSE)</f>
        <v>0</v>
      </c>
      <c r="BB323" s="212" t="b">
        <f>IF(U323&gt;1,TRUE,FALSE)</f>
        <v>0</v>
      </c>
      <c r="BC323" s="212" t="b">
        <f>IF(X323&gt;1,TRUE,FALSE)</f>
        <v>0</v>
      </c>
      <c r="BD323" s="212" t="b">
        <f t="shared" si="3008"/>
        <v>0</v>
      </c>
      <c r="BF323" s="212" t="b">
        <f t="shared" ref="BF323" si="3720">IF(J323="",FALSE,IF(OR(AND(AU323,L323=""),AND(AU323,L323="",OR(M323&lt;&gt;"",N323&lt;&gt;"",O323&lt;&gt;"",P323&lt;&gt;""))),TRUE,FALSE))</f>
        <v>0</v>
      </c>
      <c r="BG323" s="212" t="b">
        <f t="shared" si="3010"/>
        <v>0</v>
      </c>
      <c r="BH323" s="212" t="b">
        <f t="shared" si="3023"/>
        <v>0</v>
      </c>
      <c r="BI323" s="212" t="b">
        <f t="shared" ref="BI323" si="3721">IF(J323="",FALSE,IF(L323=0,FALSE,IF(AND(AU323,NOT(BF323),OR(M323="",N323="",O323="")),TRUE,FALSE)))</f>
        <v>0</v>
      </c>
      <c r="BJ323" s="231" t="b">
        <f t="shared" si="3025"/>
        <v>0</v>
      </c>
      <c r="BK323" s="231" t="b">
        <f>IF(NOT(BJ323),FALSE,IF(AND(競技会設定!$C$5&lt;=BJ323,BJ323&lt;=競技会設定!$C$6),FALSE,TRUE))</f>
        <v>0</v>
      </c>
      <c r="BL323" s="212" t="b">
        <f>IF(J323="",FALSE,IF(L323=0,FALSE,IF(AND(AU323,NOT(BF323),NOT(BI323),P323=""),TRUE,FALSE)))</f>
        <v>0</v>
      </c>
      <c r="BO323" s="274">
        <f t="shared" ref="BO323" si="3722">IF(AND(AU323,SUM(COUNTIF(AV323:BC323,TRUE),COUNTIF(BF323:BL326,TRUE),COUNTIF(BD323:BD326,TRUE))=0,NOT($BE$7)),1,0)</f>
        <v>0</v>
      </c>
    </row>
    <row r="324" spans="1:67" ht="17.399999999999999" customHeight="1">
      <c r="A324" s="462"/>
      <c r="B324" s="374"/>
      <c r="C324" s="376"/>
      <c r="D324" s="159"/>
      <c r="E324" s="465"/>
      <c r="F324" s="465"/>
      <c r="G324" s="159" t="str">
        <f>IF(C323="","",(VLOOKUP(D323,女子登録!$A$2:$N$2001,13,0)))</f>
        <v/>
      </c>
      <c r="H324" s="159"/>
      <c r="I324" s="159" t="s">
        <v>4020</v>
      </c>
      <c r="J324" s="175"/>
      <c r="K324" s="159" t="s">
        <v>4023</v>
      </c>
      <c r="L324" s="175"/>
      <c r="M324" s="264"/>
      <c r="N324" s="265"/>
      <c r="O324" s="266"/>
      <c r="P324" s="175"/>
      <c r="Q324" s="449"/>
      <c r="R324" s="409"/>
      <c r="S324" s="136"/>
      <c r="T324" s="137"/>
      <c r="U324" s="137"/>
      <c r="V324" s="137"/>
      <c r="W324" s="137"/>
      <c r="X324" s="137"/>
      <c r="Y324" s="212">
        <f t="shared" ref="Y324" si="3723">IF(OR(E323="",J324=""),0,J324&amp;E323)</f>
        <v>0</v>
      </c>
      <c r="Z324" s="212">
        <f>IF(Y324=0,0,COUNTIF($Y$7:Y324,Y324))</f>
        <v>0</v>
      </c>
      <c r="AD324" s="212">
        <f>IFERROR(VLOOKUP(J324,競技会設定!$T$2:$W$22,2,0),0)</f>
        <v>0</v>
      </c>
      <c r="AE324" s="212">
        <f t="shared" ref="AE324" si="3724">IF(E323="",0,IF(AD324=0,0,IF(AD324&lt;3,E323&amp;$AE$6,0)))</f>
        <v>0</v>
      </c>
      <c r="AF324" s="212">
        <f>IF(AE324=0,0,E323&amp;COUNTIF($AE$7:AE324,AE324))</f>
        <v>0</v>
      </c>
      <c r="AG324" s="212">
        <f t="shared" ref="AG324" si="3725">IF(E323="",0,IF(AD324=0,0,IF(AD324&gt;=3,E323&amp;$AG$6,0)))</f>
        <v>0</v>
      </c>
      <c r="AH324" s="212">
        <f>IF(AG324=0,0,E323&amp;COUNTIF($AG$7:AG324,AG324))</f>
        <v>0</v>
      </c>
      <c r="AI324" s="212">
        <f t="shared" ref="AI324" si="3726">IF($AD324=AI$6,$E323,0)</f>
        <v>0</v>
      </c>
      <c r="AJ324" s="212" t="b">
        <f>IF(AI324=0,FALSE,IF(COUNTIF(AI$7:AI324,AI324)&gt;1,TRUE,FALSE))</f>
        <v>0</v>
      </c>
      <c r="AK324" s="212">
        <f t="shared" ref="AK324" si="3727">IF($AD324=AK$6,$E323,0)</f>
        <v>0</v>
      </c>
      <c r="AL324" s="212" t="b">
        <f>IF(AK324=0,FALSE,IF(COUNTIF(AK$7:AK324,AK324)&gt;1,TRUE,FALSE))</f>
        <v>0</v>
      </c>
      <c r="AM324" s="212">
        <f t="shared" ref="AM324" si="3728">IF(COUNTIF(Y324,"*七種*")&gt;0,0,IF($AD324=AM$6,$E323,0))</f>
        <v>0</v>
      </c>
      <c r="AN324" s="212" t="b">
        <f>IF(AM324=0,FALSE,IF(COUNTIF(AM$7:AM324,AM324)&gt;1,TRUE,FALSE))</f>
        <v>0</v>
      </c>
      <c r="AO324" s="212">
        <f t="shared" ref="AO324" si="3729">IF($AD324=AO$6,$E323,0)</f>
        <v>0</v>
      </c>
      <c r="AP324" s="212" t="b">
        <f>IF(AO324=0,FALSE,IF(COUNTIF(AO$7:AO324,AO324)&gt;1,TRUE,FALSE))</f>
        <v>0</v>
      </c>
      <c r="AQ324" s="212">
        <f t="shared" ref="AQ324" si="3730">IF(COUNTIF(Y324,"*七種競技*")&gt;0,E323,0)</f>
        <v>0</v>
      </c>
      <c r="AR324" s="212" t="b">
        <f t="shared" si="3021"/>
        <v>0</v>
      </c>
      <c r="AT324" s="212" t="b">
        <f t="shared" si="3034"/>
        <v>0</v>
      </c>
      <c r="AX324" s="274"/>
      <c r="BD324" s="212" t="b">
        <f t="shared" si="3008"/>
        <v>0</v>
      </c>
      <c r="BF324" s="212" t="b">
        <f t="shared" ref="BF324" si="3731">IF(J324="",FALSE,IF(OR(AND(AU323,L324=""),AND(AU323,L324="",OR(M324&lt;&gt;"",N324&lt;&gt;"",O324&lt;&gt;"",P324&lt;&gt;""))),TRUE,FALSE))</f>
        <v>0</v>
      </c>
      <c r="BG324" s="212" t="b">
        <f t="shared" si="3010"/>
        <v>0</v>
      </c>
      <c r="BH324" s="212" t="b">
        <f t="shared" si="3023"/>
        <v>0</v>
      </c>
      <c r="BI324" s="212" t="b">
        <f t="shared" ref="BI324" si="3732">IF(J324="",FALSE,IF(L324=0,FALSE,IF(AND(AU323,NOT(BF324),OR(M324="",N324="",O324="")),TRUE,FALSE)))</f>
        <v>0</v>
      </c>
      <c r="BJ324" s="231" t="b">
        <f t="shared" si="3025"/>
        <v>0</v>
      </c>
      <c r="BK324" s="231" t="b">
        <f>IF(NOT(BJ324),FALSE,IF(AND(競技会設定!$C$5&lt;=BJ324,BJ324&lt;=競技会設定!$C$6),FALSE,TRUE))</f>
        <v>0</v>
      </c>
      <c r="BL324" s="212" t="b">
        <f>IF(J324="",FALSE,IF(L324=0,FALSE,IF(AND(AU323,NOT(BF324),NOT(BI324),P324=""),TRUE,FALSE)))</f>
        <v>0</v>
      </c>
    </row>
    <row r="325" spans="1:67" ht="17.399999999999999" customHeight="1">
      <c r="A325" s="462"/>
      <c r="B325" s="374"/>
      <c r="C325" s="376"/>
      <c r="D325" s="160"/>
      <c r="E325" s="452" t="str">
        <f>IF(C323="","",VLOOKUP(D323,女子登録!$A$2:$O$2001,14,0)&amp;" ("&amp;VLOOKUP(D323,女子登録!$A$2:$O$2001,15,0)&amp;")")</f>
        <v/>
      </c>
      <c r="F325" s="453"/>
      <c r="G325" s="160" t="str">
        <f>IF(C323="","",(VLOOKUP(D323,女子登録!$A$2:$N$2001,9,0)))</f>
        <v/>
      </c>
      <c r="H325" s="160"/>
      <c r="I325" s="160" t="s">
        <v>4021</v>
      </c>
      <c r="J325" s="176"/>
      <c r="K325" s="160" t="s">
        <v>6760</v>
      </c>
      <c r="L325" s="176"/>
      <c r="M325" s="264"/>
      <c r="N325" s="265"/>
      <c r="O325" s="266"/>
      <c r="P325" s="175"/>
      <c r="Q325" s="449"/>
      <c r="R325" s="409"/>
      <c r="S325" s="136"/>
      <c r="T325" s="137"/>
      <c r="U325" s="137"/>
      <c r="V325" s="137"/>
      <c r="W325" s="137"/>
      <c r="X325" s="137"/>
      <c r="Y325" s="212">
        <f t="shared" ref="Y325" si="3733">IF(OR(E323="",J325=""),0,J325&amp;E323)</f>
        <v>0</v>
      </c>
      <c r="Z325" s="212">
        <f>IF(Y325=0,0,COUNTIF($Y$7:Y325,Y325))</f>
        <v>0</v>
      </c>
      <c r="AD325" s="212">
        <f>IFERROR(VLOOKUP(J325,競技会設定!$T$2:$W$22,2,0),0)</f>
        <v>0</v>
      </c>
      <c r="AE325" s="212">
        <f t="shared" ref="AE325" si="3734">IF(E323="",0,IF(AD325=0,0,IF(AD325&lt;3,E323&amp;$AE$6,0)))</f>
        <v>0</v>
      </c>
      <c r="AF325" s="212">
        <f>IF(AE325=0,0,E323&amp;COUNTIF($AE$7:AE325,AE325))</f>
        <v>0</v>
      </c>
      <c r="AG325" s="212">
        <f t="shared" ref="AG325" si="3735">IF(E323="",0,IF(AD325=0,0,IF(AD325&gt;=3,E323&amp;$AG$6,0)))</f>
        <v>0</v>
      </c>
      <c r="AH325" s="212">
        <f>IF(AG325=0,0,E323&amp;COUNTIF($AG$7:AG325,AG325))</f>
        <v>0</v>
      </c>
      <c r="AI325" s="212">
        <f t="shared" ref="AI325" si="3736">IF($AD325=AI$6,$E323,0)</f>
        <v>0</v>
      </c>
      <c r="AJ325" s="212" t="b">
        <f>IF(AI325=0,FALSE,IF(COUNTIF(AI$7:AI325,AI325)&gt;1,TRUE,FALSE))</f>
        <v>0</v>
      </c>
      <c r="AK325" s="212">
        <f t="shared" ref="AK325" si="3737">IF($AD325=AK$6,$E323,0)</f>
        <v>0</v>
      </c>
      <c r="AL325" s="212" t="b">
        <f>IF(AK325=0,FALSE,IF(COUNTIF(AK$7:AK325,AK325)&gt;1,TRUE,FALSE))</f>
        <v>0</v>
      </c>
      <c r="AM325" s="212">
        <f t="shared" ref="AM325" si="3738">IF(COUNTIF(Y325,"*七種*")&gt;0,0,IF($AD325=AM$6,$E323,0))</f>
        <v>0</v>
      </c>
      <c r="AN325" s="212" t="b">
        <f>IF(AM325=0,FALSE,IF(COUNTIF(AM$7:AM325,AM325)&gt;1,TRUE,FALSE))</f>
        <v>0</v>
      </c>
      <c r="AO325" s="212">
        <f t="shared" ref="AO325" si="3739">IF($AD325=AO$6,$E323,0)</f>
        <v>0</v>
      </c>
      <c r="AP325" s="212" t="b">
        <f>IF(AO325=0,FALSE,IF(COUNTIF(AO$7:AO325,AO325)&gt;1,TRUE,FALSE))</f>
        <v>0</v>
      </c>
      <c r="AQ325" s="212">
        <f t="shared" ref="AQ325" si="3740">IF(COUNTIF(Y325,"*七種競技*")&gt;0,E323,0)</f>
        <v>0</v>
      </c>
      <c r="AR325" s="212" t="b">
        <f t="shared" si="3021"/>
        <v>0</v>
      </c>
      <c r="AT325" s="212" t="b">
        <f t="shared" si="3034"/>
        <v>0</v>
      </c>
      <c r="AX325" s="274"/>
      <c r="BD325" s="212" t="b">
        <f t="shared" si="3008"/>
        <v>0</v>
      </c>
      <c r="BF325" s="212" t="b">
        <f t="shared" ref="BF325" si="3741">IF(J325="",FALSE,IF(OR(AND(AU323,L325=""),AND(AU323,L325="",OR(M325&lt;&gt;"",N325&lt;&gt;"",O325&lt;&gt;"",P325&lt;&gt;""))),TRUE,FALSE))</f>
        <v>0</v>
      </c>
      <c r="BG325" s="212" t="b">
        <f t="shared" si="3010"/>
        <v>0</v>
      </c>
      <c r="BH325" s="212" t="b">
        <f t="shared" si="3023"/>
        <v>0</v>
      </c>
      <c r="BI325" s="212" t="b">
        <f t="shared" ref="BI325" si="3742">IF(J325="",FALSE,IF(L325=0,FALSE,IF(AND(AU323,NOT(BF325),OR(M325="",N325="",O325="")),TRUE,FALSE)))</f>
        <v>0</v>
      </c>
      <c r="BJ325" s="231" t="b">
        <f t="shared" si="3025"/>
        <v>0</v>
      </c>
      <c r="BK325" s="231" t="b">
        <f>IF(NOT(BJ325),FALSE,IF(AND(競技会設定!$C$5&lt;=BJ325,BJ325&lt;=競技会設定!$C$6),FALSE,TRUE))</f>
        <v>0</v>
      </c>
      <c r="BL325" s="212" t="b">
        <f>IF(J325="",FALSE,IF(L325=0,FALSE,IF(AND(AU323,NOT(BF325),NOT(BI325),P325=""),TRUE,FALSE)))</f>
        <v>0</v>
      </c>
    </row>
    <row r="326" spans="1:67" ht="18" customHeight="1" thickBot="1">
      <c r="A326" s="475"/>
      <c r="B326" s="387" t="s">
        <v>6764</v>
      </c>
      <c r="C326" s="387"/>
      <c r="D326" s="161"/>
      <c r="E326" s="467"/>
      <c r="F326" s="468"/>
      <c r="G326" s="469"/>
      <c r="H326" s="162"/>
      <c r="I326" s="161" t="s">
        <v>6759</v>
      </c>
      <c r="J326" s="177"/>
      <c r="K326" s="161" t="s">
        <v>6761</v>
      </c>
      <c r="L326" s="177"/>
      <c r="M326" s="267"/>
      <c r="N326" s="268"/>
      <c r="O326" s="269"/>
      <c r="P326" s="177"/>
      <c r="Q326" s="466"/>
      <c r="R326" s="410"/>
      <c r="S326" s="136"/>
      <c r="T326" s="137"/>
      <c r="U326" s="137"/>
      <c r="V326" s="137"/>
      <c r="W326" s="137"/>
      <c r="X326" s="137"/>
      <c r="Y326" s="212">
        <f t="shared" ref="Y326" si="3743">IF(OR(E323="",J326=""),0,J326&amp;E323)</f>
        <v>0</v>
      </c>
      <c r="Z326" s="212">
        <f>IF(Y326=0,0,COUNTIF($Y$7:Y326,Y326))</f>
        <v>0</v>
      </c>
      <c r="AD326" s="212">
        <f>IFERROR(VLOOKUP(J326,競技会設定!$T$2:$W$22,2,0),0)</f>
        <v>0</v>
      </c>
      <c r="AE326" s="212">
        <f t="shared" ref="AE326" si="3744">IF(E323="",0,IF(AD326=0,0,IF(AD326&lt;3,E323&amp;$AE$6,0)))</f>
        <v>0</v>
      </c>
      <c r="AF326" s="212">
        <f>IF(AE326=0,0,E323&amp;COUNTIF($AE$7:AE326,AE326))</f>
        <v>0</v>
      </c>
      <c r="AG326" s="212">
        <f t="shared" ref="AG326" si="3745">IF(E323="",0,IF(AD326=0,0,IF(AD326&gt;=3,E323&amp;$AG$6,0)))</f>
        <v>0</v>
      </c>
      <c r="AH326" s="212">
        <f>IF(AG326=0,0,E323&amp;COUNTIF($AG$7:AG326,AG326))</f>
        <v>0</v>
      </c>
      <c r="AI326" s="212">
        <f t="shared" ref="AI326" si="3746">IF($AD326=AI$6,$E323,0)</f>
        <v>0</v>
      </c>
      <c r="AJ326" s="212" t="b">
        <f>IF(AI326=0,FALSE,IF(COUNTIF(AI$7:AI326,AI326)&gt;1,TRUE,FALSE))</f>
        <v>0</v>
      </c>
      <c r="AK326" s="212">
        <f t="shared" ref="AK326" si="3747">IF($AD326=AK$6,$E323,0)</f>
        <v>0</v>
      </c>
      <c r="AL326" s="212" t="b">
        <f>IF(AK326=0,FALSE,IF(COUNTIF(AK$7:AK326,AK326)&gt;1,TRUE,FALSE))</f>
        <v>0</v>
      </c>
      <c r="AM326" s="212">
        <f t="shared" ref="AM326" si="3748">IF(COUNTIF(Y326,"*七種*")&gt;0,0,IF($AD326=AM$6,$E323,0))</f>
        <v>0</v>
      </c>
      <c r="AN326" s="212" t="b">
        <f>IF(AM326=0,FALSE,IF(COUNTIF(AM$7:AM326,AM326)&gt;1,TRUE,FALSE))</f>
        <v>0</v>
      </c>
      <c r="AO326" s="212">
        <f t="shared" ref="AO326" si="3749">IF($AD326=AO$6,$E323,0)</f>
        <v>0</v>
      </c>
      <c r="AP326" s="212" t="b">
        <f>IF(AO326=0,FALSE,IF(COUNTIF(AO$7:AO326,AO326)&gt;1,TRUE,FALSE))</f>
        <v>0</v>
      </c>
      <c r="AQ326" s="212">
        <f t="shared" ref="AQ326" si="3750">IF(COUNTIF(Y326,"*七種競技*")&gt;0,E323,0)</f>
        <v>0</v>
      </c>
      <c r="AR326" s="212" t="b">
        <f t="shared" si="3021"/>
        <v>0</v>
      </c>
      <c r="AT326" s="212" t="b">
        <f t="shared" si="3034"/>
        <v>0</v>
      </c>
      <c r="AX326" s="274"/>
      <c r="BD326" s="212" t="b">
        <f t="shared" si="3008"/>
        <v>0</v>
      </c>
      <c r="BF326" s="212" t="b">
        <f t="shared" ref="BF326" si="3751">IF(J326="",FALSE,IF(OR(AND(AU323,L326=""),AND(AU323,L326="",OR(M326&lt;&gt;"",N326&lt;&gt;"",O326&lt;&gt;"",P326&lt;&gt;""))),TRUE,FALSE))</f>
        <v>0</v>
      </c>
      <c r="BG326" s="212" t="b">
        <f t="shared" si="3010"/>
        <v>0</v>
      </c>
      <c r="BH326" s="212" t="b">
        <f t="shared" si="3023"/>
        <v>0</v>
      </c>
      <c r="BI326" s="212" t="b">
        <f t="shared" ref="BI326" si="3752">IF(J326="",FALSE,IF(L326=0,FALSE,IF(AND(AU323,NOT(BF326),OR(M326="",N326="",O326="")),TRUE,FALSE)))</f>
        <v>0</v>
      </c>
      <c r="BJ326" s="231" t="b">
        <f t="shared" si="3025"/>
        <v>0</v>
      </c>
      <c r="BK326" s="231" t="b">
        <f>IF(NOT(BJ326),FALSE,IF(AND(競技会設定!$C$5&lt;=BJ326,BJ326&lt;=競技会設定!$C$6),FALSE,TRUE))</f>
        <v>0</v>
      </c>
      <c r="BL326" s="212" t="b">
        <f>IF(J326="",FALSE,IF(L326=0,FALSE,IF(AND(AU323,NOT(BF326),NOT(BI326),P326=""),TRUE,FALSE)))</f>
        <v>0</v>
      </c>
    </row>
    <row r="327" spans="1:67" ht="18" customHeight="1" thickTop="1">
      <c r="A327" s="470">
        <v>81</v>
      </c>
      <c r="B327" s="401" t="s">
        <v>4018</v>
      </c>
      <c r="C327" s="403"/>
      <c r="D327" s="156" t="str">
        <f t="shared" ref="D327" si="3753">IF(C327="","",502&amp;TEXT(C327,"000000"))</f>
        <v/>
      </c>
      <c r="E327" s="473" t="str">
        <f>IF(D327="","",(VLOOKUP(D327,女子登録!$A$2:$N$2001,3,0)))</f>
        <v/>
      </c>
      <c r="F327" s="473" t="str">
        <f>IF(D327="","",(VLOOKUP(D327,女子登録!$A$2:$N$2001,4,0)))</f>
        <v/>
      </c>
      <c r="G327" s="156" t="str">
        <f>IF(C327="","",(VLOOKUP(D327,女子登録!$A$2:$N$2001,8,0)))</f>
        <v/>
      </c>
      <c r="H327" s="156">
        <f>IFERROR(VLOOKUP(D327,女子登録!$A$2:$N$2001,11,0),基本情報!$E$5)</f>
        <v>0</v>
      </c>
      <c r="I327" s="156" t="s">
        <v>4019</v>
      </c>
      <c r="J327" s="170"/>
      <c r="K327" s="156" t="s">
        <v>4022</v>
      </c>
      <c r="L327" s="170"/>
      <c r="M327" s="252"/>
      <c r="N327" s="253"/>
      <c r="O327" s="254"/>
      <c r="P327" s="170"/>
      <c r="Q327" s="457"/>
      <c r="R327" s="414"/>
      <c r="S327" s="136">
        <f t="shared" ref="S327" si="3754">IF(OR(E327="",Q327=""),0,E327)</f>
        <v>0</v>
      </c>
      <c r="T327" s="137">
        <f>IF(S327=0,0,COUNTIF($S$7:S327,"*"))</f>
        <v>0</v>
      </c>
      <c r="U327" s="137">
        <f>IF(S327=0,0,COUNTIF($S$7:S327,S327))</f>
        <v>0</v>
      </c>
      <c r="V327" s="137">
        <f t="shared" si="3237"/>
        <v>0</v>
      </c>
      <c r="W327" s="137">
        <f>IF(V327=0,0,COUNTIF($V$7:V327,"*"))</f>
        <v>0</v>
      </c>
      <c r="X327" s="137">
        <f>IF(V327=0,0,COUNTIF($V$7:V327,V327))</f>
        <v>0</v>
      </c>
      <c r="Y327" s="212">
        <f t="shared" ref="Y327" si="3755">IF(OR(E327="",J327=""),0,J327&amp;E327)</f>
        <v>0</v>
      </c>
      <c r="Z327" s="212">
        <f>IF(Y327=0,0,COUNTIF($Y$7:Y327,Y327))</f>
        <v>0</v>
      </c>
      <c r="AA327" s="212" t="b">
        <f>IF(COUNTIF(J327:J330,"七種競技")&gt;0,TRUE,FALSE)</f>
        <v>0</v>
      </c>
      <c r="AB327" s="212">
        <f>IF(E327="",0,IF(AA327,COUNTIF($AA$7:AA327,TRUE),0))</f>
        <v>0</v>
      </c>
      <c r="AC327" s="212">
        <f>IFERROR(VLOOKUP("七種競技",J327:L330,3,0),0)</f>
        <v>0</v>
      </c>
      <c r="AD327" s="212">
        <f>IFERROR(VLOOKUP(J327,競技会設定!$T$2:$W$22,2,0),0)</f>
        <v>0</v>
      </c>
      <c r="AE327" s="212">
        <f t="shared" ref="AE327" si="3756">IF(E327="",0,IF(AD327=0,0,IF(AD327&lt;3,E327&amp;$AE$6,0)))</f>
        <v>0</v>
      </c>
      <c r="AF327" s="212">
        <f>IF(AE327=0,0,E327&amp;COUNTIF($AE$7:AE327,AE327))</f>
        <v>0</v>
      </c>
      <c r="AG327" s="212">
        <f t="shared" ref="AG327" si="3757">IF(E327="",0,IF(AD327=0,0,IF(AD327&gt;=3,E327&amp;$AG$6,0)))</f>
        <v>0</v>
      </c>
      <c r="AH327" s="212">
        <f>IF(AG327=0,0,E327&amp;COUNTIF($AG$7:AG327,AG327))</f>
        <v>0</v>
      </c>
      <c r="AI327" s="212">
        <f t="shared" ref="AI327" si="3758">IF($AD327=AI$6,$E327,0)</f>
        <v>0</v>
      </c>
      <c r="AJ327" s="212" t="b">
        <f>IF(AI327=0,FALSE,IF(COUNTIF(AI$7:AI327,AI327)&gt;1,TRUE,FALSE))</f>
        <v>0</v>
      </c>
      <c r="AK327" s="212">
        <f t="shared" ref="AK327" si="3759">IF($AD327=AK$6,$E327,0)</f>
        <v>0</v>
      </c>
      <c r="AL327" s="212" t="b">
        <f>IF(AK327=0,FALSE,IF(COUNTIF(AK$7:AK327,AK327)&gt;1,TRUE,FALSE))</f>
        <v>0</v>
      </c>
      <c r="AM327" s="212">
        <f t="shared" ref="AM327" si="3760">IF(COUNTIF(Y327,"*七種*")&gt;0,0,IF($AD327=AM$6,$E327,0))</f>
        <v>0</v>
      </c>
      <c r="AN327" s="212" t="b">
        <f>IF(AM327=0,FALSE,IF(COUNTIF(AM$7:AM327,AM327)&gt;1,TRUE,FALSE))</f>
        <v>0</v>
      </c>
      <c r="AO327" s="212">
        <f t="shared" ref="AO327" si="3761">IF($AD327=AO$6,$E327,0)</f>
        <v>0</v>
      </c>
      <c r="AP327" s="212" t="b">
        <f>IF(AO327=0,FALSE,IF(COUNTIF(AO$7:AO327,AO327)&gt;1,TRUE,FALSE))</f>
        <v>0</v>
      </c>
      <c r="AQ327" s="212">
        <f t="shared" ref="AQ327" si="3762">IF(COUNTIF(Y327,"*七種競技*")&gt;0,E327,0)</f>
        <v>0</v>
      </c>
      <c r="AR327" s="212" t="b">
        <f t="shared" si="3021"/>
        <v>0</v>
      </c>
      <c r="AS327" s="212" t="b">
        <f t="shared" ref="AS327" si="3763">IF(AND(C327="",E327&lt;&gt;"",F327&lt;&gt;"",E329&lt;&gt;"",G327&lt;&gt;"",G328&lt;&gt;"",G329&lt;&gt;""),TRUE,FALSE)</f>
        <v>0</v>
      </c>
      <c r="AT327" s="212" t="b">
        <f t="shared" si="3034"/>
        <v>0</v>
      </c>
      <c r="AU327" s="212" t="b">
        <f>IFERROR(IF(E327&amp;F327&amp;E329&amp;G327&amp;G328&amp;G329&amp;J327&amp;J328&amp;J329&amp;J330&amp;L327&amp;L328&amp;L329&amp;L330&amp;M327&amp;M328&amp;M329&amp;M330&amp;P327&amp;P328&amp;P329&amp;P330&amp;Q327&amp;R327="",FALSE,TRUE),FALSE)</f>
        <v>0</v>
      </c>
      <c r="AV327" s="212" t="b">
        <f t="shared" ref="AV327" si="3764">IF(AS327,FALSE,IF(C327="",AU327,FALSE))</f>
        <v>0</v>
      </c>
      <c r="AW327" s="212" t="b">
        <f t="shared" ref="AW327" si="3765">IF(C327="",FALSE,IF(C327&lt;=2000,TRUE,FALSE))</f>
        <v>0</v>
      </c>
      <c r="AX327" s="274" t="b">
        <f>IF(H327=0,FALSE,IF(EXACT(基本情報!$E$5,H327)=TRUE,FALSE,TRUE))</f>
        <v>0</v>
      </c>
      <c r="AY327" s="212" t="b">
        <f>IF(C327="",FALSE,IF(ISNA(E327)=TRUE,TRUE,FALSE))</f>
        <v>0</v>
      </c>
      <c r="AZ327" s="274" t="b">
        <f>IFERROR(IF(E327="",FALSE,IF(COUNTIF($E$7:E327,E327)&gt;1,TRUE,FALSE)),FALSE)</f>
        <v>0</v>
      </c>
      <c r="BA327" s="212" t="b">
        <f t="shared" ref="BA327" si="3766">IF(OR(J327&amp;J328&amp;J329&amp;J330&amp;Q327&amp;R327="",AT327,AT328,AT329,AT330),AU327,FALSE)</f>
        <v>0</v>
      </c>
      <c r="BB327" s="212" t="b">
        <f>IF(U327&gt;1,TRUE,FALSE)</f>
        <v>0</v>
      </c>
      <c r="BC327" s="212" t="b">
        <f>IF(X327&gt;1,TRUE,FALSE)</f>
        <v>0</v>
      </c>
      <c r="BD327" s="212" t="b">
        <f t="shared" ref="BD327:BD390" si="3767">IF(Z327&gt;1,TRUE,FALSE)</f>
        <v>0</v>
      </c>
      <c r="BF327" s="212" t="b">
        <f t="shared" ref="BF327" si="3768">IF(J327="",FALSE,IF(OR(AND(AU327,L327=""),AND(AU327,L327="",OR(M327&lt;&gt;"",N327&lt;&gt;"",O327&lt;&gt;"",P327&lt;&gt;""))),TRUE,FALSE))</f>
        <v>0</v>
      </c>
      <c r="BG327" s="212" t="b">
        <f t="shared" ref="BG327:BG390" si="3769">IF(J327="",FALSE,IF(ISNUMBER(L327)&lt;&gt;TRUE,TRUE,IFERROR(IF(MOD(L327,1)=0,FALSE,TRUE),FALSE)))</f>
        <v>0</v>
      </c>
      <c r="BH327" s="212" t="b">
        <f t="shared" si="3023"/>
        <v>0</v>
      </c>
      <c r="BI327" s="212" t="b">
        <f t="shared" ref="BI327" si="3770">IF(J327="",FALSE,IF(L327=0,FALSE,IF(AND(AU327,NOT(BF327),OR(M327="",N327="",O327="")),TRUE,FALSE)))</f>
        <v>0</v>
      </c>
      <c r="BJ327" s="231" t="b">
        <f t="shared" si="3025"/>
        <v>0</v>
      </c>
      <c r="BK327" s="231" t="b">
        <f>IF(NOT(BJ327),FALSE,IF(AND(競技会設定!$C$5&lt;=BJ327,BJ327&lt;=競技会設定!$C$6),FALSE,TRUE))</f>
        <v>0</v>
      </c>
      <c r="BL327" s="212" t="b">
        <f>IF(J327="",FALSE,IF(L327=0,FALSE,IF(AND(AU327,NOT(BF327),NOT(BI327),P327=""),TRUE,FALSE)))</f>
        <v>0</v>
      </c>
      <c r="BO327" s="274">
        <f t="shared" ref="BO327" si="3771">IF(AND(AU327,SUM(COUNTIF(AV327:BC327,TRUE),COUNTIF(BF327:BL330,TRUE),COUNTIF(BD327:BD330,TRUE))=0,NOT($BE$7)),1,0)</f>
        <v>0</v>
      </c>
    </row>
    <row r="328" spans="1:67" ht="17.399999999999999" customHeight="1">
      <c r="A328" s="471"/>
      <c r="B328" s="402"/>
      <c r="C328" s="404"/>
      <c r="D328" s="11"/>
      <c r="E328" s="474"/>
      <c r="F328" s="474"/>
      <c r="G328" s="11" t="str">
        <f>IF(C327="","",(VLOOKUP(D327,女子登録!$A$2:$N$2001,13,0)))</f>
        <v/>
      </c>
      <c r="H328" s="11"/>
      <c r="I328" s="11" t="s">
        <v>4020</v>
      </c>
      <c r="J328" s="171"/>
      <c r="K328" s="11" t="s">
        <v>4023</v>
      </c>
      <c r="L328" s="171"/>
      <c r="M328" s="255"/>
      <c r="N328" s="256"/>
      <c r="O328" s="257"/>
      <c r="P328" s="171"/>
      <c r="Q328" s="458"/>
      <c r="R328" s="415"/>
      <c r="S328" s="136"/>
      <c r="T328" s="137"/>
      <c r="U328" s="137"/>
      <c r="V328" s="137"/>
      <c r="W328" s="137"/>
      <c r="X328" s="137"/>
      <c r="Y328" s="212">
        <f t="shared" ref="Y328" si="3772">IF(OR(E327="",J328=""),0,J328&amp;E327)</f>
        <v>0</v>
      </c>
      <c r="Z328" s="212">
        <f>IF(Y328=0,0,COUNTIF($Y$7:Y328,Y328))</f>
        <v>0</v>
      </c>
      <c r="AD328" s="212">
        <f>IFERROR(VLOOKUP(J328,競技会設定!$T$2:$W$22,2,0),0)</f>
        <v>0</v>
      </c>
      <c r="AE328" s="212">
        <f t="shared" ref="AE328" si="3773">IF(E327="",0,IF(AD328=0,0,IF(AD328&lt;3,E327&amp;$AE$6,0)))</f>
        <v>0</v>
      </c>
      <c r="AF328" s="212">
        <f>IF(AE328=0,0,E327&amp;COUNTIF($AE$7:AE328,AE328))</f>
        <v>0</v>
      </c>
      <c r="AG328" s="212">
        <f t="shared" ref="AG328" si="3774">IF(E327="",0,IF(AD328=0,0,IF(AD328&gt;=3,E327&amp;$AG$6,0)))</f>
        <v>0</v>
      </c>
      <c r="AH328" s="212">
        <f>IF(AG328=0,0,E327&amp;COUNTIF($AG$7:AG328,AG328))</f>
        <v>0</v>
      </c>
      <c r="AI328" s="212">
        <f t="shared" ref="AI328" si="3775">IF($AD328=AI$6,$E327,0)</f>
        <v>0</v>
      </c>
      <c r="AJ328" s="212" t="b">
        <f>IF(AI328=0,FALSE,IF(COUNTIF(AI$7:AI328,AI328)&gt;1,TRUE,FALSE))</f>
        <v>0</v>
      </c>
      <c r="AK328" s="212">
        <f t="shared" ref="AK328" si="3776">IF($AD328=AK$6,$E327,0)</f>
        <v>0</v>
      </c>
      <c r="AL328" s="212" t="b">
        <f>IF(AK328=0,FALSE,IF(COUNTIF(AK$7:AK328,AK328)&gt;1,TRUE,FALSE))</f>
        <v>0</v>
      </c>
      <c r="AM328" s="212">
        <f t="shared" ref="AM328" si="3777">IF(COUNTIF(Y328,"*七種*")&gt;0,0,IF($AD328=AM$6,$E327,0))</f>
        <v>0</v>
      </c>
      <c r="AN328" s="212" t="b">
        <f>IF(AM328=0,FALSE,IF(COUNTIF(AM$7:AM328,AM328)&gt;1,TRUE,FALSE))</f>
        <v>0</v>
      </c>
      <c r="AO328" s="212">
        <f t="shared" ref="AO328" si="3778">IF($AD328=AO$6,$E327,0)</f>
        <v>0</v>
      </c>
      <c r="AP328" s="212" t="b">
        <f>IF(AO328=0,FALSE,IF(COUNTIF(AO$7:AO328,AO328)&gt;1,TRUE,FALSE))</f>
        <v>0</v>
      </c>
      <c r="AQ328" s="212">
        <f t="shared" ref="AQ328" si="3779">IF(COUNTIF(Y328,"*七種競技*")&gt;0,E327,0)</f>
        <v>0</v>
      </c>
      <c r="AR328" s="212" t="b">
        <f t="shared" ref="AR328:AR391" si="3780">IF(AQ328=0,FALSE,IF(OR(COUNTIF($AM$7:$AM$406,AQ328)+COUNTIF($AQ$7:$AQ$406,AQ328)&gt;1,COUNTIF($AO$7:$AO$406,AQ328)+COUNTIF($AQ$7:$AQ$406,AQ328)&gt;1),TRUE,FALSE))</f>
        <v>0</v>
      </c>
      <c r="AT328" s="212" t="b">
        <f t="shared" si="3034"/>
        <v>0</v>
      </c>
      <c r="AX328" s="274"/>
      <c r="BD328" s="212" t="b">
        <f t="shared" si="3767"/>
        <v>0</v>
      </c>
      <c r="BF328" s="212" t="b">
        <f t="shared" ref="BF328" si="3781">IF(J328="",FALSE,IF(OR(AND(AU327,L328=""),AND(AU327,L328="",OR(M328&lt;&gt;"",N328&lt;&gt;"",O328&lt;&gt;"",P328&lt;&gt;""))),TRUE,FALSE))</f>
        <v>0</v>
      </c>
      <c r="BG328" s="212" t="b">
        <f t="shared" si="3769"/>
        <v>0</v>
      </c>
      <c r="BH328" s="212" t="b">
        <f t="shared" ref="BH328:BH391" si="3782">IF(COUNTIF(J328,"*m*")=0,FALSE,IF(VALUE(RIGHT(INT(L328/100),2))&gt;59,TRUE,IF(VALUE(RIGHT(INT(L328/10000),2))&gt;59,TRUE,FALSE)))</f>
        <v>0</v>
      </c>
      <c r="BI328" s="212" t="b">
        <f t="shared" ref="BI328" si="3783">IF(J328="",FALSE,IF(L328=0,FALSE,IF(AND(AU327,NOT(BF328),OR(M328="",N328="",O328="")),TRUE,FALSE)))</f>
        <v>0</v>
      </c>
      <c r="BJ328" s="231" t="b">
        <f t="shared" ref="BJ328:BJ391" si="3784">IF(OR(M328="",N328="",O328=""),FALSE,DATE(M328,N328,O328))</f>
        <v>0</v>
      </c>
      <c r="BK328" s="231" t="b">
        <f>IF(NOT(BJ328),FALSE,IF(AND(競技会設定!$C$5&lt;=BJ328,BJ328&lt;=競技会設定!$C$6),FALSE,TRUE))</f>
        <v>0</v>
      </c>
      <c r="BL328" s="212" t="b">
        <f>IF(J328="",FALSE,IF(L328=0,FALSE,IF(AND(AU327,NOT(BF328),NOT(BI328),P328=""),TRUE,FALSE)))</f>
        <v>0</v>
      </c>
    </row>
    <row r="329" spans="1:67" ht="17.399999999999999" customHeight="1">
      <c r="A329" s="471"/>
      <c r="B329" s="402"/>
      <c r="C329" s="404"/>
      <c r="D329" s="11"/>
      <c r="E329" s="348" t="str">
        <f>IF(C327="","",VLOOKUP(D327,女子登録!$A$2:$O$2001,14,0)&amp;" ("&amp;VLOOKUP(D327,女子登録!$A$2:$O$2001,15,0)&amp;")")</f>
        <v/>
      </c>
      <c r="F329" s="348"/>
      <c r="G329" s="13" t="str">
        <f>IF(C327="","",(VLOOKUP(D327,女子登録!$A$2:$N$2001,9,0)))</f>
        <v/>
      </c>
      <c r="H329" s="13"/>
      <c r="I329" s="13" t="s">
        <v>4021</v>
      </c>
      <c r="J329" s="172"/>
      <c r="K329" s="13" t="s">
        <v>6760</v>
      </c>
      <c r="L329" s="172"/>
      <c r="M329" s="255"/>
      <c r="N329" s="256"/>
      <c r="O329" s="257"/>
      <c r="P329" s="171"/>
      <c r="Q329" s="458"/>
      <c r="R329" s="415"/>
      <c r="S329" s="136"/>
      <c r="T329" s="137"/>
      <c r="U329" s="137"/>
      <c r="V329" s="137"/>
      <c r="W329" s="137"/>
      <c r="X329" s="137"/>
      <c r="Y329" s="212">
        <f t="shared" ref="Y329" si="3785">IF(OR(E327="",J329=""),0,J329&amp;E327)</f>
        <v>0</v>
      </c>
      <c r="Z329" s="212">
        <f>IF(Y329=0,0,COUNTIF($Y$7:Y329,Y329))</f>
        <v>0</v>
      </c>
      <c r="AD329" s="212">
        <f>IFERROR(VLOOKUP(J329,競技会設定!$T$2:$W$22,2,0),0)</f>
        <v>0</v>
      </c>
      <c r="AE329" s="212">
        <f t="shared" ref="AE329" si="3786">IF(E327="",0,IF(AD329=0,0,IF(AD329&lt;3,E327&amp;$AE$6,0)))</f>
        <v>0</v>
      </c>
      <c r="AF329" s="212">
        <f>IF(AE329=0,0,E327&amp;COUNTIF($AE$7:AE329,AE329))</f>
        <v>0</v>
      </c>
      <c r="AG329" s="212">
        <f t="shared" ref="AG329" si="3787">IF(E327="",0,IF(AD329=0,0,IF(AD329&gt;=3,E327&amp;$AG$6,0)))</f>
        <v>0</v>
      </c>
      <c r="AH329" s="212">
        <f>IF(AG329=0,0,E327&amp;COUNTIF($AG$7:AG329,AG329))</f>
        <v>0</v>
      </c>
      <c r="AI329" s="212">
        <f t="shared" ref="AI329" si="3788">IF($AD329=AI$6,$E327,0)</f>
        <v>0</v>
      </c>
      <c r="AJ329" s="212" t="b">
        <f>IF(AI329=0,FALSE,IF(COUNTIF(AI$7:AI329,AI329)&gt;1,TRUE,FALSE))</f>
        <v>0</v>
      </c>
      <c r="AK329" s="212">
        <f t="shared" ref="AK329" si="3789">IF($AD329=AK$6,$E327,0)</f>
        <v>0</v>
      </c>
      <c r="AL329" s="212" t="b">
        <f>IF(AK329=0,FALSE,IF(COUNTIF(AK$7:AK329,AK329)&gt;1,TRUE,FALSE))</f>
        <v>0</v>
      </c>
      <c r="AM329" s="212">
        <f t="shared" ref="AM329" si="3790">IF(COUNTIF(Y329,"*七種*")&gt;0,0,IF($AD329=AM$6,$E327,0))</f>
        <v>0</v>
      </c>
      <c r="AN329" s="212" t="b">
        <f>IF(AM329=0,FALSE,IF(COUNTIF(AM$7:AM329,AM329)&gt;1,TRUE,FALSE))</f>
        <v>0</v>
      </c>
      <c r="AO329" s="212">
        <f t="shared" ref="AO329" si="3791">IF($AD329=AO$6,$E327,0)</f>
        <v>0</v>
      </c>
      <c r="AP329" s="212" t="b">
        <f>IF(AO329=0,FALSE,IF(COUNTIF(AO$7:AO329,AO329)&gt;1,TRUE,FALSE))</f>
        <v>0</v>
      </c>
      <c r="AQ329" s="212">
        <f t="shared" ref="AQ329" si="3792">IF(COUNTIF(Y329,"*七種競技*")&gt;0,E327,0)</f>
        <v>0</v>
      </c>
      <c r="AR329" s="212" t="b">
        <f t="shared" si="3780"/>
        <v>0</v>
      </c>
      <c r="AT329" s="212" t="b">
        <f t="shared" ref="AT329:AT392" si="3793">IF(AND(J329="",OR(L329&lt;&gt;"",M329&lt;&gt;"",P329&lt;&gt;"")),TRUE,FALSE)</f>
        <v>0</v>
      </c>
      <c r="AX329" s="274"/>
      <c r="BD329" s="212" t="b">
        <f t="shared" si="3767"/>
        <v>0</v>
      </c>
      <c r="BF329" s="212" t="b">
        <f t="shared" ref="BF329" si="3794">IF(J329="",FALSE,IF(OR(AND(AU327,L329=""),AND(AU327,L329="",OR(M329&lt;&gt;"",N329&lt;&gt;"",O329&lt;&gt;"",P329&lt;&gt;""))),TRUE,FALSE))</f>
        <v>0</v>
      </c>
      <c r="BG329" s="212" t="b">
        <f t="shared" si="3769"/>
        <v>0</v>
      </c>
      <c r="BH329" s="212" t="b">
        <f t="shared" si="3782"/>
        <v>0</v>
      </c>
      <c r="BI329" s="212" t="b">
        <f t="shared" ref="BI329" si="3795">IF(J329="",FALSE,IF(L329=0,FALSE,IF(AND(AU327,NOT(BF329),OR(M329="",N329="",O329="")),TRUE,FALSE)))</f>
        <v>0</v>
      </c>
      <c r="BJ329" s="231" t="b">
        <f t="shared" si="3784"/>
        <v>0</v>
      </c>
      <c r="BK329" s="231" t="b">
        <f>IF(NOT(BJ329),FALSE,IF(AND(競技会設定!$C$5&lt;=BJ329,BJ329&lt;=競技会設定!$C$6),FALSE,TRUE))</f>
        <v>0</v>
      </c>
      <c r="BL329" s="212" t="b">
        <f>IF(J329="",FALSE,IF(L329=0,FALSE,IF(AND(AU327,NOT(BF329),NOT(BI329),P329=""),TRUE,FALSE)))</f>
        <v>0</v>
      </c>
    </row>
    <row r="330" spans="1:67" ht="18" customHeight="1" thickBot="1">
      <c r="A330" s="472"/>
      <c r="B330" s="395" t="s">
        <v>6764</v>
      </c>
      <c r="C330" s="395"/>
      <c r="D330" s="11"/>
      <c r="E330" s="460"/>
      <c r="F330" s="460"/>
      <c r="G330" s="460"/>
      <c r="H330" s="157"/>
      <c r="I330" s="157" t="s">
        <v>6759</v>
      </c>
      <c r="J330" s="173"/>
      <c r="K330" s="157" t="s">
        <v>6761</v>
      </c>
      <c r="L330" s="173"/>
      <c r="M330" s="258"/>
      <c r="N330" s="259"/>
      <c r="O330" s="260"/>
      <c r="P330" s="173"/>
      <c r="Q330" s="459"/>
      <c r="R330" s="416"/>
      <c r="S330" s="136"/>
      <c r="T330" s="137"/>
      <c r="U330" s="137"/>
      <c r="V330" s="137"/>
      <c r="W330" s="137"/>
      <c r="X330" s="137"/>
      <c r="Y330" s="212">
        <f t="shared" ref="Y330" si="3796">IF(OR(E327="",J330=""),0,J330&amp;E327)</f>
        <v>0</v>
      </c>
      <c r="Z330" s="212">
        <f>IF(Y330=0,0,COUNTIF($Y$7:Y330,Y330))</f>
        <v>0</v>
      </c>
      <c r="AD330" s="212">
        <f>IFERROR(VLOOKUP(J330,競技会設定!$T$2:$W$22,2,0),0)</f>
        <v>0</v>
      </c>
      <c r="AE330" s="212">
        <f t="shared" ref="AE330" si="3797">IF(E327="",0,IF(AD330=0,0,IF(AD330&lt;3,E327&amp;$AE$6,0)))</f>
        <v>0</v>
      </c>
      <c r="AF330" s="212">
        <f>IF(AE330=0,0,E327&amp;COUNTIF($AE$7:AE330,AE330))</f>
        <v>0</v>
      </c>
      <c r="AG330" s="212">
        <f t="shared" ref="AG330" si="3798">IF(E327="",0,IF(AD330=0,0,IF(AD330&gt;=3,E327&amp;$AG$6,0)))</f>
        <v>0</v>
      </c>
      <c r="AH330" s="212">
        <f>IF(AG330=0,0,E327&amp;COUNTIF($AG$7:AG330,AG330))</f>
        <v>0</v>
      </c>
      <c r="AI330" s="212">
        <f t="shared" ref="AI330" si="3799">IF($AD330=AI$6,$E327,0)</f>
        <v>0</v>
      </c>
      <c r="AJ330" s="212" t="b">
        <f>IF(AI330=0,FALSE,IF(COUNTIF(AI$7:AI330,AI330)&gt;1,TRUE,FALSE))</f>
        <v>0</v>
      </c>
      <c r="AK330" s="212">
        <f t="shared" ref="AK330" si="3800">IF($AD330=AK$6,$E327,0)</f>
        <v>0</v>
      </c>
      <c r="AL330" s="212" t="b">
        <f>IF(AK330=0,FALSE,IF(COUNTIF(AK$7:AK330,AK330)&gt;1,TRUE,FALSE))</f>
        <v>0</v>
      </c>
      <c r="AM330" s="212">
        <f t="shared" ref="AM330" si="3801">IF(COUNTIF(Y330,"*七種*")&gt;0,0,IF($AD330=AM$6,$E327,0))</f>
        <v>0</v>
      </c>
      <c r="AN330" s="212" t="b">
        <f>IF(AM330=0,FALSE,IF(COUNTIF(AM$7:AM330,AM330)&gt;1,TRUE,FALSE))</f>
        <v>0</v>
      </c>
      <c r="AO330" s="212">
        <f t="shared" ref="AO330" si="3802">IF($AD330=AO$6,$E327,0)</f>
        <v>0</v>
      </c>
      <c r="AP330" s="212" t="b">
        <f>IF(AO330=0,FALSE,IF(COUNTIF(AO$7:AO330,AO330)&gt;1,TRUE,FALSE))</f>
        <v>0</v>
      </c>
      <c r="AQ330" s="212">
        <f t="shared" ref="AQ330" si="3803">IF(COUNTIF(Y330,"*七種競技*")&gt;0,E327,0)</f>
        <v>0</v>
      </c>
      <c r="AR330" s="212" t="b">
        <f t="shared" si="3780"/>
        <v>0</v>
      </c>
      <c r="AT330" s="212" t="b">
        <f t="shared" si="3793"/>
        <v>0</v>
      </c>
      <c r="AX330" s="274"/>
      <c r="BD330" s="212" t="b">
        <f t="shared" si="3767"/>
        <v>0</v>
      </c>
      <c r="BF330" s="212" t="b">
        <f t="shared" ref="BF330" si="3804">IF(J330="",FALSE,IF(OR(AND(AU327,L330=""),AND(AU327,L330="",OR(M330&lt;&gt;"",N330&lt;&gt;"",O330&lt;&gt;"",P330&lt;&gt;""))),TRUE,FALSE))</f>
        <v>0</v>
      </c>
      <c r="BG330" s="212" t="b">
        <f t="shared" si="3769"/>
        <v>0</v>
      </c>
      <c r="BH330" s="212" t="b">
        <f t="shared" si="3782"/>
        <v>0</v>
      </c>
      <c r="BI330" s="212" t="b">
        <f t="shared" ref="BI330" si="3805">IF(J330="",FALSE,IF(L330=0,FALSE,IF(AND(AU327,NOT(BF330),OR(M330="",N330="",O330="")),TRUE,FALSE)))</f>
        <v>0</v>
      </c>
      <c r="BJ330" s="231" t="b">
        <f t="shared" si="3784"/>
        <v>0</v>
      </c>
      <c r="BK330" s="231" t="b">
        <f>IF(NOT(BJ330),FALSE,IF(AND(競技会設定!$C$5&lt;=BJ330,BJ330&lt;=競技会設定!$C$6),FALSE,TRUE))</f>
        <v>0</v>
      </c>
      <c r="BL330" s="212" t="b">
        <f>IF(J330="",FALSE,IF(L330=0,FALSE,IF(AND(AU327,NOT(BF330),NOT(BI330),P330=""),TRUE,FALSE)))</f>
        <v>0</v>
      </c>
    </row>
    <row r="331" spans="1:67" ht="18" customHeight="1" thickTop="1">
      <c r="A331" s="461">
        <v>82</v>
      </c>
      <c r="B331" s="373" t="s">
        <v>4018</v>
      </c>
      <c r="C331" s="375"/>
      <c r="D331" s="158" t="str">
        <f t="shared" ref="D331" si="3806">IF(C331="","",502&amp;TEXT(C331,"000000"))</f>
        <v/>
      </c>
      <c r="E331" s="464" t="str">
        <f>IF(D331="","",(VLOOKUP(D331,女子登録!$A$2:$N$2001,3,0)))</f>
        <v/>
      </c>
      <c r="F331" s="464" t="str">
        <f>IF(D331="","",(VLOOKUP(D331,女子登録!$A$2:$N$2001,4,0)))</f>
        <v/>
      </c>
      <c r="G331" s="158" t="str">
        <f>IF(C331="","",(VLOOKUP(D331,女子登録!$A$2:$N$2001,8,0)))</f>
        <v/>
      </c>
      <c r="H331" s="158">
        <f>IFERROR(VLOOKUP(D331,女子登録!$A$2:$N$2001,11,0),基本情報!$E$5)</f>
        <v>0</v>
      </c>
      <c r="I331" s="158" t="s">
        <v>4019</v>
      </c>
      <c r="J331" s="174"/>
      <c r="K331" s="158" t="s">
        <v>4022</v>
      </c>
      <c r="L331" s="174"/>
      <c r="M331" s="261"/>
      <c r="N331" s="262"/>
      <c r="O331" s="263"/>
      <c r="P331" s="174"/>
      <c r="Q331" s="448"/>
      <c r="R331" s="408"/>
      <c r="S331" s="136">
        <f t="shared" ref="S331" si="3807">IF(OR(E331="",Q331=""),0,E331)</f>
        <v>0</v>
      </c>
      <c r="T331" s="137">
        <f>IF(S331=0,0,COUNTIF($S$7:S331,"*"))</f>
        <v>0</v>
      </c>
      <c r="U331" s="137">
        <f>IF(S331=0,0,COUNTIF($S$7:S331,S331))</f>
        <v>0</v>
      </c>
      <c r="V331" s="137">
        <f t="shared" si="3237"/>
        <v>0</v>
      </c>
      <c r="W331" s="137">
        <f>IF(V331=0,0,COUNTIF($V$7:V331,"*"))</f>
        <v>0</v>
      </c>
      <c r="X331" s="137">
        <f>IF(V331=0,0,COUNTIF($V$7:V331,V331))</f>
        <v>0</v>
      </c>
      <c r="Y331" s="212">
        <f t="shared" ref="Y331" si="3808">IF(OR(E331="",J331=""),0,J331&amp;E331)</f>
        <v>0</v>
      </c>
      <c r="Z331" s="212">
        <f>IF(Y331=0,0,COUNTIF($Y$7:Y331,Y331))</f>
        <v>0</v>
      </c>
      <c r="AA331" s="212" t="b">
        <f>IF(COUNTIF(J331:J334,"七種競技")&gt;0,TRUE,FALSE)</f>
        <v>0</v>
      </c>
      <c r="AB331" s="212">
        <f>IF(E331="",0,IF(AA331,COUNTIF($AA$7:AA331,TRUE),0))</f>
        <v>0</v>
      </c>
      <c r="AC331" s="212">
        <f>IFERROR(VLOOKUP("七種競技",J331:L334,3,0),0)</f>
        <v>0</v>
      </c>
      <c r="AD331" s="212">
        <f>IFERROR(VLOOKUP(J331,競技会設定!$T$2:$W$22,2,0),0)</f>
        <v>0</v>
      </c>
      <c r="AE331" s="212">
        <f t="shared" ref="AE331" si="3809">IF(E331="",0,IF(AD331=0,0,IF(AD331&lt;3,E331&amp;$AE$6,0)))</f>
        <v>0</v>
      </c>
      <c r="AF331" s="212">
        <f>IF(AE331=0,0,E331&amp;COUNTIF($AE$7:AE331,AE331))</f>
        <v>0</v>
      </c>
      <c r="AG331" s="212">
        <f t="shared" ref="AG331" si="3810">IF(E331="",0,IF(AD331=0,0,IF(AD331&gt;=3,E331&amp;$AG$6,0)))</f>
        <v>0</v>
      </c>
      <c r="AH331" s="212">
        <f>IF(AG331=0,0,E331&amp;COUNTIF($AG$7:AG331,AG331))</f>
        <v>0</v>
      </c>
      <c r="AI331" s="212">
        <f t="shared" ref="AI331" si="3811">IF($AD331=AI$6,$E331,0)</f>
        <v>0</v>
      </c>
      <c r="AJ331" s="212" t="b">
        <f>IF(AI331=0,FALSE,IF(COUNTIF(AI$7:AI331,AI331)&gt;1,TRUE,FALSE))</f>
        <v>0</v>
      </c>
      <c r="AK331" s="212">
        <f t="shared" ref="AK331" si="3812">IF($AD331=AK$6,$E331,0)</f>
        <v>0</v>
      </c>
      <c r="AL331" s="212" t="b">
        <f>IF(AK331=0,FALSE,IF(COUNTIF(AK$7:AK331,AK331)&gt;1,TRUE,FALSE))</f>
        <v>0</v>
      </c>
      <c r="AM331" s="212">
        <f t="shared" ref="AM331" si="3813">IF(COUNTIF(Y331,"*七種*")&gt;0,0,IF($AD331=AM$6,$E331,0))</f>
        <v>0</v>
      </c>
      <c r="AN331" s="212" t="b">
        <f>IF(AM331=0,FALSE,IF(COUNTIF(AM$7:AM331,AM331)&gt;1,TRUE,FALSE))</f>
        <v>0</v>
      </c>
      <c r="AO331" s="212">
        <f t="shared" ref="AO331" si="3814">IF($AD331=AO$6,$E331,0)</f>
        <v>0</v>
      </c>
      <c r="AP331" s="212" t="b">
        <f>IF(AO331=0,FALSE,IF(COUNTIF(AO$7:AO331,AO331)&gt;1,TRUE,FALSE))</f>
        <v>0</v>
      </c>
      <c r="AQ331" s="212">
        <f t="shared" ref="AQ331" si="3815">IF(COUNTIF(Y331,"*七種競技*")&gt;0,E331,0)</f>
        <v>0</v>
      </c>
      <c r="AR331" s="212" t="b">
        <f t="shared" si="3780"/>
        <v>0</v>
      </c>
      <c r="AS331" s="212" t="b">
        <f t="shared" ref="AS331" si="3816">IF(AND(C331="",E331&lt;&gt;"",F331&lt;&gt;"",E333&lt;&gt;"",G331&lt;&gt;"",G332&lt;&gt;"",G333&lt;&gt;""),TRUE,FALSE)</f>
        <v>0</v>
      </c>
      <c r="AT331" s="212" t="b">
        <f t="shared" si="3793"/>
        <v>0</v>
      </c>
      <c r="AU331" s="212" t="b">
        <f>IFERROR(IF(E331&amp;F331&amp;E333&amp;G331&amp;G332&amp;G333&amp;J331&amp;J332&amp;J333&amp;J334&amp;L331&amp;L332&amp;L333&amp;L334&amp;M331&amp;M332&amp;M333&amp;M334&amp;P331&amp;P332&amp;P333&amp;P334&amp;Q331&amp;R331="",FALSE,TRUE),FALSE)</f>
        <v>0</v>
      </c>
      <c r="AV331" s="212" t="b">
        <f t="shared" ref="AV331" si="3817">IF(AS331,FALSE,IF(C331="",AU331,FALSE))</f>
        <v>0</v>
      </c>
      <c r="AW331" s="212" t="b">
        <f t="shared" ref="AW331" si="3818">IF(C331="",FALSE,IF(C331&lt;=2000,TRUE,FALSE))</f>
        <v>0</v>
      </c>
      <c r="AX331" s="274" t="b">
        <f>IF(H331=0,FALSE,IF(EXACT(基本情報!$E$5,H331)=TRUE,FALSE,TRUE))</f>
        <v>0</v>
      </c>
      <c r="AY331" s="212" t="b">
        <f>IF(C331="",FALSE,IF(ISNA(E331)=TRUE,TRUE,FALSE))</f>
        <v>0</v>
      </c>
      <c r="AZ331" s="274" t="b">
        <f>IFERROR(IF(E331="",FALSE,IF(COUNTIF($E$7:E331,E331)&gt;1,TRUE,FALSE)),FALSE)</f>
        <v>0</v>
      </c>
      <c r="BA331" s="212" t="b">
        <f t="shared" ref="BA331" si="3819">IF(OR(J331&amp;J332&amp;J333&amp;J334&amp;Q331&amp;R331="",AT331,AT332,AT333,AT334),AU331,FALSE)</f>
        <v>0</v>
      </c>
      <c r="BB331" s="212" t="b">
        <f>IF(U331&gt;1,TRUE,FALSE)</f>
        <v>0</v>
      </c>
      <c r="BC331" s="212" t="b">
        <f>IF(X331&gt;1,TRUE,FALSE)</f>
        <v>0</v>
      </c>
      <c r="BD331" s="212" t="b">
        <f t="shared" si="3767"/>
        <v>0</v>
      </c>
      <c r="BF331" s="212" t="b">
        <f t="shared" ref="BF331" si="3820">IF(J331="",FALSE,IF(OR(AND(AU331,L331=""),AND(AU331,L331="",OR(M331&lt;&gt;"",N331&lt;&gt;"",O331&lt;&gt;"",P331&lt;&gt;""))),TRUE,FALSE))</f>
        <v>0</v>
      </c>
      <c r="BG331" s="212" t="b">
        <f t="shared" si="3769"/>
        <v>0</v>
      </c>
      <c r="BH331" s="212" t="b">
        <f t="shared" si="3782"/>
        <v>0</v>
      </c>
      <c r="BI331" s="212" t="b">
        <f t="shared" ref="BI331" si="3821">IF(J331="",FALSE,IF(L331=0,FALSE,IF(AND(AU331,NOT(BF331),OR(M331="",N331="",O331="")),TRUE,FALSE)))</f>
        <v>0</v>
      </c>
      <c r="BJ331" s="231" t="b">
        <f t="shared" si="3784"/>
        <v>0</v>
      </c>
      <c r="BK331" s="231" t="b">
        <f>IF(NOT(BJ331),FALSE,IF(AND(競技会設定!$C$5&lt;=BJ331,BJ331&lt;=競技会設定!$C$6),FALSE,TRUE))</f>
        <v>0</v>
      </c>
      <c r="BL331" s="212" t="b">
        <f>IF(J331="",FALSE,IF(L331=0,FALSE,IF(AND(AU331,NOT(BF331),NOT(BI331),P331=""),TRUE,FALSE)))</f>
        <v>0</v>
      </c>
      <c r="BO331" s="274">
        <f t="shared" ref="BO331" si="3822">IF(AND(AU331,SUM(COUNTIF(AV331:BC331,TRUE),COUNTIF(BF331:BL334,TRUE),COUNTIF(BD331:BD334,TRUE))=0,NOT($BE$7)),1,0)</f>
        <v>0</v>
      </c>
    </row>
    <row r="332" spans="1:67" ht="17.399999999999999" customHeight="1">
      <c r="A332" s="462"/>
      <c r="B332" s="374"/>
      <c r="C332" s="376"/>
      <c r="D332" s="159"/>
      <c r="E332" s="465"/>
      <c r="F332" s="465"/>
      <c r="G332" s="159" t="str">
        <f>IF(C331="","",(VLOOKUP(D331,女子登録!$A$2:$N$2001,13,0)))</f>
        <v/>
      </c>
      <c r="H332" s="159"/>
      <c r="I332" s="159" t="s">
        <v>4020</v>
      </c>
      <c r="J332" s="175"/>
      <c r="K332" s="159" t="s">
        <v>4023</v>
      </c>
      <c r="L332" s="175"/>
      <c r="M332" s="264"/>
      <c r="N332" s="265"/>
      <c r="O332" s="266"/>
      <c r="P332" s="175"/>
      <c r="Q332" s="449"/>
      <c r="R332" s="409"/>
      <c r="S332" s="136"/>
      <c r="T332" s="137"/>
      <c r="U332" s="137"/>
      <c r="V332" s="137"/>
      <c r="W332" s="137"/>
      <c r="X332" s="137"/>
      <c r="Y332" s="212">
        <f t="shared" ref="Y332" si="3823">IF(OR(E331="",J332=""),0,J332&amp;E331)</f>
        <v>0</v>
      </c>
      <c r="Z332" s="212">
        <f>IF(Y332=0,0,COUNTIF($Y$7:Y332,Y332))</f>
        <v>0</v>
      </c>
      <c r="AD332" s="212">
        <f>IFERROR(VLOOKUP(J332,競技会設定!$T$2:$W$22,2,0),0)</f>
        <v>0</v>
      </c>
      <c r="AE332" s="212">
        <f t="shared" ref="AE332" si="3824">IF(E331="",0,IF(AD332=0,0,IF(AD332&lt;3,E331&amp;$AE$6,0)))</f>
        <v>0</v>
      </c>
      <c r="AF332" s="212">
        <f>IF(AE332=0,0,E331&amp;COUNTIF($AE$7:AE332,AE332))</f>
        <v>0</v>
      </c>
      <c r="AG332" s="212">
        <f t="shared" ref="AG332" si="3825">IF(E331="",0,IF(AD332=0,0,IF(AD332&gt;=3,E331&amp;$AG$6,0)))</f>
        <v>0</v>
      </c>
      <c r="AH332" s="212">
        <f>IF(AG332=0,0,E331&amp;COUNTIF($AG$7:AG332,AG332))</f>
        <v>0</v>
      </c>
      <c r="AI332" s="212">
        <f t="shared" ref="AI332" si="3826">IF($AD332=AI$6,$E331,0)</f>
        <v>0</v>
      </c>
      <c r="AJ332" s="212" t="b">
        <f>IF(AI332=0,FALSE,IF(COUNTIF(AI$7:AI332,AI332)&gt;1,TRUE,FALSE))</f>
        <v>0</v>
      </c>
      <c r="AK332" s="212">
        <f t="shared" ref="AK332" si="3827">IF($AD332=AK$6,$E331,0)</f>
        <v>0</v>
      </c>
      <c r="AL332" s="212" t="b">
        <f>IF(AK332=0,FALSE,IF(COUNTIF(AK$7:AK332,AK332)&gt;1,TRUE,FALSE))</f>
        <v>0</v>
      </c>
      <c r="AM332" s="212">
        <f t="shared" ref="AM332" si="3828">IF(COUNTIF(Y332,"*七種*")&gt;0,0,IF($AD332=AM$6,$E331,0))</f>
        <v>0</v>
      </c>
      <c r="AN332" s="212" t="b">
        <f>IF(AM332=0,FALSE,IF(COUNTIF(AM$7:AM332,AM332)&gt;1,TRUE,FALSE))</f>
        <v>0</v>
      </c>
      <c r="AO332" s="212">
        <f t="shared" ref="AO332" si="3829">IF($AD332=AO$6,$E331,0)</f>
        <v>0</v>
      </c>
      <c r="AP332" s="212" t="b">
        <f>IF(AO332=0,FALSE,IF(COUNTIF(AO$7:AO332,AO332)&gt;1,TRUE,FALSE))</f>
        <v>0</v>
      </c>
      <c r="AQ332" s="212">
        <f t="shared" ref="AQ332" si="3830">IF(COUNTIF(Y332,"*七種競技*")&gt;0,E331,0)</f>
        <v>0</v>
      </c>
      <c r="AR332" s="212" t="b">
        <f t="shared" si="3780"/>
        <v>0</v>
      </c>
      <c r="AT332" s="212" t="b">
        <f t="shared" si="3793"/>
        <v>0</v>
      </c>
      <c r="AX332" s="274"/>
      <c r="BD332" s="212" t="b">
        <f t="shared" si="3767"/>
        <v>0</v>
      </c>
      <c r="BF332" s="212" t="b">
        <f t="shared" ref="BF332" si="3831">IF(J332="",FALSE,IF(OR(AND(AU331,L332=""),AND(AU331,L332="",OR(M332&lt;&gt;"",N332&lt;&gt;"",O332&lt;&gt;"",P332&lt;&gt;""))),TRUE,FALSE))</f>
        <v>0</v>
      </c>
      <c r="BG332" s="212" t="b">
        <f t="shared" si="3769"/>
        <v>0</v>
      </c>
      <c r="BH332" s="212" t="b">
        <f t="shared" si="3782"/>
        <v>0</v>
      </c>
      <c r="BI332" s="212" t="b">
        <f t="shared" ref="BI332" si="3832">IF(J332="",FALSE,IF(L332=0,FALSE,IF(AND(AU331,NOT(BF332),OR(M332="",N332="",O332="")),TRUE,FALSE)))</f>
        <v>0</v>
      </c>
      <c r="BJ332" s="231" t="b">
        <f t="shared" si="3784"/>
        <v>0</v>
      </c>
      <c r="BK332" s="231" t="b">
        <f>IF(NOT(BJ332),FALSE,IF(AND(競技会設定!$C$5&lt;=BJ332,BJ332&lt;=競技会設定!$C$6),FALSE,TRUE))</f>
        <v>0</v>
      </c>
      <c r="BL332" s="212" t="b">
        <f>IF(J332="",FALSE,IF(L332=0,FALSE,IF(AND(AU331,NOT(BF332),NOT(BI332),P332=""),TRUE,FALSE)))</f>
        <v>0</v>
      </c>
    </row>
    <row r="333" spans="1:67" ht="17.399999999999999" customHeight="1">
      <c r="A333" s="462"/>
      <c r="B333" s="374"/>
      <c r="C333" s="376"/>
      <c r="D333" s="160"/>
      <c r="E333" s="452" t="str">
        <f>IF(C331="","",VLOOKUP(D331,女子登録!$A$2:$O$2001,14,0)&amp;" ("&amp;VLOOKUP(D331,女子登録!$A$2:$O$2001,15,0)&amp;")")</f>
        <v/>
      </c>
      <c r="F333" s="453"/>
      <c r="G333" s="160" t="str">
        <f>IF(C331="","",(VLOOKUP(D331,女子登録!$A$2:$N$2001,9,0)))</f>
        <v/>
      </c>
      <c r="H333" s="160"/>
      <c r="I333" s="160" t="s">
        <v>4021</v>
      </c>
      <c r="J333" s="176"/>
      <c r="K333" s="160" t="s">
        <v>6760</v>
      </c>
      <c r="L333" s="176"/>
      <c r="M333" s="264"/>
      <c r="N333" s="265"/>
      <c r="O333" s="266"/>
      <c r="P333" s="175"/>
      <c r="Q333" s="449"/>
      <c r="R333" s="409"/>
      <c r="S333" s="136"/>
      <c r="T333" s="137"/>
      <c r="U333" s="137"/>
      <c r="V333" s="137"/>
      <c r="W333" s="137"/>
      <c r="X333" s="137"/>
      <c r="Y333" s="212">
        <f t="shared" ref="Y333" si="3833">IF(OR(E331="",J333=""),0,J333&amp;E331)</f>
        <v>0</v>
      </c>
      <c r="Z333" s="212">
        <f>IF(Y333=0,0,COUNTIF($Y$7:Y333,Y333))</f>
        <v>0</v>
      </c>
      <c r="AD333" s="212">
        <f>IFERROR(VLOOKUP(J333,競技会設定!$T$2:$W$22,2,0),0)</f>
        <v>0</v>
      </c>
      <c r="AE333" s="212">
        <f t="shared" ref="AE333" si="3834">IF(E331="",0,IF(AD333=0,0,IF(AD333&lt;3,E331&amp;$AE$6,0)))</f>
        <v>0</v>
      </c>
      <c r="AF333" s="212">
        <f>IF(AE333=0,0,E331&amp;COUNTIF($AE$7:AE333,AE333))</f>
        <v>0</v>
      </c>
      <c r="AG333" s="212">
        <f t="shared" ref="AG333" si="3835">IF(E331="",0,IF(AD333=0,0,IF(AD333&gt;=3,E331&amp;$AG$6,0)))</f>
        <v>0</v>
      </c>
      <c r="AH333" s="212">
        <f>IF(AG333=0,0,E331&amp;COUNTIF($AG$7:AG333,AG333))</f>
        <v>0</v>
      </c>
      <c r="AI333" s="212">
        <f t="shared" ref="AI333" si="3836">IF($AD333=AI$6,$E331,0)</f>
        <v>0</v>
      </c>
      <c r="AJ333" s="212" t="b">
        <f>IF(AI333=0,FALSE,IF(COUNTIF(AI$7:AI333,AI333)&gt;1,TRUE,FALSE))</f>
        <v>0</v>
      </c>
      <c r="AK333" s="212">
        <f t="shared" ref="AK333" si="3837">IF($AD333=AK$6,$E331,0)</f>
        <v>0</v>
      </c>
      <c r="AL333" s="212" t="b">
        <f>IF(AK333=0,FALSE,IF(COUNTIF(AK$7:AK333,AK333)&gt;1,TRUE,FALSE))</f>
        <v>0</v>
      </c>
      <c r="AM333" s="212">
        <f t="shared" ref="AM333" si="3838">IF(COUNTIF(Y333,"*七種*")&gt;0,0,IF($AD333=AM$6,$E331,0))</f>
        <v>0</v>
      </c>
      <c r="AN333" s="212" t="b">
        <f>IF(AM333=0,FALSE,IF(COUNTIF(AM$7:AM333,AM333)&gt;1,TRUE,FALSE))</f>
        <v>0</v>
      </c>
      <c r="AO333" s="212">
        <f t="shared" ref="AO333" si="3839">IF($AD333=AO$6,$E331,0)</f>
        <v>0</v>
      </c>
      <c r="AP333" s="212" t="b">
        <f>IF(AO333=0,FALSE,IF(COUNTIF(AO$7:AO333,AO333)&gt;1,TRUE,FALSE))</f>
        <v>0</v>
      </c>
      <c r="AQ333" s="212">
        <f t="shared" ref="AQ333" si="3840">IF(COUNTIF(Y333,"*七種競技*")&gt;0,E331,0)</f>
        <v>0</v>
      </c>
      <c r="AR333" s="212" t="b">
        <f t="shared" si="3780"/>
        <v>0</v>
      </c>
      <c r="AT333" s="212" t="b">
        <f t="shared" si="3793"/>
        <v>0</v>
      </c>
      <c r="AX333" s="274"/>
      <c r="BD333" s="212" t="b">
        <f t="shared" si="3767"/>
        <v>0</v>
      </c>
      <c r="BF333" s="212" t="b">
        <f t="shared" ref="BF333" si="3841">IF(J333="",FALSE,IF(OR(AND(AU331,L333=""),AND(AU331,L333="",OR(M333&lt;&gt;"",N333&lt;&gt;"",O333&lt;&gt;"",P333&lt;&gt;""))),TRUE,FALSE))</f>
        <v>0</v>
      </c>
      <c r="BG333" s="212" t="b">
        <f t="shared" si="3769"/>
        <v>0</v>
      </c>
      <c r="BH333" s="212" t="b">
        <f t="shared" si="3782"/>
        <v>0</v>
      </c>
      <c r="BI333" s="212" t="b">
        <f t="shared" ref="BI333" si="3842">IF(J333="",FALSE,IF(L333=0,FALSE,IF(AND(AU331,NOT(BF333),OR(M333="",N333="",O333="")),TRUE,FALSE)))</f>
        <v>0</v>
      </c>
      <c r="BJ333" s="231" t="b">
        <f t="shared" si="3784"/>
        <v>0</v>
      </c>
      <c r="BK333" s="231" t="b">
        <f>IF(NOT(BJ333),FALSE,IF(AND(競技会設定!$C$5&lt;=BJ333,BJ333&lt;=競技会設定!$C$6),FALSE,TRUE))</f>
        <v>0</v>
      </c>
      <c r="BL333" s="212" t="b">
        <f>IF(J333="",FALSE,IF(L333=0,FALSE,IF(AND(AU331,NOT(BF333),NOT(BI333),P333=""),TRUE,FALSE)))</f>
        <v>0</v>
      </c>
    </row>
    <row r="334" spans="1:67" ht="18" customHeight="1" thickBot="1">
      <c r="A334" s="475"/>
      <c r="B334" s="387" t="s">
        <v>6764</v>
      </c>
      <c r="C334" s="387"/>
      <c r="D334" s="161"/>
      <c r="E334" s="467"/>
      <c r="F334" s="468"/>
      <c r="G334" s="469"/>
      <c r="H334" s="162"/>
      <c r="I334" s="161" t="s">
        <v>6759</v>
      </c>
      <c r="J334" s="177"/>
      <c r="K334" s="161" t="s">
        <v>6761</v>
      </c>
      <c r="L334" s="177"/>
      <c r="M334" s="267"/>
      <c r="N334" s="268"/>
      <c r="O334" s="269"/>
      <c r="P334" s="177"/>
      <c r="Q334" s="466"/>
      <c r="R334" s="410"/>
      <c r="S334" s="136"/>
      <c r="T334" s="137"/>
      <c r="U334" s="137"/>
      <c r="V334" s="137"/>
      <c r="W334" s="137"/>
      <c r="X334" s="137"/>
      <c r="Y334" s="212">
        <f t="shared" ref="Y334" si="3843">IF(OR(E331="",J334=""),0,J334&amp;E331)</f>
        <v>0</v>
      </c>
      <c r="Z334" s="212">
        <f>IF(Y334=0,0,COUNTIF($Y$7:Y334,Y334))</f>
        <v>0</v>
      </c>
      <c r="AD334" s="212">
        <f>IFERROR(VLOOKUP(J334,競技会設定!$T$2:$W$22,2,0),0)</f>
        <v>0</v>
      </c>
      <c r="AE334" s="212">
        <f t="shared" ref="AE334" si="3844">IF(E331="",0,IF(AD334=0,0,IF(AD334&lt;3,E331&amp;$AE$6,0)))</f>
        <v>0</v>
      </c>
      <c r="AF334" s="212">
        <f>IF(AE334=0,0,E331&amp;COUNTIF($AE$7:AE334,AE334))</f>
        <v>0</v>
      </c>
      <c r="AG334" s="212">
        <f t="shared" ref="AG334" si="3845">IF(E331="",0,IF(AD334=0,0,IF(AD334&gt;=3,E331&amp;$AG$6,0)))</f>
        <v>0</v>
      </c>
      <c r="AH334" s="212">
        <f>IF(AG334=0,0,E331&amp;COUNTIF($AG$7:AG334,AG334))</f>
        <v>0</v>
      </c>
      <c r="AI334" s="212">
        <f t="shared" ref="AI334" si="3846">IF($AD334=AI$6,$E331,0)</f>
        <v>0</v>
      </c>
      <c r="AJ334" s="212" t="b">
        <f>IF(AI334=0,FALSE,IF(COUNTIF(AI$7:AI334,AI334)&gt;1,TRUE,FALSE))</f>
        <v>0</v>
      </c>
      <c r="AK334" s="212">
        <f t="shared" ref="AK334" si="3847">IF($AD334=AK$6,$E331,0)</f>
        <v>0</v>
      </c>
      <c r="AL334" s="212" t="b">
        <f>IF(AK334=0,FALSE,IF(COUNTIF(AK$7:AK334,AK334)&gt;1,TRUE,FALSE))</f>
        <v>0</v>
      </c>
      <c r="AM334" s="212">
        <f t="shared" ref="AM334" si="3848">IF(COUNTIF(Y334,"*七種*")&gt;0,0,IF($AD334=AM$6,$E331,0))</f>
        <v>0</v>
      </c>
      <c r="AN334" s="212" t="b">
        <f>IF(AM334=0,FALSE,IF(COUNTIF(AM$7:AM334,AM334)&gt;1,TRUE,FALSE))</f>
        <v>0</v>
      </c>
      <c r="AO334" s="212">
        <f t="shared" ref="AO334" si="3849">IF($AD334=AO$6,$E331,0)</f>
        <v>0</v>
      </c>
      <c r="AP334" s="212" t="b">
        <f>IF(AO334=0,FALSE,IF(COUNTIF(AO$7:AO334,AO334)&gt;1,TRUE,FALSE))</f>
        <v>0</v>
      </c>
      <c r="AQ334" s="212">
        <f t="shared" ref="AQ334" si="3850">IF(COUNTIF(Y334,"*七種競技*")&gt;0,E331,0)</f>
        <v>0</v>
      </c>
      <c r="AR334" s="212" t="b">
        <f t="shared" si="3780"/>
        <v>0</v>
      </c>
      <c r="AT334" s="212" t="b">
        <f t="shared" si="3793"/>
        <v>0</v>
      </c>
      <c r="AX334" s="274"/>
      <c r="BD334" s="212" t="b">
        <f t="shared" si="3767"/>
        <v>0</v>
      </c>
      <c r="BF334" s="212" t="b">
        <f t="shared" ref="BF334" si="3851">IF(J334="",FALSE,IF(OR(AND(AU331,L334=""),AND(AU331,L334="",OR(M334&lt;&gt;"",N334&lt;&gt;"",O334&lt;&gt;"",P334&lt;&gt;""))),TRUE,FALSE))</f>
        <v>0</v>
      </c>
      <c r="BG334" s="212" t="b">
        <f t="shared" si="3769"/>
        <v>0</v>
      </c>
      <c r="BH334" s="212" t="b">
        <f t="shared" si="3782"/>
        <v>0</v>
      </c>
      <c r="BI334" s="212" t="b">
        <f t="shared" ref="BI334" si="3852">IF(J334="",FALSE,IF(L334=0,FALSE,IF(AND(AU331,NOT(BF334),OR(M334="",N334="",O334="")),TRUE,FALSE)))</f>
        <v>0</v>
      </c>
      <c r="BJ334" s="231" t="b">
        <f t="shared" si="3784"/>
        <v>0</v>
      </c>
      <c r="BK334" s="231" t="b">
        <f>IF(NOT(BJ334),FALSE,IF(AND(競技会設定!$C$5&lt;=BJ334,BJ334&lt;=競技会設定!$C$6),FALSE,TRUE))</f>
        <v>0</v>
      </c>
      <c r="BL334" s="212" t="b">
        <f>IF(J334="",FALSE,IF(L334=0,FALSE,IF(AND(AU331,NOT(BF334),NOT(BI334),P334=""),TRUE,FALSE)))</f>
        <v>0</v>
      </c>
    </row>
    <row r="335" spans="1:67" ht="18" customHeight="1" thickTop="1">
      <c r="A335" s="470">
        <v>83</v>
      </c>
      <c r="B335" s="401" t="s">
        <v>4018</v>
      </c>
      <c r="C335" s="403"/>
      <c r="D335" s="156" t="str">
        <f t="shared" ref="D335" si="3853">IF(C335="","",502&amp;TEXT(C335,"000000"))</f>
        <v/>
      </c>
      <c r="E335" s="473" t="str">
        <f>IF(D335="","",(VLOOKUP(D335,女子登録!$A$2:$N$2001,3,0)))</f>
        <v/>
      </c>
      <c r="F335" s="473" t="str">
        <f>IF(D335="","",(VLOOKUP(D335,女子登録!$A$2:$N$2001,4,0)))</f>
        <v/>
      </c>
      <c r="G335" s="156" t="str">
        <f>IF(C335="","",(VLOOKUP(D335,女子登録!$A$2:$N$2001,8,0)))</f>
        <v/>
      </c>
      <c r="H335" s="156">
        <f>IFERROR(VLOOKUP(D335,女子登録!$A$2:$N$2001,11,0),基本情報!$E$5)</f>
        <v>0</v>
      </c>
      <c r="I335" s="156" t="s">
        <v>4019</v>
      </c>
      <c r="J335" s="170"/>
      <c r="K335" s="156" t="s">
        <v>4022</v>
      </c>
      <c r="L335" s="170"/>
      <c r="M335" s="252"/>
      <c r="N335" s="253"/>
      <c r="O335" s="254"/>
      <c r="P335" s="170"/>
      <c r="Q335" s="457"/>
      <c r="R335" s="414"/>
      <c r="S335" s="136">
        <f t="shared" ref="S335" si="3854">IF(OR(E335="",Q335=""),0,E335)</f>
        <v>0</v>
      </c>
      <c r="T335" s="137">
        <f>IF(S335=0,0,COUNTIF($S$7:S335,"*"))</f>
        <v>0</v>
      </c>
      <c r="U335" s="137">
        <f>IF(S335=0,0,COUNTIF($S$7:S335,S335))</f>
        <v>0</v>
      </c>
      <c r="V335" s="137">
        <f t="shared" si="3237"/>
        <v>0</v>
      </c>
      <c r="W335" s="137">
        <f>IF(V335=0,0,COUNTIF($V$7:V335,"*"))</f>
        <v>0</v>
      </c>
      <c r="X335" s="137">
        <f>IF(V335=0,0,COUNTIF($V$7:V335,V335))</f>
        <v>0</v>
      </c>
      <c r="Y335" s="212">
        <f t="shared" ref="Y335" si="3855">IF(OR(E335="",J335=""),0,J335&amp;E335)</f>
        <v>0</v>
      </c>
      <c r="Z335" s="212">
        <f>IF(Y335=0,0,COUNTIF($Y$7:Y335,Y335))</f>
        <v>0</v>
      </c>
      <c r="AA335" s="212" t="b">
        <f>IF(COUNTIF(J335:J338,"七種競技")&gt;0,TRUE,FALSE)</f>
        <v>0</v>
      </c>
      <c r="AB335" s="212">
        <f>IF(E335="",0,IF(AA335,COUNTIF($AA$7:AA335,TRUE),0))</f>
        <v>0</v>
      </c>
      <c r="AC335" s="212">
        <f>IFERROR(VLOOKUP("七種競技",J335:L338,3,0),0)</f>
        <v>0</v>
      </c>
      <c r="AD335" s="212">
        <f>IFERROR(VLOOKUP(J335,競技会設定!$T$2:$W$22,2,0),0)</f>
        <v>0</v>
      </c>
      <c r="AE335" s="212">
        <f t="shared" ref="AE335" si="3856">IF(E335="",0,IF(AD335=0,0,IF(AD335&lt;3,E335&amp;$AE$6,0)))</f>
        <v>0</v>
      </c>
      <c r="AF335" s="212">
        <f>IF(AE335=0,0,E335&amp;COUNTIF($AE$7:AE335,AE335))</f>
        <v>0</v>
      </c>
      <c r="AG335" s="212">
        <f t="shared" ref="AG335" si="3857">IF(E335="",0,IF(AD335=0,0,IF(AD335&gt;=3,E335&amp;$AG$6,0)))</f>
        <v>0</v>
      </c>
      <c r="AH335" s="212">
        <f>IF(AG335=0,0,E335&amp;COUNTIF($AG$7:AG335,AG335))</f>
        <v>0</v>
      </c>
      <c r="AI335" s="212">
        <f t="shared" ref="AI335" si="3858">IF($AD335=AI$6,$E335,0)</f>
        <v>0</v>
      </c>
      <c r="AJ335" s="212" t="b">
        <f>IF(AI335=0,FALSE,IF(COUNTIF(AI$7:AI335,AI335)&gt;1,TRUE,FALSE))</f>
        <v>0</v>
      </c>
      <c r="AK335" s="212">
        <f t="shared" ref="AK335" si="3859">IF($AD335=AK$6,$E335,0)</f>
        <v>0</v>
      </c>
      <c r="AL335" s="212" t="b">
        <f>IF(AK335=0,FALSE,IF(COUNTIF(AK$7:AK335,AK335)&gt;1,TRUE,FALSE))</f>
        <v>0</v>
      </c>
      <c r="AM335" s="212">
        <f t="shared" ref="AM335" si="3860">IF(COUNTIF(Y335,"*七種*")&gt;0,0,IF($AD335=AM$6,$E335,0))</f>
        <v>0</v>
      </c>
      <c r="AN335" s="212" t="b">
        <f>IF(AM335=0,FALSE,IF(COUNTIF(AM$7:AM335,AM335)&gt;1,TRUE,FALSE))</f>
        <v>0</v>
      </c>
      <c r="AO335" s="212">
        <f t="shared" ref="AO335" si="3861">IF($AD335=AO$6,$E335,0)</f>
        <v>0</v>
      </c>
      <c r="AP335" s="212" t="b">
        <f>IF(AO335=0,FALSE,IF(COUNTIF(AO$7:AO335,AO335)&gt;1,TRUE,FALSE))</f>
        <v>0</v>
      </c>
      <c r="AQ335" s="212">
        <f t="shared" ref="AQ335" si="3862">IF(COUNTIF(Y335,"*七種競技*")&gt;0,E335,0)</f>
        <v>0</v>
      </c>
      <c r="AR335" s="212" t="b">
        <f t="shared" si="3780"/>
        <v>0</v>
      </c>
      <c r="AS335" s="212" t="b">
        <f t="shared" ref="AS335" si="3863">IF(AND(C335="",E335&lt;&gt;"",F335&lt;&gt;"",E337&lt;&gt;"",G335&lt;&gt;"",G336&lt;&gt;"",G337&lt;&gt;""),TRUE,FALSE)</f>
        <v>0</v>
      </c>
      <c r="AT335" s="212" t="b">
        <f t="shared" si="3793"/>
        <v>0</v>
      </c>
      <c r="AU335" s="212" t="b">
        <f>IFERROR(IF(E335&amp;F335&amp;E337&amp;G335&amp;G336&amp;G337&amp;J335&amp;J336&amp;J337&amp;J338&amp;L335&amp;L336&amp;L337&amp;L338&amp;M335&amp;M336&amp;M337&amp;M338&amp;P335&amp;P336&amp;P337&amp;P338&amp;Q335&amp;R335="",FALSE,TRUE),FALSE)</f>
        <v>0</v>
      </c>
      <c r="AV335" s="212" t="b">
        <f t="shared" ref="AV335" si="3864">IF(AS335,FALSE,IF(C335="",AU335,FALSE))</f>
        <v>0</v>
      </c>
      <c r="AW335" s="212" t="b">
        <f t="shared" ref="AW335" si="3865">IF(C335="",FALSE,IF(C335&lt;=2000,TRUE,FALSE))</f>
        <v>0</v>
      </c>
      <c r="AX335" s="274" t="b">
        <f>IF(H335=0,FALSE,IF(EXACT(基本情報!$E$5,H335)=TRUE,FALSE,TRUE))</f>
        <v>0</v>
      </c>
      <c r="AY335" s="212" t="b">
        <f>IF(C335="",FALSE,IF(ISNA(E335)=TRUE,TRUE,FALSE))</f>
        <v>0</v>
      </c>
      <c r="AZ335" s="274" t="b">
        <f>IFERROR(IF(E335="",FALSE,IF(COUNTIF($E$7:E335,E335)&gt;1,TRUE,FALSE)),FALSE)</f>
        <v>0</v>
      </c>
      <c r="BA335" s="212" t="b">
        <f t="shared" ref="BA335" si="3866">IF(OR(J335&amp;J336&amp;J337&amp;J338&amp;Q335&amp;R335="",AT335,AT336,AT337,AT338),AU335,FALSE)</f>
        <v>0</v>
      </c>
      <c r="BB335" s="212" t="b">
        <f>IF(U335&gt;1,TRUE,FALSE)</f>
        <v>0</v>
      </c>
      <c r="BC335" s="212" t="b">
        <f>IF(X335&gt;1,TRUE,FALSE)</f>
        <v>0</v>
      </c>
      <c r="BD335" s="212" t="b">
        <f t="shared" si="3767"/>
        <v>0</v>
      </c>
      <c r="BF335" s="212" t="b">
        <f t="shared" ref="BF335" si="3867">IF(J335="",FALSE,IF(OR(AND(AU335,L335=""),AND(AU335,L335="",OR(M335&lt;&gt;"",N335&lt;&gt;"",O335&lt;&gt;"",P335&lt;&gt;""))),TRUE,FALSE))</f>
        <v>0</v>
      </c>
      <c r="BG335" s="212" t="b">
        <f t="shared" si="3769"/>
        <v>0</v>
      </c>
      <c r="BH335" s="212" t="b">
        <f t="shared" si="3782"/>
        <v>0</v>
      </c>
      <c r="BI335" s="212" t="b">
        <f t="shared" ref="BI335" si="3868">IF(J335="",FALSE,IF(L335=0,FALSE,IF(AND(AU335,NOT(BF335),OR(M335="",N335="",O335="")),TRUE,FALSE)))</f>
        <v>0</v>
      </c>
      <c r="BJ335" s="231" t="b">
        <f t="shared" si="3784"/>
        <v>0</v>
      </c>
      <c r="BK335" s="231" t="b">
        <f>IF(NOT(BJ335),FALSE,IF(AND(競技会設定!$C$5&lt;=BJ335,BJ335&lt;=競技会設定!$C$6),FALSE,TRUE))</f>
        <v>0</v>
      </c>
      <c r="BL335" s="212" t="b">
        <f>IF(J335="",FALSE,IF(L335=0,FALSE,IF(AND(AU335,NOT(BF335),NOT(BI335),P335=""),TRUE,FALSE)))</f>
        <v>0</v>
      </c>
      <c r="BO335" s="274">
        <f t="shared" ref="BO335" si="3869">IF(AND(AU335,SUM(COUNTIF(AV335:BC335,TRUE),COUNTIF(BF335:BL338,TRUE),COUNTIF(BD335:BD338,TRUE))=0,NOT($BE$7)),1,0)</f>
        <v>0</v>
      </c>
    </row>
    <row r="336" spans="1:67" ht="17.399999999999999" customHeight="1">
      <c r="A336" s="471"/>
      <c r="B336" s="402"/>
      <c r="C336" s="404"/>
      <c r="D336" s="11"/>
      <c r="E336" s="474"/>
      <c r="F336" s="474"/>
      <c r="G336" s="11" t="str">
        <f>IF(C335="","",(VLOOKUP(D335,女子登録!$A$2:$N$2001,13,0)))</f>
        <v/>
      </c>
      <c r="H336" s="11"/>
      <c r="I336" s="11" t="s">
        <v>4020</v>
      </c>
      <c r="J336" s="171"/>
      <c r="K336" s="11" t="s">
        <v>4023</v>
      </c>
      <c r="L336" s="171"/>
      <c r="M336" s="255"/>
      <c r="N336" s="256"/>
      <c r="O336" s="257"/>
      <c r="P336" s="171"/>
      <c r="Q336" s="458"/>
      <c r="R336" s="415"/>
      <c r="S336" s="136"/>
      <c r="T336" s="137"/>
      <c r="U336" s="137"/>
      <c r="V336" s="137"/>
      <c r="W336" s="137"/>
      <c r="X336" s="137"/>
      <c r="Y336" s="212">
        <f t="shared" ref="Y336" si="3870">IF(OR(E335="",J336=""),0,J336&amp;E335)</f>
        <v>0</v>
      </c>
      <c r="Z336" s="212">
        <f>IF(Y336=0,0,COUNTIF($Y$7:Y336,Y336))</f>
        <v>0</v>
      </c>
      <c r="AD336" s="212">
        <f>IFERROR(VLOOKUP(J336,競技会設定!$T$2:$W$22,2,0),0)</f>
        <v>0</v>
      </c>
      <c r="AE336" s="212">
        <f t="shared" ref="AE336" si="3871">IF(E335="",0,IF(AD336=0,0,IF(AD336&lt;3,E335&amp;$AE$6,0)))</f>
        <v>0</v>
      </c>
      <c r="AF336" s="212">
        <f>IF(AE336=0,0,E335&amp;COUNTIF($AE$7:AE336,AE336))</f>
        <v>0</v>
      </c>
      <c r="AG336" s="212">
        <f t="shared" ref="AG336" si="3872">IF(E335="",0,IF(AD336=0,0,IF(AD336&gt;=3,E335&amp;$AG$6,0)))</f>
        <v>0</v>
      </c>
      <c r="AH336" s="212">
        <f>IF(AG336=0,0,E335&amp;COUNTIF($AG$7:AG336,AG336))</f>
        <v>0</v>
      </c>
      <c r="AI336" s="212">
        <f t="shared" ref="AI336" si="3873">IF($AD336=AI$6,$E335,0)</f>
        <v>0</v>
      </c>
      <c r="AJ336" s="212" t="b">
        <f>IF(AI336=0,FALSE,IF(COUNTIF(AI$7:AI336,AI336)&gt;1,TRUE,FALSE))</f>
        <v>0</v>
      </c>
      <c r="AK336" s="212">
        <f t="shared" ref="AK336" si="3874">IF($AD336=AK$6,$E335,0)</f>
        <v>0</v>
      </c>
      <c r="AL336" s="212" t="b">
        <f>IF(AK336=0,FALSE,IF(COUNTIF(AK$7:AK336,AK336)&gt;1,TRUE,FALSE))</f>
        <v>0</v>
      </c>
      <c r="AM336" s="212">
        <f t="shared" ref="AM336" si="3875">IF(COUNTIF(Y336,"*七種*")&gt;0,0,IF($AD336=AM$6,$E335,0))</f>
        <v>0</v>
      </c>
      <c r="AN336" s="212" t="b">
        <f>IF(AM336=0,FALSE,IF(COUNTIF(AM$7:AM336,AM336)&gt;1,TRUE,FALSE))</f>
        <v>0</v>
      </c>
      <c r="AO336" s="212">
        <f t="shared" ref="AO336" si="3876">IF($AD336=AO$6,$E335,0)</f>
        <v>0</v>
      </c>
      <c r="AP336" s="212" t="b">
        <f>IF(AO336=0,FALSE,IF(COUNTIF(AO$7:AO336,AO336)&gt;1,TRUE,FALSE))</f>
        <v>0</v>
      </c>
      <c r="AQ336" s="212">
        <f t="shared" ref="AQ336" si="3877">IF(COUNTIF(Y336,"*七種競技*")&gt;0,E335,0)</f>
        <v>0</v>
      </c>
      <c r="AR336" s="212" t="b">
        <f t="shared" si="3780"/>
        <v>0</v>
      </c>
      <c r="AT336" s="212" t="b">
        <f t="shared" si="3793"/>
        <v>0</v>
      </c>
      <c r="AX336" s="274"/>
      <c r="BD336" s="212" t="b">
        <f t="shared" si="3767"/>
        <v>0</v>
      </c>
      <c r="BF336" s="212" t="b">
        <f t="shared" ref="BF336" si="3878">IF(J336="",FALSE,IF(OR(AND(AU335,L336=""),AND(AU335,L336="",OR(M336&lt;&gt;"",N336&lt;&gt;"",O336&lt;&gt;"",P336&lt;&gt;""))),TRUE,FALSE))</f>
        <v>0</v>
      </c>
      <c r="BG336" s="212" t="b">
        <f t="shared" si="3769"/>
        <v>0</v>
      </c>
      <c r="BH336" s="212" t="b">
        <f t="shared" si="3782"/>
        <v>0</v>
      </c>
      <c r="BI336" s="212" t="b">
        <f t="shared" ref="BI336" si="3879">IF(J336="",FALSE,IF(L336=0,FALSE,IF(AND(AU335,NOT(BF336),OR(M336="",N336="",O336="")),TRUE,FALSE)))</f>
        <v>0</v>
      </c>
      <c r="BJ336" s="231" t="b">
        <f t="shared" si="3784"/>
        <v>0</v>
      </c>
      <c r="BK336" s="231" t="b">
        <f>IF(NOT(BJ336),FALSE,IF(AND(競技会設定!$C$5&lt;=BJ336,BJ336&lt;=競技会設定!$C$6),FALSE,TRUE))</f>
        <v>0</v>
      </c>
      <c r="BL336" s="212" t="b">
        <f>IF(J336="",FALSE,IF(L336=0,FALSE,IF(AND(AU335,NOT(BF336),NOT(BI336),P336=""),TRUE,FALSE)))</f>
        <v>0</v>
      </c>
    </row>
    <row r="337" spans="1:67" ht="17.399999999999999" customHeight="1">
      <c r="A337" s="471"/>
      <c r="B337" s="402"/>
      <c r="C337" s="404"/>
      <c r="D337" s="11"/>
      <c r="E337" s="348" t="str">
        <f>IF(C335="","",VLOOKUP(D335,女子登録!$A$2:$O$2001,14,0)&amp;" ("&amp;VLOOKUP(D335,女子登録!$A$2:$O$2001,15,0)&amp;")")</f>
        <v/>
      </c>
      <c r="F337" s="348"/>
      <c r="G337" s="13" t="str">
        <f>IF(C335="","",(VLOOKUP(D335,女子登録!$A$2:$N$2001,9,0)))</f>
        <v/>
      </c>
      <c r="H337" s="13"/>
      <c r="I337" s="13" t="s">
        <v>4021</v>
      </c>
      <c r="J337" s="172"/>
      <c r="K337" s="13" t="s">
        <v>6760</v>
      </c>
      <c r="L337" s="172"/>
      <c r="M337" s="255"/>
      <c r="N337" s="256"/>
      <c r="O337" s="257"/>
      <c r="P337" s="171"/>
      <c r="Q337" s="458"/>
      <c r="R337" s="415"/>
      <c r="S337" s="136"/>
      <c r="T337" s="137"/>
      <c r="U337" s="137"/>
      <c r="V337" s="137"/>
      <c r="W337" s="137"/>
      <c r="X337" s="137"/>
      <c r="Y337" s="212">
        <f t="shared" ref="Y337" si="3880">IF(OR(E335="",J337=""),0,J337&amp;E335)</f>
        <v>0</v>
      </c>
      <c r="Z337" s="212">
        <f>IF(Y337=0,0,COUNTIF($Y$7:Y337,Y337))</f>
        <v>0</v>
      </c>
      <c r="AD337" s="212">
        <f>IFERROR(VLOOKUP(J337,競技会設定!$T$2:$W$22,2,0),0)</f>
        <v>0</v>
      </c>
      <c r="AE337" s="212">
        <f t="shared" ref="AE337" si="3881">IF(E335="",0,IF(AD337=0,0,IF(AD337&lt;3,E335&amp;$AE$6,0)))</f>
        <v>0</v>
      </c>
      <c r="AF337" s="212">
        <f>IF(AE337=0,0,E335&amp;COUNTIF($AE$7:AE337,AE337))</f>
        <v>0</v>
      </c>
      <c r="AG337" s="212">
        <f t="shared" ref="AG337" si="3882">IF(E335="",0,IF(AD337=0,0,IF(AD337&gt;=3,E335&amp;$AG$6,0)))</f>
        <v>0</v>
      </c>
      <c r="AH337" s="212">
        <f>IF(AG337=0,0,E335&amp;COUNTIF($AG$7:AG337,AG337))</f>
        <v>0</v>
      </c>
      <c r="AI337" s="212">
        <f t="shared" ref="AI337" si="3883">IF($AD337=AI$6,$E335,0)</f>
        <v>0</v>
      </c>
      <c r="AJ337" s="212" t="b">
        <f>IF(AI337=0,FALSE,IF(COUNTIF(AI$7:AI337,AI337)&gt;1,TRUE,FALSE))</f>
        <v>0</v>
      </c>
      <c r="AK337" s="212">
        <f t="shared" ref="AK337" si="3884">IF($AD337=AK$6,$E335,0)</f>
        <v>0</v>
      </c>
      <c r="AL337" s="212" t="b">
        <f>IF(AK337=0,FALSE,IF(COUNTIF(AK$7:AK337,AK337)&gt;1,TRUE,FALSE))</f>
        <v>0</v>
      </c>
      <c r="AM337" s="212">
        <f t="shared" ref="AM337" si="3885">IF(COUNTIF(Y337,"*七種*")&gt;0,0,IF($AD337=AM$6,$E335,0))</f>
        <v>0</v>
      </c>
      <c r="AN337" s="212" t="b">
        <f>IF(AM337=0,FALSE,IF(COUNTIF(AM$7:AM337,AM337)&gt;1,TRUE,FALSE))</f>
        <v>0</v>
      </c>
      <c r="AO337" s="212">
        <f t="shared" ref="AO337" si="3886">IF($AD337=AO$6,$E335,0)</f>
        <v>0</v>
      </c>
      <c r="AP337" s="212" t="b">
        <f>IF(AO337=0,FALSE,IF(COUNTIF(AO$7:AO337,AO337)&gt;1,TRUE,FALSE))</f>
        <v>0</v>
      </c>
      <c r="AQ337" s="212">
        <f t="shared" ref="AQ337" si="3887">IF(COUNTIF(Y337,"*七種競技*")&gt;0,E335,0)</f>
        <v>0</v>
      </c>
      <c r="AR337" s="212" t="b">
        <f t="shared" si="3780"/>
        <v>0</v>
      </c>
      <c r="AT337" s="212" t="b">
        <f t="shared" si="3793"/>
        <v>0</v>
      </c>
      <c r="AX337" s="274"/>
      <c r="BD337" s="212" t="b">
        <f t="shared" si="3767"/>
        <v>0</v>
      </c>
      <c r="BF337" s="212" t="b">
        <f t="shared" ref="BF337" si="3888">IF(J337="",FALSE,IF(OR(AND(AU335,L337=""),AND(AU335,L337="",OR(M337&lt;&gt;"",N337&lt;&gt;"",O337&lt;&gt;"",P337&lt;&gt;""))),TRUE,FALSE))</f>
        <v>0</v>
      </c>
      <c r="BG337" s="212" t="b">
        <f t="shared" si="3769"/>
        <v>0</v>
      </c>
      <c r="BH337" s="212" t="b">
        <f t="shared" si="3782"/>
        <v>0</v>
      </c>
      <c r="BI337" s="212" t="b">
        <f t="shared" ref="BI337" si="3889">IF(J337="",FALSE,IF(L337=0,FALSE,IF(AND(AU335,NOT(BF337),OR(M337="",N337="",O337="")),TRUE,FALSE)))</f>
        <v>0</v>
      </c>
      <c r="BJ337" s="231" t="b">
        <f t="shared" si="3784"/>
        <v>0</v>
      </c>
      <c r="BK337" s="231" t="b">
        <f>IF(NOT(BJ337),FALSE,IF(AND(競技会設定!$C$5&lt;=BJ337,BJ337&lt;=競技会設定!$C$6),FALSE,TRUE))</f>
        <v>0</v>
      </c>
      <c r="BL337" s="212" t="b">
        <f>IF(J337="",FALSE,IF(L337=0,FALSE,IF(AND(AU335,NOT(BF337),NOT(BI337),P337=""),TRUE,FALSE)))</f>
        <v>0</v>
      </c>
    </row>
    <row r="338" spans="1:67" ht="18" customHeight="1" thickBot="1">
      <c r="A338" s="472"/>
      <c r="B338" s="395" t="s">
        <v>6764</v>
      </c>
      <c r="C338" s="395"/>
      <c r="D338" s="11"/>
      <c r="E338" s="460"/>
      <c r="F338" s="460"/>
      <c r="G338" s="460"/>
      <c r="H338" s="157"/>
      <c r="I338" s="157" t="s">
        <v>6759</v>
      </c>
      <c r="J338" s="173"/>
      <c r="K338" s="157" t="s">
        <v>6761</v>
      </c>
      <c r="L338" s="173"/>
      <c r="M338" s="258"/>
      <c r="N338" s="259"/>
      <c r="O338" s="260"/>
      <c r="P338" s="173"/>
      <c r="Q338" s="459"/>
      <c r="R338" s="416"/>
      <c r="S338" s="136"/>
      <c r="T338" s="137"/>
      <c r="U338" s="137"/>
      <c r="V338" s="137"/>
      <c r="W338" s="137"/>
      <c r="X338" s="137"/>
      <c r="Y338" s="212">
        <f t="shared" ref="Y338" si="3890">IF(OR(E335="",J338=""),0,J338&amp;E335)</f>
        <v>0</v>
      </c>
      <c r="Z338" s="212">
        <f>IF(Y338=0,0,COUNTIF($Y$7:Y338,Y338))</f>
        <v>0</v>
      </c>
      <c r="AD338" s="212">
        <f>IFERROR(VLOOKUP(J338,競技会設定!$T$2:$W$22,2,0),0)</f>
        <v>0</v>
      </c>
      <c r="AE338" s="212">
        <f t="shared" ref="AE338" si="3891">IF(E335="",0,IF(AD338=0,0,IF(AD338&lt;3,E335&amp;$AE$6,0)))</f>
        <v>0</v>
      </c>
      <c r="AF338" s="212">
        <f>IF(AE338=0,0,E335&amp;COUNTIF($AE$7:AE338,AE338))</f>
        <v>0</v>
      </c>
      <c r="AG338" s="212">
        <f t="shared" ref="AG338" si="3892">IF(E335="",0,IF(AD338=0,0,IF(AD338&gt;=3,E335&amp;$AG$6,0)))</f>
        <v>0</v>
      </c>
      <c r="AH338" s="212">
        <f>IF(AG338=0,0,E335&amp;COUNTIF($AG$7:AG338,AG338))</f>
        <v>0</v>
      </c>
      <c r="AI338" s="212">
        <f t="shared" ref="AI338" si="3893">IF($AD338=AI$6,$E335,0)</f>
        <v>0</v>
      </c>
      <c r="AJ338" s="212" t="b">
        <f>IF(AI338=0,FALSE,IF(COUNTIF(AI$7:AI338,AI338)&gt;1,TRUE,FALSE))</f>
        <v>0</v>
      </c>
      <c r="AK338" s="212">
        <f t="shared" ref="AK338" si="3894">IF($AD338=AK$6,$E335,0)</f>
        <v>0</v>
      </c>
      <c r="AL338" s="212" t="b">
        <f>IF(AK338=0,FALSE,IF(COUNTIF(AK$7:AK338,AK338)&gt;1,TRUE,FALSE))</f>
        <v>0</v>
      </c>
      <c r="AM338" s="212">
        <f t="shared" ref="AM338" si="3895">IF(COUNTIF(Y338,"*七種*")&gt;0,0,IF($AD338=AM$6,$E335,0))</f>
        <v>0</v>
      </c>
      <c r="AN338" s="212" t="b">
        <f>IF(AM338=0,FALSE,IF(COUNTIF(AM$7:AM338,AM338)&gt;1,TRUE,FALSE))</f>
        <v>0</v>
      </c>
      <c r="AO338" s="212">
        <f t="shared" ref="AO338" si="3896">IF($AD338=AO$6,$E335,0)</f>
        <v>0</v>
      </c>
      <c r="AP338" s="212" t="b">
        <f>IF(AO338=0,FALSE,IF(COUNTIF(AO$7:AO338,AO338)&gt;1,TRUE,FALSE))</f>
        <v>0</v>
      </c>
      <c r="AQ338" s="212">
        <f t="shared" ref="AQ338" si="3897">IF(COUNTIF(Y338,"*七種競技*")&gt;0,E335,0)</f>
        <v>0</v>
      </c>
      <c r="AR338" s="212" t="b">
        <f t="shared" si="3780"/>
        <v>0</v>
      </c>
      <c r="AT338" s="212" t="b">
        <f t="shared" si="3793"/>
        <v>0</v>
      </c>
      <c r="AX338" s="274"/>
      <c r="BD338" s="212" t="b">
        <f t="shared" si="3767"/>
        <v>0</v>
      </c>
      <c r="BF338" s="212" t="b">
        <f t="shared" ref="BF338" si="3898">IF(J338="",FALSE,IF(OR(AND(AU335,L338=""),AND(AU335,L338="",OR(M338&lt;&gt;"",N338&lt;&gt;"",O338&lt;&gt;"",P338&lt;&gt;""))),TRUE,FALSE))</f>
        <v>0</v>
      </c>
      <c r="BG338" s="212" t="b">
        <f t="shared" si="3769"/>
        <v>0</v>
      </c>
      <c r="BH338" s="212" t="b">
        <f t="shared" si="3782"/>
        <v>0</v>
      </c>
      <c r="BI338" s="212" t="b">
        <f t="shared" ref="BI338" si="3899">IF(J338="",FALSE,IF(L338=0,FALSE,IF(AND(AU335,NOT(BF338),OR(M338="",N338="",O338="")),TRUE,FALSE)))</f>
        <v>0</v>
      </c>
      <c r="BJ338" s="231" t="b">
        <f t="shared" si="3784"/>
        <v>0</v>
      </c>
      <c r="BK338" s="231" t="b">
        <f>IF(NOT(BJ338),FALSE,IF(AND(競技会設定!$C$5&lt;=BJ338,BJ338&lt;=競技会設定!$C$6),FALSE,TRUE))</f>
        <v>0</v>
      </c>
      <c r="BL338" s="212" t="b">
        <f>IF(J338="",FALSE,IF(L338=0,FALSE,IF(AND(AU335,NOT(BF338),NOT(BI338),P338=""),TRUE,FALSE)))</f>
        <v>0</v>
      </c>
    </row>
    <row r="339" spans="1:67" ht="18" customHeight="1" thickTop="1">
      <c r="A339" s="461">
        <v>84</v>
      </c>
      <c r="B339" s="373" t="s">
        <v>4018</v>
      </c>
      <c r="C339" s="375"/>
      <c r="D339" s="158" t="str">
        <f t="shared" ref="D339" si="3900">IF(C339="","",502&amp;TEXT(C339,"000000"))</f>
        <v/>
      </c>
      <c r="E339" s="464" t="str">
        <f>IF(D339="","",(VLOOKUP(D339,女子登録!$A$2:$N$2001,3,0)))</f>
        <v/>
      </c>
      <c r="F339" s="464" t="str">
        <f>IF(D339="","",(VLOOKUP(D339,女子登録!$A$2:$N$2001,4,0)))</f>
        <v/>
      </c>
      <c r="G339" s="158" t="str">
        <f>IF(C339="","",(VLOOKUP(D339,女子登録!$A$2:$N$2001,8,0)))</f>
        <v/>
      </c>
      <c r="H339" s="158">
        <f>IFERROR(VLOOKUP(D339,女子登録!$A$2:$N$2001,11,0),基本情報!$E$5)</f>
        <v>0</v>
      </c>
      <c r="I339" s="158" t="s">
        <v>4019</v>
      </c>
      <c r="J339" s="174"/>
      <c r="K339" s="158" t="s">
        <v>4022</v>
      </c>
      <c r="L339" s="174"/>
      <c r="M339" s="261"/>
      <c r="N339" s="262"/>
      <c r="O339" s="263"/>
      <c r="P339" s="174"/>
      <c r="Q339" s="448"/>
      <c r="R339" s="408"/>
      <c r="S339" s="136">
        <f t="shared" ref="S339" si="3901">IF(OR(E339="",Q339=""),0,E339)</f>
        <v>0</v>
      </c>
      <c r="T339" s="137">
        <f>IF(S339=0,0,COUNTIF($S$7:S339,"*"))</f>
        <v>0</v>
      </c>
      <c r="U339" s="137">
        <f>IF(S339=0,0,COUNTIF($S$7:S339,S339))</f>
        <v>0</v>
      </c>
      <c r="V339" s="137">
        <f t="shared" si="3237"/>
        <v>0</v>
      </c>
      <c r="W339" s="137">
        <f>IF(V339=0,0,COUNTIF($V$7:V339,"*"))</f>
        <v>0</v>
      </c>
      <c r="X339" s="137">
        <f>IF(V339=0,0,COUNTIF($V$7:V339,V339))</f>
        <v>0</v>
      </c>
      <c r="Y339" s="212">
        <f t="shared" ref="Y339" si="3902">IF(OR(E339="",J339=""),0,J339&amp;E339)</f>
        <v>0</v>
      </c>
      <c r="Z339" s="212">
        <f>IF(Y339=0,0,COUNTIF($Y$7:Y339,Y339))</f>
        <v>0</v>
      </c>
      <c r="AA339" s="212" t="b">
        <f>IF(COUNTIF(J339:J342,"七種競技")&gt;0,TRUE,FALSE)</f>
        <v>0</v>
      </c>
      <c r="AB339" s="212">
        <f>IF(E339="",0,IF(AA339,COUNTIF($AA$7:AA339,TRUE),0))</f>
        <v>0</v>
      </c>
      <c r="AC339" s="212">
        <f>IFERROR(VLOOKUP("七種競技",J339:L342,3,0),0)</f>
        <v>0</v>
      </c>
      <c r="AD339" s="212">
        <f>IFERROR(VLOOKUP(J339,競技会設定!$T$2:$W$22,2,0),0)</f>
        <v>0</v>
      </c>
      <c r="AE339" s="212">
        <f t="shared" ref="AE339" si="3903">IF(E339="",0,IF(AD339=0,0,IF(AD339&lt;3,E339&amp;$AE$6,0)))</f>
        <v>0</v>
      </c>
      <c r="AF339" s="212">
        <f>IF(AE339=0,0,E339&amp;COUNTIF($AE$7:AE339,AE339))</f>
        <v>0</v>
      </c>
      <c r="AG339" s="212">
        <f t="shared" ref="AG339" si="3904">IF(E339="",0,IF(AD339=0,0,IF(AD339&gt;=3,E339&amp;$AG$6,0)))</f>
        <v>0</v>
      </c>
      <c r="AH339" s="212">
        <f>IF(AG339=0,0,E339&amp;COUNTIF($AG$7:AG339,AG339))</f>
        <v>0</v>
      </c>
      <c r="AI339" s="212">
        <f t="shared" ref="AI339" si="3905">IF($AD339=AI$6,$E339,0)</f>
        <v>0</v>
      </c>
      <c r="AJ339" s="212" t="b">
        <f>IF(AI339=0,FALSE,IF(COUNTIF(AI$7:AI339,AI339)&gt;1,TRUE,FALSE))</f>
        <v>0</v>
      </c>
      <c r="AK339" s="212">
        <f t="shared" ref="AK339" si="3906">IF($AD339=AK$6,$E339,0)</f>
        <v>0</v>
      </c>
      <c r="AL339" s="212" t="b">
        <f>IF(AK339=0,FALSE,IF(COUNTIF(AK$7:AK339,AK339)&gt;1,TRUE,FALSE))</f>
        <v>0</v>
      </c>
      <c r="AM339" s="212">
        <f t="shared" ref="AM339" si="3907">IF(COUNTIF(Y339,"*七種*")&gt;0,0,IF($AD339=AM$6,$E339,0))</f>
        <v>0</v>
      </c>
      <c r="AN339" s="212" t="b">
        <f>IF(AM339=0,FALSE,IF(COUNTIF(AM$7:AM339,AM339)&gt;1,TRUE,FALSE))</f>
        <v>0</v>
      </c>
      <c r="AO339" s="212">
        <f t="shared" ref="AO339" si="3908">IF($AD339=AO$6,$E339,0)</f>
        <v>0</v>
      </c>
      <c r="AP339" s="212" t="b">
        <f>IF(AO339=0,FALSE,IF(COUNTIF(AO$7:AO339,AO339)&gt;1,TRUE,FALSE))</f>
        <v>0</v>
      </c>
      <c r="AQ339" s="212">
        <f t="shared" ref="AQ339" si="3909">IF(COUNTIF(Y339,"*七種競技*")&gt;0,E339,0)</f>
        <v>0</v>
      </c>
      <c r="AR339" s="212" t="b">
        <f t="shared" si="3780"/>
        <v>0</v>
      </c>
      <c r="AS339" s="212" t="b">
        <f t="shared" ref="AS339" si="3910">IF(AND(C339="",E339&lt;&gt;"",F339&lt;&gt;"",E341&lt;&gt;"",G339&lt;&gt;"",G340&lt;&gt;"",G341&lt;&gt;""),TRUE,FALSE)</f>
        <v>0</v>
      </c>
      <c r="AT339" s="212" t="b">
        <f t="shared" si="3793"/>
        <v>0</v>
      </c>
      <c r="AU339" s="212" t="b">
        <f>IFERROR(IF(E339&amp;F339&amp;E341&amp;G339&amp;G340&amp;G341&amp;J339&amp;J340&amp;J341&amp;J342&amp;L339&amp;L340&amp;L341&amp;L342&amp;M339&amp;M340&amp;M341&amp;M342&amp;P339&amp;P340&amp;P341&amp;P342&amp;Q339&amp;R339="",FALSE,TRUE),FALSE)</f>
        <v>0</v>
      </c>
      <c r="AV339" s="212" t="b">
        <f t="shared" ref="AV339" si="3911">IF(AS339,FALSE,IF(C339="",AU339,FALSE))</f>
        <v>0</v>
      </c>
      <c r="AW339" s="212" t="b">
        <f t="shared" ref="AW339" si="3912">IF(C339="",FALSE,IF(C339&lt;=2000,TRUE,FALSE))</f>
        <v>0</v>
      </c>
      <c r="AX339" s="274" t="b">
        <f>IF(H339=0,FALSE,IF(EXACT(基本情報!$E$5,H339)=TRUE,FALSE,TRUE))</f>
        <v>0</v>
      </c>
      <c r="AY339" s="212" t="b">
        <f>IF(C339="",FALSE,IF(ISNA(E339)=TRUE,TRUE,FALSE))</f>
        <v>0</v>
      </c>
      <c r="AZ339" s="274" t="b">
        <f>IFERROR(IF(E339="",FALSE,IF(COUNTIF($E$7:E339,E339)&gt;1,TRUE,FALSE)),FALSE)</f>
        <v>0</v>
      </c>
      <c r="BA339" s="212" t="b">
        <f t="shared" ref="BA339" si="3913">IF(OR(J339&amp;J340&amp;J341&amp;J342&amp;Q339&amp;R339="",AT339,AT340,AT341,AT342),AU339,FALSE)</f>
        <v>0</v>
      </c>
      <c r="BB339" s="212" t="b">
        <f>IF(U339&gt;1,TRUE,FALSE)</f>
        <v>0</v>
      </c>
      <c r="BC339" s="212" t="b">
        <f>IF(X339&gt;1,TRUE,FALSE)</f>
        <v>0</v>
      </c>
      <c r="BD339" s="212" t="b">
        <f t="shared" si="3767"/>
        <v>0</v>
      </c>
      <c r="BF339" s="212" t="b">
        <f t="shared" ref="BF339" si="3914">IF(J339="",FALSE,IF(OR(AND(AU339,L339=""),AND(AU339,L339="",OR(M339&lt;&gt;"",N339&lt;&gt;"",O339&lt;&gt;"",P339&lt;&gt;""))),TRUE,FALSE))</f>
        <v>0</v>
      </c>
      <c r="BG339" s="212" t="b">
        <f t="shared" si="3769"/>
        <v>0</v>
      </c>
      <c r="BH339" s="212" t="b">
        <f t="shared" si="3782"/>
        <v>0</v>
      </c>
      <c r="BI339" s="212" t="b">
        <f t="shared" ref="BI339" si="3915">IF(J339="",FALSE,IF(L339=0,FALSE,IF(AND(AU339,NOT(BF339),OR(M339="",N339="",O339="")),TRUE,FALSE)))</f>
        <v>0</v>
      </c>
      <c r="BJ339" s="231" t="b">
        <f t="shared" si="3784"/>
        <v>0</v>
      </c>
      <c r="BK339" s="231" t="b">
        <f>IF(NOT(BJ339),FALSE,IF(AND(競技会設定!$C$5&lt;=BJ339,BJ339&lt;=競技会設定!$C$6),FALSE,TRUE))</f>
        <v>0</v>
      </c>
      <c r="BL339" s="212" t="b">
        <f>IF(J339="",FALSE,IF(L339=0,FALSE,IF(AND(AU339,NOT(BF339),NOT(BI339),P339=""),TRUE,FALSE)))</f>
        <v>0</v>
      </c>
      <c r="BO339" s="274">
        <f t="shared" ref="BO339" si="3916">IF(AND(AU339,SUM(COUNTIF(AV339:BC339,TRUE),COUNTIF(BF339:BL342,TRUE),COUNTIF(BD339:BD342,TRUE))=0,NOT($BE$7)),1,0)</f>
        <v>0</v>
      </c>
    </row>
    <row r="340" spans="1:67" ht="17.399999999999999" customHeight="1">
      <c r="A340" s="462"/>
      <c r="B340" s="374"/>
      <c r="C340" s="376"/>
      <c r="D340" s="159"/>
      <c r="E340" s="465"/>
      <c r="F340" s="465"/>
      <c r="G340" s="159" t="str">
        <f>IF(C339="","",(VLOOKUP(D339,女子登録!$A$2:$N$2001,13,0)))</f>
        <v/>
      </c>
      <c r="H340" s="159"/>
      <c r="I340" s="159" t="s">
        <v>4020</v>
      </c>
      <c r="J340" s="175"/>
      <c r="K340" s="159" t="s">
        <v>4023</v>
      </c>
      <c r="L340" s="175"/>
      <c r="M340" s="264"/>
      <c r="N340" s="265"/>
      <c r="O340" s="266"/>
      <c r="P340" s="175"/>
      <c r="Q340" s="449"/>
      <c r="R340" s="409"/>
      <c r="S340" s="136"/>
      <c r="T340" s="137"/>
      <c r="U340" s="137"/>
      <c r="V340" s="137"/>
      <c r="W340" s="137"/>
      <c r="X340" s="137"/>
      <c r="Y340" s="212">
        <f t="shared" ref="Y340" si="3917">IF(OR(E339="",J340=""),0,J340&amp;E339)</f>
        <v>0</v>
      </c>
      <c r="Z340" s="212">
        <f>IF(Y340=0,0,COUNTIF($Y$7:Y340,Y340))</f>
        <v>0</v>
      </c>
      <c r="AD340" s="212">
        <f>IFERROR(VLOOKUP(J340,競技会設定!$T$2:$W$22,2,0),0)</f>
        <v>0</v>
      </c>
      <c r="AE340" s="212">
        <f t="shared" ref="AE340" si="3918">IF(E339="",0,IF(AD340=0,0,IF(AD340&lt;3,E339&amp;$AE$6,0)))</f>
        <v>0</v>
      </c>
      <c r="AF340" s="212">
        <f>IF(AE340=0,0,E339&amp;COUNTIF($AE$7:AE340,AE340))</f>
        <v>0</v>
      </c>
      <c r="AG340" s="212">
        <f t="shared" ref="AG340" si="3919">IF(E339="",0,IF(AD340=0,0,IF(AD340&gt;=3,E339&amp;$AG$6,0)))</f>
        <v>0</v>
      </c>
      <c r="AH340" s="212">
        <f>IF(AG340=0,0,E339&amp;COUNTIF($AG$7:AG340,AG340))</f>
        <v>0</v>
      </c>
      <c r="AI340" s="212">
        <f t="shared" ref="AI340" si="3920">IF($AD340=AI$6,$E339,0)</f>
        <v>0</v>
      </c>
      <c r="AJ340" s="212" t="b">
        <f>IF(AI340=0,FALSE,IF(COUNTIF(AI$7:AI340,AI340)&gt;1,TRUE,FALSE))</f>
        <v>0</v>
      </c>
      <c r="AK340" s="212">
        <f t="shared" ref="AK340" si="3921">IF($AD340=AK$6,$E339,0)</f>
        <v>0</v>
      </c>
      <c r="AL340" s="212" t="b">
        <f>IF(AK340=0,FALSE,IF(COUNTIF(AK$7:AK340,AK340)&gt;1,TRUE,FALSE))</f>
        <v>0</v>
      </c>
      <c r="AM340" s="212">
        <f t="shared" ref="AM340" si="3922">IF(COUNTIF(Y340,"*七種*")&gt;0,0,IF($AD340=AM$6,$E339,0))</f>
        <v>0</v>
      </c>
      <c r="AN340" s="212" t="b">
        <f>IF(AM340=0,FALSE,IF(COUNTIF(AM$7:AM340,AM340)&gt;1,TRUE,FALSE))</f>
        <v>0</v>
      </c>
      <c r="AO340" s="212">
        <f t="shared" ref="AO340" si="3923">IF($AD340=AO$6,$E339,0)</f>
        <v>0</v>
      </c>
      <c r="AP340" s="212" t="b">
        <f>IF(AO340=0,FALSE,IF(COUNTIF(AO$7:AO340,AO340)&gt;1,TRUE,FALSE))</f>
        <v>0</v>
      </c>
      <c r="AQ340" s="212">
        <f t="shared" ref="AQ340" si="3924">IF(COUNTIF(Y340,"*七種競技*")&gt;0,E339,0)</f>
        <v>0</v>
      </c>
      <c r="AR340" s="212" t="b">
        <f t="shared" si="3780"/>
        <v>0</v>
      </c>
      <c r="AT340" s="212" t="b">
        <f t="shared" si="3793"/>
        <v>0</v>
      </c>
      <c r="AX340" s="274"/>
      <c r="BD340" s="212" t="b">
        <f t="shared" si="3767"/>
        <v>0</v>
      </c>
      <c r="BF340" s="212" t="b">
        <f t="shared" ref="BF340" si="3925">IF(J340="",FALSE,IF(OR(AND(AU339,L340=""),AND(AU339,L340="",OR(M340&lt;&gt;"",N340&lt;&gt;"",O340&lt;&gt;"",P340&lt;&gt;""))),TRUE,FALSE))</f>
        <v>0</v>
      </c>
      <c r="BG340" s="212" t="b">
        <f t="shared" si="3769"/>
        <v>0</v>
      </c>
      <c r="BH340" s="212" t="b">
        <f t="shared" si="3782"/>
        <v>0</v>
      </c>
      <c r="BI340" s="212" t="b">
        <f t="shared" ref="BI340" si="3926">IF(J340="",FALSE,IF(L340=0,FALSE,IF(AND(AU339,NOT(BF340),OR(M340="",N340="",O340="")),TRUE,FALSE)))</f>
        <v>0</v>
      </c>
      <c r="BJ340" s="231" t="b">
        <f t="shared" si="3784"/>
        <v>0</v>
      </c>
      <c r="BK340" s="231" t="b">
        <f>IF(NOT(BJ340),FALSE,IF(AND(競技会設定!$C$5&lt;=BJ340,BJ340&lt;=競技会設定!$C$6),FALSE,TRUE))</f>
        <v>0</v>
      </c>
      <c r="BL340" s="212" t="b">
        <f>IF(J340="",FALSE,IF(L340=0,FALSE,IF(AND(AU339,NOT(BF340),NOT(BI340),P340=""),TRUE,FALSE)))</f>
        <v>0</v>
      </c>
    </row>
    <row r="341" spans="1:67" ht="17.399999999999999" customHeight="1">
      <c r="A341" s="462"/>
      <c r="B341" s="374"/>
      <c r="C341" s="376"/>
      <c r="D341" s="160"/>
      <c r="E341" s="452" t="str">
        <f>IF(C339="","",VLOOKUP(D339,女子登録!$A$2:$O$2001,14,0)&amp;" ("&amp;VLOOKUP(D339,女子登録!$A$2:$O$2001,15,0)&amp;")")</f>
        <v/>
      </c>
      <c r="F341" s="453"/>
      <c r="G341" s="160" t="str">
        <f>IF(C339="","",(VLOOKUP(D339,女子登録!$A$2:$N$2001,9,0)))</f>
        <v/>
      </c>
      <c r="H341" s="160"/>
      <c r="I341" s="160" t="s">
        <v>4021</v>
      </c>
      <c r="J341" s="176"/>
      <c r="K341" s="160" t="s">
        <v>6760</v>
      </c>
      <c r="L341" s="176"/>
      <c r="M341" s="264"/>
      <c r="N341" s="265"/>
      <c r="O341" s="266"/>
      <c r="P341" s="175"/>
      <c r="Q341" s="449"/>
      <c r="R341" s="409"/>
      <c r="S341" s="136"/>
      <c r="T341" s="137"/>
      <c r="U341" s="137"/>
      <c r="V341" s="137"/>
      <c r="W341" s="137"/>
      <c r="X341" s="137"/>
      <c r="Y341" s="212">
        <f t="shared" ref="Y341" si="3927">IF(OR(E339="",J341=""),0,J341&amp;E339)</f>
        <v>0</v>
      </c>
      <c r="Z341" s="212">
        <f>IF(Y341=0,0,COUNTIF($Y$7:Y341,Y341))</f>
        <v>0</v>
      </c>
      <c r="AD341" s="212">
        <f>IFERROR(VLOOKUP(J341,競技会設定!$T$2:$W$22,2,0),0)</f>
        <v>0</v>
      </c>
      <c r="AE341" s="212">
        <f t="shared" ref="AE341" si="3928">IF(E339="",0,IF(AD341=0,0,IF(AD341&lt;3,E339&amp;$AE$6,0)))</f>
        <v>0</v>
      </c>
      <c r="AF341" s="212">
        <f>IF(AE341=0,0,E339&amp;COUNTIF($AE$7:AE341,AE341))</f>
        <v>0</v>
      </c>
      <c r="AG341" s="212">
        <f t="shared" ref="AG341" si="3929">IF(E339="",0,IF(AD341=0,0,IF(AD341&gt;=3,E339&amp;$AG$6,0)))</f>
        <v>0</v>
      </c>
      <c r="AH341" s="212">
        <f>IF(AG341=0,0,E339&amp;COUNTIF($AG$7:AG341,AG341))</f>
        <v>0</v>
      </c>
      <c r="AI341" s="212">
        <f t="shared" ref="AI341" si="3930">IF($AD341=AI$6,$E339,0)</f>
        <v>0</v>
      </c>
      <c r="AJ341" s="212" t="b">
        <f>IF(AI341=0,FALSE,IF(COUNTIF(AI$7:AI341,AI341)&gt;1,TRUE,FALSE))</f>
        <v>0</v>
      </c>
      <c r="AK341" s="212">
        <f t="shared" ref="AK341" si="3931">IF($AD341=AK$6,$E339,0)</f>
        <v>0</v>
      </c>
      <c r="AL341" s="212" t="b">
        <f>IF(AK341=0,FALSE,IF(COUNTIF(AK$7:AK341,AK341)&gt;1,TRUE,FALSE))</f>
        <v>0</v>
      </c>
      <c r="AM341" s="212">
        <f t="shared" ref="AM341" si="3932">IF(COUNTIF(Y341,"*七種*")&gt;0,0,IF($AD341=AM$6,$E339,0))</f>
        <v>0</v>
      </c>
      <c r="AN341" s="212" t="b">
        <f>IF(AM341=0,FALSE,IF(COUNTIF(AM$7:AM341,AM341)&gt;1,TRUE,FALSE))</f>
        <v>0</v>
      </c>
      <c r="AO341" s="212">
        <f t="shared" ref="AO341" si="3933">IF($AD341=AO$6,$E339,0)</f>
        <v>0</v>
      </c>
      <c r="AP341" s="212" t="b">
        <f>IF(AO341=0,FALSE,IF(COUNTIF(AO$7:AO341,AO341)&gt;1,TRUE,FALSE))</f>
        <v>0</v>
      </c>
      <c r="AQ341" s="212">
        <f t="shared" ref="AQ341" si="3934">IF(COUNTIF(Y341,"*七種競技*")&gt;0,E339,0)</f>
        <v>0</v>
      </c>
      <c r="AR341" s="212" t="b">
        <f t="shared" si="3780"/>
        <v>0</v>
      </c>
      <c r="AT341" s="212" t="b">
        <f t="shared" si="3793"/>
        <v>0</v>
      </c>
      <c r="AX341" s="274"/>
      <c r="BD341" s="212" t="b">
        <f t="shared" si="3767"/>
        <v>0</v>
      </c>
      <c r="BF341" s="212" t="b">
        <f t="shared" ref="BF341" si="3935">IF(J341="",FALSE,IF(OR(AND(AU339,L341=""),AND(AU339,L341="",OR(M341&lt;&gt;"",N341&lt;&gt;"",O341&lt;&gt;"",P341&lt;&gt;""))),TRUE,FALSE))</f>
        <v>0</v>
      </c>
      <c r="BG341" s="212" t="b">
        <f t="shared" si="3769"/>
        <v>0</v>
      </c>
      <c r="BH341" s="212" t="b">
        <f t="shared" si="3782"/>
        <v>0</v>
      </c>
      <c r="BI341" s="212" t="b">
        <f t="shared" ref="BI341" si="3936">IF(J341="",FALSE,IF(L341=0,FALSE,IF(AND(AU339,NOT(BF341),OR(M341="",N341="",O341="")),TRUE,FALSE)))</f>
        <v>0</v>
      </c>
      <c r="BJ341" s="231" t="b">
        <f t="shared" si="3784"/>
        <v>0</v>
      </c>
      <c r="BK341" s="231" t="b">
        <f>IF(NOT(BJ341),FALSE,IF(AND(競技会設定!$C$5&lt;=BJ341,BJ341&lt;=競技会設定!$C$6),FALSE,TRUE))</f>
        <v>0</v>
      </c>
      <c r="BL341" s="212" t="b">
        <f>IF(J341="",FALSE,IF(L341=0,FALSE,IF(AND(AU339,NOT(BF341),NOT(BI341),P341=""),TRUE,FALSE)))</f>
        <v>0</v>
      </c>
    </row>
    <row r="342" spans="1:67" ht="18" customHeight="1" thickBot="1">
      <c r="A342" s="475"/>
      <c r="B342" s="387" t="s">
        <v>6764</v>
      </c>
      <c r="C342" s="387"/>
      <c r="D342" s="161"/>
      <c r="E342" s="467"/>
      <c r="F342" s="468"/>
      <c r="G342" s="469"/>
      <c r="H342" s="162"/>
      <c r="I342" s="161" t="s">
        <v>6759</v>
      </c>
      <c r="J342" s="177"/>
      <c r="K342" s="161" t="s">
        <v>6761</v>
      </c>
      <c r="L342" s="177"/>
      <c r="M342" s="267"/>
      <c r="N342" s="268"/>
      <c r="O342" s="269"/>
      <c r="P342" s="177"/>
      <c r="Q342" s="466"/>
      <c r="R342" s="410"/>
      <c r="S342" s="136"/>
      <c r="T342" s="137"/>
      <c r="U342" s="137"/>
      <c r="V342" s="137"/>
      <c r="W342" s="137"/>
      <c r="X342" s="137"/>
      <c r="Y342" s="212">
        <f t="shared" ref="Y342" si="3937">IF(OR(E339="",J342=""),0,J342&amp;E339)</f>
        <v>0</v>
      </c>
      <c r="Z342" s="212">
        <f>IF(Y342=0,0,COUNTIF($Y$7:Y342,Y342))</f>
        <v>0</v>
      </c>
      <c r="AD342" s="212">
        <f>IFERROR(VLOOKUP(J342,競技会設定!$T$2:$W$22,2,0),0)</f>
        <v>0</v>
      </c>
      <c r="AE342" s="212">
        <f t="shared" ref="AE342" si="3938">IF(E339="",0,IF(AD342=0,0,IF(AD342&lt;3,E339&amp;$AE$6,0)))</f>
        <v>0</v>
      </c>
      <c r="AF342" s="212">
        <f>IF(AE342=0,0,E339&amp;COUNTIF($AE$7:AE342,AE342))</f>
        <v>0</v>
      </c>
      <c r="AG342" s="212">
        <f t="shared" ref="AG342" si="3939">IF(E339="",0,IF(AD342=0,0,IF(AD342&gt;=3,E339&amp;$AG$6,0)))</f>
        <v>0</v>
      </c>
      <c r="AH342" s="212">
        <f>IF(AG342=0,0,E339&amp;COUNTIF($AG$7:AG342,AG342))</f>
        <v>0</v>
      </c>
      <c r="AI342" s="212">
        <f t="shared" ref="AI342" si="3940">IF($AD342=AI$6,$E339,0)</f>
        <v>0</v>
      </c>
      <c r="AJ342" s="212" t="b">
        <f>IF(AI342=0,FALSE,IF(COUNTIF(AI$7:AI342,AI342)&gt;1,TRUE,FALSE))</f>
        <v>0</v>
      </c>
      <c r="AK342" s="212">
        <f t="shared" ref="AK342" si="3941">IF($AD342=AK$6,$E339,0)</f>
        <v>0</v>
      </c>
      <c r="AL342" s="212" t="b">
        <f>IF(AK342=0,FALSE,IF(COUNTIF(AK$7:AK342,AK342)&gt;1,TRUE,FALSE))</f>
        <v>0</v>
      </c>
      <c r="AM342" s="212">
        <f t="shared" ref="AM342" si="3942">IF(COUNTIF(Y342,"*七種*")&gt;0,0,IF($AD342=AM$6,$E339,0))</f>
        <v>0</v>
      </c>
      <c r="AN342" s="212" t="b">
        <f>IF(AM342=0,FALSE,IF(COUNTIF(AM$7:AM342,AM342)&gt;1,TRUE,FALSE))</f>
        <v>0</v>
      </c>
      <c r="AO342" s="212">
        <f t="shared" ref="AO342" si="3943">IF($AD342=AO$6,$E339,0)</f>
        <v>0</v>
      </c>
      <c r="AP342" s="212" t="b">
        <f>IF(AO342=0,FALSE,IF(COUNTIF(AO$7:AO342,AO342)&gt;1,TRUE,FALSE))</f>
        <v>0</v>
      </c>
      <c r="AQ342" s="212">
        <f t="shared" ref="AQ342" si="3944">IF(COUNTIF(Y342,"*七種競技*")&gt;0,E339,0)</f>
        <v>0</v>
      </c>
      <c r="AR342" s="212" t="b">
        <f t="shared" si="3780"/>
        <v>0</v>
      </c>
      <c r="AT342" s="212" t="b">
        <f t="shared" si="3793"/>
        <v>0</v>
      </c>
      <c r="AX342" s="274"/>
      <c r="BD342" s="212" t="b">
        <f t="shared" si="3767"/>
        <v>0</v>
      </c>
      <c r="BF342" s="212" t="b">
        <f t="shared" ref="BF342" si="3945">IF(J342="",FALSE,IF(OR(AND(AU339,L342=""),AND(AU339,L342="",OR(M342&lt;&gt;"",N342&lt;&gt;"",O342&lt;&gt;"",P342&lt;&gt;""))),TRUE,FALSE))</f>
        <v>0</v>
      </c>
      <c r="BG342" s="212" t="b">
        <f t="shared" si="3769"/>
        <v>0</v>
      </c>
      <c r="BH342" s="212" t="b">
        <f t="shared" si="3782"/>
        <v>0</v>
      </c>
      <c r="BI342" s="212" t="b">
        <f t="shared" ref="BI342" si="3946">IF(J342="",FALSE,IF(L342=0,FALSE,IF(AND(AU339,NOT(BF342),OR(M342="",N342="",O342="")),TRUE,FALSE)))</f>
        <v>0</v>
      </c>
      <c r="BJ342" s="231" t="b">
        <f t="shared" si="3784"/>
        <v>0</v>
      </c>
      <c r="BK342" s="231" t="b">
        <f>IF(NOT(BJ342),FALSE,IF(AND(競技会設定!$C$5&lt;=BJ342,BJ342&lt;=競技会設定!$C$6),FALSE,TRUE))</f>
        <v>0</v>
      </c>
      <c r="BL342" s="212" t="b">
        <f>IF(J342="",FALSE,IF(L342=0,FALSE,IF(AND(AU339,NOT(BF342),NOT(BI342),P342=""),TRUE,FALSE)))</f>
        <v>0</v>
      </c>
    </row>
    <row r="343" spans="1:67" ht="18" customHeight="1" thickTop="1">
      <c r="A343" s="470">
        <v>85</v>
      </c>
      <c r="B343" s="401" t="s">
        <v>4018</v>
      </c>
      <c r="C343" s="403"/>
      <c r="D343" s="156" t="str">
        <f t="shared" ref="D343" si="3947">IF(C343="","",502&amp;TEXT(C343,"000000"))</f>
        <v/>
      </c>
      <c r="E343" s="473" t="str">
        <f>IF(D343="","",(VLOOKUP(D343,女子登録!$A$2:$N$2001,3,0)))</f>
        <v/>
      </c>
      <c r="F343" s="473" t="str">
        <f>IF(D343="","",(VLOOKUP(D343,女子登録!$A$2:$N$2001,4,0)))</f>
        <v/>
      </c>
      <c r="G343" s="156" t="str">
        <f>IF(C343="","",(VLOOKUP(D343,女子登録!$A$2:$N$2001,8,0)))</f>
        <v/>
      </c>
      <c r="H343" s="156">
        <f>IFERROR(VLOOKUP(D343,女子登録!$A$2:$N$2001,11,0),基本情報!$E$5)</f>
        <v>0</v>
      </c>
      <c r="I343" s="156" t="s">
        <v>4019</v>
      </c>
      <c r="J343" s="170"/>
      <c r="K343" s="156" t="s">
        <v>4022</v>
      </c>
      <c r="L343" s="170"/>
      <c r="M343" s="252"/>
      <c r="N343" s="253"/>
      <c r="O343" s="254"/>
      <c r="P343" s="170"/>
      <c r="Q343" s="457"/>
      <c r="R343" s="414"/>
      <c r="S343" s="136">
        <f t="shared" ref="S343" si="3948">IF(OR(E343="",Q343=""),0,E343)</f>
        <v>0</v>
      </c>
      <c r="T343" s="137">
        <f>IF(S343=0,0,COUNTIF($S$7:S343,"*"))</f>
        <v>0</v>
      </c>
      <c r="U343" s="137">
        <f>IF(S343=0,0,COUNTIF($S$7:S343,S343))</f>
        <v>0</v>
      </c>
      <c r="V343" s="137">
        <f t="shared" si="3237"/>
        <v>0</v>
      </c>
      <c r="W343" s="137">
        <f>IF(V343=0,0,COUNTIF($V$7:V343,"*"))</f>
        <v>0</v>
      </c>
      <c r="X343" s="137">
        <f>IF(V343=0,0,COUNTIF($V$7:V343,V343))</f>
        <v>0</v>
      </c>
      <c r="Y343" s="212">
        <f t="shared" ref="Y343" si="3949">IF(OR(E343="",J343=""),0,J343&amp;E343)</f>
        <v>0</v>
      </c>
      <c r="Z343" s="212">
        <f>IF(Y343=0,0,COUNTIF($Y$7:Y343,Y343))</f>
        <v>0</v>
      </c>
      <c r="AA343" s="212" t="b">
        <f>IF(COUNTIF(J343:J346,"七種競技")&gt;0,TRUE,FALSE)</f>
        <v>0</v>
      </c>
      <c r="AB343" s="212">
        <f>IF(E343="",0,IF(AA343,COUNTIF($AA$7:AA343,TRUE),0))</f>
        <v>0</v>
      </c>
      <c r="AC343" s="212">
        <f>IFERROR(VLOOKUP("七種競技",J343:L346,3,0),0)</f>
        <v>0</v>
      </c>
      <c r="AD343" s="212">
        <f>IFERROR(VLOOKUP(J343,競技会設定!$T$2:$W$22,2,0),0)</f>
        <v>0</v>
      </c>
      <c r="AE343" s="212">
        <f t="shared" ref="AE343" si="3950">IF(E343="",0,IF(AD343=0,0,IF(AD343&lt;3,E343&amp;$AE$6,0)))</f>
        <v>0</v>
      </c>
      <c r="AF343" s="212">
        <f>IF(AE343=0,0,E343&amp;COUNTIF($AE$7:AE343,AE343))</f>
        <v>0</v>
      </c>
      <c r="AG343" s="212">
        <f t="shared" ref="AG343" si="3951">IF(E343="",0,IF(AD343=0,0,IF(AD343&gt;=3,E343&amp;$AG$6,0)))</f>
        <v>0</v>
      </c>
      <c r="AH343" s="212">
        <f>IF(AG343=0,0,E343&amp;COUNTIF($AG$7:AG343,AG343))</f>
        <v>0</v>
      </c>
      <c r="AI343" s="212">
        <f t="shared" ref="AI343" si="3952">IF($AD343=AI$6,$E343,0)</f>
        <v>0</v>
      </c>
      <c r="AJ343" s="212" t="b">
        <f>IF(AI343=0,FALSE,IF(COUNTIF(AI$7:AI343,AI343)&gt;1,TRUE,FALSE))</f>
        <v>0</v>
      </c>
      <c r="AK343" s="212">
        <f t="shared" ref="AK343" si="3953">IF($AD343=AK$6,$E343,0)</f>
        <v>0</v>
      </c>
      <c r="AL343" s="212" t="b">
        <f>IF(AK343=0,FALSE,IF(COUNTIF(AK$7:AK343,AK343)&gt;1,TRUE,FALSE))</f>
        <v>0</v>
      </c>
      <c r="AM343" s="212">
        <f t="shared" ref="AM343" si="3954">IF(COUNTIF(Y343,"*七種*")&gt;0,0,IF($AD343=AM$6,$E343,0))</f>
        <v>0</v>
      </c>
      <c r="AN343" s="212" t="b">
        <f>IF(AM343=0,FALSE,IF(COUNTIF(AM$7:AM343,AM343)&gt;1,TRUE,FALSE))</f>
        <v>0</v>
      </c>
      <c r="AO343" s="212">
        <f t="shared" ref="AO343" si="3955">IF($AD343=AO$6,$E343,0)</f>
        <v>0</v>
      </c>
      <c r="AP343" s="212" t="b">
        <f>IF(AO343=0,FALSE,IF(COUNTIF(AO$7:AO343,AO343)&gt;1,TRUE,FALSE))</f>
        <v>0</v>
      </c>
      <c r="AQ343" s="212">
        <f t="shared" ref="AQ343" si="3956">IF(COUNTIF(Y343,"*七種競技*")&gt;0,E343,0)</f>
        <v>0</v>
      </c>
      <c r="AR343" s="212" t="b">
        <f t="shared" si="3780"/>
        <v>0</v>
      </c>
      <c r="AS343" s="212" t="b">
        <f t="shared" ref="AS343" si="3957">IF(AND(C343="",E343&lt;&gt;"",F343&lt;&gt;"",E345&lt;&gt;"",G343&lt;&gt;"",G344&lt;&gt;"",G345&lt;&gt;""),TRUE,FALSE)</f>
        <v>0</v>
      </c>
      <c r="AT343" s="212" t="b">
        <f t="shared" si="3793"/>
        <v>0</v>
      </c>
      <c r="AU343" s="212" t="b">
        <f>IFERROR(IF(E343&amp;F343&amp;E345&amp;G343&amp;G344&amp;G345&amp;J343&amp;J344&amp;J345&amp;J346&amp;L343&amp;L344&amp;L345&amp;L346&amp;M343&amp;M344&amp;M345&amp;M346&amp;P343&amp;P344&amp;P345&amp;P346&amp;Q343&amp;R343="",FALSE,TRUE),FALSE)</f>
        <v>0</v>
      </c>
      <c r="AV343" s="212" t="b">
        <f t="shared" ref="AV343" si="3958">IF(AS343,FALSE,IF(C343="",AU343,FALSE))</f>
        <v>0</v>
      </c>
      <c r="AW343" s="212" t="b">
        <f t="shared" ref="AW343" si="3959">IF(C343="",FALSE,IF(C343&lt;=2000,TRUE,FALSE))</f>
        <v>0</v>
      </c>
      <c r="AX343" s="274" t="b">
        <f>IF(H343=0,FALSE,IF(EXACT(基本情報!$E$5,H343)=TRUE,FALSE,TRUE))</f>
        <v>0</v>
      </c>
      <c r="AY343" s="212" t="b">
        <f>IF(C343="",FALSE,IF(ISNA(E343)=TRUE,TRUE,FALSE))</f>
        <v>0</v>
      </c>
      <c r="AZ343" s="274" t="b">
        <f>IFERROR(IF(E343="",FALSE,IF(COUNTIF($E$7:E343,E343)&gt;1,TRUE,FALSE)),FALSE)</f>
        <v>0</v>
      </c>
      <c r="BA343" s="212" t="b">
        <f t="shared" ref="BA343" si="3960">IF(OR(J343&amp;J344&amp;J345&amp;J346&amp;Q343&amp;R343="",AT343,AT344,AT345,AT346),AU343,FALSE)</f>
        <v>0</v>
      </c>
      <c r="BB343" s="212" t="b">
        <f>IF(U343&gt;1,TRUE,FALSE)</f>
        <v>0</v>
      </c>
      <c r="BC343" s="212" t="b">
        <f>IF(X343&gt;1,TRUE,FALSE)</f>
        <v>0</v>
      </c>
      <c r="BD343" s="212" t="b">
        <f t="shared" si="3767"/>
        <v>0</v>
      </c>
      <c r="BF343" s="212" t="b">
        <f t="shared" ref="BF343" si="3961">IF(J343="",FALSE,IF(OR(AND(AU343,L343=""),AND(AU343,L343="",OR(M343&lt;&gt;"",N343&lt;&gt;"",O343&lt;&gt;"",P343&lt;&gt;""))),TRUE,FALSE))</f>
        <v>0</v>
      </c>
      <c r="BG343" s="212" t="b">
        <f t="shared" si="3769"/>
        <v>0</v>
      </c>
      <c r="BH343" s="212" t="b">
        <f t="shared" si="3782"/>
        <v>0</v>
      </c>
      <c r="BI343" s="212" t="b">
        <f t="shared" ref="BI343" si="3962">IF(J343="",FALSE,IF(L343=0,FALSE,IF(AND(AU343,NOT(BF343),OR(M343="",N343="",O343="")),TRUE,FALSE)))</f>
        <v>0</v>
      </c>
      <c r="BJ343" s="231" t="b">
        <f t="shared" si="3784"/>
        <v>0</v>
      </c>
      <c r="BK343" s="231" t="b">
        <f>IF(NOT(BJ343),FALSE,IF(AND(競技会設定!$C$5&lt;=BJ343,BJ343&lt;=競技会設定!$C$6),FALSE,TRUE))</f>
        <v>0</v>
      </c>
      <c r="BL343" s="212" t="b">
        <f>IF(J343="",FALSE,IF(L343=0,FALSE,IF(AND(AU343,NOT(BF343),NOT(BI343),P343=""),TRUE,FALSE)))</f>
        <v>0</v>
      </c>
      <c r="BO343" s="274">
        <f t="shared" ref="BO343" si="3963">IF(AND(AU343,SUM(COUNTIF(AV343:BC343,TRUE),COUNTIF(BF343:BL346,TRUE),COUNTIF(BD343:BD346,TRUE))=0,NOT($BE$7)),1,0)</f>
        <v>0</v>
      </c>
    </row>
    <row r="344" spans="1:67" ht="17.399999999999999" customHeight="1">
      <c r="A344" s="471"/>
      <c r="B344" s="402"/>
      <c r="C344" s="404"/>
      <c r="D344" s="11"/>
      <c r="E344" s="474"/>
      <c r="F344" s="474"/>
      <c r="G344" s="11" t="str">
        <f>IF(C343="","",(VLOOKUP(D343,女子登録!$A$2:$N$2001,13,0)))</f>
        <v/>
      </c>
      <c r="H344" s="11"/>
      <c r="I344" s="11" t="s">
        <v>4020</v>
      </c>
      <c r="J344" s="171"/>
      <c r="K344" s="11" t="s">
        <v>4023</v>
      </c>
      <c r="L344" s="171"/>
      <c r="M344" s="255"/>
      <c r="N344" s="256"/>
      <c r="O344" s="257"/>
      <c r="P344" s="171"/>
      <c r="Q344" s="458"/>
      <c r="R344" s="415"/>
      <c r="S344" s="136"/>
      <c r="T344" s="137"/>
      <c r="U344" s="137"/>
      <c r="V344" s="137"/>
      <c r="W344" s="137"/>
      <c r="X344" s="137"/>
      <c r="Y344" s="212">
        <f t="shared" ref="Y344" si="3964">IF(OR(E343="",J344=""),0,J344&amp;E343)</f>
        <v>0</v>
      </c>
      <c r="Z344" s="212">
        <f>IF(Y344=0,0,COUNTIF($Y$7:Y344,Y344))</f>
        <v>0</v>
      </c>
      <c r="AD344" s="212">
        <f>IFERROR(VLOOKUP(J344,競技会設定!$T$2:$W$22,2,0),0)</f>
        <v>0</v>
      </c>
      <c r="AE344" s="212">
        <f t="shared" ref="AE344" si="3965">IF(E343="",0,IF(AD344=0,0,IF(AD344&lt;3,E343&amp;$AE$6,0)))</f>
        <v>0</v>
      </c>
      <c r="AF344" s="212">
        <f>IF(AE344=0,0,E343&amp;COUNTIF($AE$7:AE344,AE344))</f>
        <v>0</v>
      </c>
      <c r="AG344" s="212">
        <f t="shared" ref="AG344" si="3966">IF(E343="",0,IF(AD344=0,0,IF(AD344&gt;=3,E343&amp;$AG$6,0)))</f>
        <v>0</v>
      </c>
      <c r="AH344" s="212">
        <f>IF(AG344=0,0,E343&amp;COUNTIF($AG$7:AG344,AG344))</f>
        <v>0</v>
      </c>
      <c r="AI344" s="212">
        <f t="shared" ref="AI344" si="3967">IF($AD344=AI$6,$E343,0)</f>
        <v>0</v>
      </c>
      <c r="AJ344" s="212" t="b">
        <f>IF(AI344=0,FALSE,IF(COUNTIF(AI$7:AI344,AI344)&gt;1,TRUE,FALSE))</f>
        <v>0</v>
      </c>
      <c r="AK344" s="212">
        <f t="shared" ref="AK344" si="3968">IF($AD344=AK$6,$E343,0)</f>
        <v>0</v>
      </c>
      <c r="AL344" s="212" t="b">
        <f>IF(AK344=0,FALSE,IF(COUNTIF(AK$7:AK344,AK344)&gt;1,TRUE,FALSE))</f>
        <v>0</v>
      </c>
      <c r="AM344" s="212">
        <f t="shared" ref="AM344" si="3969">IF(COUNTIF(Y344,"*七種*")&gt;0,0,IF($AD344=AM$6,$E343,0))</f>
        <v>0</v>
      </c>
      <c r="AN344" s="212" t="b">
        <f>IF(AM344=0,FALSE,IF(COUNTIF(AM$7:AM344,AM344)&gt;1,TRUE,FALSE))</f>
        <v>0</v>
      </c>
      <c r="AO344" s="212">
        <f t="shared" ref="AO344" si="3970">IF($AD344=AO$6,$E343,0)</f>
        <v>0</v>
      </c>
      <c r="AP344" s="212" t="b">
        <f>IF(AO344=0,FALSE,IF(COUNTIF(AO$7:AO344,AO344)&gt;1,TRUE,FALSE))</f>
        <v>0</v>
      </c>
      <c r="AQ344" s="212">
        <f t="shared" ref="AQ344" si="3971">IF(COUNTIF(Y344,"*七種競技*")&gt;0,E343,0)</f>
        <v>0</v>
      </c>
      <c r="AR344" s="212" t="b">
        <f t="shared" si="3780"/>
        <v>0</v>
      </c>
      <c r="AT344" s="212" t="b">
        <f t="shared" si="3793"/>
        <v>0</v>
      </c>
      <c r="AX344" s="274"/>
      <c r="BD344" s="212" t="b">
        <f t="shared" si="3767"/>
        <v>0</v>
      </c>
      <c r="BF344" s="212" t="b">
        <f t="shared" ref="BF344" si="3972">IF(J344="",FALSE,IF(OR(AND(AU343,L344=""),AND(AU343,L344="",OR(M344&lt;&gt;"",N344&lt;&gt;"",O344&lt;&gt;"",P344&lt;&gt;""))),TRUE,FALSE))</f>
        <v>0</v>
      </c>
      <c r="BG344" s="212" t="b">
        <f t="shared" si="3769"/>
        <v>0</v>
      </c>
      <c r="BH344" s="212" t="b">
        <f t="shared" si="3782"/>
        <v>0</v>
      </c>
      <c r="BI344" s="212" t="b">
        <f t="shared" ref="BI344" si="3973">IF(J344="",FALSE,IF(L344=0,FALSE,IF(AND(AU343,NOT(BF344),OR(M344="",N344="",O344="")),TRUE,FALSE)))</f>
        <v>0</v>
      </c>
      <c r="BJ344" s="231" t="b">
        <f t="shared" si="3784"/>
        <v>0</v>
      </c>
      <c r="BK344" s="231" t="b">
        <f>IF(NOT(BJ344),FALSE,IF(AND(競技会設定!$C$5&lt;=BJ344,BJ344&lt;=競技会設定!$C$6),FALSE,TRUE))</f>
        <v>0</v>
      </c>
      <c r="BL344" s="212" t="b">
        <f>IF(J344="",FALSE,IF(L344=0,FALSE,IF(AND(AU343,NOT(BF344),NOT(BI344),P344=""),TRUE,FALSE)))</f>
        <v>0</v>
      </c>
    </row>
    <row r="345" spans="1:67" ht="17.399999999999999" customHeight="1">
      <c r="A345" s="471"/>
      <c r="B345" s="402"/>
      <c r="C345" s="404"/>
      <c r="D345" s="11"/>
      <c r="E345" s="348" t="str">
        <f>IF(C343="","",VLOOKUP(D343,女子登録!$A$2:$O$2001,14,0)&amp;" ("&amp;VLOOKUP(D343,女子登録!$A$2:$O$2001,15,0)&amp;")")</f>
        <v/>
      </c>
      <c r="F345" s="348"/>
      <c r="G345" s="13" t="str">
        <f>IF(C343="","",(VLOOKUP(D343,女子登録!$A$2:$N$2001,9,0)))</f>
        <v/>
      </c>
      <c r="H345" s="13"/>
      <c r="I345" s="13" t="s">
        <v>4021</v>
      </c>
      <c r="J345" s="172"/>
      <c r="K345" s="13" t="s">
        <v>6760</v>
      </c>
      <c r="L345" s="172"/>
      <c r="M345" s="255"/>
      <c r="N345" s="256"/>
      <c r="O345" s="257"/>
      <c r="P345" s="171"/>
      <c r="Q345" s="458"/>
      <c r="R345" s="415"/>
      <c r="S345" s="136"/>
      <c r="T345" s="137"/>
      <c r="U345" s="137"/>
      <c r="V345" s="137"/>
      <c r="W345" s="137"/>
      <c r="X345" s="137"/>
      <c r="Y345" s="212">
        <f t="shared" ref="Y345" si="3974">IF(OR(E343="",J345=""),0,J345&amp;E343)</f>
        <v>0</v>
      </c>
      <c r="Z345" s="212">
        <f>IF(Y345=0,0,COUNTIF($Y$7:Y345,Y345))</f>
        <v>0</v>
      </c>
      <c r="AD345" s="212">
        <f>IFERROR(VLOOKUP(J345,競技会設定!$T$2:$W$22,2,0),0)</f>
        <v>0</v>
      </c>
      <c r="AE345" s="212">
        <f t="shared" ref="AE345" si="3975">IF(E343="",0,IF(AD345=0,0,IF(AD345&lt;3,E343&amp;$AE$6,0)))</f>
        <v>0</v>
      </c>
      <c r="AF345" s="212">
        <f>IF(AE345=0,0,E343&amp;COUNTIF($AE$7:AE345,AE345))</f>
        <v>0</v>
      </c>
      <c r="AG345" s="212">
        <f t="shared" ref="AG345" si="3976">IF(E343="",0,IF(AD345=0,0,IF(AD345&gt;=3,E343&amp;$AG$6,0)))</f>
        <v>0</v>
      </c>
      <c r="AH345" s="212">
        <f>IF(AG345=0,0,E343&amp;COUNTIF($AG$7:AG345,AG345))</f>
        <v>0</v>
      </c>
      <c r="AI345" s="212">
        <f t="shared" ref="AI345" si="3977">IF($AD345=AI$6,$E343,0)</f>
        <v>0</v>
      </c>
      <c r="AJ345" s="212" t="b">
        <f>IF(AI345=0,FALSE,IF(COUNTIF(AI$7:AI345,AI345)&gt;1,TRUE,FALSE))</f>
        <v>0</v>
      </c>
      <c r="AK345" s="212">
        <f t="shared" ref="AK345" si="3978">IF($AD345=AK$6,$E343,0)</f>
        <v>0</v>
      </c>
      <c r="AL345" s="212" t="b">
        <f>IF(AK345=0,FALSE,IF(COUNTIF(AK$7:AK345,AK345)&gt;1,TRUE,FALSE))</f>
        <v>0</v>
      </c>
      <c r="AM345" s="212">
        <f t="shared" ref="AM345" si="3979">IF(COUNTIF(Y345,"*七種*")&gt;0,0,IF($AD345=AM$6,$E343,0))</f>
        <v>0</v>
      </c>
      <c r="AN345" s="212" t="b">
        <f>IF(AM345=0,FALSE,IF(COUNTIF(AM$7:AM345,AM345)&gt;1,TRUE,FALSE))</f>
        <v>0</v>
      </c>
      <c r="AO345" s="212">
        <f t="shared" ref="AO345" si="3980">IF($AD345=AO$6,$E343,0)</f>
        <v>0</v>
      </c>
      <c r="AP345" s="212" t="b">
        <f>IF(AO345=0,FALSE,IF(COUNTIF(AO$7:AO345,AO345)&gt;1,TRUE,FALSE))</f>
        <v>0</v>
      </c>
      <c r="AQ345" s="212">
        <f t="shared" ref="AQ345" si="3981">IF(COUNTIF(Y345,"*七種競技*")&gt;0,E343,0)</f>
        <v>0</v>
      </c>
      <c r="AR345" s="212" t="b">
        <f t="shared" si="3780"/>
        <v>0</v>
      </c>
      <c r="AT345" s="212" t="b">
        <f t="shared" si="3793"/>
        <v>0</v>
      </c>
      <c r="AX345" s="274"/>
      <c r="BD345" s="212" t="b">
        <f t="shared" si="3767"/>
        <v>0</v>
      </c>
      <c r="BF345" s="212" t="b">
        <f t="shared" ref="BF345" si="3982">IF(J345="",FALSE,IF(OR(AND(AU343,L345=""),AND(AU343,L345="",OR(M345&lt;&gt;"",N345&lt;&gt;"",O345&lt;&gt;"",P345&lt;&gt;""))),TRUE,FALSE))</f>
        <v>0</v>
      </c>
      <c r="BG345" s="212" t="b">
        <f t="shared" si="3769"/>
        <v>0</v>
      </c>
      <c r="BH345" s="212" t="b">
        <f t="shared" si="3782"/>
        <v>0</v>
      </c>
      <c r="BI345" s="212" t="b">
        <f t="shared" ref="BI345" si="3983">IF(J345="",FALSE,IF(L345=0,FALSE,IF(AND(AU343,NOT(BF345),OR(M345="",N345="",O345="")),TRUE,FALSE)))</f>
        <v>0</v>
      </c>
      <c r="BJ345" s="231" t="b">
        <f t="shared" si="3784"/>
        <v>0</v>
      </c>
      <c r="BK345" s="231" t="b">
        <f>IF(NOT(BJ345),FALSE,IF(AND(競技会設定!$C$5&lt;=BJ345,BJ345&lt;=競技会設定!$C$6),FALSE,TRUE))</f>
        <v>0</v>
      </c>
      <c r="BL345" s="212" t="b">
        <f>IF(J345="",FALSE,IF(L345=0,FALSE,IF(AND(AU343,NOT(BF345),NOT(BI345),P345=""),TRUE,FALSE)))</f>
        <v>0</v>
      </c>
    </row>
    <row r="346" spans="1:67" ht="18" customHeight="1" thickBot="1">
      <c r="A346" s="472"/>
      <c r="B346" s="395" t="s">
        <v>6764</v>
      </c>
      <c r="C346" s="395"/>
      <c r="D346" s="11"/>
      <c r="E346" s="460"/>
      <c r="F346" s="460"/>
      <c r="G346" s="460"/>
      <c r="H346" s="157"/>
      <c r="I346" s="157" t="s">
        <v>6759</v>
      </c>
      <c r="J346" s="173"/>
      <c r="K346" s="157" t="s">
        <v>6761</v>
      </c>
      <c r="L346" s="173"/>
      <c r="M346" s="258"/>
      <c r="N346" s="259"/>
      <c r="O346" s="260"/>
      <c r="P346" s="173"/>
      <c r="Q346" s="459"/>
      <c r="R346" s="416"/>
      <c r="S346" s="136"/>
      <c r="T346" s="137"/>
      <c r="U346" s="137"/>
      <c r="V346" s="137"/>
      <c r="W346" s="137"/>
      <c r="X346" s="137"/>
      <c r="Y346" s="212">
        <f t="shared" ref="Y346" si="3984">IF(OR(E343="",J346=""),0,J346&amp;E343)</f>
        <v>0</v>
      </c>
      <c r="Z346" s="212">
        <f>IF(Y346=0,0,COUNTIF($Y$7:Y346,Y346))</f>
        <v>0</v>
      </c>
      <c r="AD346" s="212">
        <f>IFERROR(VLOOKUP(J346,競技会設定!$T$2:$W$22,2,0),0)</f>
        <v>0</v>
      </c>
      <c r="AE346" s="212">
        <f t="shared" ref="AE346" si="3985">IF(E343="",0,IF(AD346=0,0,IF(AD346&lt;3,E343&amp;$AE$6,0)))</f>
        <v>0</v>
      </c>
      <c r="AF346" s="212">
        <f>IF(AE346=0,0,E343&amp;COUNTIF($AE$7:AE346,AE346))</f>
        <v>0</v>
      </c>
      <c r="AG346" s="212">
        <f t="shared" ref="AG346" si="3986">IF(E343="",0,IF(AD346=0,0,IF(AD346&gt;=3,E343&amp;$AG$6,0)))</f>
        <v>0</v>
      </c>
      <c r="AH346" s="212">
        <f>IF(AG346=0,0,E343&amp;COUNTIF($AG$7:AG346,AG346))</f>
        <v>0</v>
      </c>
      <c r="AI346" s="212">
        <f t="shared" ref="AI346" si="3987">IF($AD346=AI$6,$E343,0)</f>
        <v>0</v>
      </c>
      <c r="AJ346" s="212" t="b">
        <f>IF(AI346=0,FALSE,IF(COUNTIF(AI$7:AI346,AI346)&gt;1,TRUE,FALSE))</f>
        <v>0</v>
      </c>
      <c r="AK346" s="212">
        <f t="shared" ref="AK346" si="3988">IF($AD346=AK$6,$E343,0)</f>
        <v>0</v>
      </c>
      <c r="AL346" s="212" t="b">
        <f>IF(AK346=0,FALSE,IF(COUNTIF(AK$7:AK346,AK346)&gt;1,TRUE,FALSE))</f>
        <v>0</v>
      </c>
      <c r="AM346" s="212">
        <f t="shared" ref="AM346" si="3989">IF(COUNTIF(Y346,"*七種*")&gt;0,0,IF($AD346=AM$6,$E343,0))</f>
        <v>0</v>
      </c>
      <c r="AN346" s="212" t="b">
        <f>IF(AM346=0,FALSE,IF(COUNTIF(AM$7:AM346,AM346)&gt;1,TRUE,FALSE))</f>
        <v>0</v>
      </c>
      <c r="AO346" s="212">
        <f t="shared" ref="AO346" si="3990">IF($AD346=AO$6,$E343,0)</f>
        <v>0</v>
      </c>
      <c r="AP346" s="212" t="b">
        <f>IF(AO346=0,FALSE,IF(COUNTIF(AO$7:AO346,AO346)&gt;1,TRUE,FALSE))</f>
        <v>0</v>
      </c>
      <c r="AQ346" s="212">
        <f t="shared" ref="AQ346" si="3991">IF(COUNTIF(Y346,"*七種競技*")&gt;0,E343,0)</f>
        <v>0</v>
      </c>
      <c r="AR346" s="212" t="b">
        <f t="shared" si="3780"/>
        <v>0</v>
      </c>
      <c r="AT346" s="212" t="b">
        <f t="shared" si="3793"/>
        <v>0</v>
      </c>
      <c r="AX346" s="274"/>
      <c r="BD346" s="212" t="b">
        <f t="shared" si="3767"/>
        <v>0</v>
      </c>
      <c r="BF346" s="212" t="b">
        <f t="shared" ref="BF346" si="3992">IF(J346="",FALSE,IF(OR(AND(AU343,L346=""),AND(AU343,L346="",OR(M346&lt;&gt;"",N346&lt;&gt;"",O346&lt;&gt;"",P346&lt;&gt;""))),TRUE,FALSE))</f>
        <v>0</v>
      </c>
      <c r="BG346" s="212" t="b">
        <f t="shared" si="3769"/>
        <v>0</v>
      </c>
      <c r="BH346" s="212" t="b">
        <f t="shared" si="3782"/>
        <v>0</v>
      </c>
      <c r="BI346" s="212" t="b">
        <f t="shared" ref="BI346" si="3993">IF(J346="",FALSE,IF(L346=0,FALSE,IF(AND(AU343,NOT(BF346),OR(M346="",N346="",O346="")),TRUE,FALSE)))</f>
        <v>0</v>
      </c>
      <c r="BJ346" s="231" t="b">
        <f t="shared" si="3784"/>
        <v>0</v>
      </c>
      <c r="BK346" s="231" t="b">
        <f>IF(NOT(BJ346),FALSE,IF(AND(競技会設定!$C$5&lt;=BJ346,BJ346&lt;=競技会設定!$C$6),FALSE,TRUE))</f>
        <v>0</v>
      </c>
      <c r="BL346" s="212" t="b">
        <f>IF(J346="",FALSE,IF(L346=0,FALSE,IF(AND(AU343,NOT(BF346),NOT(BI346),P346=""),TRUE,FALSE)))</f>
        <v>0</v>
      </c>
    </row>
    <row r="347" spans="1:67" ht="18" customHeight="1" thickTop="1">
      <c r="A347" s="461">
        <v>86</v>
      </c>
      <c r="B347" s="373" t="s">
        <v>4018</v>
      </c>
      <c r="C347" s="375"/>
      <c r="D347" s="158" t="str">
        <f t="shared" ref="D347" si="3994">IF(C347="","",502&amp;TEXT(C347,"000000"))</f>
        <v/>
      </c>
      <c r="E347" s="464" t="str">
        <f>IF(D347="","",(VLOOKUP(D347,女子登録!$A$2:$N$2001,3,0)))</f>
        <v/>
      </c>
      <c r="F347" s="464" t="str">
        <f>IF(D347="","",(VLOOKUP(D347,女子登録!$A$2:$N$2001,4,0)))</f>
        <v/>
      </c>
      <c r="G347" s="158" t="str">
        <f>IF(C347="","",(VLOOKUP(D347,女子登録!$A$2:$N$2001,8,0)))</f>
        <v/>
      </c>
      <c r="H347" s="158">
        <f>IFERROR(VLOOKUP(D347,女子登録!$A$2:$N$2001,11,0),基本情報!$E$5)</f>
        <v>0</v>
      </c>
      <c r="I347" s="158" t="s">
        <v>4019</v>
      </c>
      <c r="J347" s="174"/>
      <c r="K347" s="158" t="s">
        <v>4022</v>
      </c>
      <c r="L347" s="174"/>
      <c r="M347" s="261"/>
      <c r="N347" s="262"/>
      <c r="O347" s="263"/>
      <c r="P347" s="174"/>
      <c r="Q347" s="448"/>
      <c r="R347" s="408"/>
      <c r="S347" s="136">
        <f t="shared" ref="S347" si="3995">IF(OR(E347="",Q347=""),0,E347)</f>
        <v>0</v>
      </c>
      <c r="T347" s="137">
        <f>IF(S347=0,0,COUNTIF($S$7:S347,"*"))</f>
        <v>0</v>
      </c>
      <c r="U347" s="137">
        <f>IF(S347=0,0,COUNTIF($S$7:S347,S347))</f>
        <v>0</v>
      </c>
      <c r="V347" s="137">
        <f t="shared" ref="V347:V403" si="3996">IF(OR(E347="",R347=""),0,E347&amp;MAX(COUNTIF($AG$7:$AG$406,E347&amp;"nans21v"))+1)</f>
        <v>0</v>
      </c>
      <c r="W347" s="137">
        <f>IF(V347=0,0,COUNTIF($V$7:V347,"*"))</f>
        <v>0</v>
      </c>
      <c r="X347" s="137">
        <f>IF(V347=0,0,COUNTIF($V$7:V347,V347))</f>
        <v>0</v>
      </c>
      <c r="Y347" s="212">
        <f t="shared" ref="Y347" si="3997">IF(OR(E347="",J347=""),0,J347&amp;E347)</f>
        <v>0</v>
      </c>
      <c r="Z347" s="212">
        <f>IF(Y347=0,0,COUNTIF($Y$7:Y347,Y347))</f>
        <v>0</v>
      </c>
      <c r="AA347" s="212" t="b">
        <f>IF(COUNTIF(J347:J350,"七種競技")&gt;0,TRUE,FALSE)</f>
        <v>0</v>
      </c>
      <c r="AB347" s="212">
        <f>IF(E347="",0,IF(AA347,COUNTIF($AA$7:AA347,TRUE),0))</f>
        <v>0</v>
      </c>
      <c r="AC347" s="212">
        <f>IFERROR(VLOOKUP("七種競技",J347:L350,3,0),0)</f>
        <v>0</v>
      </c>
      <c r="AD347" s="212">
        <f>IFERROR(VLOOKUP(J347,競技会設定!$T$2:$W$22,2,0),0)</f>
        <v>0</v>
      </c>
      <c r="AE347" s="212">
        <f t="shared" ref="AE347" si="3998">IF(E347="",0,IF(AD347=0,0,IF(AD347&lt;3,E347&amp;$AE$6,0)))</f>
        <v>0</v>
      </c>
      <c r="AF347" s="212">
        <f>IF(AE347=0,0,E347&amp;COUNTIF($AE$7:AE347,AE347))</f>
        <v>0</v>
      </c>
      <c r="AG347" s="212">
        <f t="shared" ref="AG347" si="3999">IF(E347="",0,IF(AD347=0,0,IF(AD347&gt;=3,E347&amp;$AG$6,0)))</f>
        <v>0</v>
      </c>
      <c r="AH347" s="212">
        <f>IF(AG347=0,0,E347&amp;COUNTIF($AG$7:AG347,AG347))</f>
        <v>0</v>
      </c>
      <c r="AI347" s="212">
        <f t="shared" ref="AI347" si="4000">IF($AD347=AI$6,$E347,0)</f>
        <v>0</v>
      </c>
      <c r="AJ347" s="212" t="b">
        <f>IF(AI347=0,FALSE,IF(COUNTIF(AI$7:AI347,AI347)&gt;1,TRUE,FALSE))</f>
        <v>0</v>
      </c>
      <c r="AK347" s="212">
        <f t="shared" ref="AK347" si="4001">IF($AD347=AK$6,$E347,0)</f>
        <v>0</v>
      </c>
      <c r="AL347" s="212" t="b">
        <f>IF(AK347=0,FALSE,IF(COUNTIF(AK$7:AK347,AK347)&gt;1,TRUE,FALSE))</f>
        <v>0</v>
      </c>
      <c r="AM347" s="212">
        <f t="shared" ref="AM347" si="4002">IF(COUNTIF(Y347,"*七種*")&gt;0,0,IF($AD347=AM$6,$E347,0))</f>
        <v>0</v>
      </c>
      <c r="AN347" s="212" t="b">
        <f>IF(AM347=0,FALSE,IF(COUNTIF(AM$7:AM347,AM347)&gt;1,TRUE,FALSE))</f>
        <v>0</v>
      </c>
      <c r="AO347" s="212">
        <f t="shared" ref="AO347" si="4003">IF($AD347=AO$6,$E347,0)</f>
        <v>0</v>
      </c>
      <c r="AP347" s="212" t="b">
        <f>IF(AO347=0,FALSE,IF(COUNTIF(AO$7:AO347,AO347)&gt;1,TRUE,FALSE))</f>
        <v>0</v>
      </c>
      <c r="AQ347" s="212">
        <f t="shared" ref="AQ347" si="4004">IF(COUNTIF(Y347,"*七種競技*")&gt;0,E347,0)</f>
        <v>0</v>
      </c>
      <c r="AR347" s="212" t="b">
        <f t="shared" si="3780"/>
        <v>0</v>
      </c>
      <c r="AS347" s="212" t="b">
        <f t="shared" ref="AS347" si="4005">IF(AND(C347="",E347&lt;&gt;"",F347&lt;&gt;"",E349&lt;&gt;"",G347&lt;&gt;"",G348&lt;&gt;"",G349&lt;&gt;""),TRUE,FALSE)</f>
        <v>0</v>
      </c>
      <c r="AT347" s="212" t="b">
        <f t="shared" si="3793"/>
        <v>0</v>
      </c>
      <c r="AU347" s="212" t="b">
        <f>IFERROR(IF(E347&amp;F347&amp;E349&amp;G347&amp;G348&amp;G349&amp;J347&amp;J348&amp;J349&amp;J350&amp;L347&amp;L348&amp;L349&amp;L350&amp;M347&amp;M348&amp;M349&amp;M350&amp;P347&amp;P348&amp;P349&amp;P350&amp;Q347&amp;R347="",FALSE,TRUE),FALSE)</f>
        <v>0</v>
      </c>
      <c r="AV347" s="212" t="b">
        <f t="shared" ref="AV347" si="4006">IF(AS347,FALSE,IF(C347="",AU347,FALSE))</f>
        <v>0</v>
      </c>
      <c r="AW347" s="212" t="b">
        <f t="shared" ref="AW347" si="4007">IF(C347="",FALSE,IF(C347&lt;=2000,TRUE,FALSE))</f>
        <v>0</v>
      </c>
      <c r="AX347" s="274" t="b">
        <f>IF(H347=0,FALSE,IF(EXACT(基本情報!$E$5,H347)=TRUE,FALSE,TRUE))</f>
        <v>0</v>
      </c>
      <c r="AY347" s="212" t="b">
        <f>IF(C347="",FALSE,IF(ISNA(E347)=TRUE,TRUE,FALSE))</f>
        <v>0</v>
      </c>
      <c r="AZ347" s="274" t="b">
        <f>IFERROR(IF(E347="",FALSE,IF(COUNTIF($E$7:E347,E347)&gt;1,TRUE,FALSE)),FALSE)</f>
        <v>0</v>
      </c>
      <c r="BA347" s="212" t="b">
        <f t="shared" ref="BA347" si="4008">IF(OR(J347&amp;J348&amp;J349&amp;J350&amp;Q347&amp;R347="",AT347,AT348,AT349,AT350),AU347,FALSE)</f>
        <v>0</v>
      </c>
      <c r="BB347" s="212" t="b">
        <f>IF(U347&gt;1,TRUE,FALSE)</f>
        <v>0</v>
      </c>
      <c r="BC347" s="212" t="b">
        <f>IF(X347&gt;1,TRUE,FALSE)</f>
        <v>0</v>
      </c>
      <c r="BD347" s="212" t="b">
        <f t="shared" si="3767"/>
        <v>0</v>
      </c>
      <c r="BF347" s="212" t="b">
        <f t="shared" ref="BF347" si="4009">IF(J347="",FALSE,IF(OR(AND(AU347,L347=""),AND(AU347,L347="",OR(M347&lt;&gt;"",N347&lt;&gt;"",O347&lt;&gt;"",P347&lt;&gt;""))),TRUE,FALSE))</f>
        <v>0</v>
      </c>
      <c r="BG347" s="212" t="b">
        <f t="shared" si="3769"/>
        <v>0</v>
      </c>
      <c r="BH347" s="212" t="b">
        <f t="shared" si="3782"/>
        <v>0</v>
      </c>
      <c r="BI347" s="212" t="b">
        <f t="shared" ref="BI347" si="4010">IF(J347="",FALSE,IF(L347=0,FALSE,IF(AND(AU347,NOT(BF347),OR(M347="",N347="",O347="")),TRUE,FALSE)))</f>
        <v>0</v>
      </c>
      <c r="BJ347" s="231" t="b">
        <f t="shared" si="3784"/>
        <v>0</v>
      </c>
      <c r="BK347" s="231" t="b">
        <f>IF(NOT(BJ347),FALSE,IF(AND(競技会設定!$C$5&lt;=BJ347,BJ347&lt;=競技会設定!$C$6),FALSE,TRUE))</f>
        <v>0</v>
      </c>
      <c r="BL347" s="212" t="b">
        <f>IF(J347="",FALSE,IF(L347=0,FALSE,IF(AND(AU347,NOT(BF347),NOT(BI347),P347=""),TRUE,FALSE)))</f>
        <v>0</v>
      </c>
      <c r="BO347" s="274">
        <f t="shared" ref="BO347" si="4011">IF(AND(AU347,SUM(COUNTIF(AV347:BC347,TRUE),COUNTIF(BF347:BL350,TRUE),COUNTIF(BD347:BD350,TRUE))=0,NOT($BE$7)),1,0)</f>
        <v>0</v>
      </c>
    </row>
    <row r="348" spans="1:67" ht="17.399999999999999" customHeight="1">
      <c r="A348" s="462"/>
      <c r="B348" s="374"/>
      <c r="C348" s="376"/>
      <c r="D348" s="159"/>
      <c r="E348" s="465"/>
      <c r="F348" s="465"/>
      <c r="G348" s="159" t="str">
        <f>IF(C347="","",(VLOOKUP(D347,女子登録!$A$2:$N$2001,13,0)))</f>
        <v/>
      </c>
      <c r="H348" s="159"/>
      <c r="I348" s="159" t="s">
        <v>4020</v>
      </c>
      <c r="J348" s="175"/>
      <c r="K348" s="159" t="s">
        <v>4023</v>
      </c>
      <c r="L348" s="175"/>
      <c r="M348" s="264"/>
      <c r="N348" s="265"/>
      <c r="O348" s="266"/>
      <c r="P348" s="175"/>
      <c r="Q348" s="449"/>
      <c r="R348" s="409"/>
      <c r="S348" s="136"/>
      <c r="T348" s="137"/>
      <c r="U348" s="137"/>
      <c r="V348" s="137"/>
      <c r="W348" s="137"/>
      <c r="X348" s="137"/>
      <c r="Y348" s="212">
        <f t="shared" ref="Y348" si="4012">IF(OR(E347="",J348=""),0,J348&amp;E347)</f>
        <v>0</v>
      </c>
      <c r="Z348" s="212">
        <f>IF(Y348=0,0,COUNTIF($Y$7:Y348,Y348))</f>
        <v>0</v>
      </c>
      <c r="AD348" s="212">
        <f>IFERROR(VLOOKUP(J348,競技会設定!$T$2:$W$22,2,0),0)</f>
        <v>0</v>
      </c>
      <c r="AE348" s="212">
        <f t="shared" ref="AE348" si="4013">IF(E347="",0,IF(AD348=0,0,IF(AD348&lt;3,E347&amp;$AE$6,0)))</f>
        <v>0</v>
      </c>
      <c r="AF348" s="212">
        <f>IF(AE348=0,0,E347&amp;COUNTIF($AE$7:AE348,AE348))</f>
        <v>0</v>
      </c>
      <c r="AG348" s="212">
        <f t="shared" ref="AG348" si="4014">IF(E347="",0,IF(AD348=0,0,IF(AD348&gt;=3,E347&amp;$AG$6,0)))</f>
        <v>0</v>
      </c>
      <c r="AH348" s="212">
        <f>IF(AG348=0,0,E347&amp;COUNTIF($AG$7:AG348,AG348))</f>
        <v>0</v>
      </c>
      <c r="AI348" s="212">
        <f t="shared" ref="AI348" si="4015">IF($AD348=AI$6,$E347,0)</f>
        <v>0</v>
      </c>
      <c r="AJ348" s="212" t="b">
        <f>IF(AI348=0,FALSE,IF(COUNTIF(AI$7:AI348,AI348)&gt;1,TRUE,FALSE))</f>
        <v>0</v>
      </c>
      <c r="AK348" s="212">
        <f t="shared" ref="AK348" si="4016">IF($AD348=AK$6,$E347,0)</f>
        <v>0</v>
      </c>
      <c r="AL348" s="212" t="b">
        <f>IF(AK348=0,FALSE,IF(COUNTIF(AK$7:AK348,AK348)&gt;1,TRUE,FALSE))</f>
        <v>0</v>
      </c>
      <c r="AM348" s="212">
        <f t="shared" ref="AM348" si="4017">IF(COUNTIF(Y348,"*七種*")&gt;0,0,IF($AD348=AM$6,$E347,0))</f>
        <v>0</v>
      </c>
      <c r="AN348" s="212" t="b">
        <f>IF(AM348=0,FALSE,IF(COUNTIF(AM$7:AM348,AM348)&gt;1,TRUE,FALSE))</f>
        <v>0</v>
      </c>
      <c r="AO348" s="212">
        <f t="shared" ref="AO348" si="4018">IF($AD348=AO$6,$E347,0)</f>
        <v>0</v>
      </c>
      <c r="AP348" s="212" t="b">
        <f>IF(AO348=0,FALSE,IF(COUNTIF(AO$7:AO348,AO348)&gt;1,TRUE,FALSE))</f>
        <v>0</v>
      </c>
      <c r="AQ348" s="212">
        <f t="shared" ref="AQ348" si="4019">IF(COUNTIF(Y348,"*七種競技*")&gt;0,E347,0)</f>
        <v>0</v>
      </c>
      <c r="AR348" s="212" t="b">
        <f t="shared" si="3780"/>
        <v>0</v>
      </c>
      <c r="AT348" s="212" t="b">
        <f t="shared" si="3793"/>
        <v>0</v>
      </c>
      <c r="AX348" s="274"/>
      <c r="BD348" s="212" t="b">
        <f t="shared" si="3767"/>
        <v>0</v>
      </c>
      <c r="BF348" s="212" t="b">
        <f t="shared" ref="BF348" si="4020">IF(J348="",FALSE,IF(OR(AND(AU347,L348=""),AND(AU347,L348="",OR(M348&lt;&gt;"",N348&lt;&gt;"",O348&lt;&gt;"",P348&lt;&gt;""))),TRUE,FALSE))</f>
        <v>0</v>
      </c>
      <c r="BG348" s="212" t="b">
        <f t="shared" si="3769"/>
        <v>0</v>
      </c>
      <c r="BH348" s="212" t="b">
        <f t="shared" si="3782"/>
        <v>0</v>
      </c>
      <c r="BI348" s="212" t="b">
        <f t="shared" ref="BI348" si="4021">IF(J348="",FALSE,IF(L348=0,FALSE,IF(AND(AU347,NOT(BF348),OR(M348="",N348="",O348="")),TRUE,FALSE)))</f>
        <v>0</v>
      </c>
      <c r="BJ348" s="231" t="b">
        <f t="shared" si="3784"/>
        <v>0</v>
      </c>
      <c r="BK348" s="231" t="b">
        <f>IF(NOT(BJ348),FALSE,IF(AND(競技会設定!$C$5&lt;=BJ348,BJ348&lt;=競技会設定!$C$6),FALSE,TRUE))</f>
        <v>0</v>
      </c>
      <c r="BL348" s="212" t="b">
        <f>IF(J348="",FALSE,IF(L348=0,FALSE,IF(AND(AU347,NOT(BF348),NOT(BI348),P348=""),TRUE,FALSE)))</f>
        <v>0</v>
      </c>
    </row>
    <row r="349" spans="1:67" ht="17.399999999999999" customHeight="1">
      <c r="A349" s="462"/>
      <c r="B349" s="374"/>
      <c r="C349" s="376"/>
      <c r="D349" s="160"/>
      <c r="E349" s="452" t="str">
        <f>IF(C347="","",VLOOKUP(D347,女子登録!$A$2:$O$2001,14,0)&amp;" ("&amp;VLOOKUP(D347,女子登録!$A$2:$O$2001,15,0)&amp;")")</f>
        <v/>
      </c>
      <c r="F349" s="453"/>
      <c r="G349" s="160" t="str">
        <f>IF(C347="","",(VLOOKUP(D347,女子登録!$A$2:$N$2001,9,0)))</f>
        <v/>
      </c>
      <c r="H349" s="160"/>
      <c r="I349" s="160" t="s">
        <v>4021</v>
      </c>
      <c r="J349" s="176"/>
      <c r="K349" s="160" t="s">
        <v>6760</v>
      </c>
      <c r="L349" s="176"/>
      <c r="M349" s="264"/>
      <c r="N349" s="265"/>
      <c r="O349" s="266"/>
      <c r="P349" s="175"/>
      <c r="Q349" s="449"/>
      <c r="R349" s="409"/>
      <c r="S349" s="136"/>
      <c r="T349" s="137"/>
      <c r="U349" s="137"/>
      <c r="V349" s="137"/>
      <c r="W349" s="137"/>
      <c r="X349" s="137"/>
      <c r="Y349" s="212">
        <f t="shared" ref="Y349" si="4022">IF(OR(E347="",J349=""),0,J349&amp;E347)</f>
        <v>0</v>
      </c>
      <c r="Z349" s="212">
        <f>IF(Y349=0,0,COUNTIF($Y$7:Y349,Y349))</f>
        <v>0</v>
      </c>
      <c r="AD349" s="212">
        <f>IFERROR(VLOOKUP(J349,競技会設定!$T$2:$W$22,2,0),0)</f>
        <v>0</v>
      </c>
      <c r="AE349" s="212">
        <f t="shared" ref="AE349" si="4023">IF(E347="",0,IF(AD349=0,0,IF(AD349&lt;3,E347&amp;$AE$6,0)))</f>
        <v>0</v>
      </c>
      <c r="AF349" s="212">
        <f>IF(AE349=0,0,E347&amp;COUNTIF($AE$7:AE349,AE349))</f>
        <v>0</v>
      </c>
      <c r="AG349" s="212">
        <f t="shared" ref="AG349" si="4024">IF(E347="",0,IF(AD349=0,0,IF(AD349&gt;=3,E347&amp;$AG$6,0)))</f>
        <v>0</v>
      </c>
      <c r="AH349" s="212">
        <f>IF(AG349=0,0,E347&amp;COUNTIF($AG$7:AG349,AG349))</f>
        <v>0</v>
      </c>
      <c r="AI349" s="212">
        <f t="shared" ref="AI349" si="4025">IF($AD349=AI$6,$E347,0)</f>
        <v>0</v>
      </c>
      <c r="AJ349" s="212" t="b">
        <f>IF(AI349=0,FALSE,IF(COUNTIF(AI$7:AI349,AI349)&gt;1,TRUE,FALSE))</f>
        <v>0</v>
      </c>
      <c r="AK349" s="212">
        <f t="shared" ref="AK349" si="4026">IF($AD349=AK$6,$E347,0)</f>
        <v>0</v>
      </c>
      <c r="AL349" s="212" t="b">
        <f>IF(AK349=0,FALSE,IF(COUNTIF(AK$7:AK349,AK349)&gt;1,TRUE,FALSE))</f>
        <v>0</v>
      </c>
      <c r="AM349" s="212">
        <f t="shared" ref="AM349" si="4027">IF(COUNTIF(Y349,"*七種*")&gt;0,0,IF($AD349=AM$6,$E347,0))</f>
        <v>0</v>
      </c>
      <c r="AN349" s="212" t="b">
        <f>IF(AM349=0,FALSE,IF(COUNTIF(AM$7:AM349,AM349)&gt;1,TRUE,FALSE))</f>
        <v>0</v>
      </c>
      <c r="AO349" s="212">
        <f t="shared" ref="AO349" si="4028">IF($AD349=AO$6,$E347,0)</f>
        <v>0</v>
      </c>
      <c r="AP349" s="212" t="b">
        <f>IF(AO349=0,FALSE,IF(COUNTIF(AO$7:AO349,AO349)&gt;1,TRUE,FALSE))</f>
        <v>0</v>
      </c>
      <c r="AQ349" s="212">
        <f t="shared" ref="AQ349" si="4029">IF(COUNTIF(Y349,"*七種競技*")&gt;0,E347,0)</f>
        <v>0</v>
      </c>
      <c r="AR349" s="212" t="b">
        <f t="shared" si="3780"/>
        <v>0</v>
      </c>
      <c r="AT349" s="212" t="b">
        <f t="shared" si="3793"/>
        <v>0</v>
      </c>
      <c r="AX349" s="274"/>
      <c r="BD349" s="212" t="b">
        <f t="shared" si="3767"/>
        <v>0</v>
      </c>
      <c r="BF349" s="212" t="b">
        <f t="shared" ref="BF349" si="4030">IF(J349="",FALSE,IF(OR(AND(AU347,L349=""),AND(AU347,L349="",OR(M349&lt;&gt;"",N349&lt;&gt;"",O349&lt;&gt;"",P349&lt;&gt;""))),TRUE,FALSE))</f>
        <v>0</v>
      </c>
      <c r="BG349" s="212" t="b">
        <f t="shared" si="3769"/>
        <v>0</v>
      </c>
      <c r="BH349" s="212" t="b">
        <f t="shared" si="3782"/>
        <v>0</v>
      </c>
      <c r="BI349" s="212" t="b">
        <f t="shared" ref="BI349" si="4031">IF(J349="",FALSE,IF(L349=0,FALSE,IF(AND(AU347,NOT(BF349),OR(M349="",N349="",O349="")),TRUE,FALSE)))</f>
        <v>0</v>
      </c>
      <c r="BJ349" s="231" t="b">
        <f t="shared" si="3784"/>
        <v>0</v>
      </c>
      <c r="BK349" s="231" t="b">
        <f>IF(NOT(BJ349),FALSE,IF(AND(競技会設定!$C$5&lt;=BJ349,BJ349&lt;=競技会設定!$C$6),FALSE,TRUE))</f>
        <v>0</v>
      </c>
      <c r="BL349" s="212" t="b">
        <f>IF(J349="",FALSE,IF(L349=0,FALSE,IF(AND(AU347,NOT(BF349),NOT(BI349),P349=""),TRUE,FALSE)))</f>
        <v>0</v>
      </c>
    </row>
    <row r="350" spans="1:67" ht="18" customHeight="1" thickBot="1">
      <c r="A350" s="475"/>
      <c r="B350" s="387" t="s">
        <v>6764</v>
      </c>
      <c r="C350" s="387"/>
      <c r="D350" s="161"/>
      <c r="E350" s="467"/>
      <c r="F350" s="468"/>
      <c r="G350" s="469"/>
      <c r="H350" s="162"/>
      <c r="I350" s="161" t="s">
        <v>6759</v>
      </c>
      <c r="J350" s="177"/>
      <c r="K350" s="161" t="s">
        <v>6761</v>
      </c>
      <c r="L350" s="177"/>
      <c r="M350" s="267"/>
      <c r="N350" s="268"/>
      <c r="O350" s="269"/>
      <c r="P350" s="177"/>
      <c r="Q350" s="466"/>
      <c r="R350" s="410"/>
      <c r="S350" s="136"/>
      <c r="T350" s="137"/>
      <c r="U350" s="137"/>
      <c r="V350" s="137"/>
      <c r="W350" s="137"/>
      <c r="X350" s="137"/>
      <c r="Y350" s="212">
        <f t="shared" ref="Y350" si="4032">IF(OR(E347="",J350=""),0,J350&amp;E347)</f>
        <v>0</v>
      </c>
      <c r="Z350" s="212">
        <f>IF(Y350=0,0,COUNTIF($Y$7:Y350,Y350))</f>
        <v>0</v>
      </c>
      <c r="AD350" s="212">
        <f>IFERROR(VLOOKUP(J350,競技会設定!$T$2:$W$22,2,0),0)</f>
        <v>0</v>
      </c>
      <c r="AE350" s="212">
        <f t="shared" ref="AE350" si="4033">IF(E347="",0,IF(AD350=0,0,IF(AD350&lt;3,E347&amp;$AE$6,0)))</f>
        <v>0</v>
      </c>
      <c r="AF350" s="212">
        <f>IF(AE350=0,0,E347&amp;COUNTIF($AE$7:AE350,AE350))</f>
        <v>0</v>
      </c>
      <c r="AG350" s="212">
        <f t="shared" ref="AG350" si="4034">IF(E347="",0,IF(AD350=0,0,IF(AD350&gt;=3,E347&amp;$AG$6,0)))</f>
        <v>0</v>
      </c>
      <c r="AH350" s="212">
        <f>IF(AG350=0,0,E347&amp;COUNTIF($AG$7:AG350,AG350))</f>
        <v>0</v>
      </c>
      <c r="AI350" s="212">
        <f t="shared" ref="AI350" si="4035">IF($AD350=AI$6,$E347,0)</f>
        <v>0</v>
      </c>
      <c r="AJ350" s="212" t="b">
        <f>IF(AI350=0,FALSE,IF(COUNTIF(AI$7:AI350,AI350)&gt;1,TRUE,FALSE))</f>
        <v>0</v>
      </c>
      <c r="AK350" s="212">
        <f t="shared" ref="AK350" si="4036">IF($AD350=AK$6,$E347,0)</f>
        <v>0</v>
      </c>
      <c r="AL350" s="212" t="b">
        <f>IF(AK350=0,FALSE,IF(COUNTIF(AK$7:AK350,AK350)&gt;1,TRUE,FALSE))</f>
        <v>0</v>
      </c>
      <c r="AM350" s="212">
        <f t="shared" ref="AM350" si="4037">IF(COUNTIF(Y350,"*七種*")&gt;0,0,IF($AD350=AM$6,$E347,0))</f>
        <v>0</v>
      </c>
      <c r="AN350" s="212" t="b">
        <f>IF(AM350=0,FALSE,IF(COUNTIF(AM$7:AM350,AM350)&gt;1,TRUE,FALSE))</f>
        <v>0</v>
      </c>
      <c r="AO350" s="212">
        <f t="shared" ref="AO350" si="4038">IF($AD350=AO$6,$E347,0)</f>
        <v>0</v>
      </c>
      <c r="AP350" s="212" t="b">
        <f>IF(AO350=0,FALSE,IF(COUNTIF(AO$7:AO350,AO350)&gt;1,TRUE,FALSE))</f>
        <v>0</v>
      </c>
      <c r="AQ350" s="212">
        <f t="shared" ref="AQ350" si="4039">IF(COUNTIF(Y350,"*七種競技*")&gt;0,E347,0)</f>
        <v>0</v>
      </c>
      <c r="AR350" s="212" t="b">
        <f t="shared" si="3780"/>
        <v>0</v>
      </c>
      <c r="AT350" s="212" t="b">
        <f t="shared" si="3793"/>
        <v>0</v>
      </c>
      <c r="AX350" s="274"/>
      <c r="BD350" s="212" t="b">
        <f t="shared" si="3767"/>
        <v>0</v>
      </c>
      <c r="BF350" s="212" t="b">
        <f t="shared" ref="BF350" si="4040">IF(J350="",FALSE,IF(OR(AND(AU347,L350=""),AND(AU347,L350="",OR(M350&lt;&gt;"",N350&lt;&gt;"",O350&lt;&gt;"",P350&lt;&gt;""))),TRUE,FALSE))</f>
        <v>0</v>
      </c>
      <c r="BG350" s="212" t="b">
        <f t="shared" si="3769"/>
        <v>0</v>
      </c>
      <c r="BH350" s="212" t="b">
        <f t="shared" si="3782"/>
        <v>0</v>
      </c>
      <c r="BI350" s="212" t="b">
        <f t="shared" ref="BI350" si="4041">IF(J350="",FALSE,IF(L350=0,FALSE,IF(AND(AU347,NOT(BF350),OR(M350="",N350="",O350="")),TRUE,FALSE)))</f>
        <v>0</v>
      </c>
      <c r="BJ350" s="231" t="b">
        <f t="shared" si="3784"/>
        <v>0</v>
      </c>
      <c r="BK350" s="231" t="b">
        <f>IF(NOT(BJ350),FALSE,IF(AND(競技会設定!$C$5&lt;=BJ350,BJ350&lt;=競技会設定!$C$6),FALSE,TRUE))</f>
        <v>0</v>
      </c>
      <c r="BL350" s="212" t="b">
        <f>IF(J350="",FALSE,IF(L350=0,FALSE,IF(AND(AU347,NOT(BF350),NOT(BI350),P350=""),TRUE,FALSE)))</f>
        <v>0</v>
      </c>
    </row>
    <row r="351" spans="1:67" ht="18" customHeight="1" thickTop="1">
      <c r="A351" s="470">
        <v>87</v>
      </c>
      <c r="B351" s="401" t="s">
        <v>4018</v>
      </c>
      <c r="C351" s="403"/>
      <c r="D351" s="156" t="str">
        <f t="shared" ref="D351" si="4042">IF(C351="","",502&amp;TEXT(C351,"000000"))</f>
        <v/>
      </c>
      <c r="E351" s="473" t="str">
        <f>IF(D351="","",(VLOOKUP(D351,女子登録!$A$2:$N$2001,3,0)))</f>
        <v/>
      </c>
      <c r="F351" s="473" t="str">
        <f>IF(D351="","",(VLOOKUP(D351,女子登録!$A$2:$N$2001,4,0)))</f>
        <v/>
      </c>
      <c r="G351" s="156" t="str">
        <f>IF(C351="","",(VLOOKUP(D351,女子登録!$A$2:$N$2001,8,0)))</f>
        <v/>
      </c>
      <c r="H351" s="156">
        <f>IFERROR(VLOOKUP(D351,女子登録!$A$2:$N$2001,11,0),基本情報!$E$5)</f>
        <v>0</v>
      </c>
      <c r="I351" s="156" t="s">
        <v>4019</v>
      </c>
      <c r="J351" s="170"/>
      <c r="K351" s="156" t="s">
        <v>4022</v>
      </c>
      <c r="L351" s="170"/>
      <c r="M351" s="252"/>
      <c r="N351" s="253"/>
      <c r="O351" s="254"/>
      <c r="P351" s="170"/>
      <c r="Q351" s="457"/>
      <c r="R351" s="414"/>
      <c r="S351" s="136">
        <f t="shared" ref="S351" si="4043">IF(OR(E351="",Q351=""),0,E351)</f>
        <v>0</v>
      </c>
      <c r="T351" s="137">
        <f>IF(S351=0,0,COUNTIF($S$7:S351,"*"))</f>
        <v>0</v>
      </c>
      <c r="U351" s="137">
        <f>IF(S351=0,0,COUNTIF($S$7:S351,S351))</f>
        <v>0</v>
      </c>
      <c r="V351" s="137">
        <f t="shared" si="3996"/>
        <v>0</v>
      </c>
      <c r="W351" s="137">
        <f>IF(V351=0,0,COUNTIF($V$7:V351,"*"))</f>
        <v>0</v>
      </c>
      <c r="X351" s="137">
        <f>IF(V351=0,0,COUNTIF($V$7:V351,V351))</f>
        <v>0</v>
      </c>
      <c r="Y351" s="212">
        <f t="shared" ref="Y351" si="4044">IF(OR(E351="",J351=""),0,J351&amp;E351)</f>
        <v>0</v>
      </c>
      <c r="Z351" s="212">
        <f>IF(Y351=0,0,COUNTIF($Y$7:Y351,Y351))</f>
        <v>0</v>
      </c>
      <c r="AA351" s="212" t="b">
        <f>IF(COUNTIF(J351:J354,"七種競技")&gt;0,TRUE,FALSE)</f>
        <v>0</v>
      </c>
      <c r="AB351" s="212">
        <f>IF(E351="",0,IF(AA351,COUNTIF($AA$7:AA351,TRUE),0))</f>
        <v>0</v>
      </c>
      <c r="AC351" s="212">
        <f>IFERROR(VLOOKUP("七種競技",J351:L354,3,0),0)</f>
        <v>0</v>
      </c>
      <c r="AD351" s="212">
        <f>IFERROR(VLOOKUP(J351,競技会設定!$T$2:$W$22,2,0),0)</f>
        <v>0</v>
      </c>
      <c r="AE351" s="212">
        <f t="shared" ref="AE351" si="4045">IF(E351="",0,IF(AD351=0,0,IF(AD351&lt;3,E351&amp;$AE$6,0)))</f>
        <v>0</v>
      </c>
      <c r="AF351" s="212">
        <f>IF(AE351=0,0,E351&amp;COUNTIF($AE$7:AE351,AE351))</f>
        <v>0</v>
      </c>
      <c r="AG351" s="212">
        <f t="shared" ref="AG351" si="4046">IF(E351="",0,IF(AD351=0,0,IF(AD351&gt;=3,E351&amp;$AG$6,0)))</f>
        <v>0</v>
      </c>
      <c r="AH351" s="212">
        <f>IF(AG351=0,0,E351&amp;COUNTIF($AG$7:AG351,AG351))</f>
        <v>0</v>
      </c>
      <c r="AI351" s="212">
        <f t="shared" ref="AI351" si="4047">IF($AD351=AI$6,$E351,0)</f>
        <v>0</v>
      </c>
      <c r="AJ351" s="212" t="b">
        <f>IF(AI351=0,FALSE,IF(COUNTIF(AI$7:AI351,AI351)&gt;1,TRUE,FALSE))</f>
        <v>0</v>
      </c>
      <c r="AK351" s="212">
        <f t="shared" ref="AK351" si="4048">IF($AD351=AK$6,$E351,0)</f>
        <v>0</v>
      </c>
      <c r="AL351" s="212" t="b">
        <f>IF(AK351=0,FALSE,IF(COUNTIF(AK$7:AK351,AK351)&gt;1,TRUE,FALSE))</f>
        <v>0</v>
      </c>
      <c r="AM351" s="212">
        <f t="shared" ref="AM351" si="4049">IF(COUNTIF(Y351,"*七種*")&gt;0,0,IF($AD351=AM$6,$E351,0))</f>
        <v>0</v>
      </c>
      <c r="AN351" s="212" t="b">
        <f>IF(AM351=0,FALSE,IF(COUNTIF(AM$7:AM351,AM351)&gt;1,TRUE,FALSE))</f>
        <v>0</v>
      </c>
      <c r="AO351" s="212">
        <f t="shared" ref="AO351" si="4050">IF($AD351=AO$6,$E351,0)</f>
        <v>0</v>
      </c>
      <c r="AP351" s="212" t="b">
        <f>IF(AO351=0,FALSE,IF(COUNTIF(AO$7:AO351,AO351)&gt;1,TRUE,FALSE))</f>
        <v>0</v>
      </c>
      <c r="AQ351" s="212">
        <f t="shared" ref="AQ351" si="4051">IF(COUNTIF(Y351,"*七種競技*")&gt;0,E351,0)</f>
        <v>0</v>
      </c>
      <c r="AR351" s="212" t="b">
        <f t="shared" si="3780"/>
        <v>0</v>
      </c>
      <c r="AS351" s="212" t="b">
        <f t="shared" ref="AS351" si="4052">IF(AND(C351="",E351&lt;&gt;"",F351&lt;&gt;"",E353&lt;&gt;"",G351&lt;&gt;"",G352&lt;&gt;"",G353&lt;&gt;""),TRUE,FALSE)</f>
        <v>0</v>
      </c>
      <c r="AT351" s="212" t="b">
        <f t="shared" si="3793"/>
        <v>0</v>
      </c>
      <c r="AU351" s="212" t="b">
        <f>IFERROR(IF(E351&amp;F351&amp;E353&amp;G351&amp;G352&amp;G353&amp;J351&amp;J352&amp;J353&amp;J354&amp;L351&amp;L352&amp;L353&amp;L354&amp;M351&amp;M352&amp;M353&amp;M354&amp;P351&amp;P352&amp;P353&amp;P354&amp;Q351&amp;R351="",FALSE,TRUE),FALSE)</f>
        <v>0</v>
      </c>
      <c r="AV351" s="212" t="b">
        <f t="shared" ref="AV351" si="4053">IF(AS351,FALSE,IF(C351="",AU351,FALSE))</f>
        <v>0</v>
      </c>
      <c r="AW351" s="212" t="b">
        <f t="shared" ref="AW351" si="4054">IF(C351="",FALSE,IF(C351&lt;=2000,TRUE,FALSE))</f>
        <v>0</v>
      </c>
      <c r="AX351" s="274" t="b">
        <f>IF(H351=0,FALSE,IF(EXACT(基本情報!$E$5,H351)=TRUE,FALSE,TRUE))</f>
        <v>0</v>
      </c>
      <c r="AY351" s="212" t="b">
        <f>IF(C351="",FALSE,IF(ISNA(E351)=TRUE,TRUE,FALSE))</f>
        <v>0</v>
      </c>
      <c r="AZ351" s="274" t="b">
        <f>IFERROR(IF(E351="",FALSE,IF(COUNTIF($E$7:E351,E351)&gt;1,TRUE,FALSE)),FALSE)</f>
        <v>0</v>
      </c>
      <c r="BA351" s="212" t="b">
        <f t="shared" ref="BA351" si="4055">IF(OR(J351&amp;J352&amp;J353&amp;J354&amp;Q351&amp;R351="",AT351,AT352,AT353,AT354),AU351,FALSE)</f>
        <v>0</v>
      </c>
      <c r="BB351" s="212" t="b">
        <f>IF(U351&gt;1,TRUE,FALSE)</f>
        <v>0</v>
      </c>
      <c r="BC351" s="212" t="b">
        <f>IF(X351&gt;1,TRUE,FALSE)</f>
        <v>0</v>
      </c>
      <c r="BD351" s="212" t="b">
        <f t="shared" si="3767"/>
        <v>0</v>
      </c>
      <c r="BF351" s="212" t="b">
        <f t="shared" ref="BF351" si="4056">IF(J351="",FALSE,IF(OR(AND(AU351,L351=""),AND(AU351,L351="",OR(M351&lt;&gt;"",N351&lt;&gt;"",O351&lt;&gt;"",P351&lt;&gt;""))),TRUE,FALSE))</f>
        <v>0</v>
      </c>
      <c r="BG351" s="212" t="b">
        <f t="shared" si="3769"/>
        <v>0</v>
      </c>
      <c r="BH351" s="212" t="b">
        <f t="shared" si="3782"/>
        <v>0</v>
      </c>
      <c r="BI351" s="212" t="b">
        <f t="shared" ref="BI351" si="4057">IF(J351="",FALSE,IF(L351=0,FALSE,IF(AND(AU351,NOT(BF351),OR(M351="",N351="",O351="")),TRUE,FALSE)))</f>
        <v>0</v>
      </c>
      <c r="BJ351" s="231" t="b">
        <f t="shared" si="3784"/>
        <v>0</v>
      </c>
      <c r="BK351" s="231" t="b">
        <f>IF(NOT(BJ351),FALSE,IF(AND(競技会設定!$C$5&lt;=BJ351,BJ351&lt;=競技会設定!$C$6),FALSE,TRUE))</f>
        <v>0</v>
      </c>
      <c r="BL351" s="212" t="b">
        <f>IF(J351="",FALSE,IF(L351=0,FALSE,IF(AND(AU351,NOT(BF351),NOT(BI351),P351=""),TRUE,FALSE)))</f>
        <v>0</v>
      </c>
      <c r="BO351" s="274">
        <f t="shared" ref="BO351" si="4058">IF(AND(AU351,SUM(COUNTIF(AV351:BC351,TRUE),COUNTIF(BF351:BL354,TRUE),COUNTIF(BD351:BD354,TRUE))=0,NOT($BE$7)),1,0)</f>
        <v>0</v>
      </c>
    </row>
    <row r="352" spans="1:67" ht="17.399999999999999" customHeight="1">
      <c r="A352" s="471"/>
      <c r="B352" s="402"/>
      <c r="C352" s="404"/>
      <c r="D352" s="11"/>
      <c r="E352" s="474"/>
      <c r="F352" s="474"/>
      <c r="G352" s="11" t="str">
        <f>IF(C351="","",(VLOOKUP(D351,女子登録!$A$2:$N$2001,13,0)))</f>
        <v/>
      </c>
      <c r="H352" s="11"/>
      <c r="I352" s="11" t="s">
        <v>4020</v>
      </c>
      <c r="J352" s="171"/>
      <c r="K352" s="11" t="s">
        <v>4023</v>
      </c>
      <c r="L352" s="171"/>
      <c r="M352" s="255"/>
      <c r="N352" s="256"/>
      <c r="O352" s="257"/>
      <c r="P352" s="171"/>
      <c r="Q352" s="458"/>
      <c r="R352" s="415"/>
      <c r="S352" s="136"/>
      <c r="T352" s="137"/>
      <c r="U352" s="137"/>
      <c r="V352" s="137"/>
      <c r="W352" s="137"/>
      <c r="X352" s="137"/>
      <c r="Y352" s="212">
        <f t="shared" ref="Y352" si="4059">IF(OR(E351="",J352=""),0,J352&amp;E351)</f>
        <v>0</v>
      </c>
      <c r="Z352" s="212">
        <f>IF(Y352=0,0,COUNTIF($Y$7:Y352,Y352))</f>
        <v>0</v>
      </c>
      <c r="AD352" s="212">
        <f>IFERROR(VLOOKUP(J352,競技会設定!$T$2:$W$22,2,0),0)</f>
        <v>0</v>
      </c>
      <c r="AE352" s="212">
        <f t="shared" ref="AE352" si="4060">IF(E351="",0,IF(AD352=0,0,IF(AD352&lt;3,E351&amp;$AE$6,0)))</f>
        <v>0</v>
      </c>
      <c r="AF352" s="212">
        <f>IF(AE352=0,0,E351&amp;COUNTIF($AE$7:AE352,AE352))</f>
        <v>0</v>
      </c>
      <c r="AG352" s="212">
        <f t="shared" ref="AG352" si="4061">IF(E351="",0,IF(AD352=0,0,IF(AD352&gt;=3,E351&amp;$AG$6,0)))</f>
        <v>0</v>
      </c>
      <c r="AH352" s="212">
        <f>IF(AG352=0,0,E351&amp;COUNTIF($AG$7:AG352,AG352))</f>
        <v>0</v>
      </c>
      <c r="AI352" s="212">
        <f t="shared" ref="AI352" si="4062">IF($AD352=AI$6,$E351,0)</f>
        <v>0</v>
      </c>
      <c r="AJ352" s="212" t="b">
        <f>IF(AI352=0,FALSE,IF(COUNTIF(AI$7:AI352,AI352)&gt;1,TRUE,FALSE))</f>
        <v>0</v>
      </c>
      <c r="AK352" s="212">
        <f t="shared" ref="AK352" si="4063">IF($AD352=AK$6,$E351,0)</f>
        <v>0</v>
      </c>
      <c r="AL352" s="212" t="b">
        <f>IF(AK352=0,FALSE,IF(COUNTIF(AK$7:AK352,AK352)&gt;1,TRUE,FALSE))</f>
        <v>0</v>
      </c>
      <c r="AM352" s="212">
        <f t="shared" ref="AM352" si="4064">IF(COUNTIF(Y352,"*七種*")&gt;0,0,IF($AD352=AM$6,$E351,0))</f>
        <v>0</v>
      </c>
      <c r="AN352" s="212" t="b">
        <f>IF(AM352=0,FALSE,IF(COUNTIF(AM$7:AM352,AM352)&gt;1,TRUE,FALSE))</f>
        <v>0</v>
      </c>
      <c r="AO352" s="212">
        <f t="shared" ref="AO352" si="4065">IF($AD352=AO$6,$E351,0)</f>
        <v>0</v>
      </c>
      <c r="AP352" s="212" t="b">
        <f>IF(AO352=0,FALSE,IF(COUNTIF(AO$7:AO352,AO352)&gt;1,TRUE,FALSE))</f>
        <v>0</v>
      </c>
      <c r="AQ352" s="212">
        <f t="shared" ref="AQ352" si="4066">IF(COUNTIF(Y352,"*七種競技*")&gt;0,E351,0)</f>
        <v>0</v>
      </c>
      <c r="AR352" s="212" t="b">
        <f t="shared" si="3780"/>
        <v>0</v>
      </c>
      <c r="AT352" s="212" t="b">
        <f t="shared" si="3793"/>
        <v>0</v>
      </c>
      <c r="AX352" s="274"/>
      <c r="BD352" s="212" t="b">
        <f t="shared" si="3767"/>
        <v>0</v>
      </c>
      <c r="BF352" s="212" t="b">
        <f t="shared" ref="BF352" si="4067">IF(J352="",FALSE,IF(OR(AND(AU351,L352=""),AND(AU351,L352="",OR(M352&lt;&gt;"",N352&lt;&gt;"",O352&lt;&gt;"",P352&lt;&gt;""))),TRUE,FALSE))</f>
        <v>0</v>
      </c>
      <c r="BG352" s="212" t="b">
        <f t="shared" si="3769"/>
        <v>0</v>
      </c>
      <c r="BH352" s="212" t="b">
        <f t="shared" si="3782"/>
        <v>0</v>
      </c>
      <c r="BI352" s="212" t="b">
        <f t="shared" ref="BI352" si="4068">IF(J352="",FALSE,IF(L352=0,FALSE,IF(AND(AU351,NOT(BF352),OR(M352="",N352="",O352="")),TRUE,FALSE)))</f>
        <v>0</v>
      </c>
      <c r="BJ352" s="231" t="b">
        <f t="shared" si="3784"/>
        <v>0</v>
      </c>
      <c r="BK352" s="231" t="b">
        <f>IF(NOT(BJ352),FALSE,IF(AND(競技会設定!$C$5&lt;=BJ352,BJ352&lt;=競技会設定!$C$6),FALSE,TRUE))</f>
        <v>0</v>
      </c>
      <c r="BL352" s="212" t="b">
        <f>IF(J352="",FALSE,IF(L352=0,FALSE,IF(AND(AU351,NOT(BF352),NOT(BI352),P352=""),TRUE,FALSE)))</f>
        <v>0</v>
      </c>
    </row>
    <row r="353" spans="1:67" ht="17.399999999999999" customHeight="1">
      <c r="A353" s="471"/>
      <c r="B353" s="402"/>
      <c r="C353" s="404"/>
      <c r="D353" s="11"/>
      <c r="E353" s="348" t="str">
        <f>IF(C351="","",VLOOKUP(D351,女子登録!$A$2:$O$2001,14,0)&amp;" ("&amp;VLOOKUP(D351,女子登録!$A$2:$O$2001,15,0)&amp;")")</f>
        <v/>
      </c>
      <c r="F353" s="348"/>
      <c r="G353" s="13" t="str">
        <f>IF(C351="","",(VLOOKUP(D351,女子登録!$A$2:$N$2001,9,0)))</f>
        <v/>
      </c>
      <c r="H353" s="13"/>
      <c r="I353" s="13" t="s">
        <v>4021</v>
      </c>
      <c r="J353" s="172"/>
      <c r="K353" s="13" t="s">
        <v>6760</v>
      </c>
      <c r="L353" s="172"/>
      <c r="M353" s="255"/>
      <c r="N353" s="256"/>
      <c r="O353" s="257"/>
      <c r="P353" s="171"/>
      <c r="Q353" s="458"/>
      <c r="R353" s="415"/>
      <c r="S353" s="136"/>
      <c r="T353" s="137"/>
      <c r="U353" s="137"/>
      <c r="V353" s="137"/>
      <c r="W353" s="137"/>
      <c r="X353" s="137"/>
      <c r="Y353" s="212">
        <f t="shared" ref="Y353" si="4069">IF(OR(E351="",J353=""),0,J353&amp;E351)</f>
        <v>0</v>
      </c>
      <c r="Z353" s="212">
        <f>IF(Y353=0,0,COUNTIF($Y$7:Y353,Y353))</f>
        <v>0</v>
      </c>
      <c r="AD353" s="212">
        <f>IFERROR(VLOOKUP(J353,競技会設定!$T$2:$W$22,2,0),0)</f>
        <v>0</v>
      </c>
      <c r="AE353" s="212">
        <f t="shared" ref="AE353" si="4070">IF(E351="",0,IF(AD353=0,0,IF(AD353&lt;3,E351&amp;$AE$6,0)))</f>
        <v>0</v>
      </c>
      <c r="AF353" s="212">
        <f>IF(AE353=0,0,E351&amp;COUNTIF($AE$7:AE353,AE353))</f>
        <v>0</v>
      </c>
      <c r="AG353" s="212">
        <f t="shared" ref="AG353" si="4071">IF(E351="",0,IF(AD353=0,0,IF(AD353&gt;=3,E351&amp;$AG$6,0)))</f>
        <v>0</v>
      </c>
      <c r="AH353" s="212">
        <f>IF(AG353=0,0,E351&amp;COUNTIF($AG$7:AG353,AG353))</f>
        <v>0</v>
      </c>
      <c r="AI353" s="212">
        <f t="shared" ref="AI353" si="4072">IF($AD353=AI$6,$E351,0)</f>
        <v>0</v>
      </c>
      <c r="AJ353" s="212" t="b">
        <f>IF(AI353=0,FALSE,IF(COUNTIF(AI$7:AI353,AI353)&gt;1,TRUE,FALSE))</f>
        <v>0</v>
      </c>
      <c r="AK353" s="212">
        <f t="shared" ref="AK353" si="4073">IF($AD353=AK$6,$E351,0)</f>
        <v>0</v>
      </c>
      <c r="AL353" s="212" t="b">
        <f>IF(AK353=0,FALSE,IF(COUNTIF(AK$7:AK353,AK353)&gt;1,TRUE,FALSE))</f>
        <v>0</v>
      </c>
      <c r="AM353" s="212">
        <f t="shared" ref="AM353" si="4074">IF(COUNTIF(Y353,"*七種*")&gt;0,0,IF($AD353=AM$6,$E351,0))</f>
        <v>0</v>
      </c>
      <c r="AN353" s="212" t="b">
        <f>IF(AM353=0,FALSE,IF(COUNTIF(AM$7:AM353,AM353)&gt;1,TRUE,FALSE))</f>
        <v>0</v>
      </c>
      <c r="AO353" s="212">
        <f t="shared" ref="AO353" si="4075">IF($AD353=AO$6,$E351,0)</f>
        <v>0</v>
      </c>
      <c r="AP353" s="212" t="b">
        <f>IF(AO353=0,FALSE,IF(COUNTIF(AO$7:AO353,AO353)&gt;1,TRUE,FALSE))</f>
        <v>0</v>
      </c>
      <c r="AQ353" s="212">
        <f t="shared" ref="AQ353" si="4076">IF(COUNTIF(Y353,"*七種競技*")&gt;0,E351,0)</f>
        <v>0</v>
      </c>
      <c r="AR353" s="212" t="b">
        <f t="shared" si="3780"/>
        <v>0</v>
      </c>
      <c r="AT353" s="212" t="b">
        <f t="shared" si="3793"/>
        <v>0</v>
      </c>
      <c r="AX353" s="274"/>
      <c r="BD353" s="212" t="b">
        <f t="shared" si="3767"/>
        <v>0</v>
      </c>
      <c r="BF353" s="212" t="b">
        <f t="shared" ref="BF353" si="4077">IF(J353="",FALSE,IF(OR(AND(AU351,L353=""),AND(AU351,L353="",OR(M353&lt;&gt;"",N353&lt;&gt;"",O353&lt;&gt;"",P353&lt;&gt;""))),TRUE,FALSE))</f>
        <v>0</v>
      </c>
      <c r="BG353" s="212" t="b">
        <f t="shared" si="3769"/>
        <v>0</v>
      </c>
      <c r="BH353" s="212" t="b">
        <f t="shared" si="3782"/>
        <v>0</v>
      </c>
      <c r="BI353" s="212" t="b">
        <f t="shared" ref="BI353" si="4078">IF(J353="",FALSE,IF(L353=0,FALSE,IF(AND(AU351,NOT(BF353),OR(M353="",N353="",O353="")),TRUE,FALSE)))</f>
        <v>0</v>
      </c>
      <c r="BJ353" s="231" t="b">
        <f t="shared" si="3784"/>
        <v>0</v>
      </c>
      <c r="BK353" s="231" t="b">
        <f>IF(NOT(BJ353),FALSE,IF(AND(競技会設定!$C$5&lt;=BJ353,BJ353&lt;=競技会設定!$C$6),FALSE,TRUE))</f>
        <v>0</v>
      </c>
      <c r="BL353" s="212" t="b">
        <f>IF(J353="",FALSE,IF(L353=0,FALSE,IF(AND(AU351,NOT(BF353),NOT(BI353),P353=""),TRUE,FALSE)))</f>
        <v>0</v>
      </c>
    </row>
    <row r="354" spans="1:67" ht="18" customHeight="1" thickBot="1">
      <c r="A354" s="472"/>
      <c r="B354" s="395" t="s">
        <v>6764</v>
      </c>
      <c r="C354" s="395"/>
      <c r="D354" s="11"/>
      <c r="E354" s="460"/>
      <c r="F354" s="460"/>
      <c r="G354" s="460"/>
      <c r="H354" s="157"/>
      <c r="I354" s="157" t="s">
        <v>6759</v>
      </c>
      <c r="J354" s="173"/>
      <c r="K354" s="157" t="s">
        <v>6761</v>
      </c>
      <c r="L354" s="173"/>
      <c r="M354" s="258"/>
      <c r="N354" s="259"/>
      <c r="O354" s="260"/>
      <c r="P354" s="173"/>
      <c r="Q354" s="459"/>
      <c r="R354" s="416"/>
      <c r="S354" s="136"/>
      <c r="T354" s="137"/>
      <c r="U354" s="137"/>
      <c r="V354" s="137"/>
      <c r="W354" s="137"/>
      <c r="X354" s="137"/>
      <c r="Y354" s="212">
        <f t="shared" ref="Y354" si="4079">IF(OR(E351="",J354=""),0,J354&amp;E351)</f>
        <v>0</v>
      </c>
      <c r="Z354" s="212">
        <f>IF(Y354=0,0,COUNTIF($Y$7:Y354,Y354))</f>
        <v>0</v>
      </c>
      <c r="AD354" s="212">
        <f>IFERROR(VLOOKUP(J354,競技会設定!$T$2:$W$22,2,0),0)</f>
        <v>0</v>
      </c>
      <c r="AE354" s="212">
        <f t="shared" ref="AE354" si="4080">IF(E351="",0,IF(AD354=0,0,IF(AD354&lt;3,E351&amp;$AE$6,0)))</f>
        <v>0</v>
      </c>
      <c r="AF354" s="212">
        <f>IF(AE354=0,0,E351&amp;COUNTIF($AE$7:AE354,AE354))</f>
        <v>0</v>
      </c>
      <c r="AG354" s="212">
        <f t="shared" ref="AG354" si="4081">IF(E351="",0,IF(AD354=0,0,IF(AD354&gt;=3,E351&amp;$AG$6,0)))</f>
        <v>0</v>
      </c>
      <c r="AH354" s="212">
        <f>IF(AG354=0,0,E351&amp;COUNTIF($AG$7:AG354,AG354))</f>
        <v>0</v>
      </c>
      <c r="AI354" s="212">
        <f t="shared" ref="AI354" si="4082">IF($AD354=AI$6,$E351,0)</f>
        <v>0</v>
      </c>
      <c r="AJ354" s="212" t="b">
        <f>IF(AI354=0,FALSE,IF(COUNTIF(AI$7:AI354,AI354)&gt;1,TRUE,FALSE))</f>
        <v>0</v>
      </c>
      <c r="AK354" s="212">
        <f t="shared" ref="AK354" si="4083">IF($AD354=AK$6,$E351,0)</f>
        <v>0</v>
      </c>
      <c r="AL354" s="212" t="b">
        <f>IF(AK354=0,FALSE,IF(COUNTIF(AK$7:AK354,AK354)&gt;1,TRUE,FALSE))</f>
        <v>0</v>
      </c>
      <c r="AM354" s="212">
        <f t="shared" ref="AM354" si="4084">IF(COUNTIF(Y354,"*七種*")&gt;0,0,IF($AD354=AM$6,$E351,0))</f>
        <v>0</v>
      </c>
      <c r="AN354" s="212" t="b">
        <f>IF(AM354=0,FALSE,IF(COUNTIF(AM$7:AM354,AM354)&gt;1,TRUE,FALSE))</f>
        <v>0</v>
      </c>
      <c r="AO354" s="212">
        <f t="shared" ref="AO354" si="4085">IF($AD354=AO$6,$E351,0)</f>
        <v>0</v>
      </c>
      <c r="AP354" s="212" t="b">
        <f>IF(AO354=0,FALSE,IF(COUNTIF(AO$7:AO354,AO354)&gt;1,TRUE,FALSE))</f>
        <v>0</v>
      </c>
      <c r="AQ354" s="212">
        <f t="shared" ref="AQ354" si="4086">IF(COUNTIF(Y354,"*七種競技*")&gt;0,E351,0)</f>
        <v>0</v>
      </c>
      <c r="AR354" s="212" t="b">
        <f t="shared" si="3780"/>
        <v>0</v>
      </c>
      <c r="AT354" s="212" t="b">
        <f t="shared" si="3793"/>
        <v>0</v>
      </c>
      <c r="AX354" s="274"/>
      <c r="BD354" s="212" t="b">
        <f t="shared" si="3767"/>
        <v>0</v>
      </c>
      <c r="BF354" s="212" t="b">
        <f t="shared" ref="BF354" si="4087">IF(J354="",FALSE,IF(OR(AND(AU351,L354=""),AND(AU351,L354="",OR(M354&lt;&gt;"",N354&lt;&gt;"",O354&lt;&gt;"",P354&lt;&gt;""))),TRUE,FALSE))</f>
        <v>0</v>
      </c>
      <c r="BG354" s="212" t="b">
        <f t="shared" si="3769"/>
        <v>0</v>
      </c>
      <c r="BH354" s="212" t="b">
        <f t="shared" si="3782"/>
        <v>0</v>
      </c>
      <c r="BI354" s="212" t="b">
        <f t="shared" ref="BI354" si="4088">IF(J354="",FALSE,IF(L354=0,FALSE,IF(AND(AU351,NOT(BF354),OR(M354="",N354="",O354="")),TRUE,FALSE)))</f>
        <v>0</v>
      </c>
      <c r="BJ354" s="231" t="b">
        <f t="shared" si="3784"/>
        <v>0</v>
      </c>
      <c r="BK354" s="231" t="b">
        <f>IF(NOT(BJ354),FALSE,IF(AND(競技会設定!$C$5&lt;=BJ354,BJ354&lt;=競技会設定!$C$6),FALSE,TRUE))</f>
        <v>0</v>
      </c>
      <c r="BL354" s="212" t="b">
        <f>IF(J354="",FALSE,IF(L354=0,FALSE,IF(AND(AU351,NOT(BF354),NOT(BI354),P354=""),TRUE,FALSE)))</f>
        <v>0</v>
      </c>
    </row>
    <row r="355" spans="1:67" ht="18" customHeight="1" thickTop="1">
      <c r="A355" s="461">
        <v>88</v>
      </c>
      <c r="B355" s="373" t="s">
        <v>4018</v>
      </c>
      <c r="C355" s="375"/>
      <c r="D355" s="158" t="str">
        <f t="shared" ref="D355" si="4089">IF(C355="","",502&amp;TEXT(C355,"000000"))</f>
        <v/>
      </c>
      <c r="E355" s="464" t="str">
        <f>IF(D355="","",(VLOOKUP(D355,女子登録!$A$2:$N$2001,3,0)))</f>
        <v/>
      </c>
      <c r="F355" s="464" t="str">
        <f>IF(D355="","",(VLOOKUP(D355,女子登録!$A$2:$N$2001,4,0)))</f>
        <v/>
      </c>
      <c r="G355" s="158" t="str">
        <f>IF(C355="","",(VLOOKUP(D355,女子登録!$A$2:$N$2001,8,0)))</f>
        <v/>
      </c>
      <c r="H355" s="158">
        <f>IFERROR(VLOOKUP(D355,女子登録!$A$2:$N$2001,11,0),基本情報!$E$5)</f>
        <v>0</v>
      </c>
      <c r="I355" s="158" t="s">
        <v>4019</v>
      </c>
      <c r="J355" s="174"/>
      <c r="K355" s="158" t="s">
        <v>4022</v>
      </c>
      <c r="L355" s="174"/>
      <c r="M355" s="261"/>
      <c r="N355" s="262"/>
      <c r="O355" s="263"/>
      <c r="P355" s="174"/>
      <c r="Q355" s="448"/>
      <c r="R355" s="408"/>
      <c r="S355" s="136">
        <f t="shared" ref="S355" si="4090">IF(OR(E355="",Q355=""),0,E355)</f>
        <v>0</v>
      </c>
      <c r="T355" s="137">
        <f>IF(S355=0,0,COUNTIF($S$7:S355,"*"))</f>
        <v>0</v>
      </c>
      <c r="U355" s="137">
        <f>IF(S355=0,0,COUNTIF($S$7:S355,S355))</f>
        <v>0</v>
      </c>
      <c r="V355" s="137">
        <f t="shared" si="3996"/>
        <v>0</v>
      </c>
      <c r="W355" s="137">
        <f>IF(V355=0,0,COUNTIF($V$7:V355,"*"))</f>
        <v>0</v>
      </c>
      <c r="X355" s="137">
        <f>IF(V355=0,0,COUNTIF($V$7:V355,V355))</f>
        <v>0</v>
      </c>
      <c r="Y355" s="212">
        <f t="shared" ref="Y355" si="4091">IF(OR(E355="",J355=""),0,J355&amp;E355)</f>
        <v>0</v>
      </c>
      <c r="Z355" s="212">
        <f>IF(Y355=0,0,COUNTIF($Y$7:Y355,Y355))</f>
        <v>0</v>
      </c>
      <c r="AA355" s="212" t="b">
        <f>IF(COUNTIF(J355:J358,"七種競技")&gt;0,TRUE,FALSE)</f>
        <v>0</v>
      </c>
      <c r="AB355" s="212">
        <f>IF(E355="",0,IF(AA355,COUNTIF($AA$7:AA355,TRUE),0))</f>
        <v>0</v>
      </c>
      <c r="AC355" s="212">
        <f>IFERROR(VLOOKUP("七種競技",J355:L358,3,0),0)</f>
        <v>0</v>
      </c>
      <c r="AD355" s="212">
        <f>IFERROR(VLOOKUP(J355,競技会設定!$T$2:$W$22,2,0),0)</f>
        <v>0</v>
      </c>
      <c r="AE355" s="212">
        <f t="shared" ref="AE355" si="4092">IF(E355="",0,IF(AD355=0,0,IF(AD355&lt;3,E355&amp;$AE$6,0)))</f>
        <v>0</v>
      </c>
      <c r="AF355" s="212">
        <f>IF(AE355=0,0,E355&amp;COUNTIF($AE$7:AE355,AE355))</f>
        <v>0</v>
      </c>
      <c r="AG355" s="212">
        <f t="shared" ref="AG355" si="4093">IF(E355="",0,IF(AD355=0,0,IF(AD355&gt;=3,E355&amp;$AG$6,0)))</f>
        <v>0</v>
      </c>
      <c r="AH355" s="212">
        <f>IF(AG355=0,0,E355&amp;COUNTIF($AG$7:AG355,AG355))</f>
        <v>0</v>
      </c>
      <c r="AI355" s="212">
        <f t="shared" ref="AI355" si="4094">IF($AD355=AI$6,$E355,0)</f>
        <v>0</v>
      </c>
      <c r="AJ355" s="212" t="b">
        <f>IF(AI355=0,FALSE,IF(COUNTIF(AI$7:AI355,AI355)&gt;1,TRUE,FALSE))</f>
        <v>0</v>
      </c>
      <c r="AK355" s="212">
        <f t="shared" ref="AK355" si="4095">IF($AD355=AK$6,$E355,0)</f>
        <v>0</v>
      </c>
      <c r="AL355" s="212" t="b">
        <f>IF(AK355=0,FALSE,IF(COUNTIF(AK$7:AK355,AK355)&gt;1,TRUE,FALSE))</f>
        <v>0</v>
      </c>
      <c r="AM355" s="212">
        <f t="shared" ref="AM355" si="4096">IF(COUNTIF(Y355,"*七種*")&gt;0,0,IF($AD355=AM$6,$E355,0))</f>
        <v>0</v>
      </c>
      <c r="AN355" s="212" t="b">
        <f>IF(AM355=0,FALSE,IF(COUNTIF(AM$7:AM355,AM355)&gt;1,TRUE,FALSE))</f>
        <v>0</v>
      </c>
      <c r="AO355" s="212">
        <f t="shared" ref="AO355" si="4097">IF($AD355=AO$6,$E355,0)</f>
        <v>0</v>
      </c>
      <c r="AP355" s="212" t="b">
        <f>IF(AO355=0,FALSE,IF(COUNTIF(AO$7:AO355,AO355)&gt;1,TRUE,FALSE))</f>
        <v>0</v>
      </c>
      <c r="AQ355" s="212">
        <f t="shared" ref="AQ355" si="4098">IF(COUNTIF(Y355,"*七種競技*")&gt;0,E355,0)</f>
        <v>0</v>
      </c>
      <c r="AR355" s="212" t="b">
        <f t="shared" si="3780"/>
        <v>0</v>
      </c>
      <c r="AS355" s="212" t="b">
        <f t="shared" ref="AS355" si="4099">IF(AND(C355="",E355&lt;&gt;"",F355&lt;&gt;"",E357&lt;&gt;"",G355&lt;&gt;"",G356&lt;&gt;"",G357&lt;&gt;""),TRUE,FALSE)</f>
        <v>0</v>
      </c>
      <c r="AT355" s="212" t="b">
        <f t="shared" si="3793"/>
        <v>0</v>
      </c>
      <c r="AU355" s="212" t="b">
        <f>IFERROR(IF(E355&amp;F355&amp;E357&amp;G355&amp;G356&amp;G357&amp;J355&amp;J356&amp;J357&amp;J358&amp;L355&amp;L356&amp;L357&amp;L358&amp;M355&amp;M356&amp;M357&amp;M358&amp;P355&amp;P356&amp;P357&amp;P358&amp;Q355&amp;R355="",FALSE,TRUE),FALSE)</f>
        <v>0</v>
      </c>
      <c r="AV355" s="212" t="b">
        <f t="shared" ref="AV355" si="4100">IF(AS355,FALSE,IF(C355="",AU355,FALSE))</f>
        <v>0</v>
      </c>
      <c r="AW355" s="212" t="b">
        <f t="shared" ref="AW355" si="4101">IF(C355="",FALSE,IF(C355&lt;=2000,TRUE,FALSE))</f>
        <v>0</v>
      </c>
      <c r="AX355" s="274" t="b">
        <f>IF(H355=0,FALSE,IF(EXACT(基本情報!$E$5,H355)=TRUE,FALSE,TRUE))</f>
        <v>0</v>
      </c>
      <c r="AY355" s="212" t="b">
        <f>IF(C355="",FALSE,IF(ISNA(E355)=TRUE,TRUE,FALSE))</f>
        <v>0</v>
      </c>
      <c r="AZ355" s="274" t="b">
        <f>IFERROR(IF(E355="",FALSE,IF(COUNTIF($E$7:E355,E355)&gt;1,TRUE,FALSE)),FALSE)</f>
        <v>0</v>
      </c>
      <c r="BA355" s="212" t="b">
        <f t="shared" ref="BA355" si="4102">IF(OR(J355&amp;J356&amp;J357&amp;J358&amp;Q355&amp;R355="",AT355,AT356,AT357,AT358),AU355,FALSE)</f>
        <v>0</v>
      </c>
      <c r="BB355" s="212" t="b">
        <f>IF(U355&gt;1,TRUE,FALSE)</f>
        <v>0</v>
      </c>
      <c r="BC355" s="212" t="b">
        <f>IF(X355&gt;1,TRUE,FALSE)</f>
        <v>0</v>
      </c>
      <c r="BD355" s="212" t="b">
        <f t="shared" si="3767"/>
        <v>0</v>
      </c>
      <c r="BF355" s="212" t="b">
        <f t="shared" ref="BF355" si="4103">IF(J355="",FALSE,IF(OR(AND(AU355,L355=""),AND(AU355,L355="",OR(M355&lt;&gt;"",N355&lt;&gt;"",O355&lt;&gt;"",P355&lt;&gt;""))),TRUE,FALSE))</f>
        <v>0</v>
      </c>
      <c r="BG355" s="212" t="b">
        <f t="shared" si="3769"/>
        <v>0</v>
      </c>
      <c r="BH355" s="212" t="b">
        <f t="shared" si="3782"/>
        <v>0</v>
      </c>
      <c r="BI355" s="212" t="b">
        <f t="shared" ref="BI355" si="4104">IF(J355="",FALSE,IF(L355=0,FALSE,IF(AND(AU355,NOT(BF355),OR(M355="",N355="",O355="")),TRUE,FALSE)))</f>
        <v>0</v>
      </c>
      <c r="BJ355" s="231" t="b">
        <f t="shared" si="3784"/>
        <v>0</v>
      </c>
      <c r="BK355" s="231" t="b">
        <f>IF(NOT(BJ355),FALSE,IF(AND(競技会設定!$C$5&lt;=BJ355,BJ355&lt;=競技会設定!$C$6),FALSE,TRUE))</f>
        <v>0</v>
      </c>
      <c r="BL355" s="212" t="b">
        <f>IF(J355="",FALSE,IF(L355=0,FALSE,IF(AND(AU355,NOT(BF355),NOT(BI355),P355=""),TRUE,FALSE)))</f>
        <v>0</v>
      </c>
      <c r="BO355" s="274">
        <f t="shared" ref="BO355" si="4105">IF(AND(AU355,SUM(COUNTIF(AV355:BC355,TRUE),COUNTIF(BF355:BL358,TRUE),COUNTIF(BD355:BD358,TRUE))=0,NOT($BE$7)),1,0)</f>
        <v>0</v>
      </c>
    </row>
    <row r="356" spans="1:67" ht="17.399999999999999" customHeight="1">
      <c r="A356" s="462"/>
      <c r="B356" s="374"/>
      <c r="C356" s="376"/>
      <c r="D356" s="159"/>
      <c r="E356" s="465"/>
      <c r="F356" s="465"/>
      <c r="G356" s="159" t="str">
        <f>IF(C355="","",(VLOOKUP(D355,女子登録!$A$2:$N$2001,13,0)))</f>
        <v/>
      </c>
      <c r="H356" s="159"/>
      <c r="I356" s="159" t="s">
        <v>4020</v>
      </c>
      <c r="J356" s="175"/>
      <c r="K356" s="159" t="s">
        <v>4023</v>
      </c>
      <c r="L356" s="175"/>
      <c r="M356" s="264"/>
      <c r="N356" s="265"/>
      <c r="O356" s="266"/>
      <c r="P356" s="175"/>
      <c r="Q356" s="449"/>
      <c r="R356" s="409"/>
      <c r="S356" s="136"/>
      <c r="T356" s="137"/>
      <c r="U356" s="137"/>
      <c r="V356" s="137"/>
      <c r="W356" s="137"/>
      <c r="X356" s="137"/>
      <c r="Y356" s="212">
        <f t="shared" ref="Y356" si="4106">IF(OR(E355="",J356=""),0,J356&amp;E355)</f>
        <v>0</v>
      </c>
      <c r="Z356" s="212">
        <f>IF(Y356=0,0,COUNTIF($Y$7:Y356,Y356))</f>
        <v>0</v>
      </c>
      <c r="AD356" s="212">
        <f>IFERROR(VLOOKUP(J356,競技会設定!$T$2:$W$22,2,0),0)</f>
        <v>0</v>
      </c>
      <c r="AE356" s="212">
        <f t="shared" ref="AE356" si="4107">IF(E355="",0,IF(AD356=0,0,IF(AD356&lt;3,E355&amp;$AE$6,0)))</f>
        <v>0</v>
      </c>
      <c r="AF356" s="212">
        <f>IF(AE356=0,0,E355&amp;COUNTIF($AE$7:AE356,AE356))</f>
        <v>0</v>
      </c>
      <c r="AG356" s="212">
        <f t="shared" ref="AG356" si="4108">IF(E355="",0,IF(AD356=0,0,IF(AD356&gt;=3,E355&amp;$AG$6,0)))</f>
        <v>0</v>
      </c>
      <c r="AH356" s="212">
        <f>IF(AG356=0,0,E355&amp;COUNTIF($AG$7:AG356,AG356))</f>
        <v>0</v>
      </c>
      <c r="AI356" s="212">
        <f t="shared" ref="AI356" si="4109">IF($AD356=AI$6,$E355,0)</f>
        <v>0</v>
      </c>
      <c r="AJ356" s="212" t="b">
        <f>IF(AI356=0,FALSE,IF(COUNTIF(AI$7:AI356,AI356)&gt;1,TRUE,FALSE))</f>
        <v>0</v>
      </c>
      <c r="AK356" s="212">
        <f t="shared" ref="AK356" si="4110">IF($AD356=AK$6,$E355,0)</f>
        <v>0</v>
      </c>
      <c r="AL356" s="212" t="b">
        <f>IF(AK356=0,FALSE,IF(COUNTIF(AK$7:AK356,AK356)&gt;1,TRUE,FALSE))</f>
        <v>0</v>
      </c>
      <c r="AM356" s="212">
        <f t="shared" ref="AM356" si="4111">IF(COUNTIF(Y356,"*七種*")&gt;0,0,IF($AD356=AM$6,$E355,0))</f>
        <v>0</v>
      </c>
      <c r="AN356" s="212" t="b">
        <f>IF(AM356=0,FALSE,IF(COUNTIF(AM$7:AM356,AM356)&gt;1,TRUE,FALSE))</f>
        <v>0</v>
      </c>
      <c r="AO356" s="212">
        <f t="shared" ref="AO356" si="4112">IF($AD356=AO$6,$E355,0)</f>
        <v>0</v>
      </c>
      <c r="AP356" s="212" t="b">
        <f>IF(AO356=0,FALSE,IF(COUNTIF(AO$7:AO356,AO356)&gt;1,TRUE,FALSE))</f>
        <v>0</v>
      </c>
      <c r="AQ356" s="212">
        <f t="shared" ref="AQ356" si="4113">IF(COUNTIF(Y356,"*七種競技*")&gt;0,E355,0)</f>
        <v>0</v>
      </c>
      <c r="AR356" s="212" t="b">
        <f t="shared" si="3780"/>
        <v>0</v>
      </c>
      <c r="AT356" s="212" t="b">
        <f t="shared" si="3793"/>
        <v>0</v>
      </c>
      <c r="AX356" s="274"/>
      <c r="BD356" s="212" t="b">
        <f t="shared" si="3767"/>
        <v>0</v>
      </c>
      <c r="BF356" s="212" t="b">
        <f t="shared" ref="BF356" si="4114">IF(J356="",FALSE,IF(OR(AND(AU355,L356=""),AND(AU355,L356="",OR(M356&lt;&gt;"",N356&lt;&gt;"",O356&lt;&gt;"",P356&lt;&gt;""))),TRUE,FALSE))</f>
        <v>0</v>
      </c>
      <c r="BG356" s="212" t="b">
        <f t="shared" si="3769"/>
        <v>0</v>
      </c>
      <c r="BH356" s="212" t="b">
        <f t="shared" si="3782"/>
        <v>0</v>
      </c>
      <c r="BI356" s="212" t="b">
        <f t="shared" ref="BI356" si="4115">IF(J356="",FALSE,IF(L356=0,FALSE,IF(AND(AU355,NOT(BF356),OR(M356="",N356="",O356="")),TRUE,FALSE)))</f>
        <v>0</v>
      </c>
      <c r="BJ356" s="231" t="b">
        <f t="shared" si="3784"/>
        <v>0</v>
      </c>
      <c r="BK356" s="231" t="b">
        <f>IF(NOT(BJ356),FALSE,IF(AND(競技会設定!$C$5&lt;=BJ356,BJ356&lt;=競技会設定!$C$6),FALSE,TRUE))</f>
        <v>0</v>
      </c>
      <c r="BL356" s="212" t="b">
        <f>IF(J356="",FALSE,IF(L356=0,FALSE,IF(AND(AU355,NOT(BF356),NOT(BI356),P356=""),TRUE,FALSE)))</f>
        <v>0</v>
      </c>
    </row>
    <row r="357" spans="1:67" ht="17.399999999999999" customHeight="1">
      <c r="A357" s="462"/>
      <c r="B357" s="374"/>
      <c r="C357" s="376"/>
      <c r="D357" s="160"/>
      <c r="E357" s="452" t="str">
        <f>IF(C355="","",VLOOKUP(D355,女子登録!$A$2:$O$2001,14,0)&amp;" ("&amp;VLOOKUP(D355,女子登録!$A$2:$O$2001,15,0)&amp;")")</f>
        <v/>
      </c>
      <c r="F357" s="453"/>
      <c r="G357" s="160" t="str">
        <f>IF(C355="","",(VLOOKUP(D355,女子登録!$A$2:$N$2001,9,0)))</f>
        <v/>
      </c>
      <c r="H357" s="160"/>
      <c r="I357" s="160" t="s">
        <v>4021</v>
      </c>
      <c r="J357" s="176"/>
      <c r="K357" s="160" t="s">
        <v>6760</v>
      </c>
      <c r="L357" s="176"/>
      <c r="M357" s="264"/>
      <c r="N357" s="265"/>
      <c r="O357" s="266"/>
      <c r="P357" s="175"/>
      <c r="Q357" s="449"/>
      <c r="R357" s="409"/>
      <c r="S357" s="136"/>
      <c r="T357" s="137"/>
      <c r="U357" s="137"/>
      <c r="V357" s="137"/>
      <c r="W357" s="137"/>
      <c r="X357" s="137"/>
      <c r="Y357" s="212">
        <f t="shared" ref="Y357" si="4116">IF(OR(E355="",J357=""),0,J357&amp;E355)</f>
        <v>0</v>
      </c>
      <c r="Z357" s="212">
        <f>IF(Y357=0,0,COUNTIF($Y$7:Y357,Y357))</f>
        <v>0</v>
      </c>
      <c r="AD357" s="212">
        <f>IFERROR(VLOOKUP(J357,競技会設定!$T$2:$W$22,2,0),0)</f>
        <v>0</v>
      </c>
      <c r="AE357" s="212">
        <f t="shared" ref="AE357" si="4117">IF(E355="",0,IF(AD357=0,0,IF(AD357&lt;3,E355&amp;$AE$6,0)))</f>
        <v>0</v>
      </c>
      <c r="AF357" s="212">
        <f>IF(AE357=0,0,E355&amp;COUNTIF($AE$7:AE357,AE357))</f>
        <v>0</v>
      </c>
      <c r="AG357" s="212">
        <f t="shared" ref="AG357" si="4118">IF(E355="",0,IF(AD357=0,0,IF(AD357&gt;=3,E355&amp;$AG$6,0)))</f>
        <v>0</v>
      </c>
      <c r="AH357" s="212">
        <f>IF(AG357=0,0,E355&amp;COUNTIF($AG$7:AG357,AG357))</f>
        <v>0</v>
      </c>
      <c r="AI357" s="212">
        <f t="shared" ref="AI357" si="4119">IF($AD357=AI$6,$E355,0)</f>
        <v>0</v>
      </c>
      <c r="AJ357" s="212" t="b">
        <f>IF(AI357=0,FALSE,IF(COUNTIF(AI$7:AI357,AI357)&gt;1,TRUE,FALSE))</f>
        <v>0</v>
      </c>
      <c r="AK357" s="212">
        <f t="shared" ref="AK357" si="4120">IF($AD357=AK$6,$E355,0)</f>
        <v>0</v>
      </c>
      <c r="AL357" s="212" t="b">
        <f>IF(AK357=0,FALSE,IF(COUNTIF(AK$7:AK357,AK357)&gt;1,TRUE,FALSE))</f>
        <v>0</v>
      </c>
      <c r="AM357" s="212">
        <f t="shared" ref="AM357" si="4121">IF(COUNTIF(Y357,"*七種*")&gt;0,0,IF($AD357=AM$6,$E355,0))</f>
        <v>0</v>
      </c>
      <c r="AN357" s="212" t="b">
        <f>IF(AM357=0,FALSE,IF(COUNTIF(AM$7:AM357,AM357)&gt;1,TRUE,FALSE))</f>
        <v>0</v>
      </c>
      <c r="AO357" s="212">
        <f t="shared" ref="AO357" si="4122">IF($AD357=AO$6,$E355,0)</f>
        <v>0</v>
      </c>
      <c r="AP357" s="212" t="b">
        <f>IF(AO357=0,FALSE,IF(COUNTIF(AO$7:AO357,AO357)&gt;1,TRUE,FALSE))</f>
        <v>0</v>
      </c>
      <c r="AQ357" s="212">
        <f t="shared" ref="AQ357" si="4123">IF(COUNTIF(Y357,"*七種競技*")&gt;0,E355,0)</f>
        <v>0</v>
      </c>
      <c r="AR357" s="212" t="b">
        <f t="shared" si="3780"/>
        <v>0</v>
      </c>
      <c r="AT357" s="212" t="b">
        <f t="shared" si="3793"/>
        <v>0</v>
      </c>
      <c r="AX357" s="274"/>
      <c r="BD357" s="212" t="b">
        <f t="shared" si="3767"/>
        <v>0</v>
      </c>
      <c r="BF357" s="212" t="b">
        <f t="shared" ref="BF357" si="4124">IF(J357="",FALSE,IF(OR(AND(AU355,L357=""),AND(AU355,L357="",OR(M357&lt;&gt;"",N357&lt;&gt;"",O357&lt;&gt;"",P357&lt;&gt;""))),TRUE,FALSE))</f>
        <v>0</v>
      </c>
      <c r="BG357" s="212" t="b">
        <f t="shared" si="3769"/>
        <v>0</v>
      </c>
      <c r="BH357" s="212" t="b">
        <f t="shared" si="3782"/>
        <v>0</v>
      </c>
      <c r="BI357" s="212" t="b">
        <f t="shared" ref="BI357" si="4125">IF(J357="",FALSE,IF(L357=0,FALSE,IF(AND(AU355,NOT(BF357),OR(M357="",N357="",O357="")),TRUE,FALSE)))</f>
        <v>0</v>
      </c>
      <c r="BJ357" s="231" t="b">
        <f t="shared" si="3784"/>
        <v>0</v>
      </c>
      <c r="BK357" s="231" t="b">
        <f>IF(NOT(BJ357),FALSE,IF(AND(競技会設定!$C$5&lt;=BJ357,BJ357&lt;=競技会設定!$C$6),FALSE,TRUE))</f>
        <v>0</v>
      </c>
      <c r="BL357" s="212" t="b">
        <f>IF(J357="",FALSE,IF(L357=0,FALSE,IF(AND(AU355,NOT(BF357),NOT(BI357),P357=""),TRUE,FALSE)))</f>
        <v>0</v>
      </c>
    </row>
    <row r="358" spans="1:67" ht="18" customHeight="1" thickBot="1">
      <c r="A358" s="475"/>
      <c r="B358" s="387" t="s">
        <v>6764</v>
      </c>
      <c r="C358" s="387"/>
      <c r="D358" s="161"/>
      <c r="E358" s="467"/>
      <c r="F358" s="468"/>
      <c r="G358" s="469"/>
      <c r="H358" s="162"/>
      <c r="I358" s="161" t="s">
        <v>6759</v>
      </c>
      <c r="J358" s="177"/>
      <c r="K358" s="161" t="s">
        <v>6761</v>
      </c>
      <c r="L358" s="177"/>
      <c r="M358" s="267"/>
      <c r="N358" s="268"/>
      <c r="O358" s="269"/>
      <c r="P358" s="177"/>
      <c r="Q358" s="466"/>
      <c r="R358" s="410"/>
      <c r="S358" s="136"/>
      <c r="T358" s="137"/>
      <c r="U358" s="137"/>
      <c r="V358" s="137"/>
      <c r="W358" s="137"/>
      <c r="X358" s="137"/>
      <c r="Y358" s="212">
        <f t="shared" ref="Y358" si="4126">IF(OR(E355="",J358=""),0,J358&amp;E355)</f>
        <v>0</v>
      </c>
      <c r="Z358" s="212">
        <f>IF(Y358=0,0,COUNTIF($Y$7:Y358,Y358))</f>
        <v>0</v>
      </c>
      <c r="AD358" s="212">
        <f>IFERROR(VLOOKUP(J358,競技会設定!$T$2:$W$22,2,0),0)</f>
        <v>0</v>
      </c>
      <c r="AE358" s="212">
        <f t="shared" ref="AE358" si="4127">IF(E355="",0,IF(AD358=0,0,IF(AD358&lt;3,E355&amp;$AE$6,0)))</f>
        <v>0</v>
      </c>
      <c r="AF358" s="212">
        <f>IF(AE358=0,0,E355&amp;COUNTIF($AE$7:AE358,AE358))</f>
        <v>0</v>
      </c>
      <c r="AG358" s="212">
        <f t="shared" ref="AG358" si="4128">IF(E355="",0,IF(AD358=0,0,IF(AD358&gt;=3,E355&amp;$AG$6,0)))</f>
        <v>0</v>
      </c>
      <c r="AH358" s="212">
        <f>IF(AG358=0,0,E355&amp;COUNTIF($AG$7:AG358,AG358))</f>
        <v>0</v>
      </c>
      <c r="AI358" s="212">
        <f t="shared" ref="AI358" si="4129">IF($AD358=AI$6,$E355,0)</f>
        <v>0</v>
      </c>
      <c r="AJ358" s="212" t="b">
        <f>IF(AI358=0,FALSE,IF(COUNTIF(AI$7:AI358,AI358)&gt;1,TRUE,FALSE))</f>
        <v>0</v>
      </c>
      <c r="AK358" s="212">
        <f t="shared" ref="AK358" si="4130">IF($AD358=AK$6,$E355,0)</f>
        <v>0</v>
      </c>
      <c r="AL358" s="212" t="b">
        <f>IF(AK358=0,FALSE,IF(COUNTIF(AK$7:AK358,AK358)&gt;1,TRUE,FALSE))</f>
        <v>0</v>
      </c>
      <c r="AM358" s="212">
        <f t="shared" ref="AM358" si="4131">IF(COUNTIF(Y358,"*七種*")&gt;0,0,IF($AD358=AM$6,$E355,0))</f>
        <v>0</v>
      </c>
      <c r="AN358" s="212" t="b">
        <f>IF(AM358=0,FALSE,IF(COUNTIF(AM$7:AM358,AM358)&gt;1,TRUE,FALSE))</f>
        <v>0</v>
      </c>
      <c r="AO358" s="212">
        <f t="shared" ref="AO358" si="4132">IF($AD358=AO$6,$E355,0)</f>
        <v>0</v>
      </c>
      <c r="AP358" s="212" t="b">
        <f>IF(AO358=0,FALSE,IF(COUNTIF(AO$7:AO358,AO358)&gt;1,TRUE,FALSE))</f>
        <v>0</v>
      </c>
      <c r="AQ358" s="212">
        <f t="shared" ref="AQ358" si="4133">IF(COUNTIF(Y358,"*七種競技*")&gt;0,E355,0)</f>
        <v>0</v>
      </c>
      <c r="AR358" s="212" t="b">
        <f t="shared" si="3780"/>
        <v>0</v>
      </c>
      <c r="AT358" s="212" t="b">
        <f t="shared" si="3793"/>
        <v>0</v>
      </c>
      <c r="AX358" s="274"/>
      <c r="BD358" s="212" t="b">
        <f t="shared" si="3767"/>
        <v>0</v>
      </c>
      <c r="BF358" s="212" t="b">
        <f t="shared" ref="BF358" si="4134">IF(J358="",FALSE,IF(OR(AND(AU355,L358=""),AND(AU355,L358="",OR(M358&lt;&gt;"",N358&lt;&gt;"",O358&lt;&gt;"",P358&lt;&gt;""))),TRUE,FALSE))</f>
        <v>0</v>
      </c>
      <c r="BG358" s="212" t="b">
        <f t="shared" si="3769"/>
        <v>0</v>
      </c>
      <c r="BH358" s="212" t="b">
        <f t="shared" si="3782"/>
        <v>0</v>
      </c>
      <c r="BI358" s="212" t="b">
        <f t="shared" ref="BI358" si="4135">IF(J358="",FALSE,IF(L358=0,FALSE,IF(AND(AU355,NOT(BF358),OR(M358="",N358="",O358="")),TRUE,FALSE)))</f>
        <v>0</v>
      </c>
      <c r="BJ358" s="231" t="b">
        <f t="shared" si="3784"/>
        <v>0</v>
      </c>
      <c r="BK358" s="231" t="b">
        <f>IF(NOT(BJ358),FALSE,IF(AND(競技会設定!$C$5&lt;=BJ358,BJ358&lt;=競技会設定!$C$6),FALSE,TRUE))</f>
        <v>0</v>
      </c>
      <c r="BL358" s="212" t="b">
        <f>IF(J358="",FALSE,IF(L358=0,FALSE,IF(AND(AU355,NOT(BF358),NOT(BI358),P358=""),TRUE,FALSE)))</f>
        <v>0</v>
      </c>
    </row>
    <row r="359" spans="1:67" ht="18" customHeight="1" thickTop="1">
      <c r="A359" s="470">
        <v>89</v>
      </c>
      <c r="B359" s="401" t="s">
        <v>4018</v>
      </c>
      <c r="C359" s="403"/>
      <c r="D359" s="156" t="str">
        <f t="shared" ref="D359" si="4136">IF(C359="","",502&amp;TEXT(C359,"000000"))</f>
        <v/>
      </c>
      <c r="E359" s="473" t="str">
        <f>IF(D359="","",(VLOOKUP(D359,女子登録!$A$2:$N$2001,3,0)))</f>
        <v/>
      </c>
      <c r="F359" s="473" t="str">
        <f>IF(D359="","",(VLOOKUP(D359,女子登録!$A$2:$N$2001,4,0)))</f>
        <v/>
      </c>
      <c r="G359" s="156" t="str">
        <f>IF(C359="","",(VLOOKUP(D359,女子登録!$A$2:$N$2001,8,0)))</f>
        <v/>
      </c>
      <c r="H359" s="156">
        <f>IFERROR(VLOOKUP(D359,女子登録!$A$2:$N$2001,11,0),基本情報!$E$5)</f>
        <v>0</v>
      </c>
      <c r="I359" s="156" t="s">
        <v>4019</v>
      </c>
      <c r="J359" s="170"/>
      <c r="K359" s="156" t="s">
        <v>4022</v>
      </c>
      <c r="L359" s="170"/>
      <c r="M359" s="252"/>
      <c r="N359" s="253"/>
      <c r="O359" s="254"/>
      <c r="P359" s="170"/>
      <c r="Q359" s="457"/>
      <c r="R359" s="414"/>
      <c r="S359" s="136">
        <f t="shared" ref="S359" si="4137">IF(OR(E359="",Q359=""),0,E359)</f>
        <v>0</v>
      </c>
      <c r="T359" s="137">
        <f>IF(S359=0,0,COUNTIF($S$7:S359,"*"))</f>
        <v>0</v>
      </c>
      <c r="U359" s="137">
        <f>IF(S359=0,0,COUNTIF($S$7:S359,S359))</f>
        <v>0</v>
      </c>
      <c r="V359" s="137">
        <f t="shared" si="3996"/>
        <v>0</v>
      </c>
      <c r="W359" s="137">
        <f>IF(V359=0,0,COUNTIF($V$7:V359,"*"))</f>
        <v>0</v>
      </c>
      <c r="X359" s="137">
        <f>IF(V359=0,0,COUNTIF($V$7:V359,V359))</f>
        <v>0</v>
      </c>
      <c r="Y359" s="212">
        <f t="shared" ref="Y359" si="4138">IF(OR(E359="",J359=""),0,J359&amp;E359)</f>
        <v>0</v>
      </c>
      <c r="Z359" s="212">
        <f>IF(Y359=0,0,COUNTIF($Y$7:Y359,Y359))</f>
        <v>0</v>
      </c>
      <c r="AA359" s="212" t="b">
        <f>IF(COUNTIF(J359:J362,"七種競技")&gt;0,TRUE,FALSE)</f>
        <v>0</v>
      </c>
      <c r="AB359" s="212">
        <f>IF(E359="",0,IF(AA359,COUNTIF($AA$7:AA359,TRUE),0))</f>
        <v>0</v>
      </c>
      <c r="AC359" s="212">
        <f>IFERROR(VLOOKUP("七種競技",J359:L362,3,0),0)</f>
        <v>0</v>
      </c>
      <c r="AD359" s="212">
        <f>IFERROR(VLOOKUP(J359,競技会設定!$T$2:$W$22,2,0),0)</f>
        <v>0</v>
      </c>
      <c r="AE359" s="212">
        <f t="shared" ref="AE359" si="4139">IF(E359="",0,IF(AD359=0,0,IF(AD359&lt;3,E359&amp;$AE$6,0)))</f>
        <v>0</v>
      </c>
      <c r="AF359" s="212">
        <f>IF(AE359=0,0,E359&amp;COUNTIF($AE$7:AE359,AE359))</f>
        <v>0</v>
      </c>
      <c r="AG359" s="212">
        <f t="shared" ref="AG359" si="4140">IF(E359="",0,IF(AD359=0,0,IF(AD359&gt;=3,E359&amp;$AG$6,0)))</f>
        <v>0</v>
      </c>
      <c r="AH359" s="212">
        <f>IF(AG359=0,0,E359&amp;COUNTIF($AG$7:AG359,AG359))</f>
        <v>0</v>
      </c>
      <c r="AI359" s="212">
        <f t="shared" ref="AI359" si="4141">IF($AD359=AI$6,$E359,0)</f>
        <v>0</v>
      </c>
      <c r="AJ359" s="212" t="b">
        <f>IF(AI359=0,FALSE,IF(COUNTIF(AI$7:AI359,AI359)&gt;1,TRUE,FALSE))</f>
        <v>0</v>
      </c>
      <c r="AK359" s="212">
        <f t="shared" ref="AK359" si="4142">IF($AD359=AK$6,$E359,0)</f>
        <v>0</v>
      </c>
      <c r="AL359" s="212" t="b">
        <f>IF(AK359=0,FALSE,IF(COUNTIF(AK$7:AK359,AK359)&gt;1,TRUE,FALSE))</f>
        <v>0</v>
      </c>
      <c r="AM359" s="212">
        <f t="shared" ref="AM359" si="4143">IF(COUNTIF(Y359,"*七種*")&gt;0,0,IF($AD359=AM$6,$E359,0))</f>
        <v>0</v>
      </c>
      <c r="AN359" s="212" t="b">
        <f>IF(AM359=0,FALSE,IF(COUNTIF(AM$7:AM359,AM359)&gt;1,TRUE,FALSE))</f>
        <v>0</v>
      </c>
      <c r="AO359" s="212">
        <f t="shared" ref="AO359" si="4144">IF($AD359=AO$6,$E359,0)</f>
        <v>0</v>
      </c>
      <c r="AP359" s="212" t="b">
        <f>IF(AO359=0,FALSE,IF(COUNTIF(AO$7:AO359,AO359)&gt;1,TRUE,FALSE))</f>
        <v>0</v>
      </c>
      <c r="AQ359" s="212">
        <f t="shared" ref="AQ359" si="4145">IF(COUNTIF(Y359,"*七種競技*")&gt;0,E359,0)</f>
        <v>0</v>
      </c>
      <c r="AR359" s="212" t="b">
        <f t="shared" si="3780"/>
        <v>0</v>
      </c>
      <c r="AS359" s="212" t="b">
        <f t="shared" ref="AS359" si="4146">IF(AND(C359="",E359&lt;&gt;"",F359&lt;&gt;"",E361&lt;&gt;"",G359&lt;&gt;"",G360&lt;&gt;"",G361&lt;&gt;""),TRUE,FALSE)</f>
        <v>0</v>
      </c>
      <c r="AT359" s="212" t="b">
        <f t="shared" si="3793"/>
        <v>0</v>
      </c>
      <c r="AU359" s="212" t="b">
        <f>IFERROR(IF(E359&amp;F359&amp;E361&amp;G359&amp;G360&amp;G361&amp;J359&amp;J360&amp;J361&amp;J362&amp;L359&amp;L360&amp;L361&amp;L362&amp;M359&amp;M360&amp;M361&amp;M362&amp;P359&amp;P360&amp;P361&amp;P362&amp;Q359&amp;R359="",FALSE,TRUE),FALSE)</f>
        <v>0</v>
      </c>
      <c r="AV359" s="212" t="b">
        <f t="shared" ref="AV359" si="4147">IF(AS359,FALSE,IF(C359="",AU359,FALSE))</f>
        <v>0</v>
      </c>
      <c r="AW359" s="212" t="b">
        <f t="shared" ref="AW359" si="4148">IF(C359="",FALSE,IF(C359&lt;=2000,TRUE,FALSE))</f>
        <v>0</v>
      </c>
      <c r="AX359" s="274" t="b">
        <f>IF(H359=0,FALSE,IF(EXACT(基本情報!$E$5,H359)=TRUE,FALSE,TRUE))</f>
        <v>0</v>
      </c>
      <c r="AY359" s="212" t="b">
        <f>IF(C359="",FALSE,IF(ISNA(E359)=TRUE,TRUE,FALSE))</f>
        <v>0</v>
      </c>
      <c r="AZ359" s="274" t="b">
        <f>IFERROR(IF(E359="",FALSE,IF(COUNTIF($E$7:E359,E359)&gt;1,TRUE,FALSE)),FALSE)</f>
        <v>0</v>
      </c>
      <c r="BA359" s="212" t="b">
        <f t="shared" ref="BA359" si="4149">IF(OR(J359&amp;J360&amp;J361&amp;J362&amp;Q359&amp;R359="",AT359,AT360,AT361,AT362),AU359,FALSE)</f>
        <v>0</v>
      </c>
      <c r="BB359" s="212" t="b">
        <f>IF(U359&gt;1,TRUE,FALSE)</f>
        <v>0</v>
      </c>
      <c r="BC359" s="212" t="b">
        <f>IF(X359&gt;1,TRUE,FALSE)</f>
        <v>0</v>
      </c>
      <c r="BD359" s="212" t="b">
        <f t="shared" si="3767"/>
        <v>0</v>
      </c>
      <c r="BF359" s="212" t="b">
        <f t="shared" ref="BF359" si="4150">IF(J359="",FALSE,IF(OR(AND(AU359,L359=""),AND(AU359,L359="",OR(M359&lt;&gt;"",N359&lt;&gt;"",O359&lt;&gt;"",P359&lt;&gt;""))),TRUE,FALSE))</f>
        <v>0</v>
      </c>
      <c r="BG359" s="212" t="b">
        <f t="shared" si="3769"/>
        <v>0</v>
      </c>
      <c r="BH359" s="212" t="b">
        <f t="shared" si="3782"/>
        <v>0</v>
      </c>
      <c r="BI359" s="212" t="b">
        <f t="shared" ref="BI359" si="4151">IF(J359="",FALSE,IF(L359=0,FALSE,IF(AND(AU359,NOT(BF359),OR(M359="",N359="",O359="")),TRUE,FALSE)))</f>
        <v>0</v>
      </c>
      <c r="BJ359" s="231" t="b">
        <f t="shared" si="3784"/>
        <v>0</v>
      </c>
      <c r="BK359" s="231" t="b">
        <f>IF(NOT(BJ359),FALSE,IF(AND(競技会設定!$C$5&lt;=BJ359,BJ359&lt;=競技会設定!$C$6),FALSE,TRUE))</f>
        <v>0</v>
      </c>
      <c r="BL359" s="212" t="b">
        <f>IF(J359="",FALSE,IF(L359=0,FALSE,IF(AND(AU359,NOT(BF359),NOT(BI359),P359=""),TRUE,FALSE)))</f>
        <v>0</v>
      </c>
      <c r="BO359" s="274">
        <f t="shared" ref="BO359" si="4152">IF(AND(AU359,SUM(COUNTIF(AV359:BC359,TRUE),COUNTIF(BF359:BL362,TRUE),COUNTIF(BD359:BD362,TRUE))=0,NOT($BE$7)),1,0)</f>
        <v>0</v>
      </c>
    </row>
    <row r="360" spans="1:67" ht="17.399999999999999" customHeight="1">
      <c r="A360" s="471"/>
      <c r="B360" s="402"/>
      <c r="C360" s="404"/>
      <c r="D360" s="11"/>
      <c r="E360" s="474"/>
      <c r="F360" s="474"/>
      <c r="G360" s="11" t="str">
        <f>IF(C359="","",(VLOOKUP(D359,女子登録!$A$2:$N$2001,13,0)))</f>
        <v/>
      </c>
      <c r="H360" s="11"/>
      <c r="I360" s="11" t="s">
        <v>4020</v>
      </c>
      <c r="J360" s="171"/>
      <c r="K360" s="11" t="s">
        <v>4023</v>
      </c>
      <c r="L360" s="171"/>
      <c r="M360" s="255"/>
      <c r="N360" s="256"/>
      <c r="O360" s="257"/>
      <c r="P360" s="171"/>
      <c r="Q360" s="458"/>
      <c r="R360" s="415"/>
      <c r="S360" s="136"/>
      <c r="T360" s="137"/>
      <c r="U360" s="137"/>
      <c r="V360" s="137"/>
      <c r="W360" s="137"/>
      <c r="X360" s="137"/>
      <c r="Y360" s="212">
        <f t="shared" ref="Y360" si="4153">IF(OR(E359="",J360=""),0,J360&amp;E359)</f>
        <v>0</v>
      </c>
      <c r="Z360" s="212">
        <f>IF(Y360=0,0,COUNTIF($Y$7:Y360,Y360))</f>
        <v>0</v>
      </c>
      <c r="AD360" s="212">
        <f>IFERROR(VLOOKUP(J360,競技会設定!$T$2:$W$22,2,0),0)</f>
        <v>0</v>
      </c>
      <c r="AE360" s="212">
        <f t="shared" ref="AE360" si="4154">IF(E359="",0,IF(AD360=0,0,IF(AD360&lt;3,E359&amp;$AE$6,0)))</f>
        <v>0</v>
      </c>
      <c r="AF360" s="212">
        <f>IF(AE360=0,0,E359&amp;COUNTIF($AE$7:AE360,AE360))</f>
        <v>0</v>
      </c>
      <c r="AG360" s="212">
        <f t="shared" ref="AG360" si="4155">IF(E359="",0,IF(AD360=0,0,IF(AD360&gt;=3,E359&amp;$AG$6,0)))</f>
        <v>0</v>
      </c>
      <c r="AH360" s="212">
        <f>IF(AG360=0,0,E359&amp;COUNTIF($AG$7:AG360,AG360))</f>
        <v>0</v>
      </c>
      <c r="AI360" s="212">
        <f t="shared" ref="AI360" si="4156">IF($AD360=AI$6,$E359,0)</f>
        <v>0</v>
      </c>
      <c r="AJ360" s="212" t="b">
        <f>IF(AI360=0,FALSE,IF(COUNTIF(AI$7:AI360,AI360)&gt;1,TRUE,FALSE))</f>
        <v>0</v>
      </c>
      <c r="AK360" s="212">
        <f t="shared" ref="AK360" si="4157">IF($AD360=AK$6,$E359,0)</f>
        <v>0</v>
      </c>
      <c r="AL360" s="212" t="b">
        <f>IF(AK360=0,FALSE,IF(COUNTIF(AK$7:AK360,AK360)&gt;1,TRUE,FALSE))</f>
        <v>0</v>
      </c>
      <c r="AM360" s="212">
        <f t="shared" ref="AM360" si="4158">IF(COUNTIF(Y360,"*七種*")&gt;0,0,IF($AD360=AM$6,$E359,0))</f>
        <v>0</v>
      </c>
      <c r="AN360" s="212" t="b">
        <f>IF(AM360=0,FALSE,IF(COUNTIF(AM$7:AM360,AM360)&gt;1,TRUE,FALSE))</f>
        <v>0</v>
      </c>
      <c r="AO360" s="212">
        <f t="shared" ref="AO360" si="4159">IF($AD360=AO$6,$E359,0)</f>
        <v>0</v>
      </c>
      <c r="AP360" s="212" t="b">
        <f>IF(AO360=0,FALSE,IF(COUNTIF(AO$7:AO360,AO360)&gt;1,TRUE,FALSE))</f>
        <v>0</v>
      </c>
      <c r="AQ360" s="212">
        <f t="shared" ref="AQ360" si="4160">IF(COUNTIF(Y360,"*七種競技*")&gt;0,E359,0)</f>
        <v>0</v>
      </c>
      <c r="AR360" s="212" t="b">
        <f t="shared" si="3780"/>
        <v>0</v>
      </c>
      <c r="AT360" s="212" t="b">
        <f t="shared" si="3793"/>
        <v>0</v>
      </c>
      <c r="AX360" s="274"/>
      <c r="BD360" s="212" t="b">
        <f t="shared" si="3767"/>
        <v>0</v>
      </c>
      <c r="BF360" s="212" t="b">
        <f t="shared" ref="BF360" si="4161">IF(J360="",FALSE,IF(OR(AND(AU359,L360=""),AND(AU359,L360="",OR(M360&lt;&gt;"",N360&lt;&gt;"",O360&lt;&gt;"",P360&lt;&gt;""))),TRUE,FALSE))</f>
        <v>0</v>
      </c>
      <c r="BG360" s="212" t="b">
        <f t="shared" si="3769"/>
        <v>0</v>
      </c>
      <c r="BH360" s="212" t="b">
        <f t="shared" si="3782"/>
        <v>0</v>
      </c>
      <c r="BI360" s="212" t="b">
        <f t="shared" ref="BI360" si="4162">IF(J360="",FALSE,IF(L360=0,FALSE,IF(AND(AU359,NOT(BF360),OR(M360="",N360="",O360="")),TRUE,FALSE)))</f>
        <v>0</v>
      </c>
      <c r="BJ360" s="231" t="b">
        <f t="shared" si="3784"/>
        <v>0</v>
      </c>
      <c r="BK360" s="231" t="b">
        <f>IF(NOT(BJ360),FALSE,IF(AND(競技会設定!$C$5&lt;=BJ360,BJ360&lt;=競技会設定!$C$6),FALSE,TRUE))</f>
        <v>0</v>
      </c>
      <c r="BL360" s="212" t="b">
        <f>IF(J360="",FALSE,IF(L360=0,FALSE,IF(AND(AU359,NOT(BF360),NOT(BI360),P360=""),TRUE,FALSE)))</f>
        <v>0</v>
      </c>
    </row>
    <row r="361" spans="1:67" ht="17.399999999999999" customHeight="1">
      <c r="A361" s="471"/>
      <c r="B361" s="402"/>
      <c r="C361" s="404"/>
      <c r="D361" s="11"/>
      <c r="E361" s="348" t="str">
        <f>IF(C359="","",VLOOKUP(D359,女子登録!$A$2:$O$2001,14,0)&amp;" ("&amp;VLOOKUP(D359,女子登録!$A$2:$O$2001,15,0)&amp;")")</f>
        <v/>
      </c>
      <c r="F361" s="348"/>
      <c r="G361" s="13" t="str">
        <f>IF(C359="","",(VLOOKUP(D359,女子登録!$A$2:$N$2001,9,0)))</f>
        <v/>
      </c>
      <c r="H361" s="13"/>
      <c r="I361" s="13" t="s">
        <v>4021</v>
      </c>
      <c r="J361" s="172"/>
      <c r="K361" s="13" t="s">
        <v>6760</v>
      </c>
      <c r="L361" s="172"/>
      <c r="M361" s="255"/>
      <c r="N361" s="256"/>
      <c r="O361" s="257"/>
      <c r="P361" s="171"/>
      <c r="Q361" s="458"/>
      <c r="R361" s="415"/>
      <c r="S361" s="136"/>
      <c r="T361" s="137"/>
      <c r="U361" s="137"/>
      <c r="V361" s="137"/>
      <c r="W361" s="137"/>
      <c r="X361" s="137"/>
      <c r="Y361" s="212">
        <f t="shared" ref="Y361" si="4163">IF(OR(E359="",J361=""),0,J361&amp;E359)</f>
        <v>0</v>
      </c>
      <c r="Z361" s="212">
        <f>IF(Y361=0,0,COUNTIF($Y$7:Y361,Y361))</f>
        <v>0</v>
      </c>
      <c r="AD361" s="212">
        <f>IFERROR(VLOOKUP(J361,競技会設定!$T$2:$W$22,2,0),0)</f>
        <v>0</v>
      </c>
      <c r="AE361" s="212">
        <f t="shared" ref="AE361" si="4164">IF(E359="",0,IF(AD361=0,0,IF(AD361&lt;3,E359&amp;$AE$6,0)))</f>
        <v>0</v>
      </c>
      <c r="AF361" s="212">
        <f>IF(AE361=0,0,E359&amp;COUNTIF($AE$7:AE361,AE361))</f>
        <v>0</v>
      </c>
      <c r="AG361" s="212">
        <f t="shared" ref="AG361" si="4165">IF(E359="",0,IF(AD361=0,0,IF(AD361&gt;=3,E359&amp;$AG$6,0)))</f>
        <v>0</v>
      </c>
      <c r="AH361" s="212">
        <f>IF(AG361=0,0,E359&amp;COUNTIF($AG$7:AG361,AG361))</f>
        <v>0</v>
      </c>
      <c r="AI361" s="212">
        <f t="shared" ref="AI361" si="4166">IF($AD361=AI$6,$E359,0)</f>
        <v>0</v>
      </c>
      <c r="AJ361" s="212" t="b">
        <f>IF(AI361=0,FALSE,IF(COUNTIF(AI$7:AI361,AI361)&gt;1,TRUE,FALSE))</f>
        <v>0</v>
      </c>
      <c r="AK361" s="212">
        <f t="shared" ref="AK361" si="4167">IF($AD361=AK$6,$E359,0)</f>
        <v>0</v>
      </c>
      <c r="AL361" s="212" t="b">
        <f>IF(AK361=0,FALSE,IF(COUNTIF(AK$7:AK361,AK361)&gt;1,TRUE,FALSE))</f>
        <v>0</v>
      </c>
      <c r="AM361" s="212">
        <f t="shared" ref="AM361" si="4168">IF(COUNTIF(Y361,"*七種*")&gt;0,0,IF($AD361=AM$6,$E359,0))</f>
        <v>0</v>
      </c>
      <c r="AN361" s="212" t="b">
        <f>IF(AM361=0,FALSE,IF(COUNTIF(AM$7:AM361,AM361)&gt;1,TRUE,FALSE))</f>
        <v>0</v>
      </c>
      <c r="AO361" s="212">
        <f t="shared" ref="AO361" si="4169">IF($AD361=AO$6,$E359,0)</f>
        <v>0</v>
      </c>
      <c r="AP361" s="212" t="b">
        <f>IF(AO361=0,FALSE,IF(COUNTIF(AO$7:AO361,AO361)&gt;1,TRUE,FALSE))</f>
        <v>0</v>
      </c>
      <c r="AQ361" s="212">
        <f t="shared" ref="AQ361" si="4170">IF(COUNTIF(Y361,"*七種競技*")&gt;0,E359,0)</f>
        <v>0</v>
      </c>
      <c r="AR361" s="212" t="b">
        <f t="shared" si="3780"/>
        <v>0</v>
      </c>
      <c r="AT361" s="212" t="b">
        <f t="shared" si="3793"/>
        <v>0</v>
      </c>
      <c r="AX361" s="274"/>
      <c r="BD361" s="212" t="b">
        <f t="shared" si="3767"/>
        <v>0</v>
      </c>
      <c r="BF361" s="212" t="b">
        <f t="shared" ref="BF361" si="4171">IF(J361="",FALSE,IF(OR(AND(AU359,L361=""),AND(AU359,L361="",OR(M361&lt;&gt;"",N361&lt;&gt;"",O361&lt;&gt;"",P361&lt;&gt;""))),TRUE,FALSE))</f>
        <v>0</v>
      </c>
      <c r="BG361" s="212" t="b">
        <f t="shared" si="3769"/>
        <v>0</v>
      </c>
      <c r="BH361" s="212" t="b">
        <f t="shared" si="3782"/>
        <v>0</v>
      </c>
      <c r="BI361" s="212" t="b">
        <f t="shared" ref="BI361" si="4172">IF(J361="",FALSE,IF(L361=0,FALSE,IF(AND(AU359,NOT(BF361),OR(M361="",N361="",O361="")),TRUE,FALSE)))</f>
        <v>0</v>
      </c>
      <c r="BJ361" s="231" t="b">
        <f t="shared" si="3784"/>
        <v>0</v>
      </c>
      <c r="BK361" s="231" t="b">
        <f>IF(NOT(BJ361),FALSE,IF(AND(競技会設定!$C$5&lt;=BJ361,BJ361&lt;=競技会設定!$C$6),FALSE,TRUE))</f>
        <v>0</v>
      </c>
      <c r="BL361" s="212" t="b">
        <f>IF(J361="",FALSE,IF(L361=0,FALSE,IF(AND(AU359,NOT(BF361),NOT(BI361),P361=""),TRUE,FALSE)))</f>
        <v>0</v>
      </c>
    </row>
    <row r="362" spans="1:67" ht="18" customHeight="1" thickBot="1">
      <c r="A362" s="472"/>
      <c r="B362" s="395" t="s">
        <v>6764</v>
      </c>
      <c r="C362" s="395"/>
      <c r="D362" s="11"/>
      <c r="E362" s="460"/>
      <c r="F362" s="460"/>
      <c r="G362" s="460"/>
      <c r="H362" s="157"/>
      <c r="I362" s="157" t="s">
        <v>6759</v>
      </c>
      <c r="J362" s="173"/>
      <c r="K362" s="157" t="s">
        <v>6761</v>
      </c>
      <c r="L362" s="173"/>
      <c r="M362" s="258"/>
      <c r="N362" s="259"/>
      <c r="O362" s="260"/>
      <c r="P362" s="173"/>
      <c r="Q362" s="459"/>
      <c r="R362" s="416"/>
      <c r="S362" s="136"/>
      <c r="T362" s="137"/>
      <c r="U362" s="137"/>
      <c r="V362" s="137"/>
      <c r="W362" s="137"/>
      <c r="X362" s="137"/>
      <c r="Y362" s="212">
        <f t="shared" ref="Y362" si="4173">IF(OR(E359="",J362=""),0,J362&amp;E359)</f>
        <v>0</v>
      </c>
      <c r="Z362" s="212">
        <f>IF(Y362=0,0,COUNTIF($Y$7:Y362,Y362))</f>
        <v>0</v>
      </c>
      <c r="AD362" s="212">
        <f>IFERROR(VLOOKUP(J362,競技会設定!$T$2:$W$22,2,0),0)</f>
        <v>0</v>
      </c>
      <c r="AE362" s="212">
        <f t="shared" ref="AE362" si="4174">IF(E359="",0,IF(AD362=0,0,IF(AD362&lt;3,E359&amp;$AE$6,0)))</f>
        <v>0</v>
      </c>
      <c r="AF362" s="212">
        <f>IF(AE362=0,0,E359&amp;COUNTIF($AE$7:AE362,AE362))</f>
        <v>0</v>
      </c>
      <c r="AG362" s="212">
        <f t="shared" ref="AG362" si="4175">IF(E359="",0,IF(AD362=0,0,IF(AD362&gt;=3,E359&amp;$AG$6,0)))</f>
        <v>0</v>
      </c>
      <c r="AH362" s="212">
        <f>IF(AG362=0,0,E359&amp;COUNTIF($AG$7:AG362,AG362))</f>
        <v>0</v>
      </c>
      <c r="AI362" s="212">
        <f t="shared" ref="AI362" si="4176">IF($AD362=AI$6,$E359,0)</f>
        <v>0</v>
      </c>
      <c r="AJ362" s="212" t="b">
        <f>IF(AI362=0,FALSE,IF(COUNTIF(AI$7:AI362,AI362)&gt;1,TRUE,FALSE))</f>
        <v>0</v>
      </c>
      <c r="AK362" s="212">
        <f t="shared" ref="AK362" si="4177">IF($AD362=AK$6,$E359,0)</f>
        <v>0</v>
      </c>
      <c r="AL362" s="212" t="b">
        <f>IF(AK362=0,FALSE,IF(COUNTIF(AK$7:AK362,AK362)&gt;1,TRUE,FALSE))</f>
        <v>0</v>
      </c>
      <c r="AM362" s="212">
        <f t="shared" ref="AM362" si="4178">IF(COUNTIF(Y362,"*七種*")&gt;0,0,IF($AD362=AM$6,$E359,0))</f>
        <v>0</v>
      </c>
      <c r="AN362" s="212" t="b">
        <f>IF(AM362=0,FALSE,IF(COUNTIF(AM$7:AM362,AM362)&gt;1,TRUE,FALSE))</f>
        <v>0</v>
      </c>
      <c r="AO362" s="212">
        <f t="shared" ref="AO362" si="4179">IF($AD362=AO$6,$E359,0)</f>
        <v>0</v>
      </c>
      <c r="AP362" s="212" t="b">
        <f>IF(AO362=0,FALSE,IF(COUNTIF(AO$7:AO362,AO362)&gt;1,TRUE,FALSE))</f>
        <v>0</v>
      </c>
      <c r="AQ362" s="212">
        <f t="shared" ref="AQ362" si="4180">IF(COUNTIF(Y362,"*七種競技*")&gt;0,E359,0)</f>
        <v>0</v>
      </c>
      <c r="AR362" s="212" t="b">
        <f t="shared" si="3780"/>
        <v>0</v>
      </c>
      <c r="AT362" s="212" t="b">
        <f t="shared" si="3793"/>
        <v>0</v>
      </c>
      <c r="AX362" s="274"/>
      <c r="BD362" s="212" t="b">
        <f t="shared" si="3767"/>
        <v>0</v>
      </c>
      <c r="BF362" s="212" t="b">
        <f t="shared" ref="BF362" si="4181">IF(J362="",FALSE,IF(OR(AND(AU359,L362=""),AND(AU359,L362="",OR(M362&lt;&gt;"",N362&lt;&gt;"",O362&lt;&gt;"",P362&lt;&gt;""))),TRUE,FALSE))</f>
        <v>0</v>
      </c>
      <c r="BG362" s="212" t="b">
        <f t="shared" si="3769"/>
        <v>0</v>
      </c>
      <c r="BH362" s="212" t="b">
        <f t="shared" si="3782"/>
        <v>0</v>
      </c>
      <c r="BI362" s="212" t="b">
        <f t="shared" ref="BI362" si="4182">IF(J362="",FALSE,IF(L362=0,FALSE,IF(AND(AU359,NOT(BF362),OR(M362="",N362="",O362="")),TRUE,FALSE)))</f>
        <v>0</v>
      </c>
      <c r="BJ362" s="231" t="b">
        <f t="shared" si="3784"/>
        <v>0</v>
      </c>
      <c r="BK362" s="231" t="b">
        <f>IF(NOT(BJ362),FALSE,IF(AND(競技会設定!$C$5&lt;=BJ362,BJ362&lt;=競技会設定!$C$6),FALSE,TRUE))</f>
        <v>0</v>
      </c>
      <c r="BL362" s="212" t="b">
        <f>IF(J362="",FALSE,IF(L362=0,FALSE,IF(AND(AU359,NOT(BF362),NOT(BI362),P362=""),TRUE,FALSE)))</f>
        <v>0</v>
      </c>
    </row>
    <row r="363" spans="1:67" ht="18" customHeight="1" thickTop="1">
      <c r="A363" s="461">
        <v>90</v>
      </c>
      <c r="B363" s="373" t="s">
        <v>4018</v>
      </c>
      <c r="C363" s="375"/>
      <c r="D363" s="158" t="str">
        <f t="shared" ref="D363" si="4183">IF(C363="","",502&amp;TEXT(C363,"000000"))</f>
        <v/>
      </c>
      <c r="E363" s="464" t="str">
        <f>IF(D363="","",(VLOOKUP(D363,女子登録!$A$2:$N$2001,3,0)))</f>
        <v/>
      </c>
      <c r="F363" s="464" t="str">
        <f>IF(D363="","",(VLOOKUP(D363,女子登録!$A$2:$N$2001,4,0)))</f>
        <v/>
      </c>
      <c r="G363" s="158" t="str">
        <f>IF(C363="","",(VLOOKUP(D363,女子登録!$A$2:$N$2001,8,0)))</f>
        <v/>
      </c>
      <c r="H363" s="158">
        <f>IFERROR(VLOOKUP(D363,女子登録!$A$2:$N$2001,11,0),基本情報!$E$5)</f>
        <v>0</v>
      </c>
      <c r="I363" s="158" t="s">
        <v>4019</v>
      </c>
      <c r="J363" s="174"/>
      <c r="K363" s="158" t="s">
        <v>4022</v>
      </c>
      <c r="L363" s="174"/>
      <c r="M363" s="261"/>
      <c r="N363" s="262"/>
      <c r="O363" s="263"/>
      <c r="P363" s="174"/>
      <c r="Q363" s="448"/>
      <c r="R363" s="408"/>
      <c r="S363" s="136">
        <f t="shared" ref="S363" si="4184">IF(OR(E363="",Q363=""),0,E363)</f>
        <v>0</v>
      </c>
      <c r="T363" s="137">
        <f>IF(S363=0,0,COUNTIF($S$7:S363,"*"))</f>
        <v>0</v>
      </c>
      <c r="U363" s="137">
        <f>IF(S363=0,0,COUNTIF($S$7:S363,S363))</f>
        <v>0</v>
      </c>
      <c r="V363" s="137">
        <f t="shared" si="3996"/>
        <v>0</v>
      </c>
      <c r="W363" s="137">
        <f>IF(V363=0,0,COUNTIF($V$7:V363,"*"))</f>
        <v>0</v>
      </c>
      <c r="X363" s="137">
        <f>IF(V363=0,0,COUNTIF($V$7:V363,V363))</f>
        <v>0</v>
      </c>
      <c r="Y363" s="212">
        <f t="shared" ref="Y363" si="4185">IF(OR(E363="",J363=""),0,J363&amp;E363)</f>
        <v>0</v>
      </c>
      <c r="Z363" s="212">
        <f>IF(Y363=0,0,COUNTIF($Y$7:Y363,Y363))</f>
        <v>0</v>
      </c>
      <c r="AA363" s="212" t="b">
        <f>IF(COUNTIF(J363:J366,"七種競技")&gt;0,TRUE,FALSE)</f>
        <v>0</v>
      </c>
      <c r="AB363" s="212">
        <f>IF(E363="",0,IF(AA363,COUNTIF($AA$7:AA363,TRUE),0))</f>
        <v>0</v>
      </c>
      <c r="AC363" s="212">
        <f>IFERROR(VLOOKUP("七種競技",J363:L366,3,0),0)</f>
        <v>0</v>
      </c>
      <c r="AD363" s="212">
        <f>IFERROR(VLOOKUP(J363,競技会設定!$T$2:$W$22,2,0),0)</f>
        <v>0</v>
      </c>
      <c r="AE363" s="212">
        <f t="shared" ref="AE363" si="4186">IF(E363="",0,IF(AD363=0,0,IF(AD363&lt;3,E363&amp;$AE$6,0)))</f>
        <v>0</v>
      </c>
      <c r="AF363" s="212">
        <f>IF(AE363=0,0,E363&amp;COUNTIF($AE$7:AE363,AE363))</f>
        <v>0</v>
      </c>
      <c r="AG363" s="212">
        <f t="shared" ref="AG363" si="4187">IF(E363="",0,IF(AD363=0,0,IF(AD363&gt;=3,E363&amp;$AG$6,0)))</f>
        <v>0</v>
      </c>
      <c r="AH363" s="212">
        <f>IF(AG363=0,0,E363&amp;COUNTIF($AG$7:AG363,AG363))</f>
        <v>0</v>
      </c>
      <c r="AI363" s="212">
        <f t="shared" ref="AI363" si="4188">IF($AD363=AI$6,$E363,0)</f>
        <v>0</v>
      </c>
      <c r="AJ363" s="212" t="b">
        <f>IF(AI363=0,FALSE,IF(COUNTIF(AI$7:AI363,AI363)&gt;1,TRUE,FALSE))</f>
        <v>0</v>
      </c>
      <c r="AK363" s="212">
        <f t="shared" ref="AK363" si="4189">IF($AD363=AK$6,$E363,0)</f>
        <v>0</v>
      </c>
      <c r="AL363" s="212" t="b">
        <f>IF(AK363=0,FALSE,IF(COUNTIF(AK$7:AK363,AK363)&gt;1,TRUE,FALSE))</f>
        <v>0</v>
      </c>
      <c r="AM363" s="212">
        <f t="shared" ref="AM363" si="4190">IF(COUNTIF(Y363,"*七種*")&gt;0,0,IF($AD363=AM$6,$E363,0))</f>
        <v>0</v>
      </c>
      <c r="AN363" s="212" t="b">
        <f>IF(AM363=0,FALSE,IF(COUNTIF(AM$7:AM363,AM363)&gt;1,TRUE,FALSE))</f>
        <v>0</v>
      </c>
      <c r="AO363" s="212">
        <f t="shared" ref="AO363" si="4191">IF($AD363=AO$6,$E363,0)</f>
        <v>0</v>
      </c>
      <c r="AP363" s="212" t="b">
        <f>IF(AO363=0,FALSE,IF(COUNTIF(AO$7:AO363,AO363)&gt;1,TRUE,FALSE))</f>
        <v>0</v>
      </c>
      <c r="AQ363" s="212">
        <f t="shared" ref="AQ363" si="4192">IF(COUNTIF(Y363,"*七種競技*")&gt;0,E363,0)</f>
        <v>0</v>
      </c>
      <c r="AR363" s="212" t="b">
        <f t="shared" si="3780"/>
        <v>0</v>
      </c>
      <c r="AS363" s="212" t="b">
        <f t="shared" ref="AS363" si="4193">IF(AND(C363="",E363&lt;&gt;"",F363&lt;&gt;"",E365&lt;&gt;"",G363&lt;&gt;"",G364&lt;&gt;"",G365&lt;&gt;""),TRUE,FALSE)</f>
        <v>0</v>
      </c>
      <c r="AT363" s="212" t="b">
        <f t="shared" si="3793"/>
        <v>0</v>
      </c>
      <c r="AU363" s="212" t="b">
        <f>IFERROR(IF(E363&amp;F363&amp;E365&amp;G363&amp;G364&amp;G365&amp;J363&amp;J364&amp;J365&amp;J366&amp;L363&amp;L364&amp;L365&amp;L366&amp;M363&amp;M364&amp;M365&amp;M366&amp;P363&amp;P364&amp;P365&amp;P366&amp;Q363&amp;R363="",FALSE,TRUE),FALSE)</f>
        <v>0</v>
      </c>
      <c r="AV363" s="212" t="b">
        <f t="shared" ref="AV363" si="4194">IF(AS363,FALSE,IF(C363="",AU363,FALSE))</f>
        <v>0</v>
      </c>
      <c r="AW363" s="212" t="b">
        <f t="shared" ref="AW363" si="4195">IF(C363="",FALSE,IF(C363&lt;=2000,TRUE,FALSE))</f>
        <v>0</v>
      </c>
      <c r="AX363" s="274" t="b">
        <f>IF(H363=0,FALSE,IF(EXACT(基本情報!$E$5,H363)=TRUE,FALSE,TRUE))</f>
        <v>0</v>
      </c>
      <c r="AY363" s="212" t="b">
        <f>IF(C363="",FALSE,IF(ISNA(E363)=TRUE,TRUE,FALSE))</f>
        <v>0</v>
      </c>
      <c r="AZ363" s="274" t="b">
        <f>IFERROR(IF(E363="",FALSE,IF(COUNTIF($E$7:E363,E363)&gt;1,TRUE,FALSE)),FALSE)</f>
        <v>0</v>
      </c>
      <c r="BA363" s="212" t="b">
        <f t="shared" ref="BA363" si="4196">IF(OR(J363&amp;J364&amp;J365&amp;J366&amp;Q363&amp;R363="",AT363,AT364,AT365,AT366),AU363,FALSE)</f>
        <v>0</v>
      </c>
      <c r="BB363" s="212" t="b">
        <f>IF(U363&gt;1,TRUE,FALSE)</f>
        <v>0</v>
      </c>
      <c r="BC363" s="212" t="b">
        <f>IF(X363&gt;1,TRUE,FALSE)</f>
        <v>0</v>
      </c>
      <c r="BD363" s="212" t="b">
        <f t="shared" si="3767"/>
        <v>0</v>
      </c>
      <c r="BF363" s="212" t="b">
        <f t="shared" ref="BF363" si="4197">IF(J363="",FALSE,IF(OR(AND(AU363,L363=""),AND(AU363,L363="",OR(M363&lt;&gt;"",N363&lt;&gt;"",O363&lt;&gt;"",P363&lt;&gt;""))),TRUE,FALSE))</f>
        <v>0</v>
      </c>
      <c r="BG363" s="212" t="b">
        <f t="shared" si="3769"/>
        <v>0</v>
      </c>
      <c r="BH363" s="212" t="b">
        <f t="shared" si="3782"/>
        <v>0</v>
      </c>
      <c r="BI363" s="212" t="b">
        <f t="shared" ref="BI363" si="4198">IF(J363="",FALSE,IF(L363=0,FALSE,IF(AND(AU363,NOT(BF363),OR(M363="",N363="",O363="")),TRUE,FALSE)))</f>
        <v>0</v>
      </c>
      <c r="BJ363" s="231" t="b">
        <f t="shared" si="3784"/>
        <v>0</v>
      </c>
      <c r="BK363" s="231" t="b">
        <f>IF(NOT(BJ363),FALSE,IF(AND(競技会設定!$C$5&lt;=BJ363,BJ363&lt;=競技会設定!$C$6),FALSE,TRUE))</f>
        <v>0</v>
      </c>
      <c r="BL363" s="212" t="b">
        <f>IF(J363="",FALSE,IF(L363=0,FALSE,IF(AND(AU363,NOT(BF363),NOT(BI363),P363=""),TRUE,FALSE)))</f>
        <v>0</v>
      </c>
      <c r="BO363" s="274">
        <f t="shared" ref="BO363" si="4199">IF(AND(AU363,SUM(COUNTIF(AV363:BC363,TRUE),COUNTIF(BF363:BL366,TRUE),COUNTIF(BD363:BD366,TRUE))=0,NOT($BE$7)),1,0)</f>
        <v>0</v>
      </c>
    </row>
    <row r="364" spans="1:67" ht="17.399999999999999" customHeight="1">
      <c r="A364" s="462"/>
      <c r="B364" s="374"/>
      <c r="C364" s="376"/>
      <c r="D364" s="159"/>
      <c r="E364" s="465"/>
      <c r="F364" s="465"/>
      <c r="G364" s="159" t="str">
        <f>IF(C363="","",(VLOOKUP(D363,女子登録!$A$2:$N$2001,13,0)))</f>
        <v/>
      </c>
      <c r="H364" s="159"/>
      <c r="I364" s="159" t="s">
        <v>4020</v>
      </c>
      <c r="J364" s="175"/>
      <c r="K364" s="159" t="s">
        <v>4023</v>
      </c>
      <c r="L364" s="175"/>
      <c r="M364" s="264"/>
      <c r="N364" s="265"/>
      <c r="O364" s="266"/>
      <c r="P364" s="175"/>
      <c r="Q364" s="449"/>
      <c r="R364" s="409"/>
      <c r="S364" s="136"/>
      <c r="T364" s="137"/>
      <c r="U364" s="137"/>
      <c r="V364" s="137"/>
      <c r="W364" s="137"/>
      <c r="X364" s="137"/>
      <c r="Y364" s="212">
        <f t="shared" ref="Y364" si="4200">IF(OR(E363="",J364=""),0,J364&amp;E363)</f>
        <v>0</v>
      </c>
      <c r="Z364" s="212">
        <f>IF(Y364=0,0,COUNTIF($Y$7:Y364,Y364))</f>
        <v>0</v>
      </c>
      <c r="AD364" s="212">
        <f>IFERROR(VLOOKUP(J364,競技会設定!$T$2:$W$22,2,0),0)</f>
        <v>0</v>
      </c>
      <c r="AE364" s="212">
        <f t="shared" ref="AE364" si="4201">IF(E363="",0,IF(AD364=0,0,IF(AD364&lt;3,E363&amp;$AE$6,0)))</f>
        <v>0</v>
      </c>
      <c r="AF364" s="212">
        <f>IF(AE364=0,0,E363&amp;COUNTIF($AE$7:AE364,AE364))</f>
        <v>0</v>
      </c>
      <c r="AG364" s="212">
        <f t="shared" ref="AG364" si="4202">IF(E363="",0,IF(AD364=0,0,IF(AD364&gt;=3,E363&amp;$AG$6,0)))</f>
        <v>0</v>
      </c>
      <c r="AH364" s="212">
        <f>IF(AG364=0,0,E363&amp;COUNTIF($AG$7:AG364,AG364))</f>
        <v>0</v>
      </c>
      <c r="AI364" s="212">
        <f t="shared" ref="AI364" si="4203">IF($AD364=AI$6,$E363,0)</f>
        <v>0</v>
      </c>
      <c r="AJ364" s="212" t="b">
        <f>IF(AI364=0,FALSE,IF(COUNTIF(AI$7:AI364,AI364)&gt;1,TRUE,FALSE))</f>
        <v>0</v>
      </c>
      <c r="AK364" s="212">
        <f t="shared" ref="AK364" si="4204">IF($AD364=AK$6,$E363,0)</f>
        <v>0</v>
      </c>
      <c r="AL364" s="212" t="b">
        <f>IF(AK364=0,FALSE,IF(COUNTIF(AK$7:AK364,AK364)&gt;1,TRUE,FALSE))</f>
        <v>0</v>
      </c>
      <c r="AM364" s="212">
        <f t="shared" ref="AM364" si="4205">IF(COUNTIF(Y364,"*七種*")&gt;0,0,IF($AD364=AM$6,$E363,0))</f>
        <v>0</v>
      </c>
      <c r="AN364" s="212" t="b">
        <f>IF(AM364=0,FALSE,IF(COUNTIF(AM$7:AM364,AM364)&gt;1,TRUE,FALSE))</f>
        <v>0</v>
      </c>
      <c r="AO364" s="212">
        <f t="shared" ref="AO364" si="4206">IF($AD364=AO$6,$E363,0)</f>
        <v>0</v>
      </c>
      <c r="AP364" s="212" t="b">
        <f>IF(AO364=0,FALSE,IF(COUNTIF(AO$7:AO364,AO364)&gt;1,TRUE,FALSE))</f>
        <v>0</v>
      </c>
      <c r="AQ364" s="212">
        <f t="shared" ref="AQ364" si="4207">IF(COUNTIF(Y364,"*七種競技*")&gt;0,E363,0)</f>
        <v>0</v>
      </c>
      <c r="AR364" s="212" t="b">
        <f t="shared" si="3780"/>
        <v>0</v>
      </c>
      <c r="AT364" s="212" t="b">
        <f t="shared" si="3793"/>
        <v>0</v>
      </c>
      <c r="AX364" s="274"/>
      <c r="BD364" s="212" t="b">
        <f t="shared" si="3767"/>
        <v>0</v>
      </c>
      <c r="BF364" s="212" t="b">
        <f t="shared" ref="BF364" si="4208">IF(J364="",FALSE,IF(OR(AND(AU363,L364=""),AND(AU363,L364="",OR(M364&lt;&gt;"",N364&lt;&gt;"",O364&lt;&gt;"",P364&lt;&gt;""))),TRUE,FALSE))</f>
        <v>0</v>
      </c>
      <c r="BG364" s="212" t="b">
        <f t="shared" si="3769"/>
        <v>0</v>
      </c>
      <c r="BH364" s="212" t="b">
        <f t="shared" si="3782"/>
        <v>0</v>
      </c>
      <c r="BI364" s="212" t="b">
        <f t="shared" ref="BI364" si="4209">IF(J364="",FALSE,IF(L364=0,FALSE,IF(AND(AU363,NOT(BF364),OR(M364="",N364="",O364="")),TRUE,FALSE)))</f>
        <v>0</v>
      </c>
      <c r="BJ364" s="231" t="b">
        <f t="shared" si="3784"/>
        <v>0</v>
      </c>
      <c r="BK364" s="231" t="b">
        <f>IF(NOT(BJ364),FALSE,IF(AND(競技会設定!$C$5&lt;=BJ364,BJ364&lt;=競技会設定!$C$6),FALSE,TRUE))</f>
        <v>0</v>
      </c>
      <c r="BL364" s="212" t="b">
        <f>IF(J364="",FALSE,IF(L364=0,FALSE,IF(AND(AU363,NOT(BF364),NOT(BI364),P364=""),TRUE,FALSE)))</f>
        <v>0</v>
      </c>
    </row>
    <row r="365" spans="1:67" ht="17.399999999999999" customHeight="1">
      <c r="A365" s="462"/>
      <c r="B365" s="374"/>
      <c r="C365" s="376"/>
      <c r="D365" s="160"/>
      <c r="E365" s="452" t="str">
        <f>IF(C363="","",VLOOKUP(D363,女子登録!$A$2:$O$2001,14,0)&amp;" ("&amp;VLOOKUP(D363,女子登録!$A$2:$O$2001,15,0)&amp;")")</f>
        <v/>
      </c>
      <c r="F365" s="453"/>
      <c r="G365" s="160" t="str">
        <f>IF(C363="","",(VLOOKUP(D363,女子登録!$A$2:$N$2001,9,0)))</f>
        <v/>
      </c>
      <c r="H365" s="160"/>
      <c r="I365" s="160" t="s">
        <v>4021</v>
      </c>
      <c r="J365" s="176"/>
      <c r="K365" s="160" t="s">
        <v>6760</v>
      </c>
      <c r="L365" s="176"/>
      <c r="M365" s="264"/>
      <c r="N365" s="265"/>
      <c r="O365" s="266"/>
      <c r="P365" s="175"/>
      <c r="Q365" s="449"/>
      <c r="R365" s="409"/>
      <c r="S365" s="136"/>
      <c r="T365" s="137"/>
      <c r="U365" s="137"/>
      <c r="V365" s="137"/>
      <c r="W365" s="137"/>
      <c r="X365" s="137"/>
      <c r="Y365" s="212">
        <f t="shared" ref="Y365" si="4210">IF(OR(E363="",J365=""),0,J365&amp;E363)</f>
        <v>0</v>
      </c>
      <c r="Z365" s="212">
        <f>IF(Y365=0,0,COUNTIF($Y$7:Y365,Y365))</f>
        <v>0</v>
      </c>
      <c r="AD365" s="212">
        <f>IFERROR(VLOOKUP(J365,競技会設定!$T$2:$W$22,2,0),0)</f>
        <v>0</v>
      </c>
      <c r="AE365" s="212">
        <f t="shared" ref="AE365" si="4211">IF(E363="",0,IF(AD365=0,0,IF(AD365&lt;3,E363&amp;$AE$6,0)))</f>
        <v>0</v>
      </c>
      <c r="AF365" s="212">
        <f>IF(AE365=0,0,E363&amp;COUNTIF($AE$7:AE365,AE365))</f>
        <v>0</v>
      </c>
      <c r="AG365" s="212">
        <f t="shared" ref="AG365" si="4212">IF(E363="",0,IF(AD365=0,0,IF(AD365&gt;=3,E363&amp;$AG$6,0)))</f>
        <v>0</v>
      </c>
      <c r="AH365" s="212">
        <f>IF(AG365=0,0,E363&amp;COUNTIF($AG$7:AG365,AG365))</f>
        <v>0</v>
      </c>
      <c r="AI365" s="212">
        <f t="shared" ref="AI365" si="4213">IF($AD365=AI$6,$E363,0)</f>
        <v>0</v>
      </c>
      <c r="AJ365" s="212" t="b">
        <f>IF(AI365=0,FALSE,IF(COUNTIF(AI$7:AI365,AI365)&gt;1,TRUE,FALSE))</f>
        <v>0</v>
      </c>
      <c r="AK365" s="212">
        <f t="shared" ref="AK365" si="4214">IF($AD365=AK$6,$E363,0)</f>
        <v>0</v>
      </c>
      <c r="AL365" s="212" t="b">
        <f>IF(AK365=0,FALSE,IF(COUNTIF(AK$7:AK365,AK365)&gt;1,TRUE,FALSE))</f>
        <v>0</v>
      </c>
      <c r="AM365" s="212">
        <f t="shared" ref="AM365" si="4215">IF(COUNTIF(Y365,"*七種*")&gt;0,0,IF($AD365=AM$6,$E363,0))</f>
        <v>0</v>
      </c>
      <c r="AN365" s="212" t="b">
        <f>IF(AM365=0,FALSE,IF(COUNTIF(AM$7:AM365,AM365)&gt;1,TRUE,FALSE))</f>
        <v>0</v>
      </c>
      <c r="AO365" s="212">
        <f t="shared" ref="AO365" si="4216">IF($AD365=AO$6,$E363,0)</f>
        <v>0</v>
      </c>
      <c r="AP365" s="212" t="b">
        <f>IF(AO365=0,FALSE,IF(COUNTIF(AO$7:AO365,AO365)&gt;1,TRUE,FALSE))</f>
        <v>0</v>
      </c>
      <c r="AQ365" s="212">
        <f t="shared" ref="AQ365" si="4217">IF(COUNTIF(Y365,"*七種競技*")&gt;0,E363,0)</f>
        <v>0</v>
      </c>
      <c r="AR365" s="212" t="b">
        <f t="shared" si="3780"/>
        <v>0</v>
      </c>
      <c r="AT365" s="212" t="b">
        <f t="shared" si="3793"/>
        <v>0</v>
      </c>
      <c r="AX365" s="274"/>
      <c r="BD365" s="212" t="b">
        <f t="shared" si="3767"/>
        <v>0</v>
      </c>
      <c r="BF365" s="212" t="b">
        <f t="shared" ref="BF365" si="4218">IF(J365="",FALSE,IF(OR(AND(AU363,L365=""),AND(AU363,L365="",OR(M365&lt;&gt;"",N365&lt;&gt;"",O365&lt;&gt;"",P365&lt;&gt;""))),TRUE,FALSE))</f>
        <v>0</v>
      </c>
      <c r="BG365" s="212" t="b">
        <f t="shared" si="3769"/>
        <v>0</v>
      </c>
      <c r="BH365" s="212" t="b">
        <f t="shared" si="3782"/>
        <v>0</v>
      </c>
      <c r="BI365" s="212" t="b">
        <f t="shared" ref="BI365" si="4219">IF(J365="",FALSE,IF(L365=0,FALSE,IF(AND(AU363,NOT(BF365),OR(M365="",N365="",O365="")),TRUE,FALSE)))</f>
        <v>0</v>
      </c>
      <c r="BJ365" s="231" t="b">
        <f t="shared" si="3784"/>
        <v>0</v>
      </c>
      <c r="BK365" s="231" t="b">
        <f>IF(NOT(BJ365),FALSE,IF(AND(競技会設定!$C$5&lt;=BJ365,BJ365&lt;=競技会設定!$C$6),FALSE,TRUE))</f>
        <v>0</v>
      </c>
      <c r="BL365" s="212" t="b">
        <f>IF(J365="",FALSE,IF(L365=0,FALSE,IF(AND(AU363,NOT(BF365),NOT(BI365),P365=""),TRUE,FALSE)))</f>
        <v>0</v>
      </c>
    </row>
    <row r="366" spans="1:67" ht="18" customHeight="1" thickBot="1">
      <c r="A366" s="475"/>
      <c r="B366" s="387" t="s">
        <v>6764</v>
      </c>
      <c r="C366" s="387"/>
      <c r="D366" s="161"/>
      <c r="E366" s="467"/>
      <c r="F366" s="468"/>
      <c r="G366" s="469"/>
      <c r="H366" s="162"/>
      <c r="I366" s="161" t="s">
        <v>6759</v>
      </c>
      <c r="J366" s="177"/>
      <c r="K366" s="161" t="s">
        <v>6761</v>
      </c>
      <c r="L366" s="177"/>
      <c r="M366" s="267"/>
      <c r="N366" s="268"/>
      <c r="O366" s="269"/>
      <c r="P366" s="177"/>
      <c r="Q366" s="466"/>
      <c r="R366" s="410"/>
      <c r="S366" s="136"/>
      <c r="T366" s="137"/>
      <c r="U366" s="137"/>
      <c r="V366" s="137"/>
      <c r="W366" s="137"/>
      <c r="X366" s="137"/>
      <c r="Y366" s="212">
        <f t="shared" ref="Y366" si="4220">IF(OR(E363="",J366=""),0,J366&amp;E363)</f>
        <v>0</v>
      </c>
      <c r="Z366" s="212">
        <f>IF(Y366=0,0,COUNTIF($Y$7:Y366,Y366))</f>
        <v>0</v>
      </c>
      <c r="AD366" s="212">
        <f>IFERROR(VLOOKUP(J366,競技会設定!$T$2:$W$22,2,0),0)</f>
        <v>0</v>
      </c>
      <c r="AE366" s="212">
        <f t="shared" ref="AE366" si="4221">IF(E363="",0,IF(AD366=0,0,IF(AD366&lt;3,E363&amp;$AE$6,0)))</f>
        <v>0</v>
      </c>
      <c r="AF366" s="212">
        <f>IF(AE366=0,0,E363&amp;COUNTIF($AE$7:AE366,AE366))</f>
        <v>0</v>
      </c>
      <c r="AG366" s="212">
        <f t="shared" ref="AG366" si="4222">IF(E363="",0,IF(AD366=0,0,IF(AD366&gt;=3,E363&amp;$AG$6,0)))</f>
        <v>0</v>
      </c>
      <c r="AH366" s="212">
        <f>IF(AG366=0,0,E363&amp;COUNTIF($AG$7:AG366,AG366))</f>
        <v>0</v>
      </c>
      <c r="AI366" s="212">
        <f t="shared" ref="AI366" si="4223">IF($AD366=AI$6,$E363,0)</f>
        <v>0</v>
      </c>
      <c r="AJ366" s="212" t="b">
        <f>IF(AI366=0,FALSE,IF(COUNTIF(AI$7:AI366,AI366)&gt;1,TRUE,FALSE))</f>
        <v>0</v>
      </c>
      <c r="AK366" s="212">
        <f t="shared" ref="AK366" si="4224">IF($AD366=AK$6,$E363,0)</f>
        <v>0</v>
      </c>
      <c r="AL366" s="212" t="b">
        <f>IF(AK366=0,FALSE,IF(COUNTIF(AK$7:AK366,AK366)&gt;1,TRUE,FALSE))</f>
        <v>0</v>
      </c>
      <c r="AM366" s="212">
        <f t="shared" ref="AM366" si="4225">IF(COUNTIF(Y366,"*七種*")&gt;0,0,IF($AD366=AM$6,$E363,0))</f>
        <v>0</v>
      </c>
      <c r="AN366" s="212" t="b">
        <f>IF(AM366=0,FALSE,IF(COUNTIF(AM$7:AM366,AM366)&gt;1,TRUE,FALSE))</f>
        <v>0</v>
      </c>
      <c r="AO366" s="212">
        <f t="shared" ref="AO366" si="4226">IF($AD366=AO$6,$E363,0)</f>
        <v>0</v>
      </c>
      <c r="AP366" s="212" t="b">
        <f>IF(AO366=0,FALSE,IF(COUNTIF(AO$7:AO366,AO366)&gt;1,TRUE,FALSE))</f>
        <v>0</v>
      </c>
      <c r="AQ366" s="212">
        <f t="shared" ref="AQ366" si="4227">IF(COUNTIF(Y366,"*七種競技*")&gt;0,E363,0)</f>
        <v>0</v>
      </c>
      <c r="AR366" s="212" t="b">
        <f t="shared" si="3780"/>
        <v>0</v>
      </c>
      <c r="AT366" s="212" t="b">
        <f t="shared" si="3793"/>
        <v>0</v>
      </c>
      <c r="AX366" s="274"/>
      <c r="BD366" s="212" t="b">
        <f t="shared" si="3767"/>
        <v>0</v>
      </c>
      <c r="BF366" s="212" t="b">
        <f t="shared" ref="BF366" si="4228">IF(J366="",FALSE,IF(OR(AND(AU363,L366=""),AND(AU363,L366="",OR(M366&lt;&gt;"",N366&lt;&gt;"",O366&lt;&gt;"",P366&lt;&gt;""))),TRUE,FALSE))</f>
        <v>0</v>
      </c>
      <c r="BG366" s="212" t="b">
        <f t="shared" si="3769"/>
        <v>0</v>
      </c>
      <c r="BH366" s="212" t="b">
        <f t="shared" si="3782"/>
        <v>0</v>
      </c>
      <c r="BI366" s="212" t="b">
        <f t="shared" ref="BI366" si="4229">IF(J366="",FALSE,IF(L366=0,FALSE,IF(AND(AU363,NOT(BF366),OR(M366="",N366="",O366="")),TRUE,FALSE)))</f>
        <v>0</v>
      </c>
      <c r="BJ366" s="231" t="b">
        <f t="shared" si="3784"/>
        <v>0</v>
      </c>
      <c r="BK366" s="231" t="b">
        <f>IF(NOT(BJ366),FALSE,IF(AND(競技会設定!$C$5&lt;=BJ366,BJ366&lt;=競技会設定!$C$6),FALSE,TRUE))</f>
        <v>0</v>
      </c>
      <c r="BL366" s="212" t="b">
        <f>IF(J366="",FALSE,IF(L366=0,FALSE,IF(AND(AU363,NOT(BF366),NOT(BI366),P366=""),TRUE,FALSE)))</f>
        <v>0</v>
      </c>
    </row>
    <row r="367" spans="1:67" ht="18" customHeight="1" thickTop="1">
      <c r="A367" s="470">
        <v>91</v>
      </c>
      <c r="B367" s="401" t="s">
        <v>4018</v>
      </c>
      <c r="C367" s="403"/>
      <c r="D367" s="156" t="str">
        <f t="shared" ref="D367" si="4230">IF(C367="","",502&amp;TEXT(C367,"000000"))</f>
        <v/>
      </c>
      <c r="E367" s="473" t="str">
        <f>IF(D367="","",(VLOOKUP(D367,女子登録!$A$2:$N$2001,3,0)))</f>
        <v/>
      </c>
      <c r="F367" s="473" t="str">
        <f>IF(D367="","",(VLOOKUP(D367,女子登録!$A$2:$N$2001,4,0)))</f>
        <v/>
      </c>
      <c r="G367" s="156" t="str">
        <f>IF(C367="","",(VLOOKUP(D367,女子登録!$A$2:$N$2001,8,0)))</f>
        <v/>
      </c>
      <c r="H367" s="156">
        <f>IFERROR(VLOOKUP(D367,女子登録!$A$2:$N$2001,11,0),基本情報!$E$5)</f>
        <v>0</v>
      </c>
      <c r="I367" s="156" t="s">
        <v>4019</v>
      </c>
      <c r="J367" s="170"/>
      <c r="K367" s="156" t="s">
        <v>4022</v>
      </c>
      <c r="L367" s="170"/>
      <c r="M367" s="252"/>
      <c r="N367" s="253"/>
      <c r="O367" s="254"/>
      <c r="P367" s="170"/>
      <c r="Q367" s="457"/>
      <c r="R367" s="414"/>
      <c r="S367" s="136">
        <f t="shared" ref="S367" si="4231">IF(OR(E367="",Q367=""),0,E367)</f>
        <v>0</v>
      </c>
      <c r="T367" s="137">
        <f>IF(S367=0,0,COUNTIF($S$7:S367,"*"))</f>
        <v>0</v>
      </c>
      <c r="U367" s="137">
        <f>IF(S367=0,0,COUNTIF($S$7:S367,S367))</f>
        <v>0</v>
      </c>
      <c r="V367" s="137">
        <f t="shared" si="3996"/>
        <v>0</v>
      </c>
      <c r="W367" s="137">
        <f>IF(V367=0,0,COUNTIF($V$7:V367,"*"))</f>
        <v>0</v>
      </c>
      <c r="X367" s="137">
        <f>IF(V367=0,0,COUNTIF($V$7:V367,V367))</f>
        <v>0</v>
      </c>
      <c r="Y367" s="212">
        <f t="shared" ref="Y367" si="4232">IF(OR(E367="",J367=""),0,J367&amp;E367)</f>
        <v>0</v>
      </c>
      <c r="Z367" s="212">
        <f>IF(Y367=0,0,COUNTIF($Y$7:Y367,Y367))</f>
        <v>0</v>
      </c>
      <c r="AA367" s="212" t="b">
        <f>IF(COUNTIF(J367:J370,"七種競技")&gt;0,TRUE,FALSE)</f>
        <v>0</v>
      </c>
      <c r="AB367" s="212">
        <f>IF(E367="",0,IF(AA367,COUNTIF($AA$7:AA367,TRUE),0))</f>
        <v>0</v>
      </c>
      <c r="AC367" s="212">
        <f>IFERROR(VLOOKUP("七種競技",J367:L370,3,0),0)</f>
        <v>0</v>
      </c>
      <c r="AD367" s="212">
        <f>IFERROR(VLOOKUP(J367,競技会設定!$T$2:$W$22,2,0),0)</f>
        <v>0</v>
      </c>
      <c r="AE367" s="212">
        <f t="shared" ref="AE367" si="4233">IF(E367="",0,IF(AD367=0,0,IF(AD367&lt;3,E367&amp;$AE$6,0)))</f>
        <v>0</v>
      </c>
      <c r="AF367" s="212">
        <f>IF(AE367=0,0,E367&amp;COUNTIF($AE$7:AE367,AE367))</f>
        <v>0</v>
      </c>
      <c r="AG367" s="212">
        <f t="shared" ref="AG367" si="4234">IF(E367="",0,IF(AD367=0,0,IF(AD367&gt;=3,E367&amp;$AG$6,0)))</f>
        <v>0</v>
      </c>
      <c r="AH367" s="212">
        <f>IF(AG367=0,0,E367&amp;COUNTIF($AG$7:AG367,AG367))</f>
        <v>0</v>
      </c>
      <c r="AI367" s="212">
        <f t="shared" ref="AI367" si="4235">IF($AD367=AI$6,$E367,0)</f>
        <v>0</v>
      </c>
      <c r="AJ367" s="212" t="b">
        <f>IF(AI367=0,FALSE,IF(COUNTIF(AI$7:AI367,AI367)&gt;1,TRUE,FALSE))</f>
        <v>0</v>
      </c>
      <c r="AK367" s="212">
        <f t="shared" ref="AK367" si="4236">IF($AD367=AK$6,$E367,0)</f>
        <v>0</v>
      </c>
      <c r="AL367" s="212" t="b">
        <f>IF(AK367=0,FALSE,IF(COUNTIF(AK$7:AK367,AK367)&gt;1,TRUE,FALSE))</f>
        <v>0</v>
      </c>
      <c r="AM367" s="212">
        <f t="shared" ref="AM367" si="4237">IF(COUNTIF(Y367,"*七種*")&gt;0,0,IF($AD367=AM$6,$E367,0))</f>
        <v>0</v>
      </c>
      <c r="AN367" s="212" t="b">
        <f>IF(AM367=0,FALSE,IF(COUNTIF(AM$7:AM367,AM367)&gt;1,TRUE,FALSE))</f>
        <v>0</v>
      </c>
      <c r="AO367" s="212">
        <f t="shared" ref="AO367" si="4238">IF($AD367=AO$6,$E367,0)</f>
        <v>0</v>
      </c>
      <c r="AP367" s="212" t="b">
        <f>IF(AO367=0,FALSE,IF(COUNTIF(AO$7:AO367,AO367)&gt;1,TRUE,FALSE))</f>
        <v>0</v>
      </c>
      <c r="AQ367" s="212">
        <f t="shared" ref="AQ367" si="4239">IF(COUNTIF(Y367,"*七種競技*")&gt;0,E367,0)</f>
        <v>0</v>
      </c>
      <c r="AR367" s="212" t="b">
        <f t="shared" si="3780"/>
        <v>0</v>
      </c>
      <c r="AS367" s="212" t="b">
        <f t="shared" ref="AS367" si="4240">IF(AND(C367="",E367&lt;&gt;"",F367&lt;&gt;"",E369&lt;&gt;"",G367&lt;&gt;"",G368&lt;&gt;"",G369&lt;&gt;""),TRUE,FALSE)</f>
        <v>0</v>
      </c>
      <c r="AT367" s="212" t="b">
        <f t="shared" si="3793"/>
        <v>0</v>
      </c>
      <c r="AU367" s="212" t="b">
        <f>IFERROR(IF(E367&amp;F367&amp;E369&amp;G367&amp;G368&amp;G369&amp;J367&amp;J368&amp;J369&amp;J370&amp;L367&amp;L368&amp;L369&amp;L370&amp;M367&amp;M368&amp;M369&amp;M370&amp;P367&amp;P368&amp;P369&amp;P370&amp;Q367&amp;R367="",FALSE,TRUE),FALSE)</f>
        <v>0</v>
      </c>
      <c r="AV367" s="212" t="b">
        <f t="shared" ref="AV367" si="4241">IF(AS367,FALSE,IF(C367="",AU367,FALSE))</f>
        <v>0</v>
      </c>
      <c r="AW367" s="212" t="b">
        <f t="shared" ref="AW367" si="4242">IF(C367="",FALSE,IF(C367&lt;=2000,TRUE,FALSE))</f>
        <v>0</v>
      </c>
      <c r="AX367" s="274" t="b">
        <f>IF(H367=0,FALSE,IF(EXACT(基本情報!$E$5,H367)=TRUE,FALSE,TRUE))</f>
        <v>0</v>
      </c>
      <c r="AY367" s="212" t="b">
        <f>IF(C367="",FALSE,IF(ISNA(E367)=TRUE,TRUE,FALSE))</f>
        <v>0</v>
      </c>
      <c r="AZ367" s="274" t="b">
        <f>IFERROR(IF(E367="",FALSE,IF(COUNTIF($E$7:E367,E367)&gt;1,TRUE,FALSE)),FALSE)</f>
        <v>0</v>
      </c>
      <c r="BA367" s="212" t="b">
        <f t="shared" ref="BA367" si="4243">IF(OR(J367&amp;J368&amp;J369&amp;J370&amp;Q367&amp;R367="",AT367,AT368,AT369,AT370),AU367,FALSE)</f>
        <v>0</v>
      </c>
      <c r="BB367" s="212" t="b">
        <f>IF(U367&gt;1,TRUE,FALSE)</f>
        <v>0</v>
      </c>
      <c r="BC367" s="212" t="b">
        <f>IF(X367&gt;1,TRUE,FALSE)</f>
        <v>0</v>
      </c>
      <c r="BD367" s="212" t="b">
        <f t="shared" si="3767"/>
        <v>0</v>
      </c>
      <c r="BF367" s="212" t="b">
        <f t="shared" ref="BF367" si="4244">IF(J367="",FALSE,IF(OR(AND(AU367,L367=""),AND(AU367,L367="",OR(M367&lt;&gt;"",N367&lt;&gt;"",O367&lt;&gt;"",P367&lt;&gt;""))),TRUE,FALSE))</f>
        <v>0</v>
      </c>
      <c r="BG367" s="212" t="b">
        <f t="shared" si="3769"/>
        <v>0</v>
      </c>
      <c r="BH367" s="212" t="b">
        <f t="shared" si="3782"/>
        <v>0</v>
      </c>
      <c r="BI367" s="212" t="b">
        <f t="shared" ref="BI367" si="4245">IF(J367="",FALSE,IF(L367=0,FALSE,IF(AND(AU367,NOT(BF367),OR(M367="",N367="",O367="")),TRUE,FALSE)))</f>
        <v>0</v>
      </c>
      <c r="BJ367" s="231" t="b">
        <f t="shared" si="3784"/>
        <v>0</v>
      </c>
      <c r="BK367" s="231" t="b">
        <f>IF(NOT(BJ367),FALSE,IF(AND(競技会設定!$C$5&lt;=BJ367,BJ367&lt;=競技会設定!$C$6),FALSE,TRUE))</f>
        <v>0</v>
      </c>
      <c r="BL367" s="212" t="b">
        <f>IF(J367="",FALSE,IF(L367=0,FALSE,IF(AND(AU367,NOT(BF367),NOT(BI367),P367=""),TRUE,FALSE)))</f>
        <v>0</v>
      </c>
      <c r="BO367" s="274">
        <f t="shared" ref="BO367" si="4246">IF(AND(AU367,SUM(COUNTIF(AV367:BC367,TRUE),COUNTIF(BF367:BL370,TRUE),COUNTIF(BD367:BD370,TRUE))=0,NOT($BE$7)),1,0)</f>
        <v>0</v>
      </c>
    </row>
    <row r="368" spans="1:67" ht="17.399999999999999" customHeight="1">
      <c r="A368" s="471"/>
      <c r="B368" s="402"/>
      <c r="C368" s="404"/>
      <c r="D368" s="11"/>
      <c r="E368" s="474"/>
      <c r="F368" s="474"/>
      <c r="G368" s="11" t="str">
        <f>IF(C367="","",(VLOOKUP(D367,女子登録!$A$2:$N$2001,13,0)))</f>
        <v/>
      </c>
      <c r="H368" s="11"/>
      <c r="I368" s="11" t="s">
        <v>4020</v>
      </c>
      <c r="J368" s="171"/>
      <c r="K368" s="11" t="s">
        <v>4023</v>
      </c>
      <c r="L368" s="171"/>
      <c r="M368" s="255"/>
      <c r="N368" s="256"/>
      <c r="O368" s="257"/>
      <c r="P368" s="171"/>
      <c r="Q368" s="458"/>
      <c r="R368" s="415"/>
      <c r="S368" s="136"/>
      <c r="T368" s="137"/>
      <c r="U368" s="137"/>
      <c r="V368" s="137"/>
      <c r="W368" s="137"/>
      <c r="X368" s="137"/>
      <c r="Y368" s="212">
        <f t="shared" ref="Y368" si="4247">IF(OR(E367="",J368=""),0,J368&amp;E367)</f>
        <v>0</v>
      </c>
      <c r="Z368" s="212">
        <f>IF(Y368=0,0,COUNTIF($Y$7:Y368,Y368))</f>
        <v>0</v>
      </c>
      <c r="AD368" s="212">
        <f>IFERROR(VLOOKUP(J368,競技会設定!$T$2:$W$22,2,0),0)</f>
        <v>0</v>
      </c>
      <c r="AE368" s="212">
        <f t="shared" ref="AE368" si="4248">IF(E367="",0,IF(AD368=0,0,IF(AD368&lt;3,E367&amp;$AE$6,0)))</f>
        <v>0</v>
      </c>
      <c r="AF368" s="212">
        <f>IF(AE368=0,0,E367&amp;COUNTIF($AE$7:AE368,AE368))</f>
        <v>0</v>
      </c>
      <c r="AG368" s="212">
        <f t="shared" ref="AG368" si="4249">IF(E367="",0,IF(AD368=0,0,IF(AD368&gt;=3,E367&amp;$AG$6,0)))</f>
        <v>0</v>
      </c>
      <c r="AH368" s="212">
        <f>IF(AG368=0,0,E367&amp;COUNTIF($AG$7:AG368,AG368))</f>
        <v>0</v>
      </c>
      <c r="AI368" s="212">
        <f t="shared" ref="AI368" si="4250">IF($AD368=AI$6,$E367,0)</f>
        <v>0</v>
      </c>
      <c r="AJ368" s="212" t="b">
        <f>IF(AI368=0,FALSE,IF(COUNTIF(AI$7:AI368,AI368)&gt;1,TRUE,FALSE))</f>
        <v>0</v>
      </c>
      <c r="AK368" s="212">
        <f t="shared" ref="AK368" si="4251">IF($AD368=AK$6,$E367,0)</f>
        <v>0</v>
      </c>
      <c r="AL368" s="212" t="b">
        <f>IF(AK368=0,FALSE,IF(COUNTIF(AK$7:AK368,AK368)&gt;1,TRUE,FALSE))</f>
        <v>0</v>
      </c>
      <c r="AM368" s="212">
        <f t="shared" ref="AM368" si="4252">IF(COUNTIF(Y368,"*七種*")&gt;0,0,IF($AD368=AM$6,$E367,0))</f>
        <v>0</v>
      </c>
      <c r="AN368" s="212" t="b">
        <f>IF(AM368=0,FALSE,IF(COUNTIF(AM$7:AM368,AM368)&gt;1,TRUE,FALSE))</f>
        <v>0</v>
      </c>
      <c r="AO368" s="212">
        <f t="shared" ref="AO368" si="4253">IF($AD368=AO$6,$E367,0)</f>
        <v>0</v>
      </c>
      <c r="AP368" s="212" t="b">
        <f>IF(AO368=0,FALSE,IF(COUNTIF(AO$7:AO368,AO368)&gt;1,TRUE,FALSE))</f>
        <v>0</v>
      </c>
      <c r="AQ368" s="212">
        <f t="shared" ref="AQ368" si="4254">IF(COUNTIF(Y368,"*七種競技*")&gt;0,E367,0)</f>
        <v>0</v>
      </c>
      <c r="AR368" s="212" t="b">
        <f t="shared" si="3780"/>
        <v>0</v>
      </c>
      <c r="AT368" s="212" t="b">
        <f t="shared" si="3793"/>
        <v>0</v>
      </c>
      <c r="AX368" s="274"/>
      <c r="BD368" s="212" t="b">
        <f t="shared" si="3767"/>
        <v>0</v>
      </c>
      <c r="BF368" s="212" t="b">
        <f t="shared" ref="BF368" si="4255">IF(J368="",FALSE,IF(OR(AND(AU367,L368=""),AND(AU367,L368="",OR(M368&lt;&gt;"",N368&lt;&gt;"",O368&lt;&gt;"",P368&lt;&gt;""))),TRUE,FALSE))</f>
        <v>0</v>
      </c>
      <c r="BG368" s="212" t="b">
        <f t="shared" si="3769"/>
        <v>0</v>
      </c>
      <c r="BH368" s="212" t="b">
        <f t="shared" si="3782"/>
        <v>0</v>
      </c>
      <c r="BI368" s="212" t="b">
        <f t="shared" ref="BI368" si="4256">IF(J368="",FALSE,IF(L368=0,FALSE,IF(AND(AU367,NOT(BF368),OR(M368="",N368="",O368="")),TRUE,FALSE)))</f>
        <v>0</v>
      </c>
      <c r="BJ368" s="231" t="b">
        <f t="shared" si="3784"/>
        <v>0</v>
      </c>
      <c r="BK368" s="231" t="b">
        <f>IF(NOT(BJ368),FALSE,IF(AND(競技会設定!$C$5&lt;=BJ368,BJ368&lt;=競技会設定!$C$6),FALSE,TRUE))</f>
        <v>0</v>
      </c>
      <c r="BL368" s="212" t="b">
        <f>IF(J368="",FALSE,IF(L368=0,FALSE,IF(AND(AU367,NOT(BF368),NOT(BI368),P368=""),TRUE,FALSE)))</f>
        <v>0</v>
      </c>
    </row>
    <row r="369" spans="1:67" ht="17.399999999999999" customHeight="1">
      <c r="A369" s="471"/>
      <c r="B369" s="402"/>
      <c r="C369" s="404"/>
      <c r="D369" s="11"/>
      <c r="E369" s="348" t="str">
        <f>IF(C367="","",VLOOKUP(D367,女子登録!$A$2:$O$2001,14,0)&amp;" ("&amp;VLOOKUP(D367,女子登録!$A$2:$O$2001,15,0)&amp;")")</f>
        <v/>
      </c>
      <c r="F369" s="348"/>
      <c r="G369" s="13" t="str">
        <f>IF(C367="","",(VLOOKUP(D367,女子登録!$A$2:$N$2001,9,0)))</f>
        <v/>
      </c>
      <c r="H369" s="13"/>
      <c r="I369" s="13" t="s">
        <v>4021</v>
      </c>
      <c r="J369" s="172"/>
      <c r="K369" s="13" t="s">
        <v>6760</v>
      </c>
      <c r="L369" s="172"/>
      <c r="M369" s="255"/>
      <c r="N369" s="256"/>
      <c r="O369" s="257"/>
      <c r="P369" s="171"/>
      <c r="Q369" s="458"/>
      <c r="R369" s="415"/>
      <c r="S369" s="136"/>
      <c r="T369" s="137"/>
      <c r="U369" s="137"/>
      <c r="V369" s="137"/>
      <c r="W369" s="137"/>
      <c r="X369" s="137"/>
      <c r="Y369" s="212">
        <f t="shared" ref="Y369" si="4257">IF(OR(E367="",J369=""),0,J369&amp;E367)</f>
        <v>0</v>
      </c>
      <c r="Z369" s="212">
        <f>IF(Y369=0,0,COUNTIF($Y$7:Y369,Y369))</f>
        <v>0</v>
      </c>
      <c r="AD369" s="212">
        <f>IFERROR(VLOOKUP(J369,競技会設定!$T$2:$W$22,2,0),0)</f>
        <v>0</v>
      </c>
      <c r="AE369" s="212">
        <f t="shared" ref="AE369" si="4258">IF(E367="",0,IF(AD369=0,0,IF(AD369&lt;3,E367&amp;$AE$6,0)))</f>
        <v>0</v>
      </c>
      <c r="AF369" s="212">
        <f>IF(AE369=0,0,E367&amp;COUNTIF($AE$7:AE369,AE369))</f>
        <v>0</v>
      </c>
      <c r="AG369" s="212">
        <f t="shared" ref="AG369" si="4259">IF(E367="",0,IF(AD369=0,0,IF(AD369&gt;=3,E367&amp;$AG$6,0)))</f>
        <v>0</v>
      </c>
      <c r="AH369" s="212">
        <f>IF(AG369=0,0,E367&amp;COUNTIF($AG$7:AG369,AG369))</f>
        <v>0</v>
      </c>
      <c r="AI369" s="212">
        <f t="shared" ref="AI369" si="4260">IF($AD369=AI$6,$E367,0)</f>
        <v>0</v>
      </c>
      <c r="AJ369" s="212" t="b">
        <f>IF(AI369=0,FALSE,IF(COUNTIF(AI$7:AI369,AI369)&gt;1,TRUE,FALSE))</f>
        <v>0</v>
      </c>
      <c r="AK369" s="212">
        <f t="shared" ref="AK369" si="4261">IF($AD369=AK$6,$E367,0)</f>
        <v>0</v>
      </c>
      <c r="AL369" s="212" t="b">
        <f>IF(AK369=0,FALSE,IF(COUNTIF(AK$7:AK369,AK369)&gt;1,TRUE,FALSE))</f>
        <v>0</v>
      </c>
      <c r="AM369" s="212">
        <f t="shared" ref="AM369" si="4262">IF(COUNTIF(Y369,"*七種*")&gt;0,0,IF($AD369=AM$6,$E367,0))</f>
        <v>0</v>
      </c>
      <c r="AN369" s="212" t="b">
        <f>IF(AM369=0,FALSE,IF(COUNTIF(AM$7:AM369,AM369)&gt;1,TRUE,FALSE))</f>
        <v>0</v>
      </c>
      <c r="AO369" s="212">
        <f t="shared" ref="AO369" si="4263">IF($AD369=AO$6,$E367,0)</f>
        <v>0</v>
      </c>
      <c r="AP369" s="212" t="b">
        <f>IF(AO369=0,FALSE,IF(COUNTIF(AO$7:AO369,AO369)&gt;1,TRUE,FALSE))</f>
        <v>0</v>
      </c>
      <c r="AQ369" s="212">
        <f t="shared" ref="AQ369" si="4264">IF(COUNTIF(Y369,"*七種競技*")&gt;0,E367,0)</f>
        <v>0</v>
      </c>
      <c r="AR369" s="212" t="b">
        <f t="shared" si="3780"/>
        <v>0</v>
      </c>
      <c r="AT369" s="212" t="b">
        <f t="shared" si="3793"/>
        <v>0</v>
      </c>
      <c r="AX369" s="274"/>
      <c r="BD369" s="212" t="b">
        <f t="shared" si="3767"/>
        <v>0</v>
      </c>
      <c r="BF369" s="212" t="b">
        <f t="shared" ref="BF369" si="4265">IF(J369="",FALSE,IF(OR(AND(AU367,L369=""),AND(AU367,L369="",OR(M369&lt;&gt;"",N369&lt;&gt;"",O369&lt;&gt;"",P369&lt;&gt;""))),TRUE,FALSE))</f>
        <v>0</v>
      </c>
      <c r="BG369" s="212" t="b">
        <f t="shared" si="3769"/>
        <v>0</v>
      </c>
      <c r="BH369" s="212" t="b">
        <f t="shared" si="3782"/>
        <v>0</v>
      </c>
      <c r="BI369" s="212" t="b">
        <f t="shared" ref="BI369" si="4266">IF(J369="",FALSE,IF(L369=0,FALSE,IF(AND(AU367,NOT(BF369),OR(M369="",N369="",O369="")),TRUE,FALSE)))</f>
        <v>0</v>
      </c>
      <c r="BJ369" s="231" t="b">
        <f t="shared" si="3784"/>
        <v>0</v>
      </c>
      <c r="BK369" s="231" t="b">
        <f>IF(NOT(BJ369),FALSE,IF(AND(競技会設定!$C$5&lt;=BJ369,BJ369&lt;=競技会設定!$C$6),FALSE,TRUE))</f>
        <v>0</v>
      </c>
      <c r="BL369" s="212" t="b">
        <f>IF(J369="",FALSE,IF(L369=0,FALSE,IF(AND(AU367,NOT(BF369),NOT(BI369),P369=""),TRUE,FALSE)))</f>
        <v>0</v>
      </c>
    </row>
    <row r="370" spans="1:67" ht="18" customHeight="1" thickBot="1">
      <c r="A370" s="472"/>
      <c r="B370" s="395" t="s">
        <v>6764</v>
      </c>
      <c r="C370" s="395"/>
      <c r="D370" s="11"/>
      <c r="E370" s="460"/>
      <c r="F370" s="460"/>
      <c r="G370" s="460"/>
      <c r="H370" s="157"/>
      <c r="I370" s="157" t="s">
        <v>6759</v>
      </c>
      <c r="J370" s="173"/>
      <c r="K370" s="157" t="s">
        <v>6761</v>
      </c>
      <c r="L370" s="173"/>
      <c r="M370" s="258"/>
      <c r="N370" s="259"/>
      <c r="O370" s="260"/>
      <c r="P370" s="173"/>
      <c r="Q370" s="459"/>
      <c r="R370" s="416"/>
      <c r="S370" s="136"/>
      <c r="T370" s="137"/>
      <c r="U370" s="137"/>
      <c r="V370" s="137"/>
      <c r="W370" s="137"/>
      <c r="X370" s="137"/>
      <c r="Y370" s="212">
        <f t="shared" ref="Y370" si="4267">IF(OR(E367="",J370=""),0,J370&amp;E367)</f>
        <v>0</v>
      </c>
      <c r="Z370" s="212">
        <f>IF(Y370=0,0,COUNTIF($Y$7:Y370,Y370))</f>
        <v>0</v>
      </c>
      <c r="AD370" s="212">
        <f>IFERROR(VLOOKUP(J370,競技会設定!$T$2:$W$22,2,0),0)</f>
        <v>0</v>
      </c>
      <c r="AE370" s="212">
        <f t="shared" ref="AE370" si="4268">IF(E367="",0,IF(AD370=0,0,IF(AD370&lt;3,E367&amp;$AE$6,0)))</f>
        <v>0</v>
      </c>
      <c r="AF370" s="212">
        <f>IF(AE370=0,0,E367&amp;COUNTIF($AE$7:AE370,AE370))</f>
        <v>0</v>
      </c>
      <c r="AG370" s="212">
        <f t="shared" ref="AG370" si="4269">IF(E367="",0,IF(AD370=0,0,IF(AD370&gt;=3,E367&amp;$AG$6,0)))</f>
        <v>0</v>
      </c>
      <c r="AH370" s="212">
        <f>IF(AG370=0,0,E367&amp;COUNTIF($AG$7:AG370,AG370))</f>
        <v>0</v>
      </c>
      <c r="AI370" s="212">
        <f t="shared" ref="AI370" si="4270">IF($AD370=AI$6,$E367,0)</f>
        <v>0</v>
      </c>
      <c r="AJ370" s="212" t="b">
        <f>IF(AI370=0,FALSE,IF(COUNTIF(AI$7:AI370,AI370)&gt;1,TRUE,FALSE))</f>
        <v>0</v>
      </c>
      <c r="AK370" s="212">
        <f t="shared" ref="AK370" si="4271">IF($AD370=AK$6,$E367,0)</f>
        <v>0</v>
      </c>
      <c r="AL370" s="212" t="b">
        <f>IF(AK370=0,FALSE,IF(COUNTIF(AK$7:AK370,AK370)&gt;1,TRUE,FALSE))</f>
        <v>0</v>
      </c>
      <c r="AM370" s="212">
        <f t="shared" ref="AM370" si="4272">IF(COUNTIF(Y370,"*七種*")&gt;0,0,IF($AD370=AM$6,$E367,0))</f>
        <v>0</v>
      </c>
      <c r="AN370" s="212" t="b">
        <f>IF(AM370=0,FALSE,IF(COUNTIF(AM$7:AM370,AM370)&gt;1,TRUE,FALSE))</f>
        <v>0</v>
      </c>
      <c r="AO370" s="212">
        <f t="shared" ref="AO370" si="4273">IF($AD370=AO$6,$E367,0)</f>
        <v>0</v>
      </c>
      <c r="AP370" s="212" t="b">
        <f>IF(AO370=0,FALSE,IF(COUNTIF(AO$7:AO370,AO370)&gt;1,TRUE,FALSE))</f>
        <v>0</v>
      </c>
      <c r="AQ370" s="212">
        <f t="shared" ref="AQ370" si="4274">IF(COUNTIF(Y370,"*七種競技*")&gt;0,E367,0)</f>
        <v>0</v>
      </c>
      <c r="AR370" s="212" t="b">
        <f t="shared" si="3780"/>
        <v>0</v>
      </c>
      <c r="AT370" s="212" t="b">
        <f t="shared" si="3793"/>
        <v>0</v>
      </c>
      <c r="AX370" s="274"/>
      <c r="BD370" s="212" t="b">
        <f t="shared" si="3767"/>
        <v>0</v>
      </c>
      <c r="BF370" s="212" t="b">
        <f t="shared" ref="BF370" si="4275">IF(J370="",FALSE,IF(OR(AND(AU367,L370=""),AND(AU367,L370="",OR(M370&lt;&gt;"",N370&lt;&gt;"",O370&lt;&gt;"",P370&lt;&gt;""))),TRUE,FALSE))</f>
        <v>0</v>
      </c>
      <c r="BG370" s="212" t="b">
        <f t="shared" si="3769"/>
        <v>0</v>
      </c>
      <c r="BH370" s="212" t="b">
        <f t="shared" si="3782"/>
        <v>0</v>
      </c>
      <c r="BI370" s="212" t="b">
        <f t="shared" ref="BI370" si="4276">IF(J370="",FALSE,IF(L370=0,FALSE,IF(AND(AU367,NOT(BF370),OR(M370="",N370="",O370="")),TRUE,FALSE)))</f>
        <v>0</v>
      </c>
      <c r="BJ370" s="231" t="b">
        <f t="shared" si="3784"/>
        <v>0</v>
      </c>
      <c r="BK370" s="231" t="b">
        <f>IF(NOT(BJ370),FALSE,IF(AND(競技会設定!$C$5&lt;=BJ370,BJ370&lt;=競技会設定!$C$6),FALSE,TRUE))</f>
        <v>0</v>
      </c>
      <c r="BL370" s="212" t="b">
        <f>IF(J370="",FALSE,IF(L370=0,FALSE,IF(AND(AU367,NOT(BF370),NOT(BI370),P370=""),TRUE,FALSE)))</f>
        <v>0</v>
      </c>
    </row>
    <row r="371" spans="1:67" ht="18" customHeight="1" thickTop="1">
      <c r="A371" s="461">
        <v>92</v>
      </c>
      <c r="B371" s="373" t="s">
        <v>4018</v>
      </c>
      <c r="C371" s="375"/>
      <c r="D371" s="158" t="str">
        <f t="shared" ref="D371" si="4277">IF(C371="","",502&amp;TEXT(C371,"000000"))</f>
        <v/>
      </c>
      <c r="E371" s="464" t="str">
        <f>IF(D371="","",(VLOOKUP(D371,女子登録!$A$2:$N$2001,3,0)))</f>
        <v/>
      </c>
      <c r="F371" s="464" t="str">
        <f>IF(D371="","",(VLOOKUP(D371,女子登録!$A$2:$N$2001,4,0)))</f>
        <v/>
      </c>
      <c r="G371" s="158" t="str">
        <f>IF(C371="","",(VLOOKUP(D371,女子登録!$A$2:$N$2001,8,0)))</f>
        <v/>
      </c>
      <c r="H371" s="158">
        <f>IFERROR(VLOOKUP(D371,女子登録!$A$2:$N$2001,11,0),基本情報!$E$5)</f>
        <v>0</v>
      </c>
      <c r="I371" s="158" t="s">
        <v>4019</v>
      </c>
      <c r="J371" s="174"/>
      <c r="K371" s="158" t="s">
        <v>4022</v>
      </c>
      <c r="L371" s="174"/>
      <c r="M371" s="261"/>
      <c r="N371" s="262"/>
      <c r="O371" s="263"/>
      <c r="P371" s="174"/>
      <c r="Q371" s="448"/>
      <c r="R371" s="408"/>
      <c r="S371" s="136">
        <f t="shared" ref="S371" si="4278">IF(OR(E371="",Q371=""),0,E371)</f>
        <v>0</v>
      </c>
      <c r="T371" s="137">
        <f>IF(S371=0,0,COUNTIF($S$7:S371,"*"))</f>
        <v>0</v>
      </c>
      <c r="U371" s="137">
        <f>IF(S371=0,0,COUNTIF($S$7:S371,S371))</f>
        <v>0</v>
      </c>
      <c r="V371" s="137">
        <f t="shared" si="3996"/>
        <v>0</v>
      </c>
      <c r="W371" s="137">
        <f>IF(V371=0,0,COUNTIF($V$7:V371,"*"))</f>
        <v>0</v>
      </c>
      <c r="X371" s="137">
        <f>IF(V371=0,0,COUNTIF($V$7:V371,V371))</f>
        <v>0</v>
      </c>
      <c r="Y371" s="212">
        <f t="shared" ref="Y371" si="4279">IF(OR(E371="",J371=""),0,J371&amp;E371)</f>
        <v>0</v>
      </c>
      <c r="Z371" s="212">
        <f>IF(Y371=0,0,COUNTIF($Y$7:Y371,Y371))</f>
        <v>0</v>
      </c>
      <c r="AA371" s="212" t="b">
        <f>IF(COUNTIF(J371:J374,"七種競技")&gt;0,TRUE,FALSE)</f>
        <v>0</v>
      </c>
      <c r="AB371" s="212">
        <f>IF(E371="",0,IF(AA371,COUNTIF($AA$7:AA371,TRUE),0))</f>
        <v>0</v>
      </c>
      <c r="AC371" s="212">
        <f>IFERROR(VLOOKUP("七種競技",J371:L374,3,0),0)</f>
        <v>0</v>
      </c>
      <c r="AD371" s="212">
        <f>IFERROR(VLOOKUP(J371,競技会設定!$T$2:$W$22,2,0),0)</f>
        <v>0</v>
      </c>
      <c r="AE371" s="212">
        <f t="shared" ref="AE371" si="4280">IF(E371="",0,IF(AD371=0,0,IF(AD371&lt;3,E371&amp;$AE$6,0)))</f>
        <v>0</v>
      </c>
      <c r="AF371" s="212">
        <f>IF(AE371=0,0,E371&amp;COUNTIF($AE$7:AE371,AE371))</f>
        <v>0</v>
      </c>
      <c r="AG371" s="212">
        <f t="shared" ref="AG371" si="4281">IF(E371="",0,IF(AD371=0,0,IF(AD371&gt;=3,E371&amp;$AG$6,0)))</f>
        <v>0</v>
      </c>
      <c r="AH371" s="212">
        <f>IF(AG371=0,0,E371&amp;COUNTIF($AG$7:AG371,AG371))</f>
        <v>0</v>
      </c>
      <c r="AI371" s="212">
        <f t="shared" ref="AI371" si="4282">IF($AD371=AI$6,$E371,0)</f>
        <v>0</v>
      </c>
      <c r="AJ371" s="212" t="b">
        <f>IF(AI371=0,FALSE,IF(COUNTIF(AI$7:AI371,AI371)&gt;1,TRUE,FALSE))</f>
        <v>0</v>
      </c>
      <c r="AK371" s="212">
        <f t="shared" ref="AK371" si="4283">IF($AD371=AK$6,$E371,0)</f>
        <v>0</v>
      </c>
      <c r="AL371" s="212" t="b">
        <f>IF(AK371=0,FALSE,IF(COUNTIF(AK$7:AK371,AK371)&gt;1,TRUE,FALSE))</f>
        <v>0</v>
      </c>
      <c r="AM371" s="212">
        <f t="shared" ref="AM371" si="4284">IF(COUNTIF(Y371,"*七種*")&gt;0,0,IF($AD371=AM$6,$E371,0))</f>
        <v>0</v>
      </c>
      <c r="AN371" s="212" t="b">
        <f>IF(AM371=0,FALSE,IF(COUNTIF(AM$7:AM371,AM371)&gt;1,TRUE,FALSE))</f>
        <v>0</v>
      </c>
      <c r="AO371" s="212">
        <f t="shared" ref="AO371" si="4285">IF($AD371=AO$6,$E371,0)</f>
        <v>0</v>
      </c>
      <c r="AP371" s="212" t="b">
        <f>IF(AO371=0,FALSE,IF(COUNTIF(AO$7:AO371,AO371)&gt;1,TRUE,FALSE))</f>
        <v>0</v>
      </c>
      <c r="AQ371" s="212">
        <f t="shared" ref="AQ371" si="4286">IF(COUNTIF(Y371,"*七種競技*")&gt;0,E371,0)</f>
        <v>0</v>
      </c>
      <c r="AR371" s="212" t="b">
        <f t="shared" si="3780"/>
        <v>0</v>
      </c>
      <c r="AS371" s="212" t="b">
        <f t="shared" ref="AS371" si="4287">IF(AND(C371="",E371&lt;&gt;"",F371&lt;&gt;"",E373&lt;&gt;"",G371&lt;&gt;"",G372&lt;&gt;"",G373&lt;&gt;""),TRUE,FALSE)</f>
        <v>0</v>
      </c>
      <c r="AT371" s="212" t="b">
        <f t="shared" si="3793"/>
        <v>0</v>
      </c>
      <c r="AU371" s="212" t="b">
        <f>IFERROR(IF(E371&amp;F371&amp;E373&amp;G371&amp;G372&amp;G373&amp;J371&amp;J372&amp;J373&amp;J374&amp;L371&amp;L372&amp;L373&amp;L374&amp;M371&amp;M372&amp;M373&amp;M374&amp;P371&amp;P372&amp;P373&amp;P374&amp;Q371&amp;R371="",FALSE,TRUE),FALSE)</f>
        <v>0</v>
      </c>
      <c r="AV371" s="212" t="b">
        <f t="shared" ref="AV371" si="4288">IF(AS371,FALSE,IF(C371="",AU371,FALSE))</f>
        <v>0</v>
      </c>
      <c r="AW371" s="212" t="b">
        <f t="shared" ref="AW371" si="4289">IF(C371="",FALSE,IF(C371&lt;=2000,TRUE,FALSE))</f>
        <v>0</v>
      </c>
      <c r="AX371" s="274" t="b">
        <f>IF(H371=0,FALSE,IF(EXACT(基本情報!$E$5,H371)=TRUE,FALSE,TRUE))</f>
        <v>0</v>
      </c>
      <c r="AY371" s="212" t="b">
        <f>IF(C371="",FALSE,IF(ISNA(E371)=TRUE,TRUE,FALSE))</f>
        <v>0</v>
      </c>
      <c r="AZ371" s="274" t="b">
        <f>IFERROR(IF(E371="",FALSE,IF(COUNTIF($E$7:E371,E371)&gt;1,TRUE,FALSE)),FALSE)</f>
        <v>0</v>
      </c>
      <c r="BA371" s="212" t="b">
        <f t="shared" ref="BA371" si="4290">IF(OR(J371&amp;J372&amp;J373&amp;J374&amp;Q371&amp;R371="",AT371,AT372,AT373,AT374),AU371,FALSE)</f>
        <v>0</v>
      </c>
      <c r="BB371" s="212" t="b">
        <f>IF(U371&gt;1,TRUE,FALSE)</f>
        <v>0</v>
      </c>
      <c r="BC371" s="212" t="b">
        <f>IF(X371&gt;1,TRUE,FALSE)</f>
        <v>0</v>
      </c>
      <c r="BD371" s="212" t="b">
        <f t="shared" si="3767"/>
        <v>0</v>
      </c>
      <c r="BF371" s="212" t="b">
        <f t="shared" ref="BF371" si="4291">IF(J371="",FALSE,IF(OR(AND(AU371,L371=""),AND(AU371,L371="",OR(M371&lt;&gt;"",N371&lt;&gt;"",O371&lt;&gt;"",P371&lt;&gt;""))),TRUE,FALSE))</f>
        <v>0</v>
      </c>
      <c r="BG371" s="212" t="b">
        <f t="shared" si="3769"/>
        <v>0</v>
      </c>
      <c r="BH371" s="212" t="b">
        <f t="shared" si="3782"/>
        <v>0</v>
      </c>
      <c r="BI371" s="212" t="b">
        <f t="shared" ref="BI371" si="4292">IF(J371="",FALSE,IF(L371=0,FALSE,IF(AND(AU371,NOT(BF371),OR(M371="",N371="",O371="")),TRUE,FALSE)))</f>
        <v>0</v>
      </c>
      <c r="BJ371" s="231" t="b">
        <f t="shared" si="3784"/>
        <v>0</v>
      </c>
      <c r="BK371" s="231" t="b">
        <f>IF(NOT(BJ371),FALSE,IF(AND(競技会設定!$C$5&lt;=BJ371,BJ371&lt;=競技会設定!$C$6),FALSE,TRUE))</f>
        <v>0</v>
      </c>
      <c r="BL371" s="212" t="b">
        <f>IF(J371="",FALSE,IF(L371=0,FALSE,IF(AND(AU371,NOT(BF371),NOT(BI371),P371=""),TRUE,FALSE)))</f>
        <v>0</v>
      </c>
      <c r="BO371" s="274">
        <f t="shared" ref="BO371" si="4293">IF(AND(AU371,SUM(COUNTIF(AV371:BC371,TRUE),COUNTIF(BF371:BL374,TRUE),COUNTIF(BD371:BD374,TRUE))=0,NOT($BE$7)),1,0)</f>
        <v>0</v>
      </c>
    </row>
    <row r="372" spans="1:67" ht="17.399999999999999" customHeight="1">
      <c r="A372" s="462"/>
      <c r="B372" s="374"/>
      <c r="C372" s="376"/>
      <c r="D372" s="159"/>
      <c r="E372" s="465"/>
      <c r="F372" s="465"/>
      <c r="G372" s="159" t="str">
        <f>IF(C371="","",(VLOOKUP(D371,女子登録!$A$2:$N$2001,13,0)))</f>
        <v/>
      </c>
      <c r="H372" s="159"/>
      <c r="I372" s="159" t="s">
        <v>4020</v>
      </c>
      <c r="J372" s="175"/>
      <c r="K372" s="159" t="s">
        <v>4023</v>
      </c>
      <c r="L372" s="175"/>
      <c r="M372" s="264"/>
      <c r="N372" s="265"/>
      <c r="O372" s="266"/>
      <c r="P372" s="175"/>
      <c r="Q372" s="449"/>
      <c r="R372" s="409"/>
      <c r="S372" s="136"/>
      <c r="T372" s="137"/>
      <c r="U372" s="137"/>
      <c r="V372" s="137"/>
      <c r="W372" s="137"/>
      <c r="X372" s="137"/>
      <c r="Y372" s="212">
        <f t="shared" ref="Y372" si="4294">IF(OR(E371="",J372=""),0,J372&amp;E371)</f>
        <v>0</v>
      </c>
      <c r="Z372" s="212">
        <f>IF(Y372=0,0,COUNTIF($Y$7:Y372,Y372))</f>
        <v>0</v>
      </c>
      <c r="AD372" s="212">
        <f>IFERROR(VLOOKUP(J372,競技会設定!$T$2:$W$22,2,0),0)</f>
        <v>0</v>
      </c>
      <c r="AE372" s="212">
        <f t="shared" ref="AE372" si="4295">IF(E371="",0,IF(AD372=0,0,IF(AD372&lt;3,E371&amp;$AE$6,0)))</f>
        <v>0</v>
      </c>
      <c r="AF372" s="212">
        <f>IF(AE372=0,0,E371&amp;COUNTIF($AE$7:AE372,AE372))</f>
        <v>0</v>
      </c>
      <c r="AG372" s="212">
        <f t="shared" ref="AG372" si="4296">IF(E371="",0,IF(AD372=0,0,IF(AD372&gt;=3,E371&amp;$AG$6,0)))</f>
        <v>0</v>
      </c>
      <c r="AH372" s="212">
        <f>IF(AG372=0,0,E371&amp;COUNTIF($AG$7:AG372,AG372))</f>
        <v>0</v>
      </c>
      <c r="AI372" s="212">
        <f t="shared" ref="AI372" si="4297">IF($AD372=AI$6,$E371,0)</f>
        <v>0</v>
      </c>
      <c r="AJ372" s="212" t="b">
        <f>IF(AI372=0,FALSE,IF(COUNTIF(AI$7:AI372,AI372)&gt;1,TRUE,FALSE))</f>
        <v>0</v>
      </c>
      <c r="AK372" s="212">
        <f t="shared" ref="AK372" si="4298">IF($AD372=AK$6,$E371,0)</f>
        <v>0</v>
      </c>
      <c r="AL372" s="212" t="b">
        <f>IF(AK372=0,FALSE,IF(COUNTIF(AK$7:AK372,AK372)&gt;1,TRUE,FALSE))</f>
        <v>0</v>
      </c>
      <c r="AM372" s="212">
        <f t="shared" ref="AM372" si="4299">IF(COUNTIF(Y372,"*七種*")&gt;0,0,IF($AD372=AM$6,$E371,0))</f>
        <v>0</v>
      </c>
      <c r="AN372" s="212" t="b">
        <f>IF(AM372=0,FALSE,IF(COUNTIF(AM$7:AM372,AM372)&gt;1,TRUE,FALSE))</f>
        <v>0</v>
      </c>
      <c r="AO372" s="212">
        <f t="shared" ref="AO372" si="4300">IF($AD372=AO$6,$E371,0)</f>
        <v>0</v>
      </c>
      <c r="AP372" s="212" t="b">
        <f>IF(AO372=0,FALSE,IF(COUNTIF(AO$7:AO372,AO372)&gt;1,TRUE,FALSE))</f>
        <v>0</v>
      </c>
      <c r="AQ372" s="212">
        <f t="shared" ref="AQ372" si="4301">IF(COUNTIF(Y372,"*七種競技*")&gt;0,E371,0)</f>
        <v>0</v>
      </c>
      <c r="AR372" s="212" t="b">
        <f t="shared" si="3780"/>
        <v>0</v>
      </c>
      <c r="AT372" s="212" t="b">
        <f t="shared" si="3793"/>
        <v>0</v>
      </c>
      <c r="AX372" s="274"/>
      <c r="BD372" s="212" t="b">
        <f t="shared" si="3767"/>
        <v>0</v>
      </c>
      <c r="BF372" s="212" t="b">
        <f t="shared" ref="BF372" si="4302">IF(J372="",FALSE,IF(OR(AND(AU371,L372=""),AND(AU371,L372="",OR(M372&lt;&gt;"",N372&lt;&gt;"",O372&lt;&gt;"",P372&lt;&gt;""))),TRUE,FALSE))</f>
        <v>0</v>
      </c>
      <c r="BG372" s="212" t="b">
        <f t="shared" si="3769"/>
        <v>0</v>
      </c>
      <c r="BH372" s="212" t="b">
        <f t="shared" si="3782"/>
        <v>0</v>
      </c>
      <c r="BI372" s="212" t="b">
        <f t="shared" ref="BI372" si="4303">IF(J372="",FALSE,IF(L372=0,FALSE,IF(AND(AU371,NOT(BF372),OR(M372="",N372="",O372="")),TRUE,FALSE)))</f>
        <v>0</v>
      </c>
      <c r="BJ372" s="231" t="b">
        <f t="shared" si="3784"/>
        <v>0</v>
      </c>
      <c r="BK372" s="231" t="b">
        <f>IF(NOT(BJ372),FALSE,IF(AND(競技会設定!$C$5&lt;=BJ372,BJ372&lt;=競技会設定!$C$6),FALSE,TRUE))</f>
        <v>0</v>
      </c>
      <c r="BL372" s="212" t="b">
        <f>IF(J372="",FALSE,IF(L372=0,FALSE,IF(AND(AU371,NOT(BF372),NOT(BI372),P372=""),TRUE,FALSE)))</f>
        <v>0</v>
      </c>
    </row>
    <row r="373" spans="1:67" ht="17.399999999999999" customHeight="1">
      <c r="A373" s="462"/>
      <c r="B373" s="374"/>
      <c r="C373" s="376"/>
      <c r="D373" s="160"/>
      <c r="E373" s="452" t="str">
        <f>IF(C371="","",VLOOKUP(D371,女子登録!$A$2:$O$2001,14,0)&amp;" ("&amp;VLOOKUP(D371,女子登録!$A$2:$O$2001,15,0)&amp;")")</f>
        <v/>
      </c>
      <c r="F373" s="453"/>
      <c r="G373" s="160" t="str">
        <f>IF(C371="","",(VLOOKUP(D371,女子登録!$A$2:$N$2001,9,0)))</f>
        <v/>
      </c>
      <c r="H373" s="160"/>
      <c r="I373" s="160" t="s">
        <v>4021</v>
      </c>
      <c r="J373" s="176"/>
      <c r="K373" s="160" t="s">
        <v>6760</v>
      </c>
      <c r="L373" s="176"/>
      <c r="M373" s="264"/>
      <c r="N373" s="265"/>
      <c r="O373" s="266"/>
      <c r="P373" s="175"/>
      <c r="Q373" s="449"/>
      <c r="R373" s="409"/>
      <c r="S373" s="136"/>
      <c r="T373" s="137"/>
      <c r="U373" s="137"/>
      <c r="V373" s="137"/>
      <c r="W373" s="137"/>
      <c r="X373" s="137"/>
      <c r="Y373" s="212">
        <f t="shared" ref="Y373" si="4304">IF(OR(E371="",J373=""),0,J373&amp;E371)</f>
        <v>0</v>
      </c>
      <c r="Z373" s="212">
        <f>IF(Y373=0,0,COUNTIF($Y$7:Y373,Y373))</f>
        <v>0</v>
      </c>
      <c r="AD373" s="212">
        <f>IFERROR(VLOOKUP(J373,競技会設定!$T$2:$W$22,2,0),0)</f>
        <v>0</v>
      </c>
      <c r="AE373" s="212">
        <f t="shared" ref="AE373" si="4305">IF(E371="",0,IF(AD373=0,0,IF(AD373&lt;3,E371&amp;$AE$6,0)))</f>
        <v>0</v>
      </c>
      <c r="AF373" s="212">
        <f>IF(AE373=0,0,E371&amp;COUNTIF($AE$7:AE373,AE373))</f>
        <v>0</v>
      </c>
      <c r="AG373" s="212">
        <f t="shared" ref="AG373" si="4306">IF(E371="",0,IF(AD373=0,0,IF(AD373&gt;=3,E371&amp;$AG$6,0)))</f>
        <v>0</v>
      </c>
      <c r="AH373" s="212">
        <f>IF(AG373=0,0,E371&amp;COUNTIF($AG$7:AG373,AG373))</f>
        <v>0</v>
      </c>
      <c r="AI373" s="212">
        <f t="shared" ref="AI373" si="4307">IF($AD373=AI$6,$E371,0)</f>
        <v>0</v>
      </c>
      <c r="AJ373" s="212" t="b">
        <f>IF(AI373=0,FALSE,IF(COUNTIF(AI$7:AI373,AI373)&gt;1,TRUE,FALSE))</f>
        <v>0</v>
      </c>
      <c r="AK373" s="212">
        <f t="shared" ref="AK373" si="4308">IF($AD373=AK$6,$E371,0)</f>
        <v>0</v>
      </c>
      <c r="AL373" s="212" t="b">
        <f>IF(AK373=0,FALSE,IF(COUNTIF(AK$7:AK373,AK373)&gt;1,TRUE,FALSE))</f>
        <v>0</v>
      </c>
      <c r="AM373" s="212">
        <f t="shared" ref="AM373" si="4309">IF(COUNTIF(Y373,"*七種*")&gt;0,0,IF($AD373=AM$6,$E371,0))</f>
        <v>0</v>
      </c>
      <c r="AN373" s="212" t="b">
        <f>IF(AM373=0,FALSE,IF(COUNTIF(AM$7:AM373,AM373)&gt;1,TRUE,FALSE))</f>
        <v>0</v>
      </c>
      <c r="AO373" s="212">
        <f t="shared" ref="AO373" si="4310">IF($AD373=AO$6,$E371,0)</f>
        <v>0</v>
      </c>
      <c r="AP373" s="212" t="b">
        <f>IF(AO373=0,FALSE,IF(COUNTIF(AO$7:AO373,AO373)&gt;1,TRUE,FALSE))</f>
        <v>0</v>
      </c>
      <c r="AQ373" s="212">
        <f t="shared" ref="AQ373" si="4311">IF(COUNTIF(Y373,"*七種競技*")&gt;0,E371,0)</f>
        <v>0</v>
      </c>
      <c r="AR373" s="212" t="b">
        <f t="shared" si="3780"/>
        <v>0</v>
      </c>
      <c r="AT373" s="212" t="b">
        <f t="shared" si="3793"/>
        <v>0</v>
      </c>
      <c r="AX373" s="274"/>
      <c r="BD373" s="212" t="b">
        <f t="shared" si="3767"/>
        <v>0</v>
      </c>
      <c r="BF373" s="212" t="b">
        <f t="shared" ref="BF373" si="4312">IF(J373="",FALSE,IF(OR(AND(AU371,L373=""),AND(AU371,L373="",OR(M373&lt;&gt;"",N373&lt;&gt;"",O373&lt;&gt;"",P373&lt;&gt;""))),TRUE,FALSE))</f>
        <v>0</v>
      </c>
      <c r="BG373" s="212" t="b">
        <f t="shared" si="3769"/>
        <v>0</v>
      </c>
      <c r="BH373" s="212" t="b">
        <f t="shared" si="3782"/>
        <v>0</v>
      </c>
      <c r="BI373" s="212" t="b">
        <f t="shared" ref="BI373" si="4313">IF(J373="",FALSE,IF(L373=0,FALSE,IF(AND(AU371,NOT(BF373),OR(M373="",N373="",O373="")),TRUE,FALSE)))</f>
        <v>0</v>
      </c>
      <c r="BJ373" s="231" t="b">
        <f t="shared" si="3784"/>
        <v>0</v>
      </c>
      <c r="BK373" s="231" t="b">
        <f>IF(NOT(BJ373),FALSE,IF(AND(競技会設定!$C$5&lt;=BJ373,BJ373&lt;=競技会設定!$C$6),FALSE,TRUE))</f>
        <v>0</v>
      </c>
      <c r="BL373" s="212" t="b">
        <f>IF(J373="",FALSE,IF(L373=0,FALSE,IF(AND(AU371,NOT(BF373),NOT(BI373),P373=""),TRUE,FALSE)))</f>
        <v>0</v>
      </c>
    </row>
    <row r="374" spans="1:67" ht="18" customHeight="1" thickBot="1">
      <c r="A374" s="475"/>
      <c r="B374" s="387" t="s">
        <v>6764</v>
      </c>
      <c r="C374" s="387"/>
      <c r="D374" s="161"/>
      <c r="E374" s="467"/>
      <c r="F374" s="468"/>
      <c r="G374" s="469"/>
      <c r="H374" s="162"/>
      <c r="I374" s="161" t="s">
        <v>6759</v>
      </c>
      <c r="J374" s="177"/>
      <c r="K374" s="161" t="s">
        <v>6761</v>
      </c>
      <c r="L374" s="177"/>
      <c r="M374" s="267"/>
      <c r="N374" s="268"/>
      <c r="O374" s="269"/>
      <c r="P374" s="177"/>
      <c r="Q374" s="466"/>
      <c r="R374" s="410"/>
      <c r="S374" s="136"/>
      <c r="T374" s="137"/>
      <c r="U374" s="137"/>
      <c r="V374" s="137"/>
      <c r="W374" s="137"/>
      <c r="X374" s="137"/>
      <c r="Y374" s="212">
        <f t="shared" ref="Y374" si="4314">IF(OR(E371="",J374=""),0,J374&amp;E371)</f>
        <v>0</v>
      </c>
      <c r="Z374" s="212">
        <f>IF(Y374=0,0,COUNTIF($Y$7:Y374,Y374))</f>
        <v>0</v>
      </c>
      <c r="AD374" s="212">
        <f>IFERROR(VLOOKUP(J374,競技会設定!$T$2:$W$22,2,0),0)</f>
        <v>0</v>
      </c>
      <c r="AE374" s="212">
        <f t="shared" ref="AE374" si="4315">IF(E371="",0,IF(AD374=0,0,IF(AD374&lt;3,E371&amp;$AE$6,0)))</f>
        <v>0</v>
      </c>
      <c r="AF374" s="212">
        <f>IF(AE374=0,0,E371&amp;COUNTIF($AE$7:AE374,AE374))</f>
        <v>0</v>
      </c>
      <c r="AG374" s="212">
        <f t="shared" ref="AG374" si="4316">IF(E371="",0,IF(AD374=0,0,IF(AD374&gt;=3,E371&amp;$AG$6,0)))</f>
        <v>0</v>
      </c>
      <c r="AH374" s="212">
        <f>IF(AG374=0,0,E371&amp;COUNTIF($AG$7:AG374,AG374))</f>
        <v>0</v>
      </c>
      <c r="AI374" s="212">
        <f t="shared" ref="AI374" si="4317">IF($AD374=AI$6,$E371,0)</f>
        <v>0</v>
      </c>
      <c r="AJ374" s="212" t="b">
        <f>IF(AI374=0,FALSE,IF(COUNTIF(AI$7:AI374,AI374)&gt;1,TRUE,FALSE))</f>
        <v>0</v>
      </c>
      <c r="AK374" s="212">
        <f t="shared" ref="AK374" si="4318">IF($AD374=AK$6,$E371,0)</f>
        <v>0</v>
      </c>
      <c r="AL374" s="212" t="b">
        <f>IF(AK374=0,FALSE,IF(COUNTIF(AK$7:AK374,AK374)&gt;1,TRUE,FALSE))</f>
        <v>0</v>
      </c>
      <c r="AM374" s="212">
        <f t="shared" ref="AM374" si="4319">IF(COUNTIF(Y374,"*七種*")&gt;0,0,IF($AD374=AM$6,$E371,0))</f>
        <v>0</v>
      </c>
      <c r="AN374" s="212" t="b">
        <f>IF(AM374=0,FALSE,IF(COUNTIF(AM$7:AM374,AM374)&gt;1,TRUE,FALSE))</f>
        <v>0</v>
      </c>
      <c r="AO374" s="212">
        <f t="shared" ref="AO374" si="4320">IF($AD374=AO$6,$E371,0)</f>
        <v>0</v>
      </c>
      <c r="AP374" s="212" t="b">
        <f>IF(AO374=0,FALSE,IF(COUNTIF(AO$7:AO374,AO374)&gt;1,TRUE,FALSE))</f>
        <v>0</v>
      </c>
      <c r="AQ374" s="212">
        <f t="shared" ref="AQ374" si="4321">IF(COUNTIF(Y374,"*七種競技*")&gt;0,E371,0)</f>
        <v>0</v>
      </c>
      <c r="AR374" s="212" t="b">
        <f t="shared" si="3780"/>
        <v>0</v>
      </c>
      <c r="AT374" s="212" t="b">
        <f t="shared" si="3793"/>
        <v>0</v>
      </c>
      <c r="AX374" s="274"/>
      <c r="BD374" s="212" t="b">
        <f t="shared" si="3767"/>
        <v>0</v>
      </c>
      <c r="BF374" s="212" t="b">
        <f t="shared" ref="BF374" si="4322">IF(J374="",FALSE,IF(OR(AND(AU371,L374=""),AND(AU371,L374="",OR(M374&lt;&gt;"",N374&lt;&gt;"",O374&lt;&gt;"",P374&lt;&gt;""))),TRUE,FALSE))</f>
        <v>0</v>
      </c>
      <c r="BG374" s="212" t="b">
        <f t="shared" si="3769"/>
        <v>0</v>
      </c>
      <c r="BH374" s="212" t="b">
        <f t="shared" si="3782"/>
        <v>0</v>
      </c>
      <c r="BI374" s="212" t="b">
        <f t="shared" ref="BI374" si="4323">IF(J374="",FALSE,IF(L374=0,FALSE,IF(AND(AU371,NOT(BF374),OR(M374="",N374="",O374="")),TRUE,FALSE)))</f>
        <v>0</v>
      </c>
      <c r="BJ374" s="231" t="b">
        <f t="shared" si="3784"/>
        <v>0</v>
      </c>
      <c r="BK374" s="231" t="b">
        <f>IF(NOT(BJ374),FALSE,IF(AND(競技会設定!$C$5&lt;=BJ374,BJ374&lt;=競技会設定!$C$6),FALSE,TRUE))</f>
        <v>0</v>
      </c>
      <c r="BL374" s="212" t="b">
        <f>IF(J374="",FALSE,IF(L374=0,FALSE,IF(AND(AU371,NOT(BF374),NOT(BI374),P374=""),TRUE,FALSE)))</f>
        <v>0</v>
      </c>
    </row>
    <row r="375" spans="1:67" ht="18" customHeight="1" thickTop="1">
      <c r="A375" s="470">
        <v>93</v>
      </c>
      <c r="B375" s="401" t="s">
        <v>4018</v>
      </c>
      <c r="C375" s="403"/>
      <c r="D375" s="156" t="str">
        <f t="shared" ref="D375" si="4324">IF(C375="","",502&amp;TEXT(C375,"000000"))</f>
        <v/>
      </c>
      <c r="E375" s="473" t="str">
        <f>IF(D375="","",(VLOOKUP(D375,女子登録!$A$2:$N$2001,3,0)))</f>
        <v/>
      </c>
      <c r="F375" s="473" t="str">
        <f>IF(D375="","",(VLOOKUP(D375,女子登録!$A$2:$N$2001,4,0)))</f>
        <v/>
      </c>
      <c r="G375" s="156" t="str">
        <f>IF(C375="","",(VLOOKUP(D375,女子登録!$A$2:$N$2001,8,0)))</f>
        <v/>
      </c>
      <c r="H375" s="156">
        <f>IFERROR(VLOOKUP(D375,女子登録!$A$2:$N$2001,11,0),基本情報!$E$5)</f>
        <v>0</v>
      </c>
      <c r="I375" s="156" t="s">
        <v>4019</v>
      </c>
      <c r="J375" s="170"/>
      <c r="K375" s="156" t="s">
        <v>4022</v>
      </c>
      <c r="L375" s="170"/>
      <c r="M375" s="252"/>
      <c r="N375" s="253"/>
      <c r="O375" s="254"/>
      <c r="P375" s="170"/>
      <c r="Q375" s="457"/>
      <c r="R375" s="414"/>
      <c r="S375" s="136">
        <f t="shared" ref="S375" si="4325">IF(OR(E375="",Q375=""),0,E375)</f>
        <v>0</v>
      </c>
      <c r="T375" s="137">
        <f>IF(S375=0,0,COUNTIF($S$7:S375,"*"))</f>
        <v>0</v>
      </c>
      <c r="U375" s="137">
        <f>IF(S375=0,0,COUNTIF($S$7:S375,S375))</f>
        <v>0</v>
      </c>
      <c r="V375" s="137">
        <f t="shared" si="3996"/>
        <v>0</v>
      </c>
      <c r="W375" s="137">
        <f>IF(V375=0,0,COUNTIF($V$7:V375,"*"))</f>
        <v>0</v>
      </c>
      <c r="X375" s="137">
        <f>IF(V375=0,0,COUNTIF($V$7:V375,V375))</f>
        <v>0</v>
      </c>
      <c r="Y375" s="212">
        <f t="shared" ref="Y375" si="4326">IF(OR(E375="",J375=""),0,J375&amp;E375)</f>
        <v>0</v>
      </c>
      <c r="Z375" s="212">
        <f>IF(Y375=0,0,COUNTIF($Y$7:Y375,Y375))</f>
        <v>0</v>
      </c>
      <c r="AA375" s="212" t="b">
        <f>IF(COUNTIF(J375:J378,"七種競技")&gt;0,TRUE,FALSE)</f>
        <v>0</v>
      </c>
      <c r="AB375" s="212">
        <f>IF(E375="",0,IF(AA375,COUNTIF($AA$7:AA375,TRUE),0))</f>
        <v>0</v>
      </c>
      <c r="AC375" s="212">
        <f>IFERROR(VLOOKUP("七種競技",J375:L378,3,0),0)</f>
        <v>0</v>
      </c>
      <c r="AD375" s="212">
        <f>IFERROR(VLOOKUP(J375,競技会設定!$T$2:$W$22,2,0),0)</f>
        <v>0</v>
      </c>
      <c r="AE375" s="212">
        <f t="shared" ref="AE375" si="4327">IF(E375="",0,IF(AD375=0,0,IF(AD375&lt;3,E375&amp;$AE$6,0)))</f>
        <v>0</v>
      </c>
      <c r="AF375" s="212">
        <f>IF(AE375=0,0,E375&amp;COUNTIF($AE$7:AE375,AE375))</f>
        <v>0</v>
      </c>
      <c r="AG375" s="212">
        <f t="shared" ref="AG375" si="4328">IF(E375="",0,IF(AD375=0,0,IF(AD375&gt;=3,E375&amp;$AG$6,0)))</f>
        <v>0</v>
      </c>
      <c r="AH375" s="212">
        <f>IF(AG375=0,0,E375&amp;COUNTIF($AG$7:AG375,AG375))</f>
        <v>0</v>
      </c>
      <c r="AI375" s="212">
        <f t="shared" ref="AI375" si="4329">IF($AD375=AI$6,$E375,0)</f>
        <v>0</v>
      </c>
      <c r="AJ375" s="212" t="b">
        <f>IF(AI375=0,FALSE,IF(COUNTIF(AI$7:AI375,AI375)&gt;1,TRUE,FALSE))</f>
        <v>0</v>
      </c>
      <c r="AK375" s="212">
        <f t="shared" ref="AK375" si="4330">IF($AD375=AK$6,$E375,0)</f>
        <v>0</v>
      </c>
      <c r="AL375" s="212" t="b">
        <f>IF(AK375=0,FALSE,IF(COUNTIF(AK$7:AK375,AK375)&gt;1,TRUE,FALSE))</f>
        <v>0</v>
      </c>
      <c r="AM375" s="212">
        <f t="shared" ref="AM375" si="4331">IF(COUNTIF(Y375,"*七種*")&gt;0,0,IF($AD375=AM$6,$E375,0))</f>
        <v>0</v>
      </c>
      <c r="AN375" s="212" t="b">
        <f>IF(AM375=0,FALSE,IF(COUNTIF(AM$7:AM375,AM375)&gt;1,TRUE,FALSE))</f>
        <v>0</v>
      </c>
      <c r="AO375" s="212">
        <f t="shared" ref="AO375" si="4332">IF($AD375=AO$6,$E375,0)</f>
        <v>0</v>
      </c>
      <c r="AP375" s="212" t="b">
        <f>IF(AO375=0,FALSE,IF(COUNTIF(AO$7:AO375,AO375)&gt;1,TRUE,FALSE))</f>
        <v>0</v>
      </c>
      <c r="AQ375" s="212">
        <f t="shared" ref="AQ375" si="4333">IF(COUNTIF(Y375,"*七種競技*")&gt;0,E375,0)</f>
        <v>0</v>
      </c>
      <c r="AR375" s="212" t="b">
        <f t="shared" si="3780"/>
        <v>0</v>
      </c>
      <c r="AS375" s="212" t="b">
        <f t="shared" ref="AS375" si="4334">IF(AND(C375="",E375&lt;&gt;"",F375&lt;&gt;"",E377&lt;&gt;"",G375&lt;&gt;"",G376&lt;&gt;"",G377&lt;&gt;""),TRUE,FALSE)</f>
        <v>0</v>
      </c>
      <c r="AT375" s="212" t="b">
        <f t="shared" si="3793"/>
        <v>0</v>
      </c>
      <c r="AU375" s="212" t="b">
        <f>IFERROR(IF(E375&amp;F375&amp;E377&amp;G375&amp;G376&amp;G377&amp;J375&amp;J376&amp;J377&amp;J378&amp;L375&amp;L376&amp;L377&amp;L378&amp;M375&amp;M376&amp;M377&amp;M378&amp;P375&amp;P376&amp;P377&amp;P378&amp;Q375&amp;R375="",FALSE,TRUE),FALSE)</f>
        <v>0</v>
      </c>
      <c r="AV375" s="212" t="b">
        <f t="shared" ref="AV375" si="4335">IF(AS375,FALSE,IF(C375="",AU375,FALSE))</f>
        <v>0</v>
      </c>
      <c r="AW375" s="212" t="b">
        <f t="shared" ref="AW375" si="4336">IF(C375="",FALSE,IF(C375&lt;=2000,TRUE,FALSE))</f>
        <v>0</v>
      </c>
      <c r="AX375" s="274" t="b">
        <f>IF(H375=0,FALSE,IF(EXACT(基本情報!$E$5,H375)=TRUE,FALSE,TRUE))</f>
        <v>0</v>
      </c>
      <c r="AY375" s="212" t="b">
        <f>IF(C375="",FALSE,IF(ISNA(E375)=TRUE,TRUE,FALSE))</f>
        <v>0</v>
      </c>
      <c r="AZ375" s="274" t="b">
        <f>IFERROR(IF(E375="",FALSE,IF(COUNTIF($E$7:E375,E375)&gt;1,TRUE,FALSE)),FALSE)</f>
        <v>0</v>
      </c>
      <c r="BA375" s="212" t="b">
        <f t="shared" ref="BA375" si="4337">IF(OR(J375&amp;J376&amp;J377&amp;J378&amp;Q375&amp;R375="",AT375,AT376,AT377,AT378),AU375,FALSE)</f>
        <v>0</v>
      </c>
      <c r="BB375" s="212" t="b">
        <f>IF(U375&gt;1,TRUE,FALSE)</f>
        <v>0</v>
      </c>
      <c r="BC375" s="212" t="b">
        <f>IF(X375&gt;1,TRUE,FALSE)</f>
        <v>0</v>
      </c>
      <c r="BD375" s="212" t="b">
        <f t="shared" si="3767"/>
        <v>0</v>
      </c>
      <c r="BF375" s="212" t="b">
        <f t="shared" ref="BF375" si="4338">IF(J375="",FALSE,IF(OR(AND(AU375,L375=""),AND(AU375,L375="",OR(M375&lt;&gt;"",N375&lt;&gt;"",O375&lt;&gt;"",P375&lt;&gt;""))),TRUE,FALSE))</f>
        <v>0</v>
      </c>
      <c r="BG375" s="212" t="b">
        <f t="shared" si="3769"/>
        <v>0</v>
      </c>
      <c r="BH375" s="212" t="b">
        <f t="shared" si="3782"/>
        <v>0</v>
      </c>
      <c r="BI375" s="212" t="b">
        <f t="shared" ref="BI375" si="4339">IF(J375="",FALSE,IF(L375=0,FALSE,IF(AND(AU375,NOT(BF375),OR(M375="",N375="",O375="")),TRUE,FALSE)))</f>
        <v>0</v>
      </c>
      <c r="BJ375" s="231" t="b">
        <f t="shared" si="3784"/>
        <v>0</v>
      </c>
      <c r="BK375" s="231" t="b">
        <f>IF(NOT(BJ375),FALSE,IF(AND(競技会設定!$C$5&lt;=BJ375,BJ375&lt;=競技会設定!$C$6),FALSE,TRUE))</f>
        <v>0</v>
      </c>
      <c r="BL375" s="212" t="b">
        <f>IF(J375="",FALSE,IF(L375=0,FALSE,IF(AND(AU375,NOT(BF375),NOT(BI375),P375=""),TRUE,FALSE)))</f>
        <v>0</v>
      </c>
      <c r="BO375" s="274">
        <f t="shared" ref="BO375" si="4340">IF(AND(AU375,SUM(COUNTIF(AV375:BC375,TRUE),COUNTIF(BF375:BL378,TRUE),COUNTIF(BD375:BD378,TRUE))=0,NOT($BE$7)),1,0)</f>
        <v>0</v>
      </c>
    </row>
    <row r="376" spans="1:67" ht="17.399999999999999" customHeight="1">
      <c r="A376" s="471"/>
      <c r="B376" s="402"/>
      <c r="C376" s="404"/>
      <c r="D376" s="11"/>
      <c r="E376" s="474"/>
      <c r="F376" s="474"/>
      <c r="G376" s="11" t="str">
        <f>IF(C375="","",(VLOOKUP(D375,女子登録!$A$2:$N$2001,13,0)))</f>
        <v/>
      </c>
      <c r="H376" s="11"/>
      <c r="I376" s="11" t="s">
        <v>4020</v>
      </c>
      <c r="J376" s="171"/>
      <c r="K376" s="11" t="s">
        <v>4023</v>
      </c>
      <c r="L376" s="171"/>
      <c r="M376" s="255"/>
      <c r="N376" s="256"/>
      <c r="O376" s="257"/>
      <c r="P376" s="171"/>
      <c r="Q376" s="458"/>
      <c r="R376" s="415"/>
      <c r="S376" s="136"/>
      <c r="T376" s="137"/>
      <c r="U376" s="137"/>
      <c r="V376" s="137"/>
      <c r="W376" s="137"/>
      <c r="X376" s="137"/>
      <c r="Y376" s="212">
        <f t="shared" ref="Y376" si="4341">IF(OR(E375="",J376=""),0,J376&amp;E375)</f>
        <v>0</v>
      </c>
      <c r="Z376" s="212">
        <f>IF(Y376=0,0,COUNTIF($Y$7:Y376,Y376))</f>
        <v>0</v>
      </c>
      <c r="AD376" s="212">
        <f>IFERROR(VLOOKUP(J376,競技会設定!$T$2:$W$22,2,0),0)</f>
        <v>0</v>
      </c>
      <c r="AE376" s="212">
        <f t="shared" ref="AE376" si="4342">IF(E375="",0,IF(AD376=0,0,IF(AD376&lt;3,E375&amp;$AE$6,0)))</f>
        <v>0</v>
      </c>
      <c r="AF376" s="212">
        <f>IF(AE376=0,0,E375&amp;COUNTIF($AE$7:AE376,AE376))</f>
        <v>0</v>
      </c>
      <c r="AG376" s="212">
        <f t="shared" ref="AG376" si="4343">IF(E375="",0,IF(AD376=0,0,IF(AD376&gt;=3,E375&amp;$AG$6,0)))</f>
        <v>0</v>
      </c>
      <c r="AH376" s="212">
        <f>IF(AG376=0,0,E375&amp;COUNTIF($AG$7:AG376,AG376))</f>
        <v>0</v>
      </c>
      <c r="AI376" s="212">
        <f t="shared" ref="AI376" si="4344">IF($AD376=AI$6,$E375,0)</f>
        <v>0</v>
      </c>
      <c r="AJ376" s="212" t="b">
        <f>IF(AI376=0,FALSE,IF(COUNTIF(AI$7:AI376,AI376)&gt;1,TRUE,FALSE))</f>
        <v>0</v>
      </c>
      <c r="AK376" s="212">
        <f t="shared" ref="AK376" si="4345">IF($AD376=AK$6,$E375,0)</f>
        <v>0</v>
      </c>
      <c r="AL376" s="212" t="b">
        <f>IF(AK376=0,FALSE,IF(COUNTIF(AK$7:AK376,AK376)&gt;1,TRUE,FALSE))</f>
        <v>0</v>
      </c>
      <c r="AM376" s="212">
        <f t="shared" ref="AM376" si="4346">IF(COUNTIF(Y376,"*七種*")&gt;0,0,IF($AD376=AM$6,$E375,0))</f>
        <v>0</v>
      </c>
      <c r="AN376" s="212" t="b">
        <f>IF(AM376=0,FALSE,IF(COUNTIF(AM$7:AM376,AM376)&gt;1,TRUE,FALSE))</f>
        <v>0</v>
      </c>
      <c r="AO376" s="212">
        <f t="shared" ref="AO376" si="4347">IF($AD376=AO$6,$E375,0)</f>
        <v>0</v>
      </c>
      <c r="AP376" s="212" t="b">
        <f>IF(AO376=0,FALSE,IF(COUNTIF(AO$7:AO376,AO376)&gt;1,TRUE,FALSE))</f>
        <v>0</v>
      </c>
      <c r="AQ376" s="212">
        <f t="shared" ref="AQ376" si="4348">IF(COUNTIF(Y376,"*七種競技*")&gt;0,E375,0)</f>
        <v>0</v>
      </c>
      <c r="AR376" s="212" t="b">
        <f t="shared" si="3780"/>
        <v>0</v>
      </c>
      <c r="AT376" s="212" t="b">
        <f t="shared" si="3793"/>
        <v>0</v>
      </c>
      <c r="AX376" s="274"/>
      <c r="BD376" s="212" t="b">
        <f t="shared" si="3767"/>
        <v>0</v>
      </c>
      <c r="BF376" s="212" t="b">
        <f t="shared" ref="BF376" si="4349">IF(J376="",FALSE,IF(OR(AND(AU375,L376=""),AND(AU375,L376="",OR(M376&lt;&gt;"",N376&lt;&gt;"",O376&lt;&gt;"",P376&lt;&gt;""))),TRUE,FALSE))</f>
        <v>0</v>
      </c>
      <c r="BG376" s="212" t="b">
        <f t="shared" si="3769"/>
        <v>0</v>
      </c>
      <c r="BH376" s="212" t="b">
        <f t="shared" si="3782"/>
        <v>0</v>
      </c>
      <c r="BI376" s="212" t="b">
        <f t="shared" ref="BI376" si="4350">IF(J376="",FALSE,IF(L376=0,FALSE,IF(AND(AU375,NOT(BF376),OR(M376="",N376="",O376="")),TRUE,FALSE)))</f>
        <v>0</v>
      </c>
      <c r="BJ376" s="231" t="b">
        <f t="shared" si="3784"/>
        <v>0</v>
      </c>
      <c r="BK376" s="231" t="b">
        <f>IF(NOT(BJ376),FALSE,IF(AND(競技会設定!$C$5&lt;=BJ376,BJ376&lt;=競技会設定!$C$6),FALSE,TRUE))</f>
        <v>0</v>
      </c>
      <c r="BL376" s="212" t="b">
        <f>IF(J376="",FALSE,IF(L376=0,FALSE,IF(AND(AU375,NOT(BF376),NOT(BI376),P376=""),TRUE,FALSE)))</f>
        <v>0</v>
      </c>
    </row>
    <row r="377" spans="1:67" ht="17.399999999999999" customHeight="1">
      <c r="A377" s="471"/>
      <c r="B377" s="402"/>
      <c r="C377" s="404"/>
      <c r="D377" s="11"/>
      <c r="E377" s="348" t="str">
        <f>IF(C375="","",VLOOKUP(D375,女子登録!$A$2:$O$2001,14,0)&amp;" ("&amp;VLOOKUP(D375,女子登録!$A$2:$O$2001,15,0)&amp;")")</f>
        <v/>
      </c>
      <c r="F377" s="348"/>
      <c r="G377" s="13" t="str">
        <f>IF(C375="","",(VLOOKUP(D375,女子登録!$A$2:$N$2001,9,0)))</f>
        <v/>
      </c>
      <c r="H377" s="13"/>
      <c r="I377" s="13" t="s">
        <v>4021</v>
      </c>
      <c r="J377" s="172"/>
      <c r="K377" s="13" t="s">
        <v>6760</v>
      </c>
      <c r="L377" s="172"/>
      <c r="M377" s="255"/>
      <c r="N377" s="256"/>
      <c r="O377" s="257"/>
      <c r="P377" s="171"/>
      <c r="Q377" s="458"/>
      <c r="R377" s="415"/>
      <c r="S377" s="136"/>
      <c r="T377" s="137"/>
      <c r="U377" s="137"/>
      <c r="V377" s="137"/>
      <c r="W377" s="137"/>
      <c r="X377" s="137"/>
      <c r="Y377" s="212">
        <f t="shared" ref="Y377" si="4351">IF(OR(E375="",J377=""),0,J377&amp;E375)</f>
        <v>0</v>
      </c>
      <c r="Z377" s="212">
        <f>IF(Y377=0,0,COUNTIF($Y$7:Y377,Y377))</f>
        <v>0</v>
      </c>
      <c r="AD377" s="212">
        <f>IFERROR(VLOOKUP(J377,競技会設定!$T$2:$W$22,2,0),0)</f>
        <v>0</v>
      </c>
      <c r="AE377" s="212">
        <f t="shared" ref="AE377" si="4352">IF(E375="",0,IF(AD377=0,0,IF(AD377&lt;3,E375&amp;$AE$6,0)))</f>
        <v>0</v>
      </c>
      <c r="AF377" s="212">
        <f>IF(AE377=0,0,E375&amp;COUNTIF($AE$7:AE377,AE377))</f>
        <v>0</v>
      </c>
      <c r="AG377" s="212">
        <f t="shared" ref="AG377" si="4353">IF(E375="",0,IF(AD377=0,0,IF(AD377&gt;=3,E375&amp;$AG$6,0)))</f>
        <v>0</v>
      </c>
      <c r="AH377" s="212">
        <f>IF(AG377=0,0,E375&amp;COUNTIF($AG$7:AG377,AG377))</f>
        <v>0</v>
      </c>
      <c r="AI377" s="212">
        <f t="shared" ref="AI377" si="4354">IF($AD377=AI$6,$E375,0)</f>
        <v>0</v>
      </c>
      <c r="AJ377" s="212" t="b">
        <f>IF(AI377=0,FALSE,IF(COUNTIF(AI$7:AI377,AI377)&gt;1,TRUE,FALSE))</f>
        <v>0</v>
      </c>
      <c r="AK377" s="212">
        <f t="shared" ref="AK377" si="4355">IF($AD377=AK$6,$E375,0)</f>
        <v>0</v>
      </c>
      <c r="AL377" s="212" t="b">
        <f>IF(AK377=0,FALSE,IF(COUNTIF(AK$7:AK377,AK377)&gt;1,TRUE,FALSE))</f>
        <v>0</v>
      </c>
      <c r="AM377" s="212">
        <f t="shared" ref="AM377" si="4356">IF(COUNTIF(Y377,"*七種*")&gt;0,0,IF($AD377=AM$6,$E375,0))</f>
        <v>0</v>
      </c>
      <c r="AN377" s="212" t="b">
        <f>IF(AM377=0,FALSE,IF(COUNTIF(AM$7:AM377,AM377)&gt;1,TRUE,FALSE))</f>
        <v>0</v>
      </c>
      <c r="AO377" s="212">
        <f t="shared" ref="AO377" si="4357">IF($AD377=AO$6,$E375,0)</f>
        <v>0</v>
      </c>
      <c r="AP377" s="212" t="b">
        <f>IF(AO377=0,FALSE,IF(COUNTIF(AO$7:AO377,AO377)&gt;1,TRUE,FALSE))</f>
        <v>0</v>
      </c>
      <c r="AQ377" s="212">
        <f t="shared" ref="AQ377" si="4358">IF(COUNTIF(Y377,"*七種競技*")&gt;0,E375,0)</f>
        <v>0</v>
      </c>
      <c r="AR377" s="212" t="b">
        <f t="shared" si="3780"/>
        <v>0</v>
      </c>
      <c r="AT377" s="212" t="b">
        <f t="shared" si="3793"/>
        <v>0</v>
      </c>
      <c r="AX377" s="274"/>
      <c r="BD377" s="212" t="b">
        <f t="shared" si="3767"/>
        <v>0</v>
      </c>
      <c r="BF377" s="212" t="b">
        <f t="shared" ref="BF377" si="4359">IF(J377="",FALSE,IF(OR(AND(AU375,L377=""),AND(AU375,L377="",OR(M377&lt;&gt;"",N377&lt;&gt;"",O377&lt;&gt;"",P377&lt;&gt;""))),TRUE,FALSE))</f>
        <v>0</v>
      </c>
      <c r="BG377" s="212" t="b">
        <f t="shared" si="3769"/>
        <v>0</v>
      </c>
      <c r="BH377" s="212" t="b">
        <f t="shared" si="3782"/>
        <v>0</v>
      </c>
      <c r="BI377" s="212" t="b">
        <f t="shared" ref="BI377" si="4360">IF(J377="",FALSE,IF(L377=0,FALSE,IF(AND(AU375,NOT(BF377),OR(M377="",N377="",O377="")),TRUE,FALSE)))</f>
        <v>0</v>
      </c>
      <c r="BJ377" s="231" t="b">
        <f t="shared" si="3784"/>
        <v>0</v>
      </c>
      <c r="BK377" s="231" t="b">
        <f>IF(NOT(BJ377),FALSE,IF(AND(競技会設定!$C$5&lt;=BJ377,BJ377&lt;=競技会設定!$C$6),FALSE,TRUE))</f>
        <v>0</v>
      </c>
      <c r="BL377" s="212" t="b">
        <f>IF(J377="",FALSE,IF(L377=0,FALSE,IF(AND(AU375,NOT(BF377),NOT(BI377),P377=""),TRUE,FALSE)))</f>
        <v>0</v>
      </c>
    </row>
    <row r="378" spans="1:67" ht="18" customHeight="1" thickBot="1">
      <c r="A378" s="472"/>
      <c r="B378" s="395" t="s">
        <v>6764</v>
      </c>
      <c r="C378" s="395"/>
      <c r="D378" s="11"/>
      <c r="E378" s="460"/>
      <c r="F378" s="460"/>
      <c r="G378" s="460"/>
      <c r="H378" s="157"/>
      <c r="I378" s="157" t="s">
        <v>6759</v>
      </c>
      <c r="J378" s="173"/>
      <c r="K378" s="157" t="s">
        <v>6761</v>
      </c>
      <c r="L378" s="173"/>
      <c r="M378" s="258"/>
      <c r="N378" s="259"/>
      <c r="O378" s="260"/>
      <c r="P378" s="173"/>
      <c r="Q378" s="459"/>
      <c r="R378" s="416"/>
      <c r="S378" s="136"/>
      <c r="T378" s="137"/>
      <c r="U378" s="137"/>
      <c r="V378" s="137"/>
      <c r="W378" s="137"/>
      <c r="X378" s="137"/>
      <c r="Y378" s="212">
        <f t="shared" ref="Y378" si="4361">IF(OR(E375="",J378=""),0,J378&amp;E375)</f>
        <v>0</v>
      </c>
      <c r="Z378" s="212">
        <f>IF(Y378=0,0,COUNTIF($Y$7:Y378,Y378))</f>
        <v>0</v>
      </c>
      <c r="AD378" s="212">
        <f>IFERROR(VLOOKUP(J378,競技会設定!$T$2:$W$22,2,0),0)</f>
        <v>0</v>
      </c>
      <c r="AE378" s="212">
        <f t="shared" ref="AE378" si="4362">IF(E375="",0,IF(AD378=0,0,IF(AD378&lt;3,E375&amp;$AE$6,0)))</f>
        <v>0</v>
      </c>
      <c r="AF378" s="212">
        <f>IF(AE378=0,0,E375&amp;COUNTIF($AE$7:AE378,AE378))</f>
        <v>0</v>
      </c>
      <c r="AG378" s="212">
        <f t="shared" ref="AG378" si="4363">IF(E375="",0,IF(AD378=0,0,IF(AD378&gt;=3,E375&amp;$AG$6,0)))</f>
        <v>0</v>
      </c>
      <c r="AH378" s="212">
        <f>IF(AG378=0,0,E375&amp;COUNTIF($AG$7:AG378,AG378))</f>
        <v>0</v>
      </c>
      <c r="AI378" s="212">
        <f t="shared" ref="AI378" si="4364">IF($AD378=AI$6,$E375,0)</f>
        <v>0</v>
      </c>
      <c r="AJ378" s="212" t="b">
        <f>IF(AI378=0,FALSE,IF(COUNTIF(AI$7:AI378,AI378)&gt;1,TRUE,FALSE))</f>
        <v>0</v>
      </c>
      <c r="AK378" s="212">
        <f t="shared" ref="AK378" si="4365">IF($AD378=AK$6,$E375,0)</f>
        <v>0</v>
      </c>
      <c r="AL378" s="212" t="b">
        <f>IF(AK378=0,FALSE,IF(COUNTIF(AK$7:AK378,AK378)&gt;1,TRUE,FALSE))</f>
        <v>0</v>
      </c>
      <c r="AM378" s="212">
        <f t="shared" ref="AM378" si="4366">IF(COUNTIF(Y378,"*七種*")&gt;0,0,IF($AD378=AM$6,$E375,0))</f>
        <v>0</v>
      </c>
      <c r="AN378" s="212" t="b">
        <f>IF(AM378=0,FALSE,IF(COUNTIF(AM$7:AM378,AM378)&gt;1,TRUE,FALSE))</f>
        <v>0</v>
      </c>
      <c r="AO378" s="212">
        <f t="shared" ref="AO378" si="4367">IF($AD378=AO$6,$E375,0)</f>
        <v>0</v>
      </c>
      <c r="AP378" s="212" t="b">
        <f>IF(AO378=0,FALSE,IF(COUNTIF(AO$7:AO378,AO378)&gt;1,TRUE,FALSE))</f>
        <v>0</v>
      </c>
      <c r="AQ378" s="212">
        <f t="shared" ref="AQ378" si="4368">IF(COUNTIF(Y378,"*七種競技*")&gt;0,E375,0)</f>
        <v>0</v>
      </c>
      <c r="AR378" s="212" t="b">
        <f t="shared" si="3780"/>
        <v>0</v>
      </c>
      <c r="AT378" s="212" t="b">
        <f t="shared" si="3793"/>
        <v>0</v>
      </c>
      <c r="AX378" s="274"/>
      <c r="BD378" s="212" t="b">
        <f t="shared" si="3767"/>
        <v>0</v>
      </c>
      <c r="BF378" s="212" t="b">
        <f t="shared" ref="BF378" si="4369">IF(J378="",FALSE,IF(OR(AND(AU375,L378=""),AND(AU375,L378="",OR(M378&lt;&gt;"",N378&lt;&gt;"",O378&lt;&gt;"",P378&lt;&gt;""))),TRUE,FALSE))</f>
        <v>0</v>
      </c>
      <c r="BG378" s="212" t="b">
        <f t="shared" si="3769"/>
        <v>0</v>
      </c>
      <c r="BH378" s="212" t="b">
        <f t="shared" si="3782"/>
        <v>0</v>
      </c>
      <c r="BI378" s="212" t="b">
        <f t="shared" ref="BI378" si="4370">IF(J378="",FALSE,IF(L378=0,FALSE,IF(AND(AU375,NOT(BF378),OR(M378="",N378="",O378="")),TRUE,FALSE)))</f>
        <v>0</v>
      </c>
      <c r="BJ378" s="231" t="b">
        <f t="shared" si="3784"/>
        <v>0</v>
      </c>
      <c r="BK378" s="231" t="b">
        <f>IF(NOT(BJ378),FALSE,IF(AND(競技会設定!$C$5&lt;=BJ378,BJ378&lt;=競技会設定!$C$6),FALSE,TRUE))</f>
        <v>0</v>
      </c>
      <c r="BL378" s="212" t="b">
        <f>IF(J378="",FALSE,IF(L378=0,FALSE,IF(AND(AU375,NOT(BF378),NOT(BI378),P378=""),TRUE,FALSE)))</f>
        <v>0</v>
      </c>
    </row>
    <row r="379" spans="1:67" ht="18" customHeight="1" thickTop="1">
      <c r="A379" s="461">
        <v>94</v>
      </c>
      <c r="B379" s="373" t="s">
        <v>4018</v>
      </c>
      <c r="C379" s="375"/>
      <c r="D379" s="158" t="str">
        <f t="shared" ref="D379" si="4371">IF(C379="","",502&amp;TEXT(C379,"000000"))</f>
        <v/>
      </c>
      <c r="E379" s="464" t="str">
        <f>IF(D379="","",(VLOOKUP(D379,女子登録!$A$2:$N$2001,3,0)))</f>
        <v/>
      </c>
      <c r="F379" s="464" t="str">
        <f>IF(D379="","",(VLOOKUP(D379,女子登録!$A$2:$N$2001,4,0)))</f>
        <v/>
      </c>
      <c r="G379" s="158" t="str">
        <f>IF(C379="","",(VLOOKUP(D379,女子登録!$A$2:$N$2001,8,0)))</f>
        <v/>
      </c>
      <c r="H379" s="158">
        <f>IFERROR(VLOOKUP(D379,女子登録!$A$2:$N$2001,11,0),基本情報!$E$5)</f>
        <v>0</v>
      </c>
      <c r="I379" s="158" t="s">
        <v>4019</v>
      </c>
      <c r="J379" s="174"/>
      <c r="K379" s="158" t="s">
        <v>4022</v>
      </c>
      <c r="L379" s="174"/>
      <c r="M379" s="261"/>
      <c r="N379" s="262"/>
      <c r="O379" s="263"/>
      <c r="P379" s="174"/>
      <c r="Q379" s="448"/>
      <c r="R379" s="408"/>
      <c r="S379" s="136">
        <f t="shared" ref="S379" si="4372">IF(OR(E379="",Q379=""),0,E379)</f>
        <v>0</v>
      </c>
      <c r="T379" s="137">
        <f>IF(S379=0,0,COUNTIF($S$7:S379,"*"))</f>
        <v>0</v>
      </c>
      <c r="U379" s="137">
        <f>IF(S379=0,0,COUNTIF($S$7:S379,S379))</f>
        <v>0</v>
      </c>
      <c r="V379" s="137">
        <f t="shared" si="3996"/>
        <v>0</v>
      </c>
      <c r="W379" s="137">
        <f>IF(V379=0,0,COUNTIF($V$7:V379,"*"))</f>
        <v>0</v>
      </c>
      <c r="X379" s="137">
        <f>IF(V379=0,0,COUNTIF($V$7:V379,V379))</f>
        <v>0</v>
      </c>
      <c r="Y379" s="212">
        <f t="shared" ref="Y379" si="4373">IF(OR(E379="",J379=""),0,J379&amp;E379)</f>
        <v>0</v>
      </c>
      <c r="Z379" s="212">
        <f>IF(Y379=0,0,COUNTIF($Y$7:Y379,Y379))</f>
        <v>0</v>
      </c>
      <c r="AA379" s="212" t="b">
        <f>IF(COUNTIF(J379:J382,"七種競技")&gt;0,TRUE,FALSE)</f>
        <v>0</v>
      </c>
      <c r="AB379" s="212">
        <f>IF(E379="",0,IF(AA379,COUNTIF($AA$7:AA379,TRUE),0))</f>
        <v>0</v>
      </c>
      <c r="AC379" s="212">
        <f>IFERROR(VLOOKUP("七種競技",J379:L382,3,0),0)</f>
        <v>0</v>
      </c>
      <c r="AD379" s="212">
        <f>IFERROR(VLOOKUP(J379,競技会設定!$T$2:$W$22,2,0),0)</f>
        <v>0</v>
      </c>
      <c r="AE379" s="212">
        <f t="shared" ref="AE379" si="4374">IF(E379="",0,IF(AD379=0,0,IF(AD379&lt;3,E379&amp;$AE$6,0)))</f>
        <v>0</v>
      </c>
      <c r="AF379" s="212">
        <f>IF(AE379=0,0,E379&amp;COUNTIF($AE$7:AE379,AE379))</f>
        <v>0</v>
      </c>
      <c r="AG379" s="212">
        <f t="shared" ref="AG379" si="4375">IF(E379="",0,IF(AD379=0,0,IF(AD379&gt;=3,E379&amp;$AG$6,0)))</f>
        <v>0</v>
      </c>
      <c r="AH379" s="212">
        <f>IF(AG379=0,0,E379&amp;COUNTIF($AG$7:AG379,AG379))</f>
        <v>0</v>
      </c>
      <c r="AI379" s="212">
        <f t="shared" ref="AI379" si="4376">IF($AD379=AI$6,$E379,0)</f>
        <v>0</v>
      </c>
      <c r="AJ379" s="212" t="b">
        <f>IF(AI379=0,FALSE,IF(COUNTIF(AI$7:AI379,AI379)&gt;1,TRUE,FALSE))</f>
        <v>0</v>
      </c>
      <c r="AK379" s="212">
        <f t="shared" ref="AK379" si="4377">IF($AD379=AK$6,$E379,0)</f>
        <v>0</v>
      </c>
      <c r="AL379" s="212" t="b">
        <f>IF(AK379=0,FALSE,IF(COUNTIF(AK$7:AK379,AK379)&gt;1,TRUE,FALSE))</f>
        <v>0</v>
      </c>
      <c r="AM379" s="212">
        <f t="shared" ref="AM379" si="4378">IF(COUNTIF(Y379,"*七種*")&gt;0,0,IF($AD379=AM$6,$E379,0))</f>
        <v>0</v>
      </c>
      <c r="AN379" s="212" t="b">
        <f>IF(AM379=0,FALSE,IF(COUNTIF(AM$7:AM379,AM379)&gt;1,TRUE,FALSE))</f>
        <v>0</v>
      </c>
      <c r="AO379" s="212">
        <f t="shared" ref="AO379" si="4379">IF($AD379=AO$6,$E379,0)</f>
        <v>0</v>
      </c>
      <c r="AP379" s="212" t="b">
        <f>IF(AO379=0,FALSE,IF(COUNTIF(AO$7:AO379,AO379)&gt;1,TRUE,FALSE))</f>
        <v>0</v>
      </c>
      <c r="AQ379" s="212">
        <f t="shared" ref="AQ379" si="4380">IF(COUNTIF(Y379,"*七種競技*")&gt;0,E379,0)</f>
        <v>0</v>
      </c>
      <c r="AR379" s="212" t="b">
        <f t="shared" si="3780"/>
        <v>0</v>
      </c>
      <c r="AS379" s="212" t="b">
        <f t="shared" ref="AS379" si="4381">IF(AND(C379="",E379&lt;&gt;"",F379&lt;&gt;"",E381&lt;&gt;"",G379&lt;&gt;"",G380&lt;&gt;"",G381&lt;&gt;""),TRUE,FALSE)</f>
        <v>0</v>
      </c>
      <c r="AT379" s="212" t="b">
        <f t="shared" si="3793"/>
        <v>0</v>
      </c>
      <c r="AU379" s="212" t="b">
        <f>IFERROR(IF(E379&amp;F379&amp;E381&amp;G379&amp;G380&amp;G381&amp;J379&amp;J380&amp;J381&amp;J382&amp;L379&amp;L380&amp;L381&amp;L382&amp;M379&amp;M380&amp;M381&amp;M382&amp;P379&amp;P380&amp;P381&amp;P382&amp;Q379&amp;R379="",FALSE,TRUE),FALSE)</f>
        <v>0</v>
      </c>
      <c r="AV379" s="212" t="b">
        <f t="shared" ref="AV379" si="4382">IF(AS379,FALSE,IF(C379="",AU379,FALSE))</f>
        <v>0</v>
      </c>
      <c r="AW379" s="212" t="b">
        <f t="shared" ref="AW379" si="4383">IF(C379="",FALSE,IF(C379&lt;=2000,TRUE,FALSE))</f>
        <v>0</v>
      </c>
      <c r="AX379" s="274" t="b">
        <f>IF(H379=0,FALSE,IF(EXACT(基本情報!$E$5,H379)=TRUE,FALSE,TRUE))</f>
        <v>0</v>
      </c>
      <c r="AY379" s="212" t="b">
        <f>IF(C379="",FALSE,IF(ISNA(E379)=TRUE,TRUE,FALSE))</f>
        <v>0</v>
      </c>
      <c r="AZ379" s="274" t="b">
        <f>IFERROR(IF(E379="",FALSE,IF(COUNTIF($E$7:E379,E379)&gt;1,TRUE,FALSE)),FALSE)</f>
        <v>0</v>
      </c>
      <c r="BA379" s="212" t="b">
        <f t="shared" ref="BA379" si="4384">IF(OR(J379&amp;J380&amp;J381&amp;J382&amp;Q379&amp;R379="",AT379,AT380,AT381,AT382),AU379,FALSE)</f>
        <v>0</v>
      </c>
      <c r="BB379" s="212" t="b">
        <f>IF(U379&gt;1,TRUE,FALSE)</f>
        <v>0</v>
      </c>
      <c r="BC379" s="212" t="b">
        <f>IF(X379&gt;1,TRUE,FALSE)</f>
        <v>0</v>
      </c>
      <c r="BD379" s="212" t="b">
        <f t="shared" si="3767"/>
        <v>0</v>
      </c>
      <c r="BF379" s="212" t="b">
        <f t="shared" ref="BF379" si="4385">IF(J379="",FALSE,IF(OR(AND(AU379,L379=""),AND(AU379,L379="",OR(M379&lt;&gt;"",N379&lt;&gt;"",O379&lt;&gt;"",P379&lt;&gt;""))),TRUE,FALSE))</f>
        <v>0</v>
      </c>
      <c r="BG379" s="212" t="b">
        <f t="shared" si="3769"/>
        <v>0</v>
      </c>
      <c r="BH379" s="212" t="b">
        <f t="shared" si="3782"/>
        <v>0</v>
      </c>
      <c r="BI379" s="212" t="b">
        <f t="shared" ref="BI379" si="4386">IF(J379="",FALSE,IF(L379=0,FALSE,IF(AND(AU379,NOT(BF379),OR(M379="",N379="",O379="")),TRUE,FALSE)))</f>
        <v>0</v>
      </c>
      <c r="BJ379" s="231" t="b">
        <f t="shared" si="3784"/>
        <v>0</v>
      </c>
      <c r="BK379" s="231" t="b">
        <f>IF(NOT(BJ379),FALSE,IF(AND(競技会設定!$C$5&lt;=BJ379,BJ379&lt;=競技会設定!$C$6),FALSE,TRUE))</f>
        <v>0</v>
      </c>
      <c r="BL379" s="212" t="b">
        <f>IF(J379="",FALSE,IF(L379=0,FALSE,IF(AND(AU379,NOT(BF379),NOT(BI379),P379=""),TRUE,FALSE)))</f>
        <v>0</v>
      </c>
      <c r="BO379" s="274">
        <f t="shared" ref="BO379" si="4387">IF(AND(AU379,SUM(COUNTIF(AV379:BC379,TRUE),COUNTIF(BF379:BL382,TRUE),COUNTIF(BD379:BD382,TRUE))=0,NOT($BE$7)),1,0)</f>
        <v>0</v>
      </c>
    </row>
    <row r="380" spans="1:67" ht="17.399999999999999" customHeight="1">
      <c r="A380" s="462"/>
      <c r="B380" s="374"/>
      <c r="C380" s="376"/>
      <c r="D380" s="159"/>
      <c r="E380" s="465"/>
      <c r="F380" s="465"/>
      <c r="G380" s="159" t="str">
        <f>IF(C379="","",(VLOOKUP(D379,女子登録!$A$2:$N$2001,13,0)))</f>
        <v/>
      </c>
      <c r="H380" s="159"/>
      <c r="I380" s="159" t="s">
        <v>4020</v>
      </c>
      <c r="J380" s="175"/>
      <c r="K380" s="159" t="s">
        <v>4023</v>
      </c>
      <c r="L380" s="175"/>
      <c r="M380" s="264"/>
      <c r="N380" s="265"/>
      <c r="O380" s="266"/>
      <c r="P380" s="175"/>
      <c r="Q380" s="449"/>
      <c r="R380" s="409"/>
      <c r="S380" s="136"/>
      <c r="T380" s="137"/>
      <c r="U380" s="137"/>
      <c r="V380" s="137"/>
      <c r="W380" s="137"/>
      <c r="X380" s="137"/>
      <c r="Y380" s="212">
        <f t="shared" ref="Y380" si="4388">IF(OR(E379="",J380=""),0,J380&amp;E379)</f>
        <v>0</v>
      </c>
      <c r="Z380" s="212">
        <f>IF(Y380=0,0,COUNTIF($Y$7:Y380,Y380))</f>
        <v>0</v>
      </c>
      <c r="AD380" s="212">
        <f>IFERROR(VLOOKUP(J380,競技会設定!$T$2:$W$22,2,0),0)</f>
        <v>0</v>
      </c>
      <c r="AE380" s="212">
        <f t="shared" ref="AE380" si="4389">IF(E379="",0,IF(AD380=0,0,IF(AD380&lt;3,E379&amp;$AE$6,0)))</f>
        <v>0</v>
      </c>
      <c r="AF380" s="212">
        <f>IF(AE380=0,0,E379&amp;COUNTIF($AE$7:AE380,AE380))</f>
        <v>0</v>
      </c>
      <c r="AG380" s="212">
        <f t="shared" ref="AG380" si="4390">IF(E379="",0,IF(AD380=0,0,IF(AD380&gt;=3,E379&amp;$AG$6,0)))</f>
        <v>0</v>
      </c>
      <c r="AH380" s="212">
        <f>IF(AG380=0,0,E379&amp;COUNTIF($AG$7:AG380,AG380))</f>
        <v>0</v>
      </c>
      <c r="AI380" s="212">
        <f t="shared" ref="AI380" si="4391">IF($AD380=AI$6,$E379,0)</f>
        <v>0</v>
      </c>
      <c r="AJ380" s="212" t="b">
        <f>IF(AI380=0,FALSE,IF(COUNTIF(AI$7:AI380,AI380)&gt;1,TRUE,FALSE))</f>
        <v>0</v>
      </c>
      <c r="AK380" s="212">
        <f t="shared" ref="AK380" si="4392">IF($AD380=AK$6,$E379,0)</f>
        <v>0</v>
      </c>
      <c r="AL380" s="212" t="b">
        <f>IF(AK380=0,FALSE,IF(COUNTIF(AK$7:AK380,AK380)&gt;1,TRUE,FALSE))</f>
        <v>0</v>
      </c>
      <c r="AM380" s="212">
        <f t="shared" ref="AM380" si="4393">IF(COUNTIF(Y380,"*七種*")&gt;0,0,IF($AD380=AM$6,$E379,0))</f>
        <v>0</v>
      </c>
      <c r="AN380" s="212" t="b">
        <f>IF(AM380=0,FALSE,IF(COUNTIF(AM$7:AM380,AM380)&gt;1,TRUE,FALSE))</f>
        <v>0</v>
      </c>
      <c r="AO380" s="212">
        <f t="shared" ref="AO380" si="4394">IF($AD380=AO$6,$E379,0)</f>
        <v>0</v>
      </c>
      <c r="AP380" s="212" t="b">
        <f>IF(AO380=0,FALSE,IF(COUNTIF(AO$7:AO380,AO380)&gt;1,TRUE,FALSE))</f>
        <v>0</v>
      </c>
      <c r="AQ380" s="212">
        <f t="shared" ref="AQ380" si="4395">IF(COUNTIF(Y380,"*七種競技*")&gt;0,E379,0)</f>
        <v>0</v>
      </c>
      <c r="AR380" s="212" t="b">
        <f t="shared" si="3780"/>
        <v>0</v>
      </c>
      <c r="AT380" s="212" t="b">
        <f t="shared" si="3793"/>
        <v>0</v>
      </c>
      <c r="AX380" s="274"/>
      <c r="BD380" s="212" t="b">
        <f t="shared" si="3767"/>
        <v>0</v>
      </c>
      <c r="BF380" s="212" t="b">
        <f t="shared" ref="BF380" si="4396">IF(J380="",FALSE,IF(OR(AND(AU379,L380=""),AND(AU379,L380="",OR(M380&lt;&gt;"",N380&lt;&gt;"",O380&lt;&gt;"",P380&lt;&gt;""))),TRUE,FALSE))</f>
        <v>0</v>
      </c>
      <c r="BG380" s="212" t="b">
        <f t="shared" si="3769"/>
        <v>0</v>
      </c>
      <c r="BH380" s="212" t="b">
        <f t="shared" si="3782"/>
        <v>0</v>
      </c>
      <c r="BI380" s="212" t="b">
        <f t="shared" ref="BI380" si="4397">IF(J380="",FALSE,IF(L380=0,FALSE,IF(AND(AU379,NOT(BF380),OR(M380="",N380="",O380="")),TRUE,FALSE)))</f>
        <v>0</v>
      </c>
      <c r="BJ380" s="231" t="b">
        <f t="shared" si="3784"/>
        <v>0</v>
      </c>
      <c r="BK380" s="231" t="b">
        <f>IF(NOT(BJ380),FALSE,IF(AND(競技会設定!$C$5&lt;=BJ380,BJ380&lt;=競技会設定!$C$6),FALSE,TRUE))</f>
        <v>0</v>
      </c>
      <c r="BL380" s="212" t="b">
        <f>IF(J380="",FALSE,IF(L380=0,FALSE,IF(AND(AU379,NOT(BF380),NOT(BI380),P380=""),TRUE,FALSE)))</f>
        <v>0</v>
      </c>
    </row>
    <row r="381" spans="1:67" ht="17.399999999999999" customHeight="1">
      <c r="A381" s="462"/>
      <c r="B381" s="374"/>
      <c r="C381" s="376"/>
      <c r="D381" s="160"/>
      <c r="E381" s="452" t="str">
        <f>IF(C379="","",VLOOKUP(D379,女子登録!$A$2:$O$2001,14,0)&amp;" ("&amp;VLOOKUP(D379,女子登録!$A$2:$O$2001,15,0)&amp;")")</f>
        <v/>
      </c>
      <c r="F381" s="453"/>
      <c r="G381" s="160" t="str">
        <f>IF(C379="","",(VLOOKUP(D379,女子登録!$A$2:$N$2001,9,0)))</f>
        <v/>
      </c>
      <c r="H381" s="160"/>
      <c r="I381" s="160" t="s">
        <v>4021</v>
      </c>
      <c r="J381" s="176"/>
      <c r="K381" s="160" t="s">
        <v>6760</v>
      </c>
      <c r="L381" s="176"/>
      <c r="M381" s="264"/>
      <c r="N381" s="265"/>
      <c r="O381" s="266"/>
      <c r="P381" s="175"/>
      <c r="Q381" s="449"/>
      <c r="R381" s="409"/>
      <c r="S381" s="136"/>
      <c r="T381" s="137"/>
      <c r="U381" s="137"/>
      <c r="V381" s="137"/>
      <c r="W381" s="137"/>
      <c r="X381" s="137"/>
      <c r="Y381" s="212">
        <f t="shared" ref="Y381" si="4398">IF(OR(E379="",J381=""),0,J381&amp;E379)</f>
        <v>0</v>
      </c>
      <c r="Z381" s="212">
        <f>IF(Y381=0,0,COUNTIF($Y$7:Y381,Y381))</f>
        <v>0</v>
      </c>
      <c r="AD381" s="212">
        <f>IFERROR(VLOOKUP(J381,競技会設定!$T$2:$W$22,2,0),0)</f>
        <v>0</v>
      </c>
      <c r="AE381" s="212">
        <f t="shared" ref="AE381" si="4399">IF(E379="",0,IF(AD381=0,0,IF(AD381&lt;3,E379&amp;$AE$6,0)))</f>
        <v>0</v>
      </c>
      <c r="AF381" s="212">
        <f>IF(AE381=0,0,E379&amp;COUNTIF($AE$7:AE381,AE381))</f>
        <v>0</v>
      </c>
      <c r="AG381" s="212">
        <f t="shared" ref="AG381" si="4400">IF(E379="",0,IF(AD381=0,0,IF(AD381&gt;=3,E379&amp;$AG$6,0)))</f>
        <v>0</v>
      </c>
      <c r="AH381" s="212">
        <f>IF(AG381=0,0,E379&amp;COUNTIF($AG$7:AG381,AG381))</f>
        <v>0</v>
      </c>
      <c r="AI381" s="212">
        <f t="shared" ref="AI381" si="4401">IF($AD381=AI$6,$E379,0)</f>
        <v>0</v>
      </c>
      <c r="AJ381" s="212" t="b">
        <f>IF(AI381=0,FALSE,IF(COUNTIF(AI$7:AI381,AI381)&gt;1,TRUE,FALSE))</f>
        <v>0</v>
      </c>
      <c r="AK381" s="212">
        <f t="shared" ref="AK381" si="4402">IF($AD381=AK$6,$E379,0)</f>
        <v>0</v>
      </c>
      <c r="AL381" s="212" t="b">
        <f>IF(AK381=0,FALSE,IF(COUNTIF(AK$7:AK381,AK381)&gt;1,TRUE,FALSE))</f>
        <v>0</v>
      </c>
      <c r="AM381" s="212">
        <f t="shared" ref="AM381" si="4403">IF(COUNTIF(Y381,"*七種*")&gt;0,0,IF($AD381=AM$6,$E379,0))</f>
        <v>0</v>
      </c>
      <c r="AN381" s="212" t="b">
        <f>IF(AM381=0,FALSE,IF(COUNTIF(AM$7:AM381,AM381)&gt;1,TRUE,FALSE))</f>
        <v>0</v>
      </c>
      <c r="AO381" s="212">
        <f t="shared" ref="AO381" si="4404">IF($AD381=AO$6,$E379,0)</f>
        <v>0</v>
      </c>
      <c r="AP381" s="212" t="b">
        <f>IF(AO381=0,FALSE,IF(COUNTIF(AO$7:AO381,AO381)&gt;1,TRUE,FALSE))</f>
        <v>0</v>
      </c>
      <c r="AQ381" s="212">
        <f t="shared" ref="AQ381" si="4405">IF(COUNTIF(Y381,"*七種競技*")&gt;0,E379,0)</f>
        <v>0</v>
      </c>
      <c r="AR381" s="212" t="b">
        <f t="shared" si="3780"/>
        <v>0</v>
      </c>
      <c r="AT381" s="212" t="b">
        <f t="shared" si="3793"/>
        <v>0</v>
      </c>
      <c r="AX381" s="274"/>
      <c r="BD381" s="212" t="b">
        <f t="shared" si="3767"/>
        <v>0</v>
      </c>
      <c r="BF381" s="212" t="b">
        <f t="shared" ref="BF381" si="4406">IF(J381="",FALSE,IF(OR(AND(AU379,L381=""),AND(AU379,L381="",OR(M381&lt;&gt;"",N381&lt;&gt;"",O381&lt;&gt;"",P381&lt;&gt;""))),TRUE,FALSE))</f>
        <v>0</v>
      </c>
      <c r="BG381" s="212" t="b">
        <f t="shared" si="3769"/>
        <v>0</v>
      </c>
      <c r="BH381" s="212" t="b">
        <f t="shared" si="3782"/>
        <v>0</v>
      </c>
      <c r="BI381" s="212" t="b">
        <f t="shared" ref="BI381" si="4407">IF(J381="",FALSE,IF(L381=0,FALSE,IF(AND(AU379,NOT(BF381),OR(M381="",N381="",O381="")),TRUE,FALSE)))</f>
        <v>0</v>
      </c>
      <c r="BJ381" s="231" t="b">
        <f t="shared" si="3784"/>
        <v>0</v>
      </c>
      <c r="BK381" s="231" t="b">
        <f>IF(NOT(BJ381),FALSE,IF(AND(競技会設定!$C$5&lt;=BJ381,BJ381&lt;=競技会設定!$C$6),FALSE,TRUE))</f>
        <v>0</v>
      </c>
      <c r="BL381" s="212" t="b">
        <f>IF(J381="",FALSE,IF(L381=0,FALSE,IF(AND(AU379,NOT(BF381),NOT(BI381),P381=""),TRUE,FALSE)))</f>
        <v>0</v>
      </c>
    </row>
    <row r="382" spans="1:67" ht="18" customHeight="1" thickBot="1">
      <c r="A382" s="475"/>
      <c r="B382" s="387" t="s">
        <v>6764</v>
      </c>
      <c r="C382" s="387"/>
      <c r="D382" s="161"/>
      <c r="E382" s="467"/>
      <c r="F382" s="468"/>
      <c r="G382" s="469"/>
      <c r="H382" s="162"/>
      <c r="I382" s="161" t="s">
        <v>6759</v>
      </c>
      <c r="J382" s="177"/>
      <c r="K382" s="161" t="s">
        <v>6761</v>
      </c>
      <c r="L382" s="177"/>
      <c r="M382" s="267"/>
      <c r="N382" s="268"/>
      <c r="O382" s="269"/>
      <c r="P382" s="177"/>
      <c r="Q382" s="466"/>
      <c r="R382" s="410"/>
      <c r="S382" s="136"/>
      <c r="T382" s="137"/>
      <c r="U382" s="137"/>
      <c r="V382" s="137"/>
      <c r="W382" s="137"/>
      <c r="X382" s="137"/>
      <c r="Y382" s="212">
        <f t="shared" ref="Y382" si="4408">IF(OR(E379="",J382=""),0,J382&amp;E379)</f>
        <v>0</v>
      </c>
      <c r="Z382" s="212">
        <f>IF(Y382=0,0,COUNTIF($Y$7:Y382,Y382))</f>
        <v>0</v>
      </c>
      <c r="AD382" s="212">
        <f>IFERROR(VLOOKUP(J382,競技会設定!$T$2:$W$22,2,0),0)</f>
        <v>0</v>
      </c>
      <c r="AE382" s="212">
        <f t="shared" ref="AE382" si="4409">IF(E379="",0,IF(AD382=0,0,IF(AD382&lt;3,E379&amp;$AE$6,0)))</f>
        <v>0</v>
      </c>
      <c r="AF382" s="212">
        <f>IF(AE382=0,0,E379&amp;COUNTIF($AE$7:AE382,AE382))</f>
        <v>0</v>
      </c>
      <c r="AG382" s="212">
        <f t="shared" ref="AG382" si="4410">IF(E379="",0,IF(AD382=0,0,IF(AD382&gt;=3,E379&amp;$AG$6,0)))</f>
        <v>0</v>
      </c>
      <c r="AH382" s="212">
        <f>IF(AG382=0,0,E379&amp;COUNTIF($AG$7:AG382,AG382))</f>
        <v>0</v>
      </c>
      <c r="AI382" s="212">
        <f t="shared" ref="AI382" si="4411">IF($AD382=AI$6,$E379,0)</f>
        <v>0</v>
      </c>
      <c r="AJ382" s="212" t="b">
        <f>IF(AI382=0,FALSE,IF(COUNTIF(AI$7:AI382,AI382)&gt;1,TRUE,FALSE))</f>
        <v>0</v>
      </c>
      <c r="AK382" s="212">
        <f t="shared" ref="AK382" si="4412">IF($AD382=AK$6,$E379,0)</f>
        <v>0</v>
      </c>
      <c r="AL382" s="212" t="b">
        <f>IF(AK382=0,FALSE,IF(COUNTIF(AK$7:AK382,AK382)&gt;1,TRUE,FALSE))</f>
        <v>0</v>
      </c>
      <c r="AM382" s="212">
        <f t="shared" ref="AM382" si="4413">IF(COUNTIF(Y382,"*七種*")&gt;0,0,IF($AD382=AM$6,$E379,0))</f>
        <v>0</v>
      </c>
      <c r="AN382" s="212" t="b">
        <f>IF(AM382=0,FALSE,IF(COUNTIF(AM$7:AM382,AM382)&gt;1,TRUE,FALSE))</f>
        <v>0</v>
      </c>
      <c r="AO382" s="212">
        <f t="shared" ref="AO382" si="4414">IF($AD382=AO$6,$E379,0)</f>
        <v>0</v>
      </c>
      <c r="AP382" s="212" t="b">
        <f>IF(AO382=0,FALSE,IF(COUNTIF(AO$7:AO382,AO382)&gt;1,TRUE,FALSE))</f>
        <v>0</v>
      </c>
      <c r="AQ382" s="212">
        <f t="shared" ref="AQ382" si="4415">IF(COUNTIF(Y382,"*七種競技*")&gt;0,E379,0)</f>
        <v>0</v>
      </c>
      <c r="AR382" s="212" t="b">
        <f t="shared" si="3780"/>
        <v>0</v>
      </c>
      <c r="AT382" s="212" t="b">
        <f t="shared" si="3793"/>
        <v>0</v>
      </c>
      <c r="AX382" s="274"/>
      <c r="BD382" s="212" t="b">
        <f t="shared" si="3767"/>
        <v>0</v>
      </c>
      <c r="BF382" s="212" t="b">
        <f t="shared" ref="BF382" si="4416">IF(J382="",FALSE,IF(OR(AND(AU379,L382=""),AND(AU379,L382="",OR(M382&lt;&gt;"",N382&lt;&gt;"",O382&lt;&gt;"",P382&lt;&gt;""))),TRUE,FALSE))</f>
        <v>0</v>
      </c>
      <c r="BG382" s="212" t="b">
        <f t="shared" si="3769"/>
        <v>0</v>
      </c>
      <c r="BH382" s="212" t="b">
        <f t="shared" si="3782"/>
        <v>0</v>
      </c>
      <c r="BI382" s="212" t="b">
        <f t="shared" ref="BI382" si="4417">IF(J382="",FALSE,IF(L382=0,FALSE,IF(AND(AU379,NOT(BF382),OR(M382="",N382="",O382="")),TRUE,FALSE)))</f>
        <v>0</v>
      </c>
      <c r="BJ382" s="231" t="b">
        <f t="shared" si="3784"/>
        <v>0</v>
      </c>
      <c r="BK382" s="231" t="b">
        <f>IF(NOT(BJ382),FALSE,IF(AND(競技会設定!$C$5&lt;=BJ382,BJ382&lt;=競技会設定!$C$6),FALSE,TRUE))</f>
        <v>0</v>
      </c>
      <c r="BL382" s="212" t="b">
        <f>IF(J382="",FALSE,IF(L382=0,FALSE,IF(AND(AU379,NOT(BF382),NOT(BI382),P382=""),TRUE,FALSE)))</f>
        <v>0</v>
      </c>
    </row>
    <row r="383" spans="1:67" ht="18" customHeight="1" thickTop="1">
      <c r="A383" s="470">
        <v>95</v>
      </c>
      <c r="B383" s="401" t="s">
        <v>4018</v>
      </c>
      <c r="C383" s="403"/>
      <c r="D383" s="156" t="str">
        <f t="shared" ref="D383" si="4418">IF(C383="","",502&amp;TEXT(C383,"000000"))</f>
        <v/>
      </c>
      <c r="E383" s="473" t="str">
        <f>IF(D383="","",(VLOOKUP(D383,女子登録!$A$2:$N$2001,3,0)))</f>
        <v/>
      </c>
      <c r="F383" s="473" t="str">
        <f>IF(D383="","",(VLOOKUP(D383,女子登録!$A$2:$N$2001,4,0)))</f>
        <v/>
      </c>
      <c r="G383" s="156" t="str">
        <f>IF(C383="","",(VLOOKUP(D383,女子登録!$A$2:$N$2001,8,0)))</f>
        <v/>
      </c>
      <c r="H383" s="156">
        <f>IFERROR(VLOOKUP(D383,女子登録!$A$2:$N$2001,11,0),基本情報!$E$5)</f>
        <v>0</v>
      </c>
      <c r="I383" s="156" t="s">
        <v>4019</v>
      </c>
      <c r="J383" s="170"/>
      <c r="K383" s="156" t="s">
        <v>4022</v>
      </c>
      <c r="L383" s="170"/>
      <c r="M383" s="252"/>
      <c r="N383" s="253"/>
      <c r="O383" s="254"/>
      <c r="P383" s="170"/>
      <c r="Q383" s="457"/>
      <c r="R383" s="414"/>
      <c r="S383" s="136">
        <f t="shared" ref="S383" si="4419">IF(OR(E383="",Q383=""),0,E383)</f>
        <v>0</v>
      </c>
      <c r="T383" s="137">
        <f>IF(S383=0,0,COUNTIF($S$7:S383,"*"))</f>
        <v>0</v>
      </c>
      <c r="U383" s="137">
        <f>IF(S383=0,0,COUNTIF($S$7:S383,S383))</f>
        <v>0</v>
      </c>
      <c r="V383" s="137">
        <f t="shared" si="3996"/>
        <v>0</v>
      </c>
      <c r="W383" s="137">
        <f>IF(V383=0,0,COUNTIF($V$7:V383,"*"))</f>
        <v>0</v>
      </c>
      <c r="X383" s="137">
        <f>IF(V383=0,0,COUNTIF($V$7:V383,V383))</f>
        <v>0</v>
      </c>
      <c r="Y383" s="212">
        <f t="shared" ref="Y383" si="4420">IF(OR(E383="",J383=""),0,J383&amp;E383)</f>
        <v>0</v>
      </c>
      <c r="Z383" s="212">
        <f>IF(Y383=0,0,COUNTIF($Y$7:Y383,Y383))</f>
        <v>0</v>
      </c>
      <c r="AA383" s="212" t="b">
        <f>IF(COUNTIF(J383:J386,"七種競技")&gt;0,TRUE,FALSE)</f>
        <v>0</v>
      </c>
      <c r="AB383" s="212">
        <f>IF(E383="",0,IF(AA383,COUNTIF($AA$7:AA383,TRUE),0))</f>
        <v>0</v>
      </c>
      <c r="AC383" s="212">
        <f>IFERROR(VLOOKUP("七種競技",J383:L386,3,0),0)</f>
        <v>0</v>
      </c>
      <c r="AD383" s="212">
        <f>IFERROR(VLOOKUP(J383,競技会設定!$T$2:$W$22,2,0),0)</f>
        <v>0</v>
      </c>
      <c r="AE383" s="212">
        <f t="shared" ref="AE383" si="4421">IF(E383="",0,IF(AD383=0,0,IF(AD383&lt;3,E383&amp;$AE$6,0)))</f>
        <v>0</v>
      </c>
      <c r="AF383" s="212">
        <f>IF(AE383=0,0,E383&amp;COUNTIF($AE$7:AE383,AE383))</f>
        <v>0</v>
      </c>
      <c r="AG383" s="212">
        <f t="shared" ref="AG383" si="4422">IF(E383="",0,IF(AD383=0,0,IF(AD383&gt;=3,E383&amp;$AG$6,0)))</f>
        <v>0</v>
      </c>
      <c r="AH383" s="212">
        <f>IF(AG383=0,0,E383&amp;COUNTIF($AG$7:AG383,AG383))</f>
        <v>0</v>
      </c>
      <c r="AI383" s="212">
        <f t="shared" ref="AI383" si="4423">IF($AD383=AI$6,$E383,0)</f>
        <v>0</v>
      </c>
      <c r="AJ383" s="212" t="b">
        <f>IF(AI383=0,FALSE,IF(COUNTIF(AI$7:AI383,AI383)&gt;1,TRUE,FALSE))</f>
        <v>0</v>
      </c>
      <c r="AK383" s="212">
        <f t="shared" ref="AK383" si="4424">IF($AD383=AK$6,$E383,0)</f>
        <v>0</v>
      </c>
      <c r="AL383" s="212" t="b">
        <f>IF(AK383=0,FALSE,IF(COUNTIF(AK$7:AK383,AK383)&gt;1,TRUE,FALSE))</f>
        <v>0</v>
      </c>
      <c r="AM383" s="212">
        <f t="shared" ref="AM383" si="4425">IF(COUNTIF(Y383,"*七種*")&gt;0,0,IF($AD383=AM$6,$E383,0))</f>
        <v>0</v>
      </c>
      <c r="AN383" s="212" t="b">
        <f>IF(AM383=0,FALSE,IF(COUNTIF(AM$7:AM383,AM383)&gt;1,TRUE,FALSE))</f>
        <v>0</v>
      </c>
      <c r="AO383" s="212">
        <f t="shared" ref="AO383" si="4426">IF($AD383=AO$6,$E383,0)</f>
        <v>0</v>
      </c>
      <c r="AP383" s="212" t="b">
        <f>IF(AO383=0,FALSE,IF(COUNTIF(AO$7:AO383,AO383)&gt;1,TRUE,FALSE))</f>
        <v>0</v>
      </c>
      <c r="AQ383" s="212">
        <f t="shared" ref="AQ383" si="4427">IF(COUNTIF(Y383,"*七種競技*")&gt;0,E383,0)</f>
        <v>0</v>
      </c>
      <c r="AR383" s="212" t="b">
        <f t="shared" si="3780"/>
        <v>0</v>
      </c>
      <c r="AS383" s="212" t="b">
        <f t="shared" ref="AS383" si="4428">IF(AND(C383="",E383&lt;&gt;"",F383&lt;&gt;"",E385&lt;&gt;"",G383&lt;&gt;"",G384&lt;&gt;"",G385&lt;&gt;""),TRUE,FALSE)</f>
        <v>0</v>
      </c>
      <c r="AT383" s="212" t="b">
        <f t="shared" si="3793"/>
        <v>0</v>
      </c>
      <c r="AU383" s="212" t="b">
        <f>IFERROR(IF(E383&amp;F383&amp;E385&amp;G383&amp;G384&amp;G385&amp;J383&amp;J384&amp;J385&amp;J386&amp;L383&amp;L384&amp;L385&amp;L386&amp;M383&amp;M384&amp;M385&amp;M386&amp;P383&amp;P384&amp;P385&amp;P386&amp;Q383&amp;R383="",FALSE,TRUE),FALSE)</f>
        <v>0</v>
      </c>
      <c r="AV383" s="212" t="b">
        <f t="shared" ref="AV383" si="4429">IF(AS383,FALSE,IF(C383="",AU383,FALSE))</f>
        <v>0</v>
      </c>
      <c r="AW383" s="212" t="b">
        <f t="shared" ref="AW383" si="4430">IF(C383="",FALSE,IF(C383&lt;=2000,TRUE,FALSE))</f>
        <v>0</v>
      </c>
      <c r="AX383" s="274" t="b">
        <f>IF(H383=0,FALSE,IF(EXACT(基本情報!$E$5,H383)=TRUE,FALSE,TRUE))</f>
        <v>0</v>
      </c>
      <c r="AY383" s="212" t="b">
        <f>IF(C383="",FALSE,IF(ISNA(E383)=TRUE,TRUE,FALSE))</f>
        <v>0</v>
      </c>
      <c r="AZ383" s="274" t="b">
        <f>IFERROR(IF(E383="",FALSE,IF(COUNTIF($E$7:E383,E383)&gt;1,TRUE,FALSE)),FALSE)</f>
        <v>0</v>
      </c>
      <c r="BA383" s="212" t="b">
        <f t="shared" ref="BA383" si="4431">IF(OR(J383&amp;J384&amp;J385&amp;J386&amp;Q383&amp;R383="",AT383,AT384,AT385,AT386),AU383,FALSE)</f>
        <v>0</v>
      </c>
      <c r="BB383" s="212" t="b">
        <f>IF(U383&gt;1,TRUE,FALSE)</f>
        <v>0</v>
      </c>
      <c r="BC383" s="212" t="b">
        <f>IF(X383&gt;1,TRUE,FALSE)</f>
        <v>0</v>
      </c>
      <c r="BD383" s="212" t="b">
        <f t="shared" si="3767"/>
        <v>0</v>
      </c>
      <c r="BF383" s="212" t="b">
        <f t="shared" ref="BF383" si="4432">IF(J383="",FALSE,IF(OR(AND(AU383,L383=""),AND(AU383,L383="",OR(M383&lt;&gt;"",N383&lt;&gt;"",O383&lt;&gt;"",P383&lt;&gt;""))),TRUE,FALSE))</f>
        <v>0</v>
      </c>
      <c r="BG383" s="212" t="b">
        <f t="shared" si="3769"/>
        <v>0</v>
      </c>
      <c r="BH383" s="212" t="b">
        <f t="shared" si="3782"/>
        <v>0</v>
      </c>
      <c r="BI383" s="212" t="b">
        <f t="shared" ref="BI383" si="4433">IF(J383="",FALSE,IF(L383=0,FALSE,IF(AND(AU383,NOT(BF383),OR(M383="",N383="",O383="")),TRUE,FALSE)))</f>
        <v>0</v>
      </c>
      <c r="BJ383" s="231" t="b">
        <f t="shared" si="3784"/>
        <v>0</v>
      </c>
      <c r="BK383" s="231" t="b">
        <f>IF(NOT(BJ383),FALSE,IF(AND(競技会設定!$C$5&lt;=BJ383,BJ383&lt;=競技会設定!$C$6),FALSE,TRUE))</f>
        <v>0</v>
      </c>
      <c r="BL383" s="212" t="b">
        <f>IF(J383="",FALSE,IF(L383=0,FALSE,IF(AND(AU383,NOT(BF383),NOT(BI383),P383=""),TRUE,FALSE)))</f>
        <v>0</v>
      </c>
      <c r="BO383" s="274">
        <f t="shared" ref="BO383" si="4434">IF(AND(AU383,SUM(COUNTIF(AV383:BC383,TRUE),COUNTIF(BF383:BL386,TRUE),COUNTIF(BD383:BD386,TRUE))=0,NOT($BE$7)),1,0)</f>
        <v>0</v>
      </c>
    </row>
    <row r="384" spans="1:67" ht="17.399999999999999" customHeight="1">
      <c r="A384" s="471"/>
      <c r="B384" s="402"/>
      <c r="C384" s="404"/>
      <c r="D384" s="11"/>
      <c r="E384" s="474"/>
      <c r="F384" s="474"/>
      <c r="G384" s="11" t="str">
        <f>IF(C383="","",(VLOOKUP(D383,女子登録!$A$2:$N$2001,13,0)))</f>
        <v/>
      </c>
      <c r="H384" s="11"/>
      <c r="I384" s="11" t="s">
        <v>4020</v>
      </c>
      <c r="J384" s="171"/>
      <c r="K384" s="11" t="s">
        <v>4023</v>
      </c>
      <c r="L384" s="171"/>
      <c r="M384" s="255"/>
      <c r="N384" s="256"/>
      <c r="O384" s="257"/>
      <c r="P384" s="171"/>
      <c r="Q384" s="458"/>
      <c r="R384" s="415"/>
      <c r="S384" s="136"/>
      <c r="T384" s="137"/>
      <c r="U384" s="137"/>
      <c r="V384" s="137"/>
      <c r="W384" s="137"/>
      <c r="X384" s="137"/>
      <c r="Y384" s="212">
        <f t="shared" ref="Y384" si="4435">IF(OR(E383="",J384=""),0,J384&amp;E383)</f>
        <v>0</v>
      </c>
      <c r="Z384" s="212">
        <f>IF(Y384=0,0,COUNTIF($Y$7:Y384,Y384))</f>
        <v>0</v>
      </c>
      <c r="AD384" s="212">
        <f>IFERROR(VLOOKUP(J384,競技会設定!$T$2:$W$22,2,0),0)</f>
        <v>0</v>
      </c>
      <c r="AE384" s="212">
        <f t="shared" ref="AE384" si="4436">IF(E383="",0,IF(AD384=0,0,IF(AD384&lt;3,E383&amp;$AE$6,0)))</f>
        <v>0</v>
      </c>
      <c r="AF384" s="212">
        <f>IF(AE384=0,0,E383&amp;COUNTIF($AE$7:AE384,AE384))</f>
        <v>0</v>
      </c>
      <c r="AG384" s="212">
        <f t="shared" ref="AG384" si="4437">IF(E383="",0,IF(AD384=0,0,IF(AD384&gt;=3,E383&amp;$AG$6,0)))</f>
        <v>0</v>
      </c>
      <c r="AH384" s="212">
        <f>IF(AG384=0,0,E383&amp;COUNTIF($AG$7:AG384,AG384))</f>
        <v>0</v>
      </c>
      <c r="AI384" s="212">
        <f t="shared" ref="AI384" si="4438">IF($AD384=AI$6,$E383,0)</f>
        <v>0</v>
      </c>
      <c r="AJ384" s="212" t="b">
        <f>IF(AI384=0,FALSE,IF(COUNTIF(AI$7:AI384,AI384)&gt;1,TRUE,FALSE))</f>
        <v>0</v>
      </c>
      <c r="AK384" s="212">
        <f t="shared" ref="AK384" si="4439">IF($AD384=AK$6,$E383,0)</f>
        <v>0</v>
      </c>
      <c r="AL384" s="212" t="b">
        <f>IF(AK384=0,FALSE,IF(COUNTIF(AK$7:AK384,AK384)&gt;1,TRUE,FALSE))</f>
        <v>0</v>
      </c>
      <c r="AM384" s="212">
        <f t="shared" ref="AM384" si="4440">IF(COUNTIF(Y384,"*七種*")&gt;0,0,IF($AD384=AM$6,$E383,0))</f>
        <v>0</v>
      </c>
      <c r="AN384" s="212" t="b">
        <f>IF(AM384=0,FALSE,IF(COUNTIF(AM$7:AM384,AM384)&gt;1,TRUE,FALSE))</f>
        <v>0</v>
      </c>
      <c r="AO384" s="212">
        <f t="shared" ref="AO384" si="4441">IF($AD384=AO$6,$E383,0)</f>
        <v>0</v>
      </c>
      <c r="AP384" s="212" t="b">
        <f>IF(AO384=0,FALSE,IF(COUNTIF(AO$7:AO384,AO384)&gt;1,TRUE,FALSE))</f>
        <v>0</v>
      </c>
      <c r="AQ384" s="212">
        <f t="shared" ref="AQ384" si="4442">IF(COUNTIF(Y384,"*七種競技*")&gt;0,E383,0)</f>
        <v>0</v>
      </c>
      <c r="AR384" s="212" t="b">
        <f t="shared" si="3780"/>
        <v>0</v>
      </c>
      <c r="AT384" s="212" t="b">
        <f t="shared" si="3793"/>
        <v>0</v>
      </c>
      <c r="AX384" s="274"/>
      <c r="BD384" s="212" t="b">
        <f t="shared" si="3767"/>
        <v>0</v>
      </c>
      <c r="BF384" s="212" t="b">
        <f t="shared" ref="BF384" si="4443">IF(J384="",FALSE,IF(OR(AND(AU383,L384=""),AND(AU383,L384="",OR(M384&lt;&gt;"",N384&lt;&gt;"",O384&lt;&gt;"",P384&lt;&gt;""))),TRUE,FALSE))</f>
        <v>0</v>
      </c>
      <c r="BG384" s="212" t="b">
        <f t="shared" si="3769"/>
        <v>0</v>
      </c>
      <c r="BH384" s="212" t="b">
        <f t="shared" si="3782"/>
        <v>0</v>
      </c>
      <c r="BI384" s="212" t="b">
        <f t="shared" ref="BI384" si="4444">IF(J384="",FALSE,IF(L384=0,FALSE,IF(AND(AU383,NOT(BF384),OR(M384="",N384="",O384="")),TRUE,FALSE)))</f>
        <v>0</v>
      </c>
      <c r="BJ384" s="231" t="b">
        <f t="shared" si="3784"/>
        <v>0</v>
      </c>
      <c r="BK384" s="231" t="b">
        <f>IF(NOT(BJ384),FALSE,IF(AND(競技会設定!$C$5&lt;=BJ384,BJ384&lt;=競技会設定!$C$6),FALSE,TRUE))</f>
        <v>0</v>
      </c>
      <c r="BL384" s="212" t="b">
        <f>IF(J384="",FALSE,IF(L384=0,FALSE,IF(AND(AU383,NOT(BF384),NOT(BI384),P384=""),TRUE,FALSE)))</f>
        <v>0</v>
      </c>
    </row>
    <row r="385" spans="1:67" ht="17.399999999999999" customHeight="1">
      <c r="A385" s="471"/>
      <c r="B385" s="402"/>
      <c r="C385" s="404"/>
      <c r="D385" s="11"/>
      <c r="E385" s="348" t="str">
        <f>IF(C383="","",VLOOKUP(D383,女子登録!$A$2:$O$2001,14,0)&amp;" ("&amp;VLOOKUP(D383,女子登録!$A$2:$O$2001,15,0)&amp;")")</f>
        <v/>
      </c>
      <c r="F385" s="348"/>
      <c r="G385" s="13" t="str">
        <f>IF(C383="","",(VLOOKUP(D383,女子登録!$A$2:$N$2001,9,0)))</f>
        <v/>
      </c>
      <c r="H385" s="13"/>
      <c r="I385" s="13" t="s">
        <v>4021</v>
      </c>
      <c r="J385" s="172"/>
      <c r="K385" s="13" t="s">
        <v>6760</v>
      </c>
      <c r="L385" s="172"/>
      <c r="M385" s="255"/>
      <c r="N385" s="256"/>
      <c r="O385" s="257"/>
      <c r="P385" s="171"/>
      <c r="Q385" s="458"/>
      <c r="R385" s="415"/>
      <c r="S385" s="136"/>
      <c r="T385" s="137"/>
      <c r="U385" s="137"/>
      <c r="V385" s="137"/>
      <c r="W385" s="137"/>
      <c r="X385" s="137"/>
      <c r="Y385" s="212">
        <f t="shared" ref="Y385" si="4445">IF(OR(E383="",J385=""),0,J385&amp;E383)</f>
        <v>0</v>
      </c>
      <c r="Z385" s="212">
        <f>IF(Y385=0,0,COUNTIF($Y$7:Y385,Y385))</f>
        <v>0</v>
      </c>
      <c r="AD385" s="212">
        <f>IFERROR(VLOOKUP(J385,競技会設定!$T$2:$W$22,2,0),0)</f>
        <v>0</v>
      </c>
      <c r="AE385" s="212">
        <f t="shared" ref="AE385" si="4446">IF(E383="",0,IF(AD385=0,0,IF(AD385&lt;3,E383&amp;$AE$6,0)))</f>
        <v>0</v>
      </c>
      <c r="AF385" s="212">
        <f>IF(AE385=0,0,E383&amp;COUNTIF($AE$7:AE385,AE385))</f>
        <v>0</v>
      </c>
      <c r="AG385" s="212">
        <f t="shared" ref="AG385" si="4447">IF(E383="",0,IF(AD385=0,0,IF(AD385&gt;=3,E383&amp;$AG$6,0)))</f>
        <v>0</v>
      </c>
      <c r="AH385" s="212">
        <f>IF(AG385=0,0,E383&amp;COUNTIF($AG$7:AG385,AG385))</f>
        <v>0</v>
      </c>
      <c r="AI385" s="212">
        <f t="shared" ref="AI385" si="4448">IF($AD385=AI$6,$E383,0)</f>
        <v>0</v>
      </c>
      <c r="AJ385" s="212" t="b">
        <f>IF(AI385=0,FALSE,IF(COUNTIF(AI$7:AI385,AI385)&gt;1,TRUE,FALSE))</f>
        <v>0</v>
      </c>
      <c r="AK385" s="212">
        <f t="shared" ref="AK385" si="4449">IF($AD385=AK$6,$E383,0)</f>
        <v>0</v>
      </c>
      <c r="AL385" s="212" t="b">
        <f>IF(AK385=0,FALSE,IF(COUNTIF(AK$7:AK385,AK385)&gt;1,TRUE,FALSE))</f>
        <v>0</v>
      </c>
      <c r="AM385" s="212">
        <f t="shared" ref="AM385" si="4450">IF(COUNTIF(Y385,"*七種*")&gt;0,0,IF($AD385=AM$6,$E383,0))</f>
        <v>0</v>
      </c>
      <c r="AN385" s="212" t="b">
        <f>IF(AM385=0,FALSE,IF(COUNTIF(AM$7:AM385,AM385)&gt;1,TRUE,FALSE))</f>
        <v>0</v>
      </c>
      <c r="AO385" s="212">
        <f t="shared" ref="AO385" si="4451">IF($AD385=AO$6,$E383,0)</f>
        <v>0</v>
      </c>
      <c r="AP385" s="212" t="b">
        <f>IF(AO385=0,FALSE,IF(COUNTIF(AO$7:AO385,AO385)&gt;1,TRUE,FALSE))</f>
        <v>0</v>
      </c>
      <c r="AQ385" s="212">
        <f t="shared" ref="AQ385" si="4452">IF(COUNTIF(Y385,"*七種競技*")&gt;0,E383,0)</f>
        <v>0</v>
      </c>
      <c r="AR385" s="212" t="b">
        <f t="shared" si="3780"/>
        <v>0</v>
      </c>
      <c r="AT385" s="212" t="b">
        <f t="shared" si="3793"/>
        <v>0</v>
      </c>
      <c r="AX385" s="274"/>
      <c r="BD385" s="212" t="b">
        <f t="shared" si="3767"/>
        <v>0</v>
      </c>
      <c r="BF385" s="212" t="b">
        <f t="shared" ref="BF385" si="4453">IF(J385="",FALSE,IF(OR(AND(AU383,L385=""),AND(AU383,L385="",OR(M385&lt;&gt;"",N385&lt;&gt;"",O385&lt;&gt;"",P385&lt;&gt;""))),TRUE,FALSE))</f>
        <v>0</v>
      </c>
      <c r="BG385" s="212" t="b">
        <f t="shared" si="3769"/>
        <v>0</v>
      </c>
      <c r="BH385" s="212" t="b">
        <f t="shared" si="3782"/>
        <v>0</v>
      </c>
      <c r="BI385" s="212" t="b">
        <f t="shared" ref="BI385" si="4454">IF(J385="",FALSE,IF(L385=0,FALSE,IF(AND(AU383,NOT(BF385),OR(M385="",N385="",O385="")),TRUE,FALSE)))</f>
        <v>0</v>
      </c>
      <c r="BJ385" s="231" t="b">
        <f t="shared" si="3784"/>
        <v>0</v>
      </c>
      <c r="BK385" s="231" t="b">
        <f>IF(NOT(BJ385),FALSE,IF(AND(競技会設定!$C$5&lt;=BJ385,BJ385&lt;=競技会設定!$C$6),FALSE,TRUE))</f>
        <v>0</v>
      </c>
      <c r="BL385" s="212" t="b">
        <f>IF(J385="",FALSE,IF(L385=0,FALSE,IF(AND(AU383,NOT(BF385),NOT(BI385),P385=""),TRUE,FALSE)))</f>
        <v>0</v>
      </c>
    </row>
    <row r="386" spans="1:67" ht="18" customHeight="1" thickBot="1">
      <c r="A386" s="472"/>
      <c r="B386" s="395" t="s">
        <v>6764</v>
      </c>
      <c r="C386" s="395"/>
      <c r="D386" s="11"/>
      <c r="E386" s="460"/>
      <c r="F386" s="460"/>
      <c r="G386" s="460"/>
      <c r="H386" s="157"/>
      <c r="I386" s="157" t="s">
        <v>6759</v>
      </c>
      <c r="J386" s="173"/>
      <c r="K386" s="157" t="s">
        <v>6761</v>
      </c>
      <c r="L386" s="173"/>
      <c r="M386" s="258"/>
      <c r="N386" s="259"/>
      <c r="O386" s="260"/>
      <c r="P386" s="173"/>
      <c r="Q386" s="459"/>
      <c r="R386" s="416"/>
      <c r="S386" s="136"/>
      <c r="T386" s="137"/>
      <c r="U386" s="137"/>
      <c r="V386" s="137"/>
      <c r="W386" s="137"/>
      <c r="X386" s="137"/>
      <c r="Y386" s="212">
        <f t="shared" ref="Y386" si="4455">IF(OR(E383="",J386=""),0,J386&amp;E383)</f>
        <v>0</v>
      </c>
      <c r="Z386" s="212">
        <f>IF(Y386=0,0,COUNTIF($Y$7:Y386,Y386))</f>
        <v>0</v>
      </c>
      <c r="AD386" s="212">
        <f>IFERROR(VLOOKUP(J386,競技会設定!$T$2:$W$22,2,0),0)</f>
        <v>0</v>
      </c>
      <c r="AE386" s="212">
        <f t="shared" ref="AE386" si="4456">IF(E383="",0,IF(AD386=0,0,IF(AD386&lt;3,E383&amp;$AE$6,0)))</f>
        <v>0</v>
      </c>
      <c r="AF386" s="212">
        <f>IF(AE386=0,0,E383&amp;COUNTIF($AE$7:AE386,AE386))</f>
        <v>0</v>
      </c>
      <c r="AG386" s="212">
        <f t="shared" ref="AG386" si="4457">IF(E383="",0,IF(AD386=0,0,IF(AD386&gt;=3,E383&amp;$AG$6,0)))</f>
        <v>0</v>
      </c>
      <c r="AH386" s="212">
        <f>IF(AG386=0,0,E383&amp;COUNTIF($AG$7:AG386,AG386))</f>
        <v>0</v>
      </c>
      <c r="AI386" s="212">
        <f t="shared" ref="AI386" si="4458">IF($AD386=AI$6,$E383,0)</f>
        <v>0</v>
      </c>
      <c r="AJ386" s="212" t="b">
        <f>IF(AI386=0,FALSE,IF(COUNTIF(AI$7:AI386,AI386)&gt;1,TRUE,FALSE))</f>
        <v>0</v>
      </c>
      <c r="AK386" s="212">
        <f t="shared" ref="AK386" si="4459">IF($AD386=AK$6,$E383,0)</f>
        <v>0</v>
      </c>
      <c r="AL386" s="212" t="b">
        <f>IF(AK386=0,FALSE,IF(COUNTIF(AK$7:AK386,AK386)&gt;1,TRUE,FALSE))</f>
        <v>0</v>
      </c>
      <c r="AM386" s="212">
        <f t="shared" ref="AM386" si="4460">IF(COUNTIF(Y386,"*七種*")&gt;0,0,IF($AD386=AM$6,$E383,0))</f>
        <v>0</v>
      </c>
      <c r="AN386" s="212" t="b">
        <f>IF(AM386=0,FALSE,IF(COUNTIF(AM$7:AM386,AM386)&gt;1,TRUE,FALSE))</f>
        <v>0</v>
      </c>
      <c r="AO386" s="212">
        <f t="shared" ref="AO386" si="4461">IF($AD386=AO$6,$E383,0)</f>
        <v>0</v>
      </c>
      <c r="AP386" s="212" t="b">
        <f>IF(AO386=0,FALSE,IF(COUNTIF(AO$7:AO386,AO386)&gt;1,TRUE,FALSE))</f>
        <v>0</v>
      </c>
      <c r="AQ386" s="212">
        <f t="shared" ref="AQ386" si="4462">IF(COUNTIF(Y386,"*七種競技*")&gt;0,E383,0)</f>
        <v>0</v>
      </c>
      <c r="AR386" s="212" t="b">
        <f t="shared" si="3780"/>
        <v>0</v>
      </c>
      <c r="AT386" s="212" t="b">
        <f t="shared" si="3793"/>
        <v>0</v>
      </c>
      <c r="AX386" s="274"/>
      <c r="BD386" s="212" t="b">
        <f t="shared" si="3767"/>
        <v>0</v>
      </c>
      <c r="BF386" s="212" t="b">
        <f t="shared" ref="BF386" si="4463">IF(J386="",FALSE,IF(OR(AND(AU383,L386=""),AND(AU383,L386="",OR(M386&lt;&gt;"",N386&lt;&gt;"",O386&lt;&gt;"",P386&lt;&gt;""))),TRUE,FALSE))</f>
        <v>0</v>
      </c>
      <c r="BG386" s="212" t="b">
        <f t="shared" si="3769"/>
        <v>0</v>
      </c>
      <c r="BH386" s="212" t="b">
        <f t="shared" si="3782"/>
        <v>0</v>
      </c>
      <c r="BI386" s="212" t="b">
        <f t="shared" ref="BI386" si="4464">IF(J386="",FALSE,IF(L386=0,FALSE,IF(AND(AU383,NOT(BF386),OR(M386="",N386="",O386="")),TRUE,FALSE)))</f>
        <v>0</v>
      </c>
      <c r="BJ386" s="231" t="b">
        <f t="shared" si="3784"/>
        <v>0</v>
      </c>
      <c r="BK386" s="231" t="b">
        <f>IF(NOT(BJ386),FALSE,IF(AND(競技会設定!$C$5&lt;=BJ386,BJ386&lt;=競技会設定!$C$6),FALSE,TRUE))</f>
        <v>0</v>
      </c>
      <c r="BL386" s="212" t="b">
        <f>IF(J386="",FALSE,IF(L386=0,FALSE,IF(AND(AU383,NOT(BF386),NOT(BI386),P386=""),TRUE,FALSE)))</f>
        <v>0</v>
      </c>
    </row>
    <row r="387" spans="1:67" ht="18" customHeight="1" thickTop="1">
      <c r="A387" s="461">
        <v>96</v>
      </c>
      <c r="B387" s="373" t="s">
        <v>4018</v>
      </c>
      <c r="C387" s="375"/>
      <c r="D387" s="158" t="str">
        <f t="shared" ref="D387" si="4465">IF(C387="","",502&amp;TEXT(C387,"000000"))</f>
        <v/>
      </c>
      <c r="E387" s="464" t="str">
        <f>IF(D387="","",(VLOOKUP(D387,女子登録!$A$2:$N$2001,3,0)))</f>
        <v/>
      </c>
      <c r="F387" s="464" t="str">
        <f>IF(D387="","",(VLOOKUP(D387,女子登録!$A$2:$N$2001,4,0)))</f>
        <v/>
      </c>
      <c r="G387" s="158" t="str">
        <f>IF(C387="","",(VLOOKUP(D387,女子登録!$A$2:$N$2001,8,0)))</f>
        <v/>
      </c>
      <c r="H387" s="158">
        <f>IFERROR(VLOOKUP(D387,女子登録!$A$2:$N$2001,11,0),基本情報!$E$5)</f>
        <v>0</v>
      </c>
      <c r="I387" s="158" t="s">
        <v>4019</v>
      </c>
      <c r="J387" s="174"/>
      <c r="K387" s="158" t="s">
        <v>4022</v>
      </c>
      <c r="L387" s="174"/>
      <c r="M387" s="261"/>
      <c r="N387" s="262"/>
      <c r="O387" s="263"/>
      <c r="P387" s="174"/>
      <c r="Q387" s="448"/>
      <c r="R387" s="408"/>
      <c r="S387" s="136">
        <f t="shared" ref="S387" si="4466">IF(OR(E387="",Q387=""),0,E387)</f>
        <v>0</v>
      </c>
      <c r="T387" s="137">
        <f>IF(S387=0,0,COUNTIF($S$7:S387,"*"))</f>
        <v>0</v>
      </c>
      <c r="U387" s="137">
        <f>IF(S387=0,0,COUNTIF($S$7:S387,S387))</f>
        <v>0</v>
      </c>
      <c r="V387" s="137">
        <f t="shared" si="3996"/>
        <v>0</v>
      </c>
      <c r="W387" s="137">
        <f>IF(V387=0,0,COUNTIF($V$7:V387,"*"))</f>
        <v>0</v>
      </c>
      <c r="X387" s="137">
        <f>IF(V387=0,0,COUNTIF($V$7:V387,V387))</f>
        <v>0</v>
      </c>
      <c r="Y387" s="212">
        <f t="shared" ref="Y387" si="4467">IF(OR(E387="",J387=""),0,J387&amp;E387)</f>
        <v>0</v>
      </c>
      <c r="Z387" s="212">
        <f>IF(Y387=0,0,COUNTIF($Y$7:Y387,Y387))</f>
        <v>0</v>
      </c>
      <c r="AA387" s="212" t="b">
        <f>IF(COUNTIF(J387:J390,"七種競技")&gt;0,TRUE,FALSE)</f>
        <v>0</v>
      </c>
      <c r="AB387" s="212">
        <f>IF(E387="",0,IF(AA387,COUNTIF($AA$7:AA387,TRUE),0))</f>
        <v>0</v>
      </c>
      <c r="AC387" s="212">
        <f>IFERROR(VLOOKUP("七種競技",J387:L390,3,0),0)</f>
        <v>0</v>
      </c>
      <c r="AD387" s="212">
        <f>IFERROR(VLOOKUP(J387,競技会設定!$T$2:$W$22,2,0),0)</f>
        <v>0</v>
      </c>
      <c r="AE387" s="212">
        <f t="shared" ref="AE387" si="4468">IF(E387="",0,IF(AD387=0,0,IF(AD387&lt;3,E387&amp;$AE$6,0)))</f>
        <v>0</v>
      </c>
      <c r="AF387" s="212">
        <f>IF(AE387=0,0,E387&amp;COUNTIF($AE$7:AE387,AE387))</f>
        <v>0</v>
      </c>
      <c r="AG387" s="212">
        <f t="shared" ref="AG387" si="4469">IF(E387="",0,IF(AD387=0,0,IF(AD387&gt;=3,E387&amp;$AG$6,0)))</f>
        <v>0</v>
      </c>
      <c r="AH387" s="212">
        <f>IF(AG387=0,0,E387&amp;COUNTIF($AG$7:AG387,AG387))</f>
        <v>0</v>
      </c>
      <c r="AI387" s="212">
        <f t="shared" ref="AI387" si="4470">IF($AD387=AI$6,$E387,0)</f>
        <v>0</v>
      </c>
      <c r="AJ387" s="212" t="b">
        <f>IF(AI387=0,FALSE,IF(COUNTIF(AI$7:AI387,AI387)&gt;1,TRUE,FALSE))</f>
        <v>0</v>
      </c>
      <c r="AK387" s="212">
        <f t="shared" ref="AK387" si="4471">IF($AD387=AK$6,$E387,0)</f>
        <v>0</v>
      </c>
      <c r="AL387" s="212" t="b">
        <f>IF(AK387=0,FALSE,IF(COUNTIF(AK$7:AK387,AK387)&gt;1,TRUE,FALSE))</f>
        <v>0</v>
      </c>
      <c r="AM387" s="212">
        <f t="shared" ref="AM387" si="4472">IF(COUNTIF(Y387,"*七種*")&gt;0,0,IF($AD387=AM$6,$E387,0))</f>
        <v>0</v>
      </c>
      <c r="AN387" s="212" t="b">
        <f>IF(AM387=0,FALSE,IF(COUNTIF(AM$7:AM387,AM387)&gt;1,TRUE,FALSE))</f>
        <v>0</v>
      </c>
      <c r="AO387" s="212">
        <f t="shared" ref="AO387" si="4473">IF($AD387=AO$6,$E387,0)</f>
        <v>0</v>
      </c>
      <c r="AP387" s="212" t="b">
        <f>IF(AO387=0,FALSE,IF(COUNTIF(AO$7:AO387,AO387)&gt;1,TRUE,FALSE))</f>
        <v>0</v>
      </c>
      <c r="AQ387" s="212">
        <f t="shared" ref="AQ387" si="4474">IF(COUNTIF(Y387,"*七種競技*")&gt;0,E387,0)</f>
        <v>0</v>
      </c>
      <c r="AR387" s="212" t="b">
        <f t="shared" si="3780"/>
        <v>0</v>
      </c>
      <c r="AS387" s="212" t="b">
        <f t="shared" ref="AS387" si="4475">IF(AND(C387="",E387&lt;&gt;"",F387&lt;&gt;"",E389&lt;&gt;"",G387&lt;&gt;"",G388&lt;&gt;"",G389&lt;&gt;""),TRUE,FALSE)</f>
        <v>0</v>
      </c>
      <c r="AT387" s="212" t="b">
        <f t="shared" si="3793"/>
        <v>0</v>
      </c>
      <c r="AU387" s="212" t="b">
        <f>IFERROR(IF(E387&amp;F387&amp;E389&amp;G387&amp;G388&amp;G389&amp;J387&amp;J388&amp;J389&amp;J390&amp;L387&amp;L388&amp;L389&amp;L390&amp;M387&amp;M388&amp;M389&amp;M390&amp;P387&amp;P388&amp;P389&amp;P390&amp;Q387&amp;R387="",FALSE,TRUE),FALSE)</f>
        <v>0</v>
      </c>
      <c r="AV387" s="212" t="b">
        <f t="shared" ref="AV387" si="4476">IF(AS387,FALSE,IF(C387="",AU387,FALSE))</f>
        <v>0</v>
      </c>
      <c r="AW387" s="212" t="b">
        <f t="shared" ref="AW387" si="4477">IF(C387="",FALSE,IF(C387&lt;=2000,TRUE,FALSE))</f>
        <v>0</v>
      </c>
      <c r="AX387" s="274" t="b">
        <f>IF(H387=0,FALSE,IF(EXACT(基本情報!$E$5,H387)=TRUE,FALSE,TRUE))</f>
        <v>0</v>
      </c>
      <c r="AY387" s="212" t="b">
        <f>IF(C387="",FALSE,IF(ISNA(E387)=TRUE,TRUE,FALSE))</f>
        <v>0</v>
      </c>
      <c r="AZ387" s="274" t="b">
        <f>IFERROR(IF(E387="",FALSE,IF(COUNTIF($E$7:E387,E387)&gt;1,TRUE,FALSE)),FALSE)</f>
        <v>0</v>
      </c>
      <c r="BA387" s="212" t="b">
        <f t="shared" ref="BA387" si="4478">IF(OR(J387&amp;J388&amp;J389&amp;J390&amp;Q387&amp;R387="",AT387,AT388,AT389,AT390),AU387,FALSE)</f>
        <v>0</v>
      </c>
      <c r="BB387" s="212" t="b">
        <f>IF(U387&gt;1,TRUE,FALSE)</f>
        <v>0</v>
      </c>
      <c r="BC387" s="212" t="b">
        <f>IF(X387&gt;1,TRUE,FALSE)</f>
        <v>0</v>
      </c>
      <c r="BD387" s="212" t="b">
        <f t="shared" si="3767"/>
        <v>0</v>
      </c>
      <c r="BF387" s="212" t="b">
        <f t="shared" ref="BF387" si="4479">IF(J387="",FALSE,IF(OR(AND(AU387,L387=""),AND(AU387,L387="",OR(M387&lt;&gt;"",N387&lt;&gt;"",O387&lt;&gt;"",P387&lt;&gt;""))),TRUE,FALSE))</f>
        <v>0</v>
      </c>
      <c r="BG387" s="212" t="b">
        <f t="shared" si="3769"/>
        <v>0</v>
      </c>
      <c r="BH387" s="212" t="b">
        <f t="shared" si="3782"/>
        <v>0</v>
      </c>
      <c r="BI387" s="212" t="b">
        <f t="shared" ref="BI387" si="4480">IF(J387="",FALSE,IF(L387=0,FALSE,IF(AND(AU387,NOT(BF387),OR(M387="",N387="",O387="")),TRUE,FALSE)))</f>
        <v>0</v>
      </c>
      <c r="BJ387" s="231" t="b">
        <f t="shared" si="3784"/>
        <v>0</v>
      </c>
      <c r="BK387" s="231" t="b">
        <f>IF(NOT(BJ387),FALSE,IF(AND(競技会設定!$C$5&lt;=BJ387,BJ387&lt;=競技会設定!$C$6),FALSE,TRUE))</f>
        <v>0</v>
      </c>
      <c r="BL387" s="212" t="b">
        <f>IF(J387="",FALSE,IF(L387=0,FALSE,IF(AND(AU387,NOT(BF387),NOT(BI387),P387=""),TRUE,FALSE)))</f>
        <v>0</v>
      </c>
      <c r="BO387" s="274">
        <f t="shared" ref="BO387" si="4481">IF(AND(AU387,SUM(COUNTIF(AV387:BC387,TRUE),COUNTIF(BF387:BL390,TRUE),COUNTIF(BD387:BD390,TRUE))=0,NOT($BE$7)),1,0)</f>
        <v>0</v>
      </c>
    </row>
    <row r="388" spans="1:67" ht="17.399999999999999" customHeight="1">
      <c r="A388" s="462"/>
      <c r="B388" s="374"/>
      <c r="C388" s="376"/>
      <c r="D388" s="159"/>
      <c r="E388" s="465"/>
      <c r="F388" s="465"/>
      <c r="G388" s="159" t="str">
        <f>IF(C387="","",(VLOOKUP(D387,女子登録!$A$2:$N$2001,13,0)))</f>
        <v/>
      </c>
      <c r="H388" s="159"/>
      <c r="I388" s="159" t="s">
        <v>4020</v>
      </c>
      <c r="J388" s="175"/>
      <c r="K388" s="159" t="s">
        <v>4023</v>
      </c>
      <c r="L388" s="175"/>
      <c r="M388" s="264"/>
      <c r="N388" s="265"/>
      <c r="O388" s="266"/>
      <c r="P388" s="175"/>
      <c r="Q388" s="449"/>
      <c r="R388" s="409"/>
      <c r="S388" s="136"/>
      <c r="T388" s="137"/>
      <c r="U388" s="137"/>
      <c r="V388" s="137"/>
      <c r="W388" s="137"/>
      <c r="X388" s="137"/>
      <c r="Y388" s="212">
        <f t="shared" ref="Y388" si="4482">IF(OR(E387="",J388=""),0,J388&amp;E387)</f>
        <v>0</v>
      </c>
      <c r="Z388" s="212">
        <f>IF(Y388=0,0,COUNTIF($Y$7:Y388,Y388))</f>
        <v>0</v>
      </c>
      <c r="AD388" s="212">
        <f>IFERROR(VLOOKUP(J388,競技会設定!$T$2:$W$22,2,0),0)</f>
        <v>0</v>
      </c>
      <c r="AE388" s="212">
        <f t="shared" ref="AE388" si="4483">IF(E387="",0,IF(AD388=0,0,IF(AD388&lt;3,E387&amp;$AE$6,0)))</f>
        <v>0</v>
      </c>
      <c r="AF388" s="212">
        <f>IF(AE388=0,0,E387&amp;COUNTIF($AE$7:AE388,AE388))</f>
        <v>0</v>
      </c>
      <c r="AG388" s="212">
        <f t="shared" ref="AG388" si="4484">IF(E387="",0,IF(AD388=0,0,IF(AD388&gt;=3,E387&amp;$AG$6,0)))</f>
        <v>0</v>
      </c>
      <c r="AH388" s="212">
        <f>IF(AG388=0,0,E387&amp;COUNTIF($AG$7:AG388,AG388))</f>
        <v>0</v>
      </c>
      <c r="AI388" s="212">
        <f t="shared" ref="AI388" si="4485">IF($AD388=AI$6,$E387,0)</f>
        <v>0</v>
      </c>
      <c r="AJ388" s="212" t="b">
        <f>IF(AI388=0,FALSE,IF(COUNTIF(AI$7:AI388,AI388)&gt;1,TRUE,FALSE))</f>
        <v>0</v>
      </c>
      <c r="AK388" s="212">
        <f t="shared" ref="AK388" si="4486">IF($AD388=AK$6,$E387,0)</f>
        <v>0</v>
      </c>
      <c r="AL388" s="212" t="b">
        <f>IF(AK388=0,FALSE,IF(COUNTIF(AK$7:AK388,AK388)&gt;1,TRUE,FALSE))</f>
        <v>0</v>
      </c>
      <c r="AM388" s="212">
        <f t="shared" ref="AM388" si="4487">IF(COUNTIF(Y388,"*七種*")&gt;0,0,IF($AD388=AM$6,$E387,0))</f>
        <v>0</v>
      </c>
      <c r="AN388" s="212" t="b">
        <f>IF(AM388=0,FALSE,IF(COUNTIF(AM$7:AM388,AM388)&gt;1,TRUE,FALSE))</f>
        <v>0</v>
      </c>
      <c r="AO388" s="212">
        <f t="shared" ref="AO388" si="4488">IF($AD388=AO$6,$E387,0)</f>
        <v>0</v>
      </c>
      <c r="AP388" s="212" t="b">
        <f>IF(AO388=0,FALSE,IF(COUNTIF(AO$7:AO388,AO388)&gt;1,TRUE,FALSE))</f>
        <v>0</v>
      </c>
      <c r="AQ388" s="212">
        <f t="shared" ref="AQ388" si="4489">IF(COUNTIF(Y388,"*七種競技*")&gt;0,E387,0)</f>
        <v>0</v>
      </c>
      <c r="AR388" s="212" t="b">
        <f t="shared" si="3780"/>
        <v>0</v>
      </c>
      <c r="AT388" s="212" t="b">
        <f t="shared" si="3793"/>
        <v>0</v>
      </c>
      <c r="AX388" s="274"/>
      <c r="BD388" s="212" t="b">
        <f t="shared" si="3767"/>
        <v>0</v>
      </c>
      <c r="BF388" s="212" t="b">
        <f t="shared" ref="BF388" si="4490">IF(J388="",FALSE,IF(OR(AND(AU387,L388=""),AND(AU387,L388="",OR(M388&lt;&gt;"",N388&lt;&gt;"",O388&lt;&gt;"",P388&lt;&gt;""))),TRUE,FALSE))</f>
        <v>0</v>
      </c>
      <c r="BG388" s="212" t="b">
        <f t="shared" si="3769"/>
        <v>0</v>
      </c>
      <c r="BH388" s="212" t="b">
        <f t="shared" si="3782"/>
        <v>0</v>
      </c>
      <c r="BI388" s="212" t="b">
        <f t="shared" ref="BI388" si="4491">IF(J388="",FALSE,IF(L388=0,FALSE,IF(AND(AU387,NOT(BF388),OR(M388="",N388="",O388="")),TRUE,FALSE)))</f>
        <v>0</v>
      </c>
      <c r="BJ388" s="231" t="b">
        <f t="shared" si="3784"/>
        <v>0</v>
      </c>
      <c r="BK388" s="231" t="b">
        <f>IF(NOT(BJ388),FALSE,IF(AND(競技会設定!$C$5&lt;=BJ388,BJ388&lt;=競技会設定!$C$6),FALSE,TRUE))</f>
        <v>0</v>
      </c>
      <c r="BL388" s="212" t="b">
        <f>IF(J388="",FALSE,IF(L388=0,FALSE,IF(AND(AU387,NOT(BF388),NOT(BI388),P388=""),TRUE,FALSE)))</f>
        <v>0</v>
      </c>
    </row>
    <row r="389" spans="1:67" ht="17.399999999999999" customHeight="1">
      <c r="A389" s="462"/>
      <c r="B389" s="374"/>
      <c r="C389" s="376"/>
      <c r="D389" s="160"/>
      <c r="E389" s="452" t="str">
        <f>IF(C387="","",VLOOKUP(D387,女子登録!$A$2:$O$2001,14,0)&amp;" ("&amp;VLOOKUP(D387,女子登録!$A$2:$O$2001,15,0)&amp;")")</f>
        <v/>
      </c>
      <c r="F389" s="453"/>
      <c r="G389" s="160" t="str">
        <f>IF(C387="","",(VLOOKUP(D387,女子登録!$A$2:$N$2001,9,0)))</f>
        <v/>
      </c>
      <c r="H389" s="160"/>
      <c r="I389" s="160" t="s">
        <v>4021</v>
      </c>
      <c r="J389" s="176"/>
      <c r="K389" s="160" t="s">
        <v>6760</v>
      </c>
      <c r="L389" s="176"/>
      <c r="M389" s="264"/>
      <c r="N389" s="265"/>
      <c r="O389" s="266"/>
      <c r="P389" s="175"/>
      <c r="Q389" s="449"/>
      <c r="R389" s="409"/>
      <c r="S389" s="136"/>
      <c r="T389" s="137"/>
      <c r="U389" s="137"/>
      <c r="V389" s="137"/>
      <c r="W389" s="137"/>
      <c r="X389" s="137"/>
      <c r="Y389" s="212">
        <f t="shared" ref="Y389" si="4492">IF(OR(E387="",J389=""),0,J389&amp;E387)</f>
        <v>0</v>
      </c>
      <c r="Z389" s="212">
        <f>IF(Y389=0,0,COUNTIF($Y$7:Y389,Y389))</f>
        <v>0</v>
      </c>
      <c r="AD389" s="212">
        <f>IFERROR(VLOOKUP(J389,競技会設定!$T$2:$W$22,2,0),0)</f>
        <v>0</v>
      </c>
      <c r="AE389" s="212">
        <f t="shared" ref="AE389" si="4493">IF(E387="",0,IF(AD389=0,0,IF(AD389&lt;3,E387&amp;$AE$6,0)))</f>
        <v>0</v>
      </c>
      <c r="AF389" s="212">
        <f>IF(AE389=0,0,E387&amp;COUNTIF($AE$7:AE389,AE389))</f>
        <v>0</v>
      </c>
      <c r="AG389" s="212">
        <f t="shared" ref="AG389" si="4494">IF(E387="",0,IF(AD389=0,0,IF(AD389&gt;=3,E387&amp;$AG$6,0)))</f>
        <v>0</v>
      </c>
      <c r="AH389" s="212">
        <f>IF(AG389=0,0,E387&amp;COUNTIF($AG$7:AG389,AG389))</f>
        <v>0</v>
      </c>
      <c r="AI389" s="212">
        <f t="shared" ref="AI389" si="4495">IF($AD389=AI$6,$E387,0)</f>
        <v>0</v>
      </c>
      <c r="AJ389" s="212" t="b">
        <f>IF(AI389=0,FALSE,IF(COUNTIF(AI$7:AI389,AI389)&gt;1,TRUE,FALSE))</f>
        <v>0</v>
      </c>
      <c r="AK389" s="212">
        <f t="shared" ref="AK389" si="4496">IF($AD389=AK$6,$E387,0)</f>
        <v>0</v>
      </c>
      <c r="AL389" s="212" t="b">
        <f>IF(AK389=0,FALSE,IF(COUNTIF(AK$7:AK389,AK389)&gt;1,TRUE,FALSE))</f>
        <v>0</v>
      </c>
      <c r="AM389" s="212">
        <f t="shared" ref="AM389" si="4497">IF(COUNTIF(Y389,"*七種*")&gt;0,0,IF($AD389=AM$6,$E387,0))</f>
        <v>0</v>
      </c>
      <c r="AN389" s="212" t="b">
        <f>IF(AM389=0,FALSE,IF(COUNTIF(AM$7:AM389,AM389)&gt;1,TRUE,FALSE))</f>
        <v>0</v>
      </c>
      <c r="AO389" s="212">
        <f t="shared" ref="AO389" si="4498">IF($AD389=AO$6,$E387,0)</f>
        <v>0</v>
      </c>
      <c r="AP389" s="212" t="b">
        <f>IF(AO389=0,FALSE,IF(COUNTIF(AO$7:AO389,AO389)&gt;1,TRUE,FALSE))</f>
        <v>0</v>
      </c>
      <c r="AQ389" s="212">
        <f t="shared" ref="AQ389" si="4499">IF(COUNTIF(Y389,"*七種競技*")&gt;0,E387,0)</f>
        <v>0</v>
      </c>
      <c r="AR389" s="212" t="b">
        <f t="shared" si="3780"/>
        <v>0</v>
      </c>
      <c r="AT389" s="212" t="b">
        <f t="shared" si="3793"/>
        <v>0</v>
      </c>
      <c r="AX389" s="274"/>
      <c r="BD389" s="212" t="b">
        <f t="shared" si="3767"/>
        <v>0</v>
      </c>
      <c r="BF389" s="212" t="b">
        <f t="shared" ref="BF389" si="4500">IF(J389="",FALSE,IF(OR(AND(AU387,L389=""),AND(AU387,L389="",OR(M389&lt;&gt;"",N389&lt;&gt;"",O389&lt;&gt;"",P389&lt;&gt;""))),TRUE,FALSE))</f>
        <v>0</v>
      </c>
      <c r="BG389" s="212" t="b">
        <f t="shared" si="3769"/>
        <v>0</v>
      </c>
      <c r="BH389" s="212" t="b">
        <f t="shared" si="3782"/>
        <v>0</v>
      </c>
      <c r="BI389" s="212" t="b">
        <f t="shared" ref="BI389" si="4501">IF(J389="",FALSE,IF(L389=0,FALSE,IF(AND(AU387,NOT(BF389),OR(M389="",N389="",O389="")),TRUE,FALSE)))</f>
        <v>0</v>
      </c>
      <c r="BJ389" s="231" t="b">
        <f t="shared" si="3784"/>
        <v>0</v>
      </c>
      <c r="BK389" s="231" t="b">
        <f>IF(NOT(BJ389),FALSE,IF(AND(競技会設定!$C$5&lt;=BJ389,BJ389&lt;=競技会設定!$C$6),FALSE,TRUE))</f>
        <v>0</v>
      </c>
      <c r="BL389" s="212" t="b">
        <f>IF(J389="",FALSE,IF(L389=0,FALSE,IF(AND(AU387,NOT(BF389),NOT(BI389),P389=""),TRUE,FALSE)))</f>
        <v>0</v>
      </c>
    </row>
    <row r="390" spans="1:67" ht="18" customHeight="1" thickBot="1">
      <c r="A390" s="475"/>
      <c r="B390" s="387" t="s">
        <v>6764</v>
      </c>
      <c r="C390" s="387"/>
      <c r="D390" s="161"/>
      <c r="E390" s="467"/>
      <c r="F390" s="468"/>
      <c r="G390" s="469"/>
      <c r="H390" s="162"/>
      <c r="I390" s="161" t="s">
        <v>6759</v>
      </c>
      <c r="J390" s="177"/>
      <c r="K390" s="161" t="s">
        <v>6761</v>
      </c>
      <c r="L390" s="177"/>
      <c r="M390" s="267"/>
      <c r="N390" s="268"/>
      <c r="O390" s="269"/>
      <c r="P390" s="177"/>
      <c r="Q390" s="466"/>
      <c r="R390" s="410"/>
      <c r="S390" s="136"/>
      <c r="T390" s="137"/>
      <c r="U390" s="137"/>
      <c r="V390" s="137"/>
      <c r="W390" s="137"/>
      <c r="X390" s="137"/>
      <c r="Y390" s="212">
        <f t="shared" ref="Y390" si="4502">IF(OR(E387="",J390=""),0,J390&amp;E387)</f>
        <v>0</v>
      </c>
      <c r="Z390" s="212">
        <f>IF(Y390=0,0,COUNTIF($Y$7:Y390,Y390))</f>
        <v>0</v>
      </c>
      <c r="AD390" s="212">
        <f>IFERROR(VLOOKUP(J390,競技会設定!$T$2:$W$22,2,0),0)</f>
        <v>0</v>
      </c>
      <c r="AE390" s="212">
        <f t="shared" ref="AE390" si="4503">IF(E387="",0,IF(AD390=0,0,IF(AD390&lt;3,E387&amp;$AE$6,0)))</f>
        <v>0</v>
      </c>
      <c r="AF390" s="212">
        <f>IF(AE390=0,0,E387&amp;COUNTIF($AE$7:AE390,AE390))</f>
        <v>0</v>
      </c>
      <c r="AG390" s="212">
        <f t="shared" ref="AG390" si="4504">IF(E387="",0,IF(AD390=0,0,IF(AD390&gt;=3,E387&amp;$AG$6,0)))</f>
        <v>0</v>
      </c>
      <c r="AH390" s="212">
        <f>IF(AG390=0,0,E387&amp;COUNTIF($AG$7:AG390,AG390))</f>
        <v>0</v>
      </c>
      <c r="AI390" s="212">
        <f t="shared" ref="AI390" si="4505">IF($AD390=AI$6,$E387,0)</f>
        <v>0</v>
      </c>
      <c r="AJ390" s="212" t="b">
        <f>IF(AI390=0,FALSE,IF(COUNTIF(AI$7:AI390,AI390)&gt;1,TRUE,FALSE))</f>
        <v>0</v>
      </c>
      <c r="AK390" s="212">
        <f t="shared" ref="AK390" si="4506">IF($AD390=AK$6,$E387,0)</f>
        <v>0</v>
      </c>
      <c r="AL390" s="212" t="b">
        <f>IF(AK390=0,FALSE,IF(COUNTIF(AK$7:AK390,AK390)&gt;1,TRUE,FALSE))</f>
        <v>0</v>
      </c>
      <c r="AM390" s="212">
        <f t="shared" ref="AM390" si="4507">IF(COUNTIF(Y390,"*七種*")&gt;0,0,IF($AD390=AM$6,$E387,0))</f>
        <v>0</v>
      </c>
      <c r="AN390" s="212" t="b">
        <f>IF(AM390=0,FALSE,IF(COUNTIF(AM$7:AM390,AM390)&gt;1,TRUE,FALSE))</f>
        <v>0</v>
      </c>
      <c r="AO390" s="212">
        <f t="shared" ref="AO390" si="4508">IF($AD390=AO$6,$E387,0)</f>
        <v>0</v>
      </c>
      <c r="AP390" s="212" t="b">
        <f>IF(AO390=0,FALSE,IF(COUNTIF(AO$7:AO390,AO390)&gt;1,TRUE,FALSE))</f>
        <v>0</v>
      </c>
      <c r="AQ390" s="212">
        <f t="shared" ref="AQ390" si="4509">IF(COUNTIF(Y390,"*七種競技*")&gt;0,E387,0)</f>
        <v>0</v>
      </c>
      <c r="AR390" s="212" t="b">
        <f t="shared" si="3780"/>
        <v>0</v>
      </c>
      <c r="AT390" s="212" t="b">
        <f t="shared" si="3793"/>
        <v>0</v>
      </c>
      <c r="AX390" s="274"/>
      <c r="BD390" s="212" t="b">
        <f t="shared" si="3767"/>
        <v>0</v>
      </c>
      <c r="BF390" s="212" t="b">
        <f t="shared" ref="BF390" si="4510">IF(J390="",FALSE,IF(OR(AND(AU387,L390=""),AND(AU387,L390="",OR(M390&lt;&gt;"",N390&lt;&gt;"",O390&lt;&gt;"",P390&lt;&gt;""))),TRUE,FALSE))</f>
        <v>0</v>
      </c>
      <c r="BG390" s="212" t="b">
        <f t="shared" si="3769"/>
        <v>0</v>
      </c>
      <c r="BH390" s="212" t="b">
        <f t="shared" si="3782"/>
        <v>0</v>
      </c>
      <c r="BI390" s="212" t="b">
        <f t="shared" ref="BI390" si="4511">IF(J390="",FALSE,IF(L390=0,FALSE,IF(AND(AU387,NOT(BF390),OR(M390="",N390="",O390="")),TRUE,FALSE)))</f>
        <v>0</v>
      </c>
      <c r="BJ390" s="231" t="b">
        <f t="shared" si="3784"/>
        <v>0</v>
      </c>
      <c r="BK390" s="231" t="b">
        <f>IF(NOT(BJ390),FALSE,IF(AND(競技会設定!$C$5&lt;=BJ390,BJ390&lt;=競技会設定!$C$6),FALSE,TRUE))</f>
        <v>0</v>
      </c>
      <c r="BL390" s="212" t="b">
        <f>IF(J390="",FALSE,IF(L390=0,FALSE,IF(AND(AU387,NOT(BF390),NOT(BI390),P390=""),TRUE,FALSE)))</f>
        <v>0</v>
      </c>
    </row>
    <row r="391" spans="1:67" ht="18" customHeight="1" thickTop="1">
      <c r="A391" s="470">
        <v>97</v>
      </c>
      <c r="B391" s="401" t="s">
        <v>4018</v>
      </c>
      <c r="C391" s="403"/>
      <c r="D391" s="156" t="str">
        <f t="shared" ref="D391" si="4512">IF(C391="","",502&amp;TEXT(C391,"000000"))</f>
        <v/>
      </c>
      <c r="E391" s="473" t="str">
        <f>IF(D391="","",(VLOOKUP(D391,女子登録!$A$2:$N$2001,3,0)))</f>
        <v/>
      </c>
      <c r="F391" s="473" t="str">
        <f>IF(D391="","",(VLOOKUP(D391,女子登録!$A$2:$N$2001,4,0)))</f>
        <v/>
      </c>
      <c r="G391" s="156" t="str">
        <f>IF(C391="","",(VLOOKUP(D391,女子登録!$A$2:$N$2001,8,0)))</f>
        <v/>
      </c>
      <c r="H391" s="156">
        <f>IFERROR(VLOOKUP(D391,女子登録!$A$2:$N$2001,11,0),基本情報!$E$5)</f>
        <v>0</v>
      </c>
      <c r="I391" s="156" t="s">
        <v>4019</v>
      </c>
      <c r="J391" s="170"/>
      <c r="K391" s="156" t="s">
        <v>4022</v>
      </c>
      <c r="L391" s="170"/>
      <c r="M391" s="252"/>
      <c r="N391" s="253"/>
      <c r="O391" s="254"/>
      <c r="P391" s="170"/>
      <c r="Q391" s="457"/>
      <c r="R391" s="414"/>
      <c r="S391" s="136">
        <f t="shared" ref="S391" si="4513">IF(OR(E391="",Q391=""),0,E391)</f>
        <v>0</v>
      </c>
      <c r="T391" s="137">
        <f>IF(S391=0,0,COUNTIF($S$7:S391,"*"))</f>
        <v>0</v>
      </c>
      <c r="U391" s="137">
        <f>IF(S391=0,0,COUNTIF($S$7:S391,S391))</f>
        <v>0</v>
      </c>
      <c r="V391" s="137">
        <f t="shared" si="3996"/>
        <v>0</v>
      </c>
      <c r="W391" s="137">
        <f>IF(V391=0,0,COUNTIF($V$7:V391,"*"))</f>
        <v>0</v>
      </c>
      <c r="X391" s="137">
        <f>IF(V391=0,0,COUNTIF($V$7:V391,V391))</f>
        <v>0</v>
      </c>
      <c r="Y391" s="212">
        <f t="shared" ref="Y391" si="4514">IF(OR(E391="",J391=""),0,J391&amp;E391)</f>
        <v>0</v>
      </c>
      <c r="Z391" s="212">
        <f>IF(Y391=0,0,COUNTIF($Y$7:Y391,Y391))</f>
        <v>0</v>
      </c>
      <c r="AA391" s="212" t="b">
        <f>IF(COUNTIF(J391:J394,"七種競技")&gt;0,TRUE,FALSE)</f>
        <v>0</v>
      </c>
      <c r="AB391" s="212">
        <f>IF(E391="",0,IF(AA391,COUNTIF($AA$7:AA391,TRUE),0))</f>
        <v>0</v>
      </c>
      <c r="AC391" s="212">
        <f>IFERROR(VLOOKUP("七種競技",J391:L394,3,0),0)</f>
        <v>0</v>
      </c>
      <c r="AD391" s="212">
        <f>IFERROR(VLOOKUP(J391,競技会設定!$T$2:$W$22,2,0),0)</f>
        <v>0</v>
      </c>
      <c r="AE391" s="212">
        <f t="shared" ref="AE391" si="4515">IF(E391="",0,IF(AD391=0,0,IF(AD391&lt;3,E391&amp;$AE$6,0)))</f>
        <v>0</v>
      </c>
      <c r="AF391" s="212">
        <f>IF(AE391=0,0,E391&amp;COUNTIF($AE$7:AE391,AE391))</f>
        <v>0</v>
      </c>
      <c r="AG391" s="212">
        <f t="shared" ref="AG391" si="4516">IF(E391="",0,IF(AD391=0,0,IF(AD391&gt;=3,E391&amp;$AG$6,0)))</f>
        <v>0</v>
      </c>
      <c r="AH391" s="212">
        <f>IF(AG391=0,0,E391&amp;COUNTIF($AG$7:AG391,AG391))</f>
        <v>0</v>
      </c>
      <c r="AI391" s="212">
        <f t="shared" ref="AI391" si="4517">IF($AD391=AI$6,$E391,0)</f>
        <v>0</v>
      </c>
      <c r="AJ391" s="212" t="b">
        <f>IF(AI391=0,FALSE,IF(COUNTIF(AI$7:AI391,AI391)&gt;1,TRUE,FALSE))</f>
        <v>0</v>
      </c>
      <c r="AK391" s="212">
        <f t="shared" ref="AK391" si="4518">IF($AD391=AK$6,$E391,0)</f>
        <v>0</v>
      </c>
      <c r="AL391" s="212" t="b">
        <f>IF(AK391=0,FALSE,IF(COUNTIF(AK$7:AK391,AK391)&gt;1,TRUE,FALSE))</f>
        <v>0</v>
      </c>
      <c r="AM391" s="212">
        <f t="shared" ref="AM391" si="4519">IF(COUNTIF(Y391,"*七種*")&gt;0,0,IF($AD391=AM$6,$E391,0))</f>
        <v>0</v>
      </c>
      <c r="AN391" s="212" t="b">
        <f>IF(AM391=0,FALSE,IF(COUNTIF(AM$7:AM391,AM391)&gt;1,TRUE,FALSE))</f>
        <v>0</v>
      </c>
      <c r="AO391" s="212">
        <f t="shared" ref="AO391" si="4520">IF($AD391=AO$6,$E391,0)</f>
        <v>0</v>
      </c>
      <c r="AP391" s="212" t="b">
        <f>IF(AO391=0,FALSE,IF(COUNTIF(AO$7:AO391,AO391)&gt;1,TRUE,FALSE))</f>
        <v>0</v>
      </c>
      <c r="AQ391" s="212">
        <f t="shared" ref="AQ391" si="4521">IF(COUNTIF(Y391,"*七種競技*")&gt;0,E391,0)</f>
        <v>0</v>
      </c>
      <c r="AR391" s="212" t="b">
        <f t="shared" si="3780"/>
        <v>0</v>
      </c>
      <c r="AS391" s="212" t="b">
        <f t="shared" ref="AS391" si="4522">IF(AND(C391="",E391&lt;&gt;"",F391&lt;&gt;"",E393&lt;&gt;"",G391&lt;&gt;"",G392&lt;&gt;"",G393&lt;&gt;""),TRUE,FALSE)</f>
        <v>0</v>
      </c>
      <c r="AT391" s="212" t="b">
        <f t="shared" si="3793"/>
        <v>0</v>
      </c>
      <c r="AU391" s="212" t="b">
        <f>IFERROR(IF(E391&amp;F391&amp;E393&amp;G391&amp;G392&amp;G393&amp;J391&amp;J392&amp;J393&amp;J394&amp;L391&amp;L392&amp;L393&amp;L394&amp;M391&amp;M392&amp;M393&amp;M394&amp;P391&amp;P392&amp;P393&amp;P394&amp;Q391&amp;R391="",FALSE,TRUE),FALSE)</f>
        <v>0</v>
      </c>
      <c r="AV391" s="212" t="b">
        <f t="shared" ref="AV391" si="4523">IF(AS391,FALSE,IF(C391="",AU391,FALSE))</f>
        <v>0</v>
      </c>
      <c r="AW391" s="212" t="b">
        <f t="shared" ref="AW391" si="4524">IF(C391="",FALSE,IF(C391&lt;=2000,TRUE,FALSE))</f>
        <v>0</v>
      </c>
      <c r="AX391" s="274" t="b">
        <f>IF(H391=0,FALSE,IF(EXACT(基本情報!$E$5,H391)=TRUE,FALSE,TRUE))</f>
        <v>0</v>
      </c>
      <c r="AY391" s="212" t="b">
        <f>IF(C391="",FALSE,IF(ISNA(E391)=TRUE,TRUE,FALSE))</f>
        <v>0</v>
      </c>
      <c r="AZ391" s="274" t="b">
        <f>IFERROR(IF(E391="",FALSE,IF(COUNTIF($E$7:E391,E391)&gt;1,TRUE,FALSE)),FALSE)</f>
        <v>0</v>
      </c>
      <c r="BA391" s="212" t="b">
        <f t="shared" ref="BA391" si="4525">IF(OR(J391&amp;J392&amp;J393&amp;J394&amp;Q391&amp;R391="",AT391,AT392,AT393,AT394),AU391,FALSE)</f>
        <v>0</v>
      </c>
      <c r="BB391" s="212" t="b">
        <f>IF(U391&gt;1,TRUE,FALSE)</f>
        <v>0</v>
      </c>
      <c r="BC391" s="212" t="b">
        <f>IF(X391&gt;1,TRUE,FALSE)</f>
        <v>0</v>
      </c>
      <c r="BD391" s="212" t="b">
        <f t="shared" ref="BD391:BD406" si="4526">IF(Z391&gt;1,TRUE,FALSE)</f>
        <v>0</v>
      </c>
      <c r="BF391" s="212" t="b">
        <f t="shared" ref="BF391" si="4527">IF(J391="",FALSE,IF(OR(AND(AU391,L391=""),AND(AU391,L391="",OR(M391&lt;&gt;"",N391&lt;&gt;"",O391&lt;&gt;"",P391&lt;&gt;""))),TRUE,FALSE))</f>
        <v>0</v>
      </c>
      <c r="BG391" s="212" t="b">
        <f t="shared" ref="BG391:BG406" si="4528">IF(J391="",FALSE,IF(ISNUMBER(L391)&lt;&gt;TRUE,TRUE,IFERROR(IF(MOD(L391,1)=0,FALSE,TRUE),FALSE)))</f>
        <v>0</v>
      </c>
      <c r="BH391" s="212" t="b">
        <f t="shared" si="3782"/>
        <v>0</v>
      </c>
      <c r="BI391" s="212" t="b">
        <f t="shared" ref="BI391" si="4529">IF(J391="",FALSE,IF(L391=0,FALSE,IF(AND(AU391,NOT(BF391),OR(M391="",N391="",O391="")),TRUE,FALSE)))</f>
        <v>0</v>
      </c>
      <c r="BJ391" s="231" t="b">
        <f t="shared" si="3784"/>
        <v>0</v>
      </c>
      <c r="BK391" s="231" t="b">
        <f>IF(NOT(BJ391),FALSE,IF(AND(競技会設定!$C$5&lt;=BJ391,BJ391&lt;=競技会設定!$C$6),FALSE,TRUE))</f>
        <v>0</v>
      </c>
      <c r="BL391" s="212" t="b">
        <f>IF(J391="",FALSE,IF(L391=0,FALSE,IF(AND(AU391,NOT(BF391),NOT(BI391),P391=""),TRUE,FALSE)))</f>
        <v>0</v>
      </c>
      <c r="BO391" s="274">
        <f t="shared" ref="BO391" si="4530">IF(AND(AU391,SUM(COUNTIF(AV391:BC391,TRUE),COUNTIF(BF391:BL394,TRUE),COUNTIF(BD391:BD394,TRUE))=0,NOT($BE$7)),1,0)</f>
        <v>0</v>
      </c>
    </row>
    <row r="392" spans="1:67" ht="17.399999999999999" customHeight="1">
      <c r="A392" s="471"/>
      <c r="B392" s="402"/>
      <c r="C392" s="404"/>
      <c r="D392" s="11"/>
      <c r="E392" s="474"/>
      <c r="F392" s="474"/>
      <c r="G392" s="11" t="str">
        <f>IF(C391="","",(VLOOKUP(D391,女子登録!$A$2:$N$2001,13,0)))</f>
        <v/>
      </c>
      <c r="H392" s="11"/>
      <c r="I392" s="11" t="s">
        <v>4020</v>
      </c>
      <c r="J392" s="171"/>
      <c r="K392" s="11" t="s">
        <v>4023</v>
      </c>
      <c r="L392" s="171"/>
      <c r="M392" s="255"/>
      <c r="N392" s="256"/>
      <c r="O392" s="257"/>
      <c r="P392" s="171"/>
      <c r="Q392" s="458"/>
      <c r="R392" s="415"/>
      <c r="S392" s="136"/>
      <c r="T392" s="137"/>
      <c r="U392" s="137"/>
      <c r="V392" s="137"/>
      <c r="W392" s="137"/>
      <c r="X392" s="137"/>
      <c r="Y392" s="212">
        <f t="shared" ref="Y392" si="4531">IF(OR(E391="",J392=""),0,J392&amp;E391)</f>
        <v>0</v>
      </c>
      <c r="Z392" s="212">
        <f>IF(Y392=0,0,COUNTIF($Y$7:Y392,Y392))</f>
        <v>0</v>
      </c>
      <c r="AD392" s="212">
        <f>IFERROR(VLOOKUP(J392,競技会設定!$T$2:$W$22,2,0),0)</f>
        <v>0</v>
      </c>
      <c r="AE392" s="212">
        <f t="shared" ref="AE392" si="4532">IF(E391="",0,IF(AD392=0,0,IF(AD392&lt;3,E391&amp;$AE$6,0)))</f>
        <v>0</v>
      </c>
      <c r="AF392" s="212">
        <f>IF(AE392=0,0,E391&amp;COUNTIF($AE$7:AE392,AE392))</f>
        <v>0</v>
      </c>
      <c r="AG392" s="212">
        <f t="shared" ref="AG392" si="4533">IF(E391="",0,IF(AD392=0,0,IF(AD392&gt;=3,E391&amp;$AG$6,0)))</f>
        <v>0</v>
      </c>
      <c r="AH392" s="212">
        <f>IF(AG392=0,0,E391&amp;COUNTIF($AG$7:AG392,AG392))</f>
        <v>0</v>
      </c>
      <c r="AI392" s="212">
        <f t="shared" ref="AI392" si="4534">IF($AD392=AI$6,$E391,0)</f>
        <v>0</v>
      </c>
      <c r="AJ392" s="212" t="b">
        <f>IF(AI392=0,FALSE,IF(COUNTIF(AI$7:AI392,AI392)&gt;1,TRUE,FALSE))</f>
        <v>0</v>
      </c>
      <c r="AK392" s="212">
        <f t="shared" ref="AK392" si="4535">IF($AD392=AK$6,$E391,0)</f>
        <v>0</v>
      </c>
      <c r="AL392" s="212" t="b">
        <f>IF(AK392=0,FALSE,IF(COUNTIF(AK$7:AK392,AK392)&gt;1,TRUE,FALSE))</f>
        <v>0</v>
      </c>
      <c r="AM392" s="212">
        <f t="shared" ref="AM392" si="4536">IF(COUNTIF(Y392,"*七種*")&gt;0,0,IF($AD392=AM$6,$E391,0))</f>
        <v>0</v>
      </c>
      <c r="AN392" s="212" t="b">
        <f>IF(AM392=0,FALSE,IF(COUNTIF(AM$7:AM392,AM392)&gt;1,TRUE,FALSE))</f>
        <v>0</v>
      </c>
      <c r="AO392" s="212">
        <f t="shared" ref="AO392" si="4537">IF($AD392=AO$6,$E391,0)</f>
        <v>0</v>
      </c>
      <c r="AP392" s="212" t="b">
        <f>IF(AO392=0,FALSE,IF(COUNTIF(AO$7:AO392,AO392)&gt;1,TRUE,FALSE))</f>
        <v>0</v>
      </c>
      <c r="AQ392" s="212">
        <f t="shared" ref="AQ392" si="4538">IF(COUNTIF(Y392,"*七種競技*")&gt;0,E391,0)</f>
        <v>0</v>
      </c>
      <c r="AR392" s="212" t="b">
        <f t="shared" ref="AR392:AR406" si="4539">IF(AQ392=0,FALSE,IF(OR(COUNTIF($AM$7:$AM$406,AQ392)+COUNTIF($AQ$7:$AQ$406,AQ392)&gt;1,COUNTIF($AO$7:$AO$406,AQ392)+COUNTIF($AQ$7:$AQ$406,AQ392)&gt;1),TRUE,FALSE))</f>
        <v>0</v>
      </c>
      <c r="AT392" s="212" t="b">
        <f t="shared" si="3793"/>
        <v>0</v>
      </c>
      <c r="AX392" s="274"/>
      <c r="BD392" s="212" t="b">
        <f t="shared" si="4526"/>
        <v>0</v>
      </c>
      <c r="BF392" s="212" t="b">
        <f t="shared" ref="BF392" si="4540">IF(J392="",FALSE,IF(OR(AND(AU391,L392=""),AND(AU391,L392="",OR(M392&lt;&gt;"",N392&lt;&gt;"",O392&lt;&gt;"",P392&lt;&gt;""))),TRUE,FALSE))</f>
        <v>0</v>
      </c>
      <c r="BG392" s="212" t="b">
        <f t="shared" si="4528"/>
        <v>0</v>
      </c>
      <c r="BH392" s="212" t="b">
        <f t="shared" ref="BH392:BH406" si="4541">IF(COUNTIF(J392,"*m*")=0,FALSE,IF(VALUE(RIGHT(INT(L392/100),2))&gt;59,TRUE,IF(VALUE(RIGHT(INT(L392/10000),2))&gt;59,TRUE,FALSE)))</f>
        <v>0</v>
      </c>
      <c r="BI392" s="212" t="b">
        <f t="shared" ref="BI392" si="4542">IF(J392="",FALSE,IF(L392=0,FALSE,IF(AND(AU391,NOT(BF392),OR(M392="",N392="",O392="")),TRUE,FALSE)))</f>
        <v>0</v>
      </c>
      <c r="BJ392" s="231" t="b">
        <f t="shared" ref="BJ392:BJ406" si="4543">IF(OR(M392="",N392="",O392=""),FALSE,DATE(M392,N392,O392))</f>
        <v>0</v>
      </c>
      <c r="BK392" s="231" t="b">
        <f>IF(NOT(BJ392),FALSE,IF(AND(競技会設定!$C$5&lt;=BJ392,BJ392&lt;=競技会設定!$C$6),FALSE,TRUE))</f>
        <v>0</v>
      </c>
      <c r="BL392" s="212" t="b">
        <f>IF(J392="",FALSE,IF(L392=0,FALSE,IF(AND(AU391,NOT(BF392),NOT(BI392),P392=""),TRUE,FALSE)))</f>
        <v>0</v>
      </c>
    </row>
    <row r="393" spans="1:67" ht="17.399999999999999" customHeight="1">
      <c r="A393" s="471"/>
      <c r="B393" s="402"/>
      <c r="C393" s="404"/>
      <c r="D393" s="11"/>
      <c r="E393" s="348" t="str">
        <f>IF(C391="","",VLOOKUP(D391,女子登録!$A$2:$O$2001,14,0)&amp;" ("&amp;VLOOKUP(D391,女子登録!$A$2:$O$2001,15,0)&amp;")")</f>
        <v/>
      </c>
      <c r="F393" s="348"/>
      <c r="G393" s="13" t="str">
        <f>IF(C391="","",(VLOOKUP(D391,女子登録!$A$2:$N$2001,9,0)))</f>
        <v/>
      </c>
      <c r="H393" s="13"/>
      <c r="I393" s="13" t="s">
        <v>4021</v>
      </c>
      <c r="J393" s="172"/>
      <c r="K393" s="13" t="s">
        <v>6760</v>
      </c>
      <c r="L393" s="172"/>
      <c r="M393" s="255"/>
      <c r="N393" s="256"/>
      <c r="O393" s="257"/>
      <c r="P393" s="171"/>
      <c r="Q393" s="458"/>
      <c r="R393" s="415"/>
      <c r="S393" s="136"/>
      <c r="T393" s="137"/>
      <c r="U393" s="137"/>
      <c r="V393" s="137"/>
      <c r="W393" s="137"/>
      <c r="X393" s="137"/>
      <c r="Y393" s="212">
        <f t="shared" ref="Y393" si="4544">IF(OR(E391="",J393=""),0,J393&amp;E391)</f>
        <v>0</v>
      </c>
      <c r="Z393" s="212">
        <f>IF(Y393=0,0,COUNTIF($Y$7:Y393,Y393))</f>
        <v>0</v>
      </c>
      <c r="AD393" s="212">
        <f>IFERROR(VLOOKUP(J393,競技会設定!$T$2:$W$22,2,0),0)</f>
        <v>0</v>
      </c>
      <c r="AE393" s="212">
        <f t="shared" ref="AE393" si="4545">IF(E391="",0,IF(AD393=0,0,IF(AD393&lt;3,E391&amp;$AE$6,0)))</f>
        <v>0</v>
      </c>
      <c r="AF393" s="212">
        <f>IF(AE393=0,0,E391&amp;COUNTIF($AE$7:AE393,AE393))</f>
        <v>0</v>
      </c>
      <c r="AG393" s="212">
        <f t="shared" ref="AG393" si="4546">IF(E391="",0,IF(AD393=0,0,IF(AD393&gt;=3,E391&amp;$AG$6,0)))</f>
        <v>0</v>
      </c>
      <c r="AH393" s="212">
        <f>IF(AG393=0,0,E391&amp;COUNTIF($AG$7:AG393,AG393))</f>
        <v>0</v>
      </c>
      <c r="AI393" s="212">
        <f t="shared" ref="AI393" si="4547">IF($AD393=AI$6,$E391,0)</f>
        <v>0</v>
      </c>
      <c r="AJ393" s="212" t="b">
        <f>IF(AI393=0,FALSE,IF(COUNTIF(AI$7:AI393,AI393)&gt;1,TRUE,FALSE))</f>
        <v>0</v>
      </c>
      <c r="AK393" s="212">
        <f t="shared" ref="AK393" si="4548">IF($AD393=AK$6,$E391,0)</f>
        <v>0</v>
      </c>
      <c r="AL393" s="212" t="b">
        <f>IF(AK393=0,FALSE,IF(COUNTIF(AK$7:AK393,AK393)&gt;1,TRUE,FALSE))</f>
        <v>0</v>
      </c>
      <c r="AM393" s="212">
        <f t="shared" ref="AM393" si="4549">IF(COUNTIF(Y393,"*七種*")&gt;0,0,IF($AD393=AM$6,$E391,0))</f>
        <v>0</v>
      </c>
      <c r="AN393" s="212" t="b">
        <f>IF(AM393=0,FALSE,IF(COUNTIF(AM$7:AM393,AM393)&gt;1,TRUE,FALSE))</f>
        <v>0</v>
      </c>
      <c r="AO393" s="212">
        <f t="shared" ref="AO393" si="4550">IF($AD393=AO$6,$E391,0)</f>
        <v>0</v>
      </c>
      <c r="AP393" s="212" t="b">
        <f>IF(AO393=0,FALSE,IF(COUNTIF(AO$7:AO393,AO393)&gt;1,TRUE,FALSE))</f>
        <v>0</v>
      </c>
      <c r="AQ393" s="212">
        <f t="shared" ref="AQ393" si="4551">IF(COUNTIF(Y393,"*七種競技*")&gt;0,E391,0)</f>
        <v>0</v>
      </c>
      <c r="AR393" s="212" t="b">
        <f t="shared" si="4539"/>
        <v>0</v>
      </c>
      <c r="AT393" s="212" t="b">
        <f t="shared" ref="AT393:AT406" si="4552">IF(AND(J393="",OR(L393&lt;&gt;"",M393&lt;&gt;"",P393&lt;&gt;"")),TRUE,FALSE)</f>
        <v>0</v>
      </c>
      <c r="AX393" s="274"/>
      <c r="BD393" s="212" t="b">
        <f t="shared" si="4526"/>
        <v>0</v>
      </c>
      <c r="BF393" s="212" t="b">
        <f t="shared" ref="BF393" si="4553">IF(J393="",FALSE,IF(OR(AND(AU391,L393=""),AND(AU391,L393="",OR(M393&lt;&gt;"",N393&lt;&gt;"",O393&lt;&gt;"",P393&lt;&gt;""))),TRUE,FALSE))</f>
        <v>0</v>
      </c>
      <c r="BG393" s="212" t="b">
        <f t="shared" si="4528"/>
        <v>0</v>
      </c>
      <c r="BH393" s="212" t="b">
        <f t="shared" si="4541"/>
        <v>0</v>
      </c>
      <c r="BI393" s="212" t="b">
        <f t="shared" ref="BI393" si="4554">IF(J393="",FALSE,IF(L393=0,FALSE,IF(AND(AU391,NOT(BF393),OR(M393="",N393="",O393="")),TRUE,FALSE)))</f>
        <v>0</v>
      </c>
      <c r="BJ393" s="231" t="b">
        <f t="shared" si="4543"/>
        <v>0</v>
      </c>
      <c r="BK393" s="231" t="b">
        <f>IF(NOT(BJ393),FALSE,IF(AND(競技会設定!$C$5&lt;=BJ393,BJ393&lt;=競技会設定!$C$6),FALSE,TRUE))</f>
        <v>0</v>
      </c>
      <c r="BL393" s="212" t="b">
        <f>IF(J393="",FALSE,IF(L393=0,FALSE,IF(AND(AU391,NOT(BF393),NOT(BI393),P393=""),TRUE,FALSE)))</f>
        <v>0</v>
      </c>
    </row>
    <row r="394" spans="1:67" ht="18" customHeight="1" thickBot="1">
      <c r="A394" s="472"/>
      <c r="B394" s="395" t="s">
        <v>6764</v>
      </c>
      <c r="C394" s="395"/>
      <c r="D394" s="11"/>
      <c r="E394" s="460"/>
      <c r="F394" s="460"/>
      <c r="G394" s="460"/>
      <c r="H394" s="157"/>
      <c r="I394" s="157" t="s">
        <v>6759</v>
      </c>
      <c r="J394" s="173"/>
      <c r="K394" s="157" t="s">
        <v>6761</v>
      </c>
      <c r="L394" s="173"/>
      <c r="M394" s="258"/>
      <c r="N394" s="259"/>
      <c r="O394" s="260"/>
      <c r="P394" s="173"/>
      <c r="Q394" s="459"/>
      <c r="R394" s="416"/>
      <c r="S394" s="136"/>
      <c r="T394" s="137"/>
      <c r="U394" s="137"/>
      <c r="V394" s="137"/>
      <c r="W394" s="137"/>
      <c r="X394" s="137"/>
      <c r="Y394" s="212">
        <f t="shared" ref="Y394" si="4555">IF(OR(E391="",J394=""),0,J394&amp;E391)</f>
        <v>0</v>
      </c>
      <c r="Z394" s="212">
        <f>IF(Y394=0,0,COUNTIF($Y$7:Y394,Y394))</f>
        <v>0</v>
      </c>
      <c r="AD394" s="212">
        <f>IFERROR(VLOOKUP(J394,競技会設定!$T$2:$W$22,2,0),0)</f>
        <v>0</v>
      </c>
      <c r="AE394" s="212">
        <f t="shared" ref="AE394" si="4556">IF(E391="",0,IF(AD394=0,0,IF(AD394&lt;3,E391&amp;$AE$6,0)))</f>
        <v>0</v>
      </c>
      <c r="AF394" s="212">
        <f>IF(AE394=0,0,E391&amp;COUNTIF($AE$7:AE394,AE394))</f>
        <v>0</v>
      </c>
      <c r="AG394" s="212">
        <f t="shared" ref="AG394" si="4557">IF(E391="",0,IF(AD394=0,0,IF(AD394&gt;=3,E391&amp;$AG$6,0)))</f>
        <v>0</v>
      </c>
      <c r="AH394" s="212">
        <f>IF(AG394=0,0,E391&amp;COUNTIF($AG$7:AG394,AG394))</f>
        <v>0</v>
      </c>
      <c r="AI394" s="212">
        <f t="shared" ref="AI394" si="4558">IF($AD394=AI$6,$E391,0)</f>
        <v>0</v>
      </c>
      <c r="AJ394" s="212" t="b">
        <f>IF(AI394=0,FALSE,IF(COUNTIF(AI$7:AI394,AI394)&gt;1,TRUE,FALSE))</f>
        <v>0</v>
      </c>
      <c r="AK394" s="212">
        <f t="shared" ref="AK394" si="4559">IF($AD394=AK$6,$E391,0)</f>
        <v>0</v>
      </c>
      <c r="AL394" s="212" t="b">
        <f>IF(AK394=0,FALSE,IF(COUNTIF(AK$7:AK394,AK394)&gt;1,TRUE,FALSE))</f>
        <v>0</v>
      </c>
      <c r="AM394" s="212">
        <f t="shared" ref="AM394" si="4560">IF(COUNTIF(Y394,"*七種*")&gt;0,0,IF($AD394=AM$6,$E391,0))</f>
        <v>0</v>
      </c>
      <c r="AN394" s="212" t="b">
        <f>IF(AM394=0,FALSE,IF(COUNTIF(AM$7:AM394,AM394)&gt;1,TRUE,FALSE))</f>
        <v>0</v>
      </c>
      <c r="AO394" s="212">
        <f t="shared" ref="AO394" si="4561">IF($AD394=AO$6,$E391,0)</f>
        <v>0</v>
      </c>
      <c r="AP394" s="212" t="b">
        <f>IF(AO394=0,FALSE,IF(COUNTIF(AO$7:AO394,AO394)&gt;1,TRUE,FALSE))</f>
        <v>0</v>
      </c>
      <c r="AQ394" s="212">
        <f t="shared" ref="AQ394" si="4562">IF(COUNTIF(Y394,"*七種競技*")&gt;0,E391,0)</f>
        <v>0</v>
      </c>
      <c r="AR394" s="212" t="b">
        <f t="shared" si="4539"/>
        <v>0</v>
      </c>
      <c r="AT394" s="212" t="b">
        <f t="shared" si="4552"/>
        <v>0</v>
      </c>
      <c r="AX394" s="274"/>
      <c r="BD394" s="212" t="b">
        <f t="shared" si="4526"/>
        <v>0</v>
      </c>
      <c r="BF394" s="212" t="b">
        <f t="shared" ref="BF394" si="4563">IF(J394="",FALSE,IF(OR(AND(AU391,L394=""),AND(AU391,L394="",OR(M394&lt;&gt;"",N394&lt;&gt;"",O394&lt;&gt;"",P394&lt;&gt;""))),TRUE,FALSE))</f>
        <v>0</v>
      </c>
      <c r="BG394" s="212" t="b">
        <f t="shared" si="4528"/>
        <v>0</v>
      </c>
      <c r="BH394" s="212" t="b">
        <f t="shared" si="4541"/>
        <v>0</v>
      </c>
      <c r="BI394" s="212" t="b">
        <f t="shared" ref="BI394" si="4564">IF(J394="",FALSE,IF(L394=0,FALSE,IF(AND(AU391,NOT(BF394),OR(M394="",N394="",O394="")),TRUE,FALSE)))</f>
        <v>0</v>
      </c>
      <c r="BJ394" s="231" t="b">
        <f t="shared" si="4543"/>
        <v>0</v>
      </c>
      <c r="BK394" s="231" t="b">
        <f>IF(NOT(BJ394),FALSE,IF(AND(競技会設定!$C$5&lt;=BJ394,BJ394&lt;=競技会設定!$C$6),FALSE,TRUE))</f>
        <v>0</v>
      </c>
      <c r="BL394" s="212" t="b">
        <f>IF(J394="",FALSE,IF(L394=0,FALSE,IF(AND(AU391,NOT(BF394),NOT(BI394),P394=""),TRUE,FALSE)))</f>
        <v>0</v>
      </c>
    </row>
    <row r="395" spans="1:67" ht="18" customHeight="1" thickTop="1">
      <c r="A395" s="461">
        <v>98</v>
      </c>
      <c r="B395" s="373" t="s">
        <v>4018</v>
      </c>
      <c r="C395" s="375"/>
      <c r="D395" s="158" t="str">
        <f t="shared" ref="D395" si="4565">IF(C395="","",502&amp;TEXT(C395,"000000"))</f>
        <v/>
      </c>
      <c r="E395" s="464" t="str">
        <f>IF(D395="","",(VLOOKUP(D395,女子登録!$A$2:$N$2001,3,0)))</f>
        <v/>
      </c>
      <c r="F395" s="464" t="str">
        <f>IF(D395="","",(VLOOKUP(D395,女子登録!$A$2:$N$2001,4,0)))</f>
        <v/>
      </c>
      <c r="G395" s="158" t="str">
        <f>IF(C395="","",(VLOOKUP(D395,女子登録!$A$2:$N$2001,8,0)))</f>
        <v/>
      </c>
      <c r="H395" s="158">
        <f>IFERROR(VLOOKUP(D395,女子登録!$A$2:$N$2001,11,0),基本情報!$E$5)</f>
        <v>0</v>
      </c>
      <c r="I395" s="158" t="s">
        <v>4019</v>
      </c>
      <c r="J395" s="174"/>
      <c r="K395" s="158" t="s">
        <v>4022</v>
      </c>
      <c r="L395" s="174"/>
      <c r="M395" s="261"/>
      <c r="N395" s="262"/>
      <c r="O395" s="263"/>
      <c r="P395" s="174"/>
      <c r="Q395" s="448"/>
      <c r="R395" s="408"/>
      <c r="S395" s="136">
        <f t="shared" ref="S395" si="4566">IF(OR(E395="",Q395=""),0,E395)</f>
        <v>0</v>
      </c>
      <c r="T395" s="137">
        <f>IF(S395=0,0,COUNTIF($S$7:S395,"*"))</f>
        <v>0</v>
      </c>
      <c r="U395" s="137">
        <f>IF(S395=0,0,COUNTIF($S$7:S395,S395))</f>
        <v>0</v>
      </c>
      <c r="V395" s="137">
        <f t="shared" si="3996"/>
        <v>0</v>
      </c>
      <c r="W395" s="137">
        <f>IF(V395=0,0,COUNTIF($V$7:V395,"*"))</f>
        <v>0</v>
      </c>
      <c r="X395" s="137">
        <f>IF(V395=0,0,COUNTIF($V$7:V395,V395))</f>
        <v>0</v>
      </c>
      <c r="Y395" s="212">
        <f t="shared" ref="Y395" si="4567">IF(OR(E395="",J395=""),0,J395&amp;E395)</f>
        <v>0</v>
      </c>
      <c r="Z395" s="212">
        <f>IF(Y395=0,0,COUNTIF($Y$7:Y395,Y395))</f>
        <v>0</v>
      </c>
      <c r="AA395" s="212" t="b">
        <f>IF(COUNTIF(J395:J398,"七種競技")&gt;0,TRUE,FALSE)</f>
        <v>0</v>
      </c>
      <c r="AB395" s="212">
        <f>IF(E395="",0,IF(AA395,COUNTIF($AA$7:AA395,TRUE),0))</f>
        <v>0</v>
      </c>
      <c r="AC395" s="212">
        <f>IFERROR(VLOOKUP("七種競技",J395:L398,3,0),0)</f>
        <v>0</v>
      </c>
      <c r="AD395" s="212">
        <f>IFERROR(VLOOKUP(J395,競技会設定!$T$2:$W$22,2,0),0)</f>
        <v>0</v>
      </c>
      <c r="AE395" s="212">
        <f t="shared" ref="AE395" si="4568">IF(E395="",0,IF(AD395=0,0,IF(AD395&lt;3,E395&amp;$AE$6,0)))</f>
        <v>0</v>
      </c>
      <c r="AF395" s="212">
        <f>IF(AE395=0,0,E395&amp;COUNTIF($AE$7:AE395,AE395))</f>
        <v>0</v>
      </c>
      <c r="AG395" s="212">
        <f t="shared" ref="AG395" si="4569">IF(E395="",0,IF(AD395=0,0,IF(AD395&gt;=3,E395&amp;$AG$6,0)))</f>
        <v>0</v>
      </c>
      <c r="AH395" s="212">
        <f>IF(AG395=0,0,E395&amp;COUNTIF($AG$7:AG395,AG395))</f>
        <v>0</v>
      </c>
      <c r="AI395" s="212">
        <f t="shared" ref="AI395" si="4570">IF($AD395=AI$6,$E395,0)</f>
        <v>0</v>
      </c>
      <c r="AJ395" s="212" t="b">
        <f>IF(AI395=0,FALSE,IF(COUNTIF(AI$7:AI395,AI395)&gt;1,TRUE,FALSE))</f>
        <v>0</v>
      </c>
      <c r="AK395" s="212">
        <f t="shared" ref="AK395" si="4571">IF($AD395=AK$6,$E395,0)</f>
        <v>0</v>
      </c>
      <c r="AL395" s="212" t="b">
        <f>IF(AK395=0,FALSE,IF(COUNTIF(AK$7:AK395,AK395)&gt;1,TRUE,FALSE))</f>
        <v>0</v>
      </c>
      <c r="AM395" s="212">
        <f t="shared" ref="AM395" si="4572">IF(COUNTIF(Y395,"*七種*")&gt;0,0,IF($AD395=AM$6,$E395,0))</f>
        <v>0</v>
      </c>
      <c r="AN395" s="212" t="b">
        <f>IF(AM395=0,FALSE,IF(COUNTIF(AM$7:AM395,AM395)&gt;1,TRUE,FALSE))</f>
        <v>0</v>
      </c>
      <c r="AO395" s="212">
        <f t="shared" ref="AO395" si="4573">IF($AD395=AO$6,$E395,0)</f>
        <v>0</v>
      </c>
      <c r="AP395" s="212" t="b">
        <f>IF(AO395=0,FALSE,IF(COUNTIF(AO$7:AO395,AO395)&gt;1,TRUE,FALSE))</f>
        <v>0</v>
      </c>
      <c r="AQ395" s="212">
        <f t="shared" ref="AQ395" si="4574">IF(COUNTIF(Y395,"*七種競技*")&gt;0,E395,0)</f>
        <v>0</v>
      </c>
      <c r="AR395" s="212" t="b">
        <f t="shared" si="4539"/>
        <v>0</v>
      </c>
      <c r="AS395" s="212" t="b">
        <f t="shared" ref="AS395" si="4575">IF(AND(C395="",E395&lt;&gt;"",F395&lt;&gt;"",E397&lt;&gt;"",G395&lt;&gt;"",G396&lt;&gt;"",G397&lt;&gt;""),TRUE,FALSE)</f>
        <v>0</v>
      </c>
      <c r="AT395" s="212" t="b">
        <f t="shared" si="4552"/>
        <v>0</v>
      </c>
      <c r="AU395" s="212" t="b">
        <f>IFERROR(IF(E395&amp;F395&amp;E397&amp;G395&amp;G396&amp;G397&amp;J395&amp;J396&amp;J397&amp;J398&amp;L395&amp;L396&amp;L397&amp;L398&amp;M395&amp;M396&amp;M397&amp;M398&amp;P395&amp;P396&amp;P397&amp;P398&amp;Q395&amp;R395="",FALSE,TRUE),FALSE)</f>
        <v>0</v>
      </c>
      <c r="AV395" s="212" t="b">
        <f t="shared" ref="AV395" si="4576">IF(AS395,FALSE,IF(C395="",AU395,FALSE))</f>
        <v>0</v>
      </c>
      <c r="AW395" s="212" t="b">
        <f t="shared" ref="AW395" si="4577">IF(C395="",FALSE,IF(C395&lt;=2000,TRUE,FALSE))</f>
        <v>0</v>
      </c>
      <c r="AX395" s="274" t="b">
        <f>IF(H395=0,FALSE,IF(EXACT(基本情報!$E$5,H395)=TRUE,FALSE,TRUE))</f>
        <v>0</v>
      </c>
      <c r="AY395" s="212" t="b">
        <f>IF(C395="",FALSE,IF(ISNA(E395)=TRUE,TRUE,FALSE))</f>
        <v>0</v>
      </c>
      <c r="AZ395" s="274" t="b">
        <f>IFERROR(IF(E395="",FALSE,IF(COUNTIF($E$7:E395,E395)&gt;1,TRUE,FALSE)),FALSE)</f>
        <v>0</v>
      </c>
      <c r="BA395" s="212" t="b">
        <f t="shared" ref="BA395" si="4578">IF(OR(J395&amp;J396&amp;J397&amp;J398&amp;Q395&amp;R395="",AT395,AT396,AT397,AT398),AU395,FALSE)</f>
        <v>0</v>
      </c>
      <c r="BB395" s="212" t="b">
        <f>IF(U395&gt;1,TRUE,FALSE)</f>
        <v>0</v>
      </c>
      <c r="BC395" s="212" t="b">
        <f>IF(X395&gt;1,TRUE,FALSE)</f>
        <v>0</v>
      </c>
      <c r="BD395" s="212" t="b">
        <f t="shared" si="4526"/>
        <v>0</v>
      </c>
      <c r="BF395" s="212" t="b">
        <f t="shared" ref="BF395" si="4579">IF(J395="",FALSE,IF(OR(AND(AU395,L395=""),AND(AU395,L395="",OR(M395&lt;&gt;"",N395&lt;&gt;"",O395&lt;&gt;"",P395&lt;&gt;""))),TRUE,FALSE))</f>
        <v>0</v>
      </c>
      <c r="BG395" s="212" t="b">
        <f t="shared" si="4528"/>
        <v>0</v>
      </c>
      <c r="BH395" s="212" t="b">
        <f t="shared" si="4541"/>
        <v>0</v>
      </c>
      <c r="BI395" s="212" t="b">
        <f t="shared" ref="BI395" si="4580">IF(J395="",FALSE,IF(L395=0,FALSE,IF(AND(AU395,NOT(BF395),OR(M395="",N395="",O395="")),TRUE,FALSE)))</f>
        <v>0</v>
      </c>
      <c r="BJ395" s="231" t="b">
        <f t="shared" si="4543"/>
        <v>0</v>
      </c>
      <c r="BK395" s="231" t="b">
        <f>IF(NOT(BJ395),FALSE,IF(AND(競技会設定!$C$5&lt;=BJ395,BJ395&lt;=競技会設定!$C$6),FALSE,TRUE))</f>
        <v>0</v>
      </c>
      <c r="BL395" s="212" t="b">
        <f>IF(J395="",FALSE,IF(L395=0,FALSE,IF(AND(AU395,NOT(BF395),NOT(BI395),P395=""),TRUE,FALSE)))</f>
        <v>0</v>
      </c>
      <c r="BO395" s="274">
        <f t="shared" ref="BO395" si="4581">IF(AND(AU395,SUM(COUNTIF(AV395:BC395,TRUE),COUNTIF(BF395:BL398,TRUE),COUNTIF(BD395:BD398,TRUE))=0,NOT($BE$7)),1,0)</f>
        <v>0</v>
      </c>
    </row>
    <row r="396" spans="1:67" ht="17.399999999999999" customHeight="1">
      <c r="A396" s="462"/>
      <c r="B396" s="374"/>
      <c r="C396" s="376"/>
      <c r="D396" s="159"/>
      <c r="E396" s="465"/>
      <c r="F396" s="465"/>
      <c r="G396" s="159" t="str">
        <f>IF(C395="","",(VLOOKUP(D395,女子登録!$A$2:$N$2001,13,0)))</f>
        <v/>
      </c>
      <c r="H396" s="159"/>
      <c r="I396" s="159" t="s">
        <v>4020</v>
      </c>
      <c r="J396" s="175"/>
      <c r="K396" s="159" t="s">
        <v>4023</v>
      </c>
      <c r="L396" s="175"/>
      <c r="M396" s="264"/>
      <c r="N396" s="265"/>
      <c r="O396" s="266"/>
      <c r="P396" s="175"/>
      <c r="Q396" s="449"/>
      <c r="R396" s="409"/>
      <c r="S396" s="136"/>
      <c r="T396" s="137"/>
      <c r="U396" s="137"/>
      <c r="V396" s="137"/>
      <c r="W396" s="137"/>
      <c r="X396" s="137"/>
      <c r="Y396" s="212">
        <f t="shared" ref="Y396" si="4582">IF(OR(E395="",J396=""),0,J396&amp;E395)</f>
        <v>0</v>
      </c>
      <c r="Z396" s="212">
        <f>IF(Y396=0,0,COUNTIF($Y$7:Y396,Y396))</f>
        <v>0</v>
      </c>
      <c r="AD396" s="212">
        <f>IFERROR(VLOOKUP(J396,競技会設定!$T$2:$W$22,2,0),0)</f>
        <v>0</v>
      </c>
      <c r="AE396" s="212">
        <f t="shared" ref="AE396" si="4583">IF(E395="",0,IF(AD396=0,0,IF(AD396&lt;3,E395&amp;$AE$6,0)))</f>
        <v>0</v>
      </c>
      <c r="AF396" s="212">
        <f>IF(AE396=0,0,E395&amp;COUNTIF($AE$7:AE396,AE396))</f>
        <v>0</v>
      </c>
      <c r="AG396" s="212">
        <f t="shared" ref="AG396" si="4584">IF(E395="",0,IF(AD396=0,0,IF(AD396&gt;=3,E395&amp;$AG$6,0)))</f>
        <v>0</v>
      </c>
      <c r="AH396" s="212">
        <f>IF(AG396=0,0,E395&amp;COUNTIF($AG$7:AG396,AG396))</f>
        <v>0</v>
      </c>
      <c r="AI396" s="212">
        <f t="shared" ref="AI396" si="4585">IF($AD396=AI$6,$E395,0)</f>
        <v>0</v>
      </c>
      <c r="AJ396" s="212" t="b">
        <f>IF(AI396=0,FALSE,IF(COUNTIF(AI$7:AI396,AI396)&gt;1,TRUE,FALSE))</f>
        <v>0</v>
      </c>
      <c r="AK396" s="212">
        <f t="shared" ref="AK396" si="4586">IF($AD396=AK$6,$E395,0)</f>
        <v>0</v>
      </c>
      <c r="AL396" s="212" t="b">
        <f>IF(AK396=0,FALSE,IF(COUNTIF(AK$7:AK396,AK396)&gt;1,TRUE,FALSE))</f>
        <v>0</v>
      </c>
      <c r="AM396" s="212">
        <f t="shared" ref="AM396" si="4587">IF(COUNTIF(Y396,"*七種*")&gt;0,0,IF($AD396=AM$6,$E395,0))</f>
        <v>0</v>
      </c>
      <c r="AN396" s="212" t="b">
        <f>IF(AM396=0,FALSE,IF(COUNTIF(AM$7:AM396,AM396)&gt;1,TRUE,FALSE))</f>
        <v>0</v>
      </c>
      <c r="AO396" s="212">
        <f t="shared" ref="AO396" si="4588">IF($AD396=AO$6,$E395,0)</f>
        <v>0</v>
      </c>
      <c r="AP396" s="212" t="b">
        <f>IF(AO396=0,FALSE,IF(COUNTIF(AO$7:AO396,AO396)&gt;1,TRUE,FALSE))</f>
        <v>0</v>
      </c>
      <c r="AQ396" s="212">
        <f t="shared" ref="AQ396" si="4589">IF(COUNTIF(Y396,"*七種競技*")&gt;0,E395,0)</f>
        <v>0</v>
      </c>
      <c r="AR396" s="212" t="b">
        <f t="shared" si="4539"/>
        <v>0</v>
      </c>
      <c r="AT396" s="212" t="b">
        <f t="shared" si="4552"/>
        <v>0</v>
      </c>
      <c r="AX396" s="274"/>
      <c r="BD396" s="212" t="b">
        <f t="shared" si="4526"/>
        <v>0</v>
      </c>
      <c r="BF396" s="212" t="b">
        <f t="shared" ref="BF396" si="4590">IF(J396="",FALSE,IF(OR(AND(AU395,L396=""),AND(AU395,L396="",OR(M396&lt;&gt;"",N396&lt;&gt;"",O396&lt;&gt;"",P396&lt;&gt;""))),TRUE,FALSE))</f>
        <v>0</v>
      </c>
      <c r="BG396" s="212" t="b">
        <f t="shared" si="4528"/>
        <v>0</v>
      </c>
      <c r="BH396" s="212" t="b">
        <f t="shared" si="4541"/>
        <v>0</v>
      </c>
      <c r="BI396" s="212" t="b">
        <f t="shared" ref="BI396" si="4591">IF(J396="",FALSE,IF(L396=0,FALSE,IF(AND(AU395,NOT(BF396),OR(M396="",N396="",O396="")),TRUE,FALSE)))</f>
        <v>0</v>
      </c>
      <c r="BJ396" s="231" t="b">
        <f t="shared" si="4543"/>
        <v>0</v>
      </c>
      <c r="BK396" s="231" t="b">
        <f>IF(NOT(BJ396),FALSE,IF(AND(競技会設定!$C$5&lt;=BJ396,BJ396&lt;=競技会設定!$C$6),FALSE,TRUE))</f>
        <v>0</v>
      </c>
      <c r="BL396" s="212" t="b">
        <f>IF(J396="",FALSE,IF(L396=0,FALSE,IF(AND(AU395,NOT(BF396),NOT(BI396),P396=""),TRUE,FALSE)))</f>
        <v>0</v>
      </c>
    </row>
    <row r="397" spans="1:67" ht="17.399999999999999" customHeight="1">
      <c r="A397" s="462"/>
      <c r="B397" s="374"/>
      <c r="C397" s="376"/>
      <c r="D397" s="160"/>
      <c r="E397" s="452" t="str">
        <f>IF(C395="","",VLOOKUP(D395,女子登録!$A$2:$O$2001,14,0)&amp;" ("&amp;VLOOKUP(D395,女子登録!$A$2:$O$2001,15,0)&amp;")")</f>
        <v/>
      </c>
      <c r="F397" s="453"/>
      <c r="G397" s="160" t="str">
        <f>IF(C395="","",(VLOOKUP(D395,女子登録!$A$2:$N$2001,9,0)))</f>
        <v/>
      </c>
      <c r="H397" s="160"/>
      <c r="I397" s="160" t="s">
        <v>4021</v>
      </c>
      <c r="J397" s="176"/>
      <c r="K397" s="160" t="s">
        <v>6760</v>
      </c>
      <c r="L397" s="176"/>
      <c r="M397" s="264"/>
      <c r="N397" s="265"/>
      <c r="O397" s="266"/>
      <c r="P397" s="175"/>
      <c r="Q397" s="449"/>
      <c r="R397" s="409"/>
      <c r="S397" s="136"/>
      <c r="T397" s="137"/>
      <c r="U397" s="137"/>
      <c r="V397" s="137"/>
      <c r="W397" s="137"/>
      <c r="X397" s="137"/>
      <c r="Y397" s="212">
        <f t="shared" ref="Y397" si="4592">IF(OR(E395="",J397=""),0,J397&amp;E395)</f>
        <v>0</v>
      </c>
      <c r="Z397" s="212">
        <f>IF(Y397=0,0,COUNTIF($Y$7:Y397,Y397))</f>
        <v>0</v>
      </c>
      <c r="AD397" s="212">
        <f>IFERROR(VLOOKUP(J397,競技会設定!$T$2:$W$22,2,0),0)</f>
        <v>0</v>
      </c>
      <c r="AE397" s="212">
        <f t="shared" ref="AE397" si="4593">IF(E395="",0,IF(AD397=0,0,IF(AD397&lt;3,E395&amp;$AE$6,0)))</f>
        <v>0</v>
      </c>
      <c r="AF397" s="212">
        <f>IF(AE397=0,0,E395&amp;COUNTIF($AE$7:AE397,AE397))</f>
        <v>0</v>
      </c>
      <c r="AG397" s="212">
        <f t="shared" ref="AG397" si="4594">IF(E395="",0,IF(AD397=0,0,IF(AD397&gt;=3,E395&amp;$AG$6,0)))</f>
        <v>0</v>
      </c>
      <c r="AH397" s="212">
        <f>IF(AG397=0,0,E395&amp;COUNTIF($AG$7:AG397,AG397))</f>
        <v>0</v>
      </c>
      <c r="AI397" s="212">
        <f t="shared" ref="AI397" si="4595">IF($AD397=AI$6,$E395,0)</f>
        <v>0</v>
      </c>
      <c r="AJ397" s="212" t="b">
        <f>IF(AI397=0,FALSE,IF(COUNTIF(AI$7:AI397,AI397)&gt;1,TRUE,FALSE))</f>
        <v>0</v>
      </c>
      <c r="AK397" s="212">
        <f t="shared" ref="AK397" si="4596">IF($AD397=AK$6,$E395,0)</f>
        <v>0</v>
      </c>
      <c r="AL397" s="212" t="b">
        <f>IF(AK397=0,FALSE,IF(COUNTIF(AK$7:AK397,AK397)&gt;1,TRUE,FALSE))</f>
        <v>0</v>
      </c>
      <c r="AM397" s="212">
        <f t="shared" ref="AM397" si="4597">IF(COUNTIF(Y397,"*七種*")&gt;0,0,IF($AD397=AM$6,$E395,0))</f>
        <v>0</v>
      </c>
      <c r="AN397" s="212" t="b">
        <f>IF(AM397=0,FALSE,IF(COUNTIF(AM$7:AM397,AM397)&gt;1,TRUE,FALSE))</f>
        <v>0</v>
      </c>
      <c r="AO397" s="212">
        <f t="shared" ref="AO397" si="4598">IF($AD397=AO$6,$E395,0)</f>
        <v>0</v>
      </c>
      <c r="AP397" s="212" t="b">
        <f>IF(AO397=0,FALSE,IF(COUNTIF(AO$7:AO397,AO397)&gt;1,TRUE,FALSE))</f>
        <v>0</v>
      </c>
      <c r="AQ397" s="212">
        <f t="shared" ref="AQ397" si="4599">IF(COUNTIF(Y397,"*七種競技*")&gt;0,E395,0)</f>
        <v>0</v>
      </c>
      <c r="AR397" s="212" t="b">
        <f t="shared" si="4539"/>
        <v>0</v>
      </c>
      <c r="AT397" s="212" t="b">
        <f t="shared" si="4552"/>
        <v>0</v>
      </c>
      <c r="AX397" s="274"/>
      <c r="BD397" s="212" t="b">
        <f t="shared" si="4526"/>
        <v>0</v>
      </c>
      <c r="BF397" s="212" t="b">
        <f t="shared" ref="BF397" si="4600">IF(J397="",FALSE,IF(OR(AND(AU395,L397=""),AND(AU395,L397="",OR(M397&lt;&gt;"",N397&lt;&gt;"",O397&lt;&gt;"",P397&lt;&gt;""))),TRUE,FALSE))</f>
        <v>0</v>
      </c>
      <c r="BG397" s="212" t="b">
        <f t="shared" si="4528"/>
        <v>0</v>
      </c>
      <c r="BH397" s="212" t="b">
        <f t="shared" si="4541"/>
        <v>0</v>
      </c>
      <c r="BI397" s="212" t="b">
        <f t="shared" ref="BI397" si="4601">IF(J397="",FALSE,IF(L397=0,FALSE,IF(AND(AU395,NOT(BF397),OR(M397="",N397="",O397="")),TRUE,FALSE)))</f>
        <v>0</v>
      </c>
      <c r="BJ397" s="231" t="b">
        <f t="shared" si="4543"/>
        <v>0</v>
      </c>
      <c r="BK397" s="231" t="b">
        <f>IF(NOT(BJ397),FALSE,IF(AND(競技会設定!$C$5&lt;=BJ397,BJ397&lt;=競技会設定!$C$6),FALSE,TRUE))</f>
        <v>0</v>
      </c>
      <c r="BL397" s="212" t="b">
        <f>IF(J397="",FALSE,IF(L397=0,FALSE,IF(AND(AU395,NOT(BF397),NOT(BI397),P397=""),TRUE,FALSE)))</f>
        <v>0</v>
      </c>
    </row>
    <row r="398" spans="1:67" ht="18" customHeight="1" thickBot="1">
      <c r="A398" s="475"/>
      <c r="B398" s="387" t="s">
        <v>6764</v>
      </c>
      <c r="C398" s="387"/>
      <c r="D398" s="161"/>
      <c r="E398" s="467"/>
      <c r="F398" s="468"/>
      <c r="G398" s="469"/>
      <c r="H398" s="162"/>
      <c r="I398" s="161" t="s">
        <v>6759</v>
      </c>
      <c r="J398" s="177"/>
      <c r="K398" s="161" t="s">
        <v>6761</v>
      </c>
      <c r="L398" s="177"/>
      <c r="M398" s="267"/>
      <c r="N398" s="268"/>
      <c r="O398" s="269"/>
      <c r="P398" s="177"/>
      <c r="Q398" s="466"/>
      <c r="R398" s="410"/>
      <c r="S398" s="136"/>
      <c r="T398" s="137"/>
      <c r="U398" s="137"/>
      <c r="V398" s="137"/>
      <c r="W398" s="137"/>
      <c r="X398" s="137"/>
      <c r="Y398" s="212">
        <f t="shared" ref="Y398" si="4602">IF(OR(E395="",J398=""),0,J398&amp;E395)</f>
        <v>0</v>
      </c>
      <c r="Z398" s="212">
        <f>IF(Y398=0,0,COUNTIF($Y$7:Y398,Y398))</f>
        <v>0</v>
      </c>
      <c r="AD398" s="212">
        <f>IFERROR(VLOOKUP(J398,競技会設定!$T$2:$W$22,2,0),0)</f>
        <v>0</v>
      </c>
      <c r="AE398" s="212">
        <f t="shared" ref="AE398" si="4603">IF(E395="",0,IF(AD398=0,0,IF(AD398&lt;3,E395&amp;$AE$6,0)))</f>
        <v>0</v>
      </c>
      <c r="AF398" s="212">
        <f>IF(AE398=0,0,E395&amp;COUNTIF($AE$7:AE398,AE398))</f>
        <v>0</v>
      </c>
      <c r="AG398" s="212">
        <f t="shared" ref="AG398" si="4604">IF(E395="",0,IF(AD398=0,0,IF(AD398&gt;=3,E395&amp;$AG$6,0)))</f>
        <v>0</v>
      </c>
      <c r="AH398" s="212">
        <f>IF(AG398=0,0,E395&amp;COUNTIF($AG$7:AG398,AG398))</f>
        <v>0</v>
      </c>
      <c r="AI398" s="212">
        <f t="shared" ref="AI398" si="4605">IF($AD398=AI$6,$E395,0)</f>
        <v>0</v>
      </c>
      <c r="AJ398" s="212" t="b">
        <f>IF(AI398=0,FALSE,IF(COUNTIF(AI$7:AI398,AI398)&gt;1,TRUE,FALSE))</f>
        <v>0</v>
      </c>
      <c r="AK398" s="212">
        <f t="shared" ref="AK398" si="4606">IF($AD398=AK$6,$E395,0)</f>
        <v>0</v>
      </c>
      <c r="AL398" s="212" t="b">
        <f>IF(AK398=0,FALSE,IF(COUNTIF(AK$7:AK398,AK398)&gt;1,TRUE,FALSE))</f>
        <v>0</v>
      </c>
      <c r="AM398" s="212">
        <f t="shared" ref="AM398" si="4607">IF(COUNTIF(Y398,"*七種*")&gt;0,0,IF($AD398=AM$6,$E395,0))</f>
        <v>0</v>
      </c>
      <c r="AN398" s="212" t="b">
        <f>IF(AM398=0,FALSE,IF(COUNTIF(AM$7:AM398,AM398)&gt;1,TRUE,FALSE))</f>
        <v>0</v>
      </c>
      <c r="AO398" s="212">
        <f t="shared" ref="AO398" si="4608">IF($AD398=AO$6,$E395,0)</f>
        <v>0</v>
      </c>
      <c r="AP398" s="212" t="b">
        <f>IF(AO398=0,FALSE,IF(COUNTIF(AO$7:AO398,AO398)&gt;1,TRUE,FALSE))</f>
        <v>0</v>
      </c>
      <c r="AQ398" s="212">
        <f t="shared" ref="AQ398" si="4609">IF(COUNTIF(Y398,"*七種競技*")&gt;0,E395,0)</f>
        <v>0</v>
      </c>
      <c r="AR398" s="212" t="b">
        <f t="shared" si="4539"/>
        <v>0</v>
      </c>
      <c r="AT398" s="212" t="b">
        <f t="shared" si="4552"/>
        <v>0</v>
      </c>
      <c r="AX398" s="274"/>
      <c r="BD398" s="212" t="b">
        <f t="shared" si="4526"/>
        <v>0</v>
      </c>
      <c r="BF398" s="212" t="b">
        <f t="shared" ref="BF398" si="4610">IF(J398="",FALSE,IF(OR(AND(AU395,L398=""),AND(AU395,L398="",OR(M398&lt;&gt;"",N398&lt;&gt;"",O398&lt;&gt;"",P398&lt;&gt;""))),TRUE,FALSE))</f>
        <v>0</v>
      </c>
      <c r="BG398" s="212" t="b">
        <f t="shared" si="4528"/>
        <v>0</v>
      </c>
      <c r="BH398" s="212" t="b">
        <f t="shared" si="4541"/>
        <v>0</v>
      </c>
      <c r="BI398" s="212" t="b">
        <f t="shared" ref="BI398" si="4611">IF(J398="",FALSE,IF(L398=0,FALSE,IF(AND(AU395,NOT(BF398),OR(M398="",N398="",O398="")),TRUE,FALSE)))</f>
        <v>0</v>
      </c>
      <c r="BJ398" s="231" t="b">
        <f t="shared" si="4543"/>
        <v>0</v>
      </c>
      <c r="BK398" s="231" t="b">
        <f>IF(NOT(BJ398),FALSE,IF(AND(競技会設定!$C$5&lt;=BJ398,BJ398&lt;=競技会設定!$C$6),FALSE,TRUE))</f>
        <v>0</v>
      </c>
      <c r="BL398" s="212" t="b">
        <f>IF(J398="",FALSE,IF(L398=0,FALSE,IF(AND(AU395,NOT(BF398),NOT(BI398),P398=""),TRUE,FALSE)))</f>
        <v>0</v>
      </c>
    </row>
    <row r="399" spans="1:67" ht="18" customHeight="1" thickTop="1">
      <c r="A399" s="470">
        <v>99</v>
      </c>
      <c r="B399" s="401" t="s">
        <v>4018</v>
      </c>
      <c r="C399" s="403"/>
      <c r="D399" s="156" t="str">
        <f t="shared" ref="D399" si="4612">IF(C399="","",502&amp;TEXT(C399,"000000"))</f>
        <v/>
      </c>
      <c r="E399" s="473" t="str">
        <f>IF(D399="","",(VLOOKUP(D399,女子登録!$A$2:$N$2001,3,0)))</f>
        <v/>
      </c>
      <c r="F399" s="473" t="str">
        <f>IF(D399="","",(VLOOKUP(D399,女子登録!$A$2:$N$2001,4,0)))</f>
        <v/>
      </c>
      <c r="G399" s="156" t="str">
        <f>IF(C399="","",(VLOOKUP(D399,女子登録!$A$2:$N$2001,8,0)))</f>
        <v/>
      </c>
      <c r="H399" s="156">
        <f>IFERROR(VLOOKUP(D399,女子登録!$A$2:$N$2001,11,0),基本情報!$E$5)</f>
        <v>0</v>
      </c>
      <c r="I399" s="156" t="s">
        <v>4019</v>
      </c>
      <c r="J399" s="170"/>
      <c r="K399" s="156" t="s">
        <v>4022</v>
      </c>
      <c r="L399" s="170"/>
      <c r="M399" s="252"/>
      <c r="N399" s="253"/>
      <c r="O399" s="254"/>
      <c r="P399" s="170"/>
      <c r="Q399" s="457"/>
      <c r="R399" s="414"/>
      <c r="S399" s="136">
        <f t="shared" ref="S399" si="4613">IF(OR(E399="",Q399=""),0,E399)</f>
        <v>0</v>
      </c>
      <c r="T399" s="137">
        <f>IF(S399=0,0,COUNTIF($S$7:S399,"*"))</f>
        <v>0</v>
      </c>
      <c r="U399" s="137">
        <f>IF(S399=0,0,COUNTIF($S$7:S399,S399))</f>
        <v>0</v>
      </c>
      <c r="V399" s="137">
        <f t="shared" si="3996"/>
        <v>0</v>
      </c>
      <c r="W399" s="137">
        <f>IF(V399=0,0,COUNTIF($V$7:V399,"*"))</f>
        <v>0</v>
      </c>
      <c r="X399" s="137">
        <f>IF(V399=0,0,COUNTIF($V$7:V399,V399))</f>
        <v>0</v>
      </c>
      <c r="Y399" s="212">
        <f t="shared" ref="Y399" si="4614">IF(OR(E399="",J399=""),0,J399&amp;E399)</f>
        <v>0</v>
      </c>
      <c r="Z399" s="212">
        <f>IF(Y399=0,0,COUNTIF($Y$7:Y399,Y399))</f>
        <v>0</v>
      </c>
      <c r="AA399" s="212" t="b">
        <f>IF(COUNTIF(J399:J402,"七種競技")&gt;0,TRUE,FALSE)</f>
        <v>0</v>
      </c>
      <c r="AB399" s="212">
        <f>IF(E399="",0,IF(AA399,COUNTIF($AA$7:AA399,TRUE),0))</f>
        <v>0</v>
      </c>
      <c r="AC399" s="212">
        <f>IFERROR(VLOOKUP("七種競技",J399:L402,3,0),0)</f>
        <v>0</v>
      </c>
      <c r="AD399" s="212">
        <f>IFERROR(VLOOKUP(J399,競技会設定!$T$2:$W$22,2,0),0)</f>
        <v>0</v>
      </c>
      <c r="AE399" s="212">
        <f t="shared" ref="AE399" si="4615">IF(E399="",0,IF(AD399=0,0,IF(AD399&lt;3,E399&amp;$AE$6,0)))</f>
        <v>0</v>
      </c>
      <c r="AF399" s="212">
        <f>IF(AE399=0,0,E399&amp;COUNTIF($AE$7:AE399,AE399))</f>
        <v>0</v>
      </c>
      <c r="AG399" s="212">
        <f t="shared" ref="AG399" si="4616">IF(E399="",0,IF(AD399=0,0,IF(AD399&gt;=3,E399&amp;$AG$6,0)))</f>
        <v>0</v>
      </c>
      <c r="AH399" s="212">
        <f>IF(AG399=0,0,E399&amp;COUNTIF($AG$7:AG399,AG399))</f>
        <v>0</v>
      </c>
      <c r="AI399" s="212">
        <f t="shared" ref="AI399" si="4617">IF($AD399=AI$6,$E399,0)</f>
        <v>0</v>
      </c>
      <c r="AJ399" s="212" t="b">
        <f>IF(AI399=0,FALSE,IF(COUNTIF(AI$7:AI399,AI399)&gt;1,TRUE,FALSE))</f>
        <v>0</v>
      </c>
      <c r="AK399" s="212">
        <f t="shared" ref="AK399" si="4618">IF($AD399=AK$6,$E399,0)</f>
        <v>0</v>
      </c>
      <c r="AL399" s="212" t="b">
        <f>IF(AK399=0,FALSE,IF(COUNTIF(AK$7:AK399,AK399)&gt;1,TRUE,FALSE))</f>
        <v>0</v>
      </c>
      <c r="AM399" s="212">
        <f t="shared" ref="AM399" si="4619">IF(COUNTIF(Y399,"*七種*")&gt;0,0,IF($AD399=AM$6,$E399,0))</f>
        <v>0</v>
      </c>
      <c r="AN399" s="212" t="b">
        <f>IF(AM399=0,FALSE,IF(COUNTIF(AM$7:AM399,AM399)&gt;1,TRUE,FALSE))</f>
        <v>0</v>
      </c>
      <c r="AO399" s="212">
        <f t="shared" ref="AO399" si="4620">IF($AD399=AO$6,$E399,0)</f>
        <v>0</v>
      </c>
      <c r="AP399" s="212" t="b">
        <f>IF(AO399=0,FALSE,IF(COUNTIF(AO$7:AO399,AO399)&gt;1,TRUE,FALSE))</f>
        <v>0</v>
      </c>
      <c r="AQ399" s="212">
        <f t="shared" ref="AQ399" si="4621">IF(COUNTIF(Y399,"*七種競技*")&gt;0,E399,0)</f>
        <v>0</v>
      </c>
      <c r="AR399" s="212" t="b">
        <f t="shared" si="4539"/>
        <v>0</v>
      </c>
      <c r="AS399" s="212" t="b">
        <f t="shared" ref="AS399" si="4622">IF(AND(C399="",E399&lt;&gt;"",F399&lt;&gt;"",E401&lt;&gt;"",G399&lt;&gt;"",G400&lt;&gt;"",G401&lt;&gt;""),TRUE,FALSE)</f>
        <v>0</v>
      </c>
      <c r="AT399" s="212" t="b">
        <f t="shared" si="4552"/>
        <v>0</v>
      </c>
      <c r="AU399" s="212" t="b">
        <f>IFERROR(IF(E399&amp;F399&amp;E401&amp;G399&amp;G400&amp;G401&amp;J399&amp;J400&amp;J401&amp;J402&amp;L399&amp;L400&amp;L401&amp;L402&amp;M399&amp;M400&amp;M401&amp;M402&amp;P399&amp;P400&amp;P401&amp;P402&amp;Q399&amp;R399="",FALSE,TRUE),FALSE)</f>
        <v>0</v>
      </c>
      <c r="AV399" s="212" t="b">
        <f t="shared" ref="AV399" si="4623">IF(AS399,FALSE,IF(C399="",AU399,FALSE))</f>
        <v>0</v>
      </c>
      <c r="AW399" s="212" t="b">
        <f t="shared" ref="AW399" si="4624">IF(C399="",FALSE,IF(C399&lt;=2000,TRUE,FALSE))</f>
        <v>0</v>
      </c>
      <c r="AX399" s="274" t="b">
        <f>IF(H399=0,FALSE,IF(EXACT(基本情報!$E$5,H399)=TRUE,FALSE,TRUE))</f>
        <v>0</v>
      </c>
      <c r="AY399" s="212" t="b">
        <f>IF(C399="",FALSE,IF(ISNA(E399)=TRUE,TRUE,FALSE))</f>
        <v>0</v>
      </c>
      <c r="AZ399" s="274" t="b">
        <f>IFERROR(IF(E399="",FALSE,IF(COUNTIF($E$7:E399,E399)&gt;1,TRUE,FALSE)),FALSE)</f>
        <v>0</v>
      </c>
      <c r="BA399" s="212" t="b">
        <f t="shared" ref="BA399" si="4625">IF(OR(J399&amp;J400&amp;J401&amp;J402&amp;Q399&amp;R399="",AT399,AT400,AT401,AT402),AU399,FALSE)</f>
        <v>0</v>
      </c>
      <c r="BB399" s="212" t="b">
        <f>IF(U399&gt;1,TRUE,FALSE)</f>
        <v>0</v>
      </c>
      <c r="BC399" s="212" t="b">
        <f>IF(X399&gt;1,TRUE,FALSE)</f>
        <v>0</v>
      </c>
      <c r="BD399" s="212" t="b">
        <f t="shared" si="4526"/>
        <v>0</v>
      </c>
      <c r="BF399" s="212" t="b">
        <f t="shared" ref="BF399" si="4626">IF(J399="",FALSE,IF(OR(AND(AU399,L399=""),AND(AU399,L399="",OR(M399&lt;&gt;"",N399&lt;&gt;"",O399&lt;&gt;"",P399&lt;&gt;""))),TRUE,FALSE))</f>
        <v>0</v>
      </c>
      <c r="BG399" s="212" t="b">
        <f t="shared" si="4528"/>
        <v>0</v>
      </c>
      <c r="BH399" s="212" t="b">
        <f t="shared" si="4541"/>
        <v>0</v>
      </c>
      <c r="BI399" s="212" t="b">
        <f t="shared" ref="BI399" si="4627">IF(J399="",FALSE,IF(L399=0,FALSE,IF(AND(AU399,NOT(BF399),OR(M399="",N399="",O399="")),TRUE,FALSE)))</f>
        <v>0</v>
      </c>
      <c r="BJ399" s="231" t="b">
        <f t="shared" si="4543"/>
        <v>0</v>
      </c>
      <c r="BK399" s="231" t="b">
        <f>IF(NOT(BJ399),FALSE,IF(AND(競技会設定!$C$5&lt;=BJ399,BJ399&lt;=競技会設定!$C$6),FALSE,TRUE))</f>
        <v>0</v>
      </c>
      <c r="BL399" s="212" t="b">
        <f>IF(J399="",FALSE,IF(L399=0,FALSE,IF(AND(AU399,NOT(BF399),NOT(BI399),P399=""),TRUE,FALSE)))</f>
        <v>0</v>
      </c>
      <c r="BO399" s="274">
        <f t="shared" ref="BO399" si="4628">IF(AND(AU399,SUM(COUNTIF(AV399:BC399,TRUE),COUNTIF(BF399:BL402,TRUE),COUNTIF(BD399:BD402,TRUE))=0,NOT($BE$7)),1,0)</f>
        <v>0</v>
      </c>
    </row>
    <row r="400" spans="1:67" ht="17.399999999999999" customHeight="1">
      <c r="A400" s="471"/>
      <c r="B400" s="402"/>
      <c r="C400" s="404"/>
      <c r="D400" s="11"/>
      <c r="E400" s="474"/>
      <c r="F400" s="474"/>
      <c r="G400" s="11" t="str">
        <f>IF(C399="","",(VLOOKUP(D399,女子登録!$A$2:$N$2001,13,0)))</f>
        <v/>
      </c>
      <c r="H400" s="11"/>
      <c r="I400" s="11" t="s">
        <v>4020</v>
      </c>
      <c r="J400" s="171"/>
      <c r="K400" s="11" t="s">
        <v>4023</v>
      </c>
      <c r="L400" s="171"/>
      <c r="M400" s="255"/>
      <c r="N400" s="256"/>
      <c r="O400" s="257"/>
      <c r="P400" s="171"/>
      <c r="Q400" s="458"/>
      <c r="R400" s="415"/>
      <c r="S400" s="136"/>
      <c r="T400" s="137"/>
      <c r="U400" s="137"/>
      <c r="V400" s="137"/>
      <c r="W400" s="137"/>
      <c r="X400" s="137"/>
      <c r="Y400" s="212">
        <f t="shared" ref="Y400" si="4629">IF(OR(E399="",J400=""),0,J400&amp;E399)</f>
        <v>0</v>
      </c>
      <c r="Z400" s="212">
        <f>IF(Y400=0,0,COUNTIF($Y$7:Y400,Y400))</f>
        <v>0</v>
      </c>
      <c r="AD400" s="212">
        <f>IFERROR(VLOOKUP(J400,競技会設定!$T$2:$W$22,2,0),0)</f>
        <v>0</v>
      </c>
      <c r="AE400" s="212">
        <f t="shared" ref="AE400" si="4630">IF(E399="",0,IF(AD400=0,0,IF(AD400&lt;3,E399&amp;$AE$6,0)))</f>
        <v>0</v>
      </c>
      <c r="AF400" s="212">
        <f>IF(AE400=0,0,E399&amp;COUNTIF($AE$7:AE400,AE400))</f>
        <v>0</v>
      </c>
      <c r="AG400" s="212">
        <f t="shared" ref="AG400" si="4631">IF(E399="",0,IF(AD400=0,0,IF(AD400&gt;=3,E399&amp;$AG$6,0)))</f>
        <v>0</v>
      </c>
      <c r="AH400" s="212">
        <f>IF(AG400=0,0,E399&amp;COUNTIF($AG$7:AG400,AG400))</f>
        <v>0</v>
      </c>
      <c r="AI400" s="212">
        <f t="shared" ref="AI400" si="4632">IF($AD400=AI$6,$E399,0)</f>
        <v>0</v>
      </c>
      <c r="AJ400" s="212" t="b">
        <f>IF(AI400=0,FALSE,IF(COUNTIF(AI$7:AI400,AI400)&gt;1,TRUE,FALSE))</f>
        <v>0</v>
      </c>
      <c r="AK400" s="212">
        <f t="shared" ref="AK400" si="4633">IF($AD400=AK$6,$E399,0)</f>
        <v>0</v>
      </c>
      <c r="AL400" s="212" t="b">
        <f>IF(AK400=0,FALSE,IF(COUNTIF(AK$7:AK400,AK400)&gt;1,TRUE,FALSE))</f>
        <v>0</v>
      </c>
      <c r="AM400" s="212">
        <f t="shared" ref="AM400" si="4634">IF(COUNTIF(Y400,"*七種*")&gt;0,0,IF($AD400=AM$6,$E399,0))</f>
        <v>0</v>
      </c>
      <c r="AN400" s="212" t="b">
        <f>IF(AM400=0,FALSE,IF(COUNTIF(AM$7:AM400,AM400)&gt;1,TRUE,FALSE))</f>
        <v>0</v>
      </c>
      <c r="AO400" s="212">
        <f t="shared" ref="AO400" si="4635">IF($AD400=AO$6,$E399,0)</f>
        <v>0</v>
      </c>
      <c r="AP400" s="212" t="b">
        <f>IF(AO400=0,FALSE,IF(COUNTIF(AO$7:AO400,AO400)&gt;1,TRUE,FALSE))</f>
        <v>0</v>
      </c>
      <c r="AQ400" s="212">
        <f t="shared" ref="AQ400" si="4636">IF(COUNTIF(Y400,"*七種競技*")&gt;0,E399,0)</f>
        <v>0</v>
      </c>
      <c r="AR400" s="212" t="b">
        <f t="shared" si="4539"/>
        <v>0</v>
      </c>
      <c r="AT400" s="212" t="b">
        <f t="shared" si="4552"/>
        <v>0</v>
      </c>
      <c r="AX400" s="274"/>
      <c r="BD400" s="212" t="b">
        <f t="shared" si="4526"/>
        <v>0</v>
      </c>
      <c r="BF400" s="212" t="b">
        <f t="shared" ref="BF400" si="4637">IF(J400="",FALSE,IF(OR(AND(AU399,L400=""),AND(AU399,L400="",OR(M400&lt;&gt;"",N400&lt;&gt;"",O400&lt;&gt;"",P400&lt;&gt;""))),TRUE,FALSE))</f>
        <v>0</v>
      </c>
      <c r="BG400" s="212" t="b">
        <f t="shared" si="4528"/>
        <v>0</v>
      </c>
      <c r="BH400" s="212" t="b">
        <f t="shared" si="4541"/>
        <v>0</v>
      </c>
      <c r="BI400" s="212" t="b">
        <f t="shared" ref="BI400" si="4638">IF(J400="",FALSE,IF(L400=0,FALSE,IF(AND(AU399,NOT(BF400),OR(M400="",N400="",O400="")),TRUE,FALSE)))</f>
        <v>0</v>
      </c>
      <c r="BJ400" s="231" t="b">
        <f t="shared" si="4543"/>
        <v>0</v>
      </c>
      <c r="BK400" s="231" t="b">
        <f>IF(NOT(BJ400),FALSE,IF(AND(競技会設定!$C$5&lt;=BJ400,BJ400&lt;=競技会設定!$C$6),FALSE,TRUE))</f>
        <v>0</v>
      </c>
      <c r="BL400" s="212" t="b">
        <f>IF(J400="",FALSE,IF(L400=0,FALSE,IF(AND(AU399,NOT(BF400),NOT(BI400),P400=""),TRUE,FALSE)))</f>
        <v>0</v>
      </c>
    </row>
    <row r="401" spans="1:67" ht="17.399999999999999" customHeight="1">
      <c r="A401" s="471"/>
      <c r="B401" s="402"/>
      <c r="C401" s="404"/>
      <c r="D401" s="11"/>
      <c r="E401" s="348" t="str">
        <f>IF(C399="","",VLOOKUP(D399,女子登録!$A$2:$O$2001,14,0)&amp;" ("&amp;VLOOKUP(D399,女子登録!$A$2:$O$2001,15,0)&amp;")")</f>
        <v/>
      </c>
      <c r="F401" s="348"/>
      <c r="G401" s="13" t="str">
        <f>IF(C399="","",(VLOOKUP(D399,女子登録!$A$2:$N$2001,9,0)))</f>
        <v/>
      </c>
      <c r="H401" s="13"/>
      <c r="I401" s="13" t="s">
        <v>4021</v>
      </c>
      <c r="J401" s="172"/>
      <c r="K401" s="13" t="s">
        <v>6760</v>
      </c>
      <c r="L401" s="172"/>
      <c r="M401" s="255"/>
      <c r="N401" s="256"/>
      <c r="O401" s="257"/>
      <c r="P401" s="171"/>
      <c r="Q401" s="458"/>
      <c r="R401" s="415"/>
      <c r="S401" s="136"/>
      <c r="T401" s="137"/>
      <c r="U401" s="137"/>
      <c r="V401" s="137"/>
      <c r="W401" s="137"/>
      <c r="X401" s="137"/>
      <c r="Y401" s="212">
        <f t="shared" ref="Y401" si="4639">IF(OR(E399="",J401=""),0,J401&amp;E399)</f>
        <v>0</v>
      </c>
      <c r="Z401" s="212">
        <f>IF(Y401=0,0,COUNTIF($Y$7:Y401,Y401))</f>
        <v>0</v>
      </c>
      <c r="AD401" s="212">
        <f>IFERROR(VLOOKUP(J401,競技会設定!$T$2:$W$22,2,0),0)</f>
        <v>0</v>
      </c>
      <c r="AE401" s="212">
        <f t="shared" ref="AE401" si="4640">IF(E399="",0,IF(AD401=0,0,IF(AD401&lt;3,E399&amp;$AE$6,0)))</f>
        <v>0</v>
      </c>
      <c r="AF401" s="212">
        <f>IF(AE401=0,0,E399&amp;COUNTIF($AE$7:AE401,AE401))</f>
        <v>0</v>
      </c>
      <c r="AG401" s="212">
        <f t="shared" ref="AG401" si="4641">IF(E399="",0,IF(AD401=0,0,IF(AD401&gt;=3,E399&amp;$AG$6,0)))</f>
        <v>0</v>
      </c>
      <c r="AH401" s="212">
        <f>IF(AG401=0,0,E399&amp;COUNTIF($AG$7:AG401,AG401))</f>
        <v>0</v>
      </c>
      <c r="AI401" s="212">
        <f t="shared" ref="AI401" si="4642">IF($AD401=AI$6,$E399,0)</f>
        <v>0</v>
      </c>
      <c r="AJ401" s="212" t="b">
        <f>IF(AI401=0,FALSE,IF(COUNTIF(AI$7:AI401,AI401)&gt;1,TRUE,FALSE))</f>
        <v>0</v>
      </c>
      <c r="AK401" s="212">
        <f t="shared" ref="AK401" si="4643">IF($AD401=AK$6,$E399,0)</f>
        <v>0</v>
      </c>
      <c r="AL401" s="212" t="b">
        <f>IF(AK401=0,FALSE,IF(COUNTIF(AK$7:AK401,AK401)&gt;1,TRUE,FALSE))</f>
        <v>0</v>
      </c>
      <c r="AM401" s="212">
        <f t="shared" ref="AM401" si="4644">IF(COUNTIF(Y401,"*七種*")&gt;0,0,IF($AD401=AM$6,$E399,0))</f>
        <v>0</v>
      </c>
      <c r="AN401" s="212" t="b">
        <f>IF(AM401=0,FALSE,IF(COUNTIF(AM$7:AM401,AM401)&gt;1,TRUE,FALSE))</f>
        <v>0</v>
      </c>
      <c r="AO401" s="212">
        <f t="shared" ref="AO401" si="4645">IF($AD401=AO$6,$E399,0)</f>
        <v>0</v>
      </c>
      <c r="AP401" s="212" t="b">
        <f>IF(AO401=0,FALSE,IF(COUNTIF(AO$7:AO401,AO401)&gt;1,TRUE,FALSE))</f>
        <v>0</v>
      </c>
      <c r="AQ401" s="212">
        <f t="shared" ref="AQ401" si="4646">IF(COUNTIF(Y401,"*七種競技*")&gt;0,E399,0)</f>
        <v>0</v>
      </c>
      <c r="AR401" s="212" t="b">
        <f t="shared" si="4539"/>
        <v>0</v>
      </c>
      <c r="AT401" s="212" t="b">
        <f t="shared" si="4552"/>
        <v>0</v>
      </c>
      <c r="AX401" s="274"/>
      <c r="BD401" s="212" t="b">
        <f t="shared" si="4526"/>
        <v>0</v>
      </c>
      <c r="BF401" s="212" t="b">
        <f t="shared" ref="BF401" si="4647">IF(J401="",FALSE,IF(OR(AND(AU399,L401=""),AND(AU399,L401="",OR(M401&lt;&gt;"",N401&lt;&gt;"",O401&lt;&gt;"",P401&lt;&gt;""))),TRUE,FALSE))</f>
        <v>0</v>
      </c>
      <c r="BG401" s="212" t="b">
        <f t="shared" si="4528"/>
        <v>0</v>
      </c>
      <c r="BH401" s="212" t="b">
        <f t="shared" si="4541"/>
        <v>0</v>
      </c>
      <c r="BI401" s="212" t="b">
        <f t="shared" ref="BI401" si="4648">IF(J401="",FALSE,IF(L401=0,FALSE,IF(AND(AU399,NOT(BF401),OR(M401="",N401="",O401="")),TRUE,FALSE)))</f>
        <v>0</v>
      </c>
      <c r="BJ401" s="231" t="b">
        <f t="shared" si="4543"/>
        <v>0</v>
      </c>
      <c r="BK401" s="231" t="b">
        <f>IF(NOT(BJ401),FALSE,IF(AND(競技会設定!$C$5&lt;=BJ401,BJ401&lt;=競技会設定!$C$6),FALSE,TRUE))</f>
        <v>0</v>
      </c>
      <c r="BL401" s="212" t="b">
        <f>IF(J401="",FALSE,IF(L401=0,FALSE,IF(AND(AU399,NOT(BF401),NOT(BI401),P401=""),TRUE,FALSE)))</f>
        <v>0</v>
      </c>
    </row>
    <row r="402" spans="1:67" ht="18" customHeight="1" thickBot="1">
      <c r="A402" s="472"/>
      <c r="B402" s="395" t="s">
        <v>6764</v>
      </c>
      <c r="C402" s="395"/>
      <c r="D402" s="11"/>
      <c r="E402" s="460"/>
      <c r="F402" s="460"/>
      <c r="G402" s="460"/>
      <c r="H402" s="157"/>
      <c r="I402" s="157" t="s">
        <v>6759</v>
      </c>
      <c r="J402" s="173"/>
      <c r="K402" s="157" t="s">
        <v>6761</v>
      </c>
      <c r="L402" s="173"/>
      <c r="M402" s="258"/>
      <c r="N402" s="259"/>
      <c r="O402" s="260"/>
      <c r="P402" s="173"/>
      <c r="Q402" s="459"/>
      <c r="R402" s="416"/>
      <c r="S402" s="136"/>
      <c r="T402" s="137"/>
      <c r="U402" s="137"/>
      <c r="V402" s="137"/>
      <c r="W402" s="137"/>
      <c r="X402" s="137"/>
      <c r="Y402" s="212">
        <f t="shared" ref="Y402" si="4649">IF(OR(E399="",J402=""),0,J402&amp;E399)</f>
        <v>0</v>
      </c>
      <c r="Z402" s="212">
        <f>IF(Y402=0,0,COUNTIF($Y$7:Y402,Y402))</f>
        <v>0</v>
      </c>
      <c r="AD402" s="212">
        <f>IFERROR(VLOOKUP(J402,競技会設定!$T$2:$W$22,2,0),0)</f>
        <v>0</v>
      </c>
      <c r="AE402" s="212">
        <f t="shared" ref="AE402" si="4650">IF(E399="",0,IF(AD402=0,0,IF(AD402&lt;3,E399&amp;$AE$6,0)))</f>
        <v>0</v>
      </c>
      <c r="AF402" s="212">
        <f>IF(AE402=0,0,E399&amp;COUNTIF($AE$7:AE402,AE402))</f>
        <v>0</v>
      </c>
      <c r="AG402" s="212">
        <f t="shared" ref="AG402" si="4651">IF(E399="",0,IF(AD402=0,0,IF(AD402&gt;=3,E399&amp;$AG$6,0)))</f>
        <v>0</v>
      </c>
      <c r="AH402" s="212">
        <f>IF(AG402=0,0,E399&amp;COUNTIF($AG$7:AG402,AG402))</f>
        <v>0</v>
      </c>
      <c r="AI402" s="212">
        <f t="shared" ref="AI402" si="4652">IF($AD402=AI$6,$E399,0)</f>
        <v>0</v>
      </c>
      <c r="AJ402" s="212" t="b">
        <f>IF(AI402=0,FALSE,IF(COUNTIF(AI$7:AI402,AI402)&gt;1,TRUE,FALSE))</f>
        <v>0</v>
      </c>
      <c r="AK402" s="212">
        <f t="shared" ref="AK402" si="4653">IF($AD402=AK$6,$E399,0)</f>
        <v>0</v>
      </c>
      <c r="AL402" s="212" t="b">
        <f>IF(AK402=0,FALSE,IF(COUNTIF(AK$7:AK402,AK402)&gt;1,TRUE,FALSE))</f>
        <v>0</v>
      </c>
      <c r="AM402" s="212">
        <f t="shared" ref="AM402" si="4654">IF(COUNTIF(Y402,"*七種*")&gt;0,0,IF($AD402=AM$6,$E399,0))</f>
        <v>0</v>
      </c>
      <c r="AN402" s="212" t="b">
        <f>IF(AM402=0,FALSE,IF(COUNTIF(AM$7:AM402,AM402)&gt;1,TRUE,FALSE))</f>
        <v>0</v>
      </c>
      <c r="AO402" s="212">
        <f t="shared" ref="AO402" si="4655">IF($AD402=AO$6,$E399,0)</f>
        <v>0</v>
      </c>
      <c r="AP402" s="212" t="b">
        <f>IF(AO402=0,FALSE,IF(COUNTIF(AO$7:AO402,AO402)&gt;1,TRUE,FALSE))</f>
        <v>0</v>
      </c>
      <c r="AQ402" s="212">
        <f t="shared" ref="AQ402" si="4656">IF(COUNTIF(Y402,"*七種競技*")&gt;0,E399,0)</f>
        <v>0</v>
      </c>
      <c r="AR402" s="212" t="b">
        <f t="shared" si="4539"/>
        <v>0</v>
      </c>
      <c r="AT402" s="212" t="b">
        <f t="shared" si="4552"/>
        <v>0</v>
      </c>
      <c r="AX402" s="274"/>
      <c r="BD402" s="212" t="b">
        <f t="shared" si="4526"/>
        <v>0</v>
      </c>
      <c r="BF402" s="212" t="b">
        <f t="shared" ref="BF402" si="4657">IF(J402="",FALSE,IF(OR(AND(AU399,L402=""),AND(AU399,L402="",OR(M402&lt;&gt;"",N402&lt;&gt;"",O402&lt;&gt;"",P402&lt;&gt;""))),TRUE,FALSE))</f>
        <v>0</v>
      </c>
      <c r="BG402" s="212" t="b">
        <f t="shared" si="4528"/>
        <v>0</v>
      </c>
      <c r="BH402" s="212" t="b">
        <f t="shared" si="4541"/>
        <v>0</v>
      </c>
      <c r="BI402" s="212" t="b">
        <f t="shared" ref="BI402" si="4658">IF(J402="",FALSE,IF(L402=0,FALSE,IF(AND(AU399,NOT(BF402),OR(M402="",N402="",O402="")),TRUE,FALSE)))</f>
        <v>0</v>
      </c>
      <c r="BJ402" s="231" t="b">
        <f t="shared" si="4543"/>
        <v>0</v>
      </c>
      <c r="BK402" s="231" t="b">
        <f>IF(NOT(BJ402),FALSE,IF(AND(競技会設定!$C$5&lt;=BJ402,BJ402&lt;=競技会設定!$C$6),FALSE,TRUE))</f>
        <v>0</v>
      </c>
      <c r="BL402" s="212" t="b">
        <f>IF(J402="",FALSE,IF(L402=0,FALSE,IF(AND(AU399,NOT(BF402),NOT(BI402),P402=""),TRUE,FALSE)))</f>
        <v>0</v>
      </c>
    </row>
    <row r="403" spans="1:67" ht="18" customHeight="1" thickTop="1">
      <c r="A403" s="461">
        <v>100</v>
      </c>
      <c r="B403" s="373" t="s">
        <v>4018</v>
      </c>
      <c r="C403" s="375"/>
      <c r="D403" s="158" t="str">
        <f>IF(C403="","",502&amp;TEXT(C403,"000000"))</f>
        <v/>
      </c>
      <c r="E403" s="464" t="str">
        <f>IF(D403="","",(VLOOKUP(D403,女子登録!$A$2:$N$2001,3,0)))</f>
        <v/>
      </c>
      <c r="F403" s="464" t="str">
        <f>IF(D403="","",(VLOOKUP(D403,女子登録!$A$2:$N$2001,4,0)))</f>
        <v/>
      </c>
      <c r="G403" s="158" t="str">
        <f>IF(C403="","",(VLOOKUP(D403,女子登録!$A$2:$N$2001,8,0)))</f>
        <v/>
      </c>
      <c r="H403" s="158">
        <f>IFERROR(VLOOKUP(D403,女子登録!$A$2:$N$2001,11,0),基本情報!$E$5)</f>
        <v>0</v>
      </c>
      <c r="I403" s="158" t="s">
        <v>4019</v>
      </c>
      <c r="J403" s="174"/>
      <c r="K403" s="158" t="s">
        <v>4022</v>
      </c>
      <c r="L403" s="174"/>
      <c r="M403" s="261"/>
      <c r="N403" s="262"/>
      <c r="O403" s="263"/>
      <c r="P403" s="174"/>
      <c r="Q403" s="448"/>
      <c r="R403" s="408"/>
      <c r="S403" s="136">
        <f t="shared" ref="S403" si="4659">IF(OR(E403="",Q403=""),0,E403)</f>
        <v>0</v>
      </c>
      <c r="T403" s="137">
        <f>IF(S403=0,0,COUNTIF($S$7:S403,"*"))</f>
        <v>0</v>
      </c>
      <c r="U403" s="137">
        <f>IF(S403=0,0,COUNTIF($S$7:S403,S403))</f>
        <v>0</v>
      </c>
      <c r="V403" s="137">
        <f t="shared" si="3996"/>
        <v>0</v>
      </c>
      <c r="W403" s="137">
        <f>IF(V403=0,0,COUNTIF($V$7:V403,"*"))</f>
        <v>0</v>
      </c>
      <c r="X403" s="137">
        <f>IF(V403=0,0,COUNTIF($V$7:V403,V403))</f>
        <v>0</v>
      </c>
      <c r="Y403" s="212">
        <f t="shared" ref="Y403" si="4660">IF(OR(E403="",J403=""),0,J403&amp;E403)</f>
        <v>0</v>
      </c>
      <c r="Z403" s="212">
        <f>IF(Y403=0,0,COUNTIF($Y$7:Y403,Y403))</f>
        <v>0</v>
      </c>
      <c r="AA403" s="212" t="b">
        <f>IF(COUNTIF(J403:J406,"七種競技")&gt;0,TRUE,FALSE)</f>
        <v>0</v>
      </c>
      <c r="AB403" s="212">
        <f>IF(E403="",0,IF(AA403,COUNTIF($AA$7:AA403,TRUE),0))</f>
        <v>0</v>
      </c>
      <c r="AC403" s="212">
        <f>IFERROR(VLOOKUP("七種競技",J403:L406,3,0),0)</f>
        <v>0</v>
      </c>
      <c r="AD403" s="212">
        <f>IFERROR(VLOOKUP(J403,競技会設定!$T$2:$W$22,2,0),0)</f>
        <v>0</v>
      </c>
      <c r="AE403" s="212">
        <f t="shared" ref="AE403" si="4661">IF(E403="",0,IF(AD403=0,0,IF(AD403&lt;3,E403&amp;$AE$6,0)))</f>
        <v>0</v>
      </c>
      <c r="AF403" s="212">
        <f>IF(AE403=0,0,E403&amp;COUNTIF($AE$7:AE403,AE403))</f>
        <v>0</v>
      </c>
      <c r="AG403" s="212">
        <f t="shared" ref="AG403" si="4662">IF(E403="",0,IF(AD403=0,0,IF(AD403&gt;=3,E403&amp;$AG$6,0)))</f>
        <v>0</v>
      </c>
      <c r="AH403" s="212">
        <f>IF(AG403=0,0,E403&amp;COUNTIF($AG$7:AG403,AG403))</f>
        <v>0</v>
      </c>
      <c r="AI403" s="212">
        <f t="shared" ref="AI403" si="4663">IF($AD403=AI$6,$E403,0)</f>
        <v>0</v>
      </c>
      <c r="AJ403" s="212" t="b">
        <f>IF(AI403=0,FALSE,IF(COUNTIF(AI$7:AI403,AI403)&gt;1,TRUE,FALSE))</f>
        <v>0</v>
      </c>
      <c r="AK403" s="212">
        <f t="shared" ref="AK403" si="4664">IF($AD403=AK$6,$E403,0)</f>
        <v>0</v>
      </c>
      <c r="AL403" s="212" t="b">
        <f>IF(AK403=0,FALSE,IF(COUNTIF(AK$7:AK403,AK403)&gt;1,TRUE,FALSE))</f>
        <v>0</v>
      </c>
      <c r="AM403" s="212">
        <f t="shared" ref="AM403" si="4665">IF(COUNTIF(Y403,"*七種*")&gt;0,0,IF($AD403=AM$6,$E403,0))</f>
        <v>0</v>
      </c>
      <c r="AN403" s="212" t="b">
        <f>IF(AM403=0,FALSE,IF(COUNTIF(AM$7:AM403,AM403)&gt;1,TRUE,FALSE))</f>
        <v>0</v>
      </c>
      <c r="AO403" s="212">
        <f t="shared" ref="AO403" si="4666">IF($AD403=AO$6,$E403,0)</f>
        <v>0</v>
      </c>
      <c r="AP403" s="212" t="b">
        <f>IF(AO403=0,FALSE,IF(COUNTIF(AO$7:AO403,AO403)&gt;1,TRUE,FALSE))</f>
        <v>0</v>
      </c>
      <c r="AQ403" s="212">
        <f t="shared" ref="AQ403" si="4667">IF(COUNTIF(Y403,"*七種競技*")&gt;0,E403,0)</f>
        <v>0</v>
      </c>
      <c r="AR403" s="212" t="b">
        <f t="shared" si="4539"/>
        <v>0</v>
      </c>
      <c r="AS403" s="212" t="b">
        <f t="shared" ref="AS403" si="4668">IF(AND(C403="",E403&lt;&gt;"",F403&lt;&gt;"",E405&lt;&gt;"",G403&lt;&gt;"",G404&lt;&gt;"",G405&lt;&gt;""),TRUE,FALSE)</f>
        <v>0</v>
      </c>
      <c r="AT403" s="212" t="b">
        <f t="shared" si="4552"/>
        <v>0</v>
      </c>
      <c r="AU403" s="212" t="b">
        <f>IFERROR(IF(E403&amp;F403&amp;E405&amp;G403&amp;G404&amp;G405&amp;J403&amp;J404&amp;J405&amp;J406&amp;L403&amp;L404&amp;L405&amp;L406&amp;M403&amp;M404&amp;M405&amp;M406&amp;P403&amp;P404&amp;P405&amp;P406&amp;Q403&amp;R403="",FALSE,TRUE),FALSE)</f>
        <v>0</v>
      </c>
      <c r="AV403" s="212" t="b">
        <f t="shared" ref="AV403" si="4669">IF(AS403,FALSE,IF(C403="",AU403,FALSE))</f>
        <v>0</v>
      </c>
      <c r="AW403" s="212" t="b">
        <f t="shared" ref="AW403" si="4670">IF(C403="",FALSE,IF(C403&lt;=2000,TRUE,FALSE))</f>
        <v>0</v>
      </c>
      <c r="AX403" s="274" t="b">
        <f>IF(H403=0,FALSE,IF(EXACT(基本情報!$E$5,H403)=TRUE,FALSE,TRUE))</f>
        <v>0</v>
      </c>
      <c r="AY403" s="212" t="b">
        <f>IF(C403="",FALSE,IF(ISNA(E403)=TRUE,TRUE,FALSE))</f>
        <v>0</v>
      </c>
      <c r="AZ403" s="274" t="b">
        <f>IFERROR(IF(E403="",FALSE,IF(COUNTIF($E$7:E403,E403)&gt;1,TRUE,FALSE)),FALSE)</f>
        <v>0</v>
      </c>
      <c r="BA403" s="212" t="b">
        <f t="shared" ref="BA403" si="4671">IF(OR(J403&amp;J404&amp;J405&amp;J406&amp;Q403&amp;R403="",AT403,AT404,AT405,AT406),AU403,FALSE)</f>
        <v>0</v>
      </c>
      <c r="BB403" s="212" t="b">
        <f>IF(U403&gt;1,TRUE,FALSE)</f>
        <v>0</v>
      </c>
      <c r="BC403" s="212" t="b">
        <f>IF(X403&gt;1,TRUE,FALSE)</f>
        <v>0</v>
      </c>
      <c r="BD403" s="212" t="b">
        <f t="shared" si="4526"/>
        <v>0</v>
      </c>
      <c r="BF403" s="212" t="b">
        <f t="shared" ref="BF403" si="4672">IF(J403="",FALSE,IF(OR(AND(AU403,L403=""),AND(AU403,L403="",OR(M403&lt;&gt;"",N403&lt;&gt;"",O403&lt;&gt;"",P403&lt;&gt;""))),TRUE,FALSE))</f>
        <v>0</v>
      </c>
      <c r="BG403" s="212" t="b">
        <f t="shared" si="4528"/>
        <v>0</v>
      </c>
      <c r="BH403" s="212" t="b">
        <f t="shared" si="4541"/>
        <v>0</v>
      </c>
      <c r="BI403" s="212" t="b">
        <f t="shared" ref="BI403" si="4673">IF(J403="",FALSE,IF(L403=0,FALSE,IF(AND(AU403,NOT(BF403),OR(M403="",N403="",O403="")),TRUE,FALSE)))</f>
        <v>0</v>
      </c>
      <c r="BJ403" s="231" t="b">
        <f t="shared" si="4543"/>
        <v>0</v>
      </c>
      <c r="BK403" s="231" t="b">
        <f>IF(NOT(BJ403),FALSE,IF(AND(競技会設定!$C$5&lt;=BJ403,BJ403&lt;=競技会設定!$C$6),FALSE,TRUE))</f>
        <v>0</v>
      </c>
      <c r="BL403" s="212" t="b">
        <f>IF(J403="",FALSE,IF(L403=0,FALSE,IF(AND(AU403,NOT(BF403),NOT(BI403),P403=""),TRUE,FALSE)))</f>
        <v>0</v>
      </c>
      <c r="BO403" s="274">
        <f t="shared" ref="BO403" si="4674">IF(AND(AU403,SUM(COUNTIF(AV403:BC403,TRUE),COUNTIF(BF403:BL406,TRUE),COUNTIF(BD403:BD406,TRUE))=0,NOT($BE$7)),1,0)</f>
        <v>0</v>
      </c>
    </row>
    <row r="404" spans="1:67" ht="17.399999999999999" customHeight="1">
      <c r="A404" s="462"/>
      <c r="B404" s="374"/>
      <c r="C404" s="376"/>
      <c r="D404" s="159"/>
      <c r="E404" s="465"/>
      <c r="F404" s="465"/>
      <c r="G404" s="159" t="str">
        <f>IF(C403="","",(VLOOKUP(D403,女子登録!$A$2:$N$2001,13,0)))</f>
        <v/>
      </c>
      <c r="H404" s="159"/>
      <c r="I404" s="159" t="s">
        <v>4020</v>
      </c>
      <c r="J404" s="175"/>
      <c r="K404" s="159" t="s">
        <v>4023</v>
      </c>
      <c r="L404" s="175"/>
      <c r="M404" s="264"/>
      <c r="N404" s="265"/>
      <c r="O404" s="266"/>
      <c r="P404" s="175"/>
      <c r="Q404" s="449"/>
      <c r="R404" s="409"/>
      <c r="S404" s="136"/>
      <c r="T404" s="137"/>
      <c r="U404" s="137"/>
      <c r="V404" s="137"/>
      <c r="W404" s="137"/>
      <c r="X404" s="137"/>
      <c r="Y404" s="212">
        <f t="shared" ref="Y404" si="4675">IF(OR(E403="",J404=""),0,J404&amp;E403)</f>
        <v>0</v>
      </c>
      <c r="Z404" s="212">
        <f>IF(Y404=0,0,COUNTIF($Y$7:Y404,Y404))</f>
        <v>0</v>
      </c>
      <c r="AD404" s="212">
        <f>IFERROR(VLOOKUP(J404,競技会設定!$T$2:$W$22,2,0),0)</f>
        <v>0</v>
      </c>
      <c r="AE404" s="212">
        <f t="shared" ref="AE404" si="4676">IF(E403="",0,IF(AD404=0,0,IF(AD404&lt;3,E403&amp;$AE$6,0)))</f>
        <v>0</v>
      </c>
      <c r="AF404" s="212">
        <f>IF(AE404=0,0,E403&amp;COUNTIF($AE$7:AE404,AE404))</f>
        <v>0</v>
      </c>
      <c r="AG404" s="212">
        <f t="shared" ref="AG404" si="4677">IF(E403="",0,IF(AD404=0,0,IF(AD404&gt;=3,E403&amp;$AG$6,0)))</f>
        <v>0</v>
      </c>
      <c r="AH404" s="212">
        <f>IF(AG404=0,0,E403&amp;COUNTIF($AG$7:AG404,AG404))</f>
        <v>0</v>
      </c>
      <c r="AI404" s="212">
        <f t="shared" ref="AI404" si="4678">IF($AD404=AI$6,$E403,0)</f>
        <v>0</v>
      </c>
      <c r="AJ404" s="212" t="b">
        <f>IF(AI404=0,FALSE,IF(COUNTIF(AI$7:AI404,AI404)&gt;1,TRUE,FALSE))</f>
        <v>0</v>
      </c>
      <c r="AK404" s="212">
        <f t="shared" ref="AK404" si="4679">IF($AD404=AK$6,$E403,0)</f>
        <v>0</v>
      </c>
      <c r="AL404" s="212" t="b">
        <f>IF(AK404=0,FALSE,IF(COUNTIF(AK$7:AK404,AK404)&gt;1,TRUE,FALSE))</f>
        <v>0</v>
      </c>
      <c r="AM404" s="212">
        <f t="shared" ref="AM404" si="4680">IF(COUNTIF(Y404,"*七種*")&gt;0,0,IF($AD404=AM$6,$E403,0))</f>
        <v>0</v>
      </c>
      <c r="AN404" s="212" t="b">
        <f>IF(AM404=0,FALSE,IF(COUNTIF(AM$7:AM404,AM404)&gt;1,TRUE,FALSE))</f>
        <v>0</v>
      </c>
      <c r="AO404" s="212">
        <f t="shared" ref="AO404" si="4681">IF($AD404=AO$6,$E403,0)</f>
        <v>0</v>
      </c>
      <c r="AP404" s="212" t="b">
        <f>IF(AO404=0,FALSE,IF(COUNTIF(AO$7:AO404,AO404)&gt;1,TRUE,FALSE))</f>
        <v>0</v>
      </c>
      <c r="AQ404" s="212">
        <f t="shared" ref="AQ404" si="4682">IF(COUNTIF(Y404,"*七種競技*")&gt;0,E403,0)</f>
        <v>0</v>
      </c>
      <c r="AR404" s="212" t="b">
        <f t="shared" si="4539"/>
        <v>0</v>
      </c>
      <c r="AT404" s="212" t="b">
        <f t="shared" si="4552"/>
        <v>0</v>
      </c>
      <c r="AX404" s="274"/>
      <c r="BD404" s="212" t="b">
        <f t="shared" si="4526"/>
        <v>0</v>
      </c>
      <c r="BF404" s="212" t="b">
        <f t="shared" ref="BF404" si="4683">IF(J404="",FALSE,IF(OR(AND(AU403,L404=""),AND(AU403,L404="",OR(M404&lt;&gt;"",N404&lt;&gt;"",O404&lt;&gt;"",P404&lt;&gt;""))),TRUE,FALSE))</f>
        <v>0</v>
      </c>
      <c r="BG404" s="212" t="b">
        <f t="shared" si="4528"/>
        <v>0</v>
      </c>
      <c r="BH404" s="212" t="b">
        <f t="shared" si="4541"/>
        <v>0</v>
      </c>
      <c r="BI404" s="212" t="b">
        <f t="shared" ref="BI404" si="4684">IF(J404="",FALSE,IF(L404=0,FALSE,IF(AND(AU403,NOT(BF404),OR(M404="",N404="",O404="")),TRUE,FALSE)))</f>
        <v>0</v>
      </c>
      <c r="BJ404" s="231" t="b">
        <f t="shared" si="4543"/>
        <v>0</v>
      </c>
      <c r="BK404" s="231" t="b">
        <f>IF(NOT(BJ404),FALSE,IF(AND(競技会設定!$C$5&lt;=BJ404,BJ404&lt;=競技会設定!$C$6),FALSE,TRUE))</f>
        <v>0</v>
      </c>
      <c r="BL404" s="212" t="b">
        <f>IF(J404="",FALSE,IF(L404=0,FALSE,IF(AND(AU403,NOT(BF404),NOT(BI404),P404=""),TRUE,FALSE)))</f>
        <v>0</v>
      </c>
    </row>
    <row r="405" spans="1:67" ht="17.399999999999999" customHeight="1">
      <c r="A405" s="462"/>
      <c r="B405" s="374"/>
      <c r="C405" s="376"/>
      <c r="D405" s="160"/>
      <c r="E405" s="452" t="str">
        <f>IF(C403="","",VLOOKUP(D403,女子登録!$A$2:$O$2001,14,0)&amp;" ("&amp;VLOOKUP(D403,女子登録!$A$2:$O$2001,15,0)&amp;")")</f>
        <v/>
      </c>
      <c r="F405" s="453"/>
      <c r="G405" s="160" t="str">
        <f>IF(C403="","",(VLOOKUP(D403,女子登録!$A$2:$N$2001,9,0)))</f>
        <v/>
      </c>
      <c r="H405" s="160"/>
      <c r="I405" s="160" t="s">
        <v>4021</v>
      </c>
      <c r="J405" s="176"/>
      <c r="K405" s="160" t="s">
        <v>6760</v>
      </c>
      <c r="L405" s="176"/>
      <c r="M405" s="264"/>
      <c r="N405" s="265"/>
      <c r="O405" s="266"/>
      <c r="P405" s="175"/>
      <c r="Q405" s="449"/>
      <c r="R405" s="409"/>
      <c r="S405" s="136"/>
      <c r="T405" s="137"/>
      <c r="U405" s="137"/>
      <c r="V405" s="137"/>
      <c r="W405" s="137"/>
      <c r="X405" s="137"/>
      <c r="Y405" s="212">
        <f t="shared" ref="Y405" si="4685">IF(OR(E403="",J405=""),0,J405&amp;E403)</f>
        <v>0</v>
      </c>
      <c r="Z405" s="212">
        <f>IF(Y405=0,0,COUNTIF($Y$7:Y405,Y405))</f>
        <v>0</v>
      </c>
      <c r="AD405" s="212">
        <f>IFERROR(VLOOKUP(J405,競技会設定!$T$2:$W$22,2,0),0)</f>
        <v>0</v>
      </c>
      <c r="AE405" s="212">
        <f t="shared" ref="AE405" si="4686">IF(E403="",0,IF(AD405=0,0,IF(AD405&lt;3,E403&amp;$AE$6,0)))</f>
        <v>0</v>
      </c>
      <c r="AF405" s="212">
        <f>IF(AE405=0,0,E403&amp;COUNTIF($AE$7:AE405,AE405))</f>
        <v>0</v>
      </c>
      <c r="AG405" s="212">
        <f t="shared" ref="AG405" si="4687">IF(E403="",0,IF(AD405=0,0,IF(AD405&gt;=3,E403&amp;$AG$6,0)))</f>
        <v>0</v>
      </c>
      <c r="AH405" s="212">
        <f>IF(AG405=0,0,E403&amp;COUNTIF($AG$7:AG405,AG405))</f>
        <v>0</v>
      </c>
      <c r="AI405" s="212">
        <f t="shared" ref="AI405" si="4688">IF($AD405=AI$6,$E403,0)</f>
        <v>0</v>
      </c>
      <c r="AJ405" s="212" t="b">
        <f>IF(AI405=0,FALSE,IF(COUNTIF(AI$7:AI405,AI405)&gt;1,TRUE,FALSE))</f>
        <v>0</v>
      </c>
      <c r="AK405" s="212">
        <f t="shared" ref="AK405" si="4689">IF($AD405=AK$6,$E403,0)</f>
        <v>0</v>
      </c>
      <c r="AL405" s="212" t="b">
        <f>IF(AK405=0,FALSE,IF(COUNTIF(AK$7:AK405,AK405)&gt;1,TRUE,FALSE))</f>
        <v>0</v>
      </c>
      <c r="AM405" s="212">
        <f t="shared" ref="AM405" si="4690">IF(COUNTIF(Y405,"*七種*")&gt;0,0,IF($AD405=AM$6,$E403,0))</f>
        <v>0</v>
      </c>
      <c r="AN405" s="212" t="b">
        <f>IF(AM405=0,FALSE,IF(COUNTIF(AM$7:AM405,AM405)&gt;1,TRUE,FALSE))</f>
        <v>0</v>
      </c>
      <c r="AO405" s="212">
        <f t="shared" ref="AO405" si="4691">IF($AD405=AO$6,$E403,0)</f>
        <v>0</v>
      </c>
      <c r="AP405" s="212" t="b">
        <f>IF(AO405=0,FALSE,IF(COUNTIF(AO$7:AO405,AO405)&gt;1,TRUE,FALSE))</f>
        <v>0</v>
      </c>
      <c r="AQ405" s="212">
        <f t="shared" ref="AQ405" si="4692">IF(COUNTIF(Y405,"*七種競技*")&gt;0,E403,0)</f>
        <v>0</v>
      </c>
      <c r="AR405" s="212" t="b">
        <f t="shared" si="4539"/>
        <v>0</v>
      </c>
      <c r="AT405" s="212" t="b">
        <f t="shared" si="4552"/>
        <v>0</v>
      </c>
      <c r="AX405" s="274"/>
      <c r="BD405" s="212" t="b">
        <f t="shared" si="4526"/>
        <v>0</v>
      </c>
      <c r="BF405" s="212" t="b">
        <f t="shared" ref="BF405" si="4693">IF(J405="",FALSE,IF(OR(AND(AU403,L405=""),AND(AU403,L405="",OR(M405&lt;&gt;"",N405&lt;&gt;"",O405&lt;&gt;"",P405&lt;&gt;""))),TRUE,FALSE))</f>
        <v>0</v>
      </c>
      <c r="BG405" s="212" t="b">
        <f t="shared" si="4528"/>
        <v>0</v>
      </c>
      <c r="BH405" s="212" t="b">
        <f t="shared" si="4541"/>
        <v>0</v>
      </c>
      <c r="BI405" s="212" t="b">
        <f t="shared" ref="BI405" si="4694">IF(J405="",FALSE,IF(L405=0,FALSE,IF(AND(AU403,NOT(BF405),OR(M405="",N405="",O405="")),TRUE,FALSE)))</f>
        <v>0</v>
      </c>
      <c r="BJ405" s="231" t="b">
        <f t="shared" si="4543"/>
        <v>0</v>
      </c>
      <c r="BK405" s="231" t="b">
        <f>IF(NOT(BJ405),FALSE,IF(AND(競技会設定!$C$5&lt;=BJ405,BJ405&lt;=競技会設定!$C$6),FALSE,TRUE))</f>
        <v>0</v>
      </c>
      <c r="BL405" s="212" t="b">
        <f>IF(J405="",FALSE,IF(L405=0,FALSE,IF(AND(AU403,NOT(BF405),NOT(BI405),P405=""),TRUE,FALSE)))</f>
        <v>0</v>
      </c>
    </row>
    <row r="406" spans="1:67" ht="18" customHeight="1" thickBot="1">
      <c r="A406" s="463"/>
      <c r="B406" s="439" t="s">
        <v>6764</v>
      </c>
      <c r="C406" s="439"/>
      <c r="D406" s="163"/>
      <c r="E406" s="454"/>
      <c r="F406" s="455"/>
      <c r="G406" s="456"/>
      <c r="H406" s="164"/>
      <c r="I406" s="163" t="s">
        <v>6759</v>
      </c>
      <c r="J406" s="178"/>
      <c r="K406" s="163" t="s">
        <v>6761</v>
      </c>
      <c r="L406" s="178"/>
      <c r="M406" s="270"/>
      <c r="N406" s="271"/>
      <c r="O406" s="272"/>
      <c r="P406" s="178"/>
      <c r="Q406" s="450"/>
      <c r="R406" s="451"/>
      <c r="S406" s="136"/>
      <c r="T406" s="137"/>
      <c r="U406" s="137"/>
      <c r="V406" s="137"/>
      <c r="W406" s="137"/>
      <c r="X406" s="137"/>
      <c r="Y406" s="212">
        <f t="shared" ref="Y406" si="4695">IF(OR(E403="",J406=""),0,J406&amp;E403)</f>
        <v>0</v>
      </c>
      <c r="Z406" s="212">
        <f>IF(Y406=0,0,COUNTIF($Y$7:Y406,Y406))</f>
        <v>0</v>
      </c>
      <c r="AD406" s="212">
        <f>IFERROR(VLOOKUP(J406,競技会設定!$T$2:$W$22,2,0),0)</f>
        <v>0</v>
      </c>
      <c r="AE406" s="212">
        <f t="shared" ref="AE406" si="4696">IF(E403="",0,IF(AD406=0,0,IF(AD406&lt;3,E403&amp;$AE$6,0)))</f>
        <v>0</v>
      </c>
      <c r="AF406" s="212">
        <f>IF(AE406=0,0,E403&amp;COUNTIF($AE$7:AE406,AE406))</f>
        <v>0</v>
      </c>
      <c r="AG406" s="212">
        <f t="shared" ref="AG406" si="4697">IF(E403="",0,IF(AD406=0,0,IF(AD406&gt;=3,E403&amp;$AG$6,0)))</f>
        <v>0</v>
      </c>
      <c r="AH406" s="212">
        <f>IF(AG406=0,0,E403&amp;COUNTIF($AG$7:AG406,AG406))</f>
        <v>0</v>
      </c>
      <c r="AI406" s="212">
        <f t="shared" ref="AI406" si="4698">IF($AD406=AI$6,$E403,0)</f>
        <v>0</v>
      </c>
      <c r="AJ406" s="212" t="b">
        <f>IF(AI406=0,FALSE,IF(COUNTIF(AI$7:AI406,AI406)&gt;1,TRUE,FALSE))</f>
        <v>0</v>
      </c>
      <c r="AK406" s="212">
        <f t="shared" ref="AK406" si="4699">IF($AD406=AK$6,$E403,0)</f>
        <v>0</v>
      </c>
      <c r="AL406" s="212" t="b">
        <f>IF(AK406=0,FALSE,IF(COUNTIF(AK$7:AK406,AK406)&gt;1,TRUE,FALSE))</f>
        <v>0</v>
      </c>
      <c r="AM406" s="212">
        <f t="shared" ref="AM406" si="4700">IF(COUNTIF(Y406,"*七種*")&gt;0,0,IF($AD406=AM$6,$E403,0))</f>
        <v>0</v>
      </c>
      <c r="AN406" s="212" t="b">
        <f>IF(AM406=0,FALSE,IF(COUNTIF(AM$7:AM406,AM406)&gt;1,TRUE,FALSE))</f>
        <v>0</v>
      </c>
      <c r="AO406" s="212">
        <f t="shared" ref="AO406" si="4701">IF($AD406=AO$6,$E403,0)</f>
        <v>0</v>
      </c>
      <c r="AP406" s="212" t="b">
        <f>IF(AO406=0,FALSE,IF(COUNTIF(AO$7:AO406,AO406)&gt;1,TRUE,FALSE))</f>
        <v>0</v>
      </c>
      <c r="AQ406" s="212">
        <f t="shared" ref="AQ406" si="4702">IF(COUNTIF(Y406,"*七種競技*")&gt;0,E403,0)</f>
        <v>0</v>
      </c>
      <c r="AR406" s="212" t="b">
        <f t="shared" si="4539"/>
        <v>0</v>
      </c>
      <c r="AT406" s="212" t="b">
        <f t="shared" si="4552"/>
        <v>0</v>
      </c>
      <c r="AX406" s="274"/>
      <c r="BD406" s="212" t="b">
        <f t="shared" si="4526"/>
        <v>0</v>
      </c>
      <c r="BF406" s="212" t="b">
        <f t="shared" ref="BF406" si="4703">IF(J406="",FALSE,IF(OR(AND(AU403,L406=""),AND(AU403,L406="",OR(M406&lt;&gt;"",N406&lt;&gt;"",O406&lt;&gt;"",P406&lt;&gt;""))),TRUE,FALSE))</f>
        <v>0</v>
      </c>
      <c r="BG406" s="212" t="b">
        <f t="shared" si="4528"/>
        <v>0</v>
      </c>
      <c r="BH406" s="212" t="b">
        <f t="shared" si="4541"/>
        <v>0</v>
      </c>
      <c r="BI406" s="212" t="b">
        <f t="shared" ref="BI406" si="4704">IF(J406="",FALSE,IF(L406=0,FALSE,IF(AND(AU403,NOT(BF406),OR(M406="",N406="",O406="")),TRUE,FALSE)))</f>
        <v>0</v>
      </c>
      <c r="BJ406" s="231" t="b">
        <f t="shared" si="4543"/>
        <v>0</v>
      </c>
      <c r="BK406" s="231" t="b">
        <f>IF(NOT(BJ406),FALSE,IF(AND(競技会設定!$C$5&lt;=BJ406,BJ406&lt;=競技会設定!$C$6),FALSE,TRUE))</f>
        <v>0</v>
      </c>
      <c r="BL406" s="212" t="b">
        <f>IF(J406="",FALSE,IF(L406=0,FALSE,IF(AND(AU403,NOT(BF406),NOT(BI406),P406=""),TRUE,FALSE)))</f>
        <v>0</v>
      </c>
    </row>
    <row r="407" spans="1:67" ht="18" thickTop="1">
      <c r="A407" s="165"/>
      <c r="B407" s="165"/>
      <c r="C407" s="166"/>
      <c r="D407" s="166"/>
      <c r="E407" s="166"/>
      <c r="F407" s="166"/>
      <c r="G407" s="167"/>
      <c r="H407" s="167"/>
      <c r="I407" s="167"/>
      <c r="J407" s="167"/>
      <c r="K407" s="167"/>
      <c r="L407" s="167"/>
      <c r="M407" s="146"/>
      <c r="N407" s="146"/>
      <c r="O407" s="146"/>
      <c r="P407" s="167"/>
      <c r="Q407" s="168"/>
      <c r="R407" s="166"/>
    </row>
    <row r="408" spans="1:67">
      <c r="A408" s="165"/>
      <c r="B408" s="165"/>
      <c r="C408" s="166"/>
      <c r="D408" s="166"/>
      <c r="E408" s="166"/>
      <c r="F408" s="166"/>
      <c r="G408" s="167"/>
      <c r="H408" s="167"/>
      <c r="I408" s="166"/>
      <c r="J408" s="166"/>
      <c r="K408" s="167"/>
      <c r="L408" s="167"/>
      <c r="M408" s="146"/>
      <c r="N408" s="146"/>
      <c r="O408" s="146"/>
      <c r="P408" s="167"/>
      <c r="Q408" s="168"/>
      <c r="R408" s="166"/>
    </row>
    <row r="409" spans="1:67">
      <c r="A409" s="165"/>
      <c r="B409" s="165"/>
      <c r="C409" s="166"/>
      <c r="D409" s="166"/>
      <c r="E409" s="166"/>
      <c r="F409" s="166"/>
      <c r="G409" s="167"/>
      <c r="H409" s="167"/>
      <c r="I409" s="166"/>
      <c r="J409" s="166"/>
      <c r="K409" s="167"/>
      <c r="L409" s="167"/>
      <c r="M409" s="146"/>
      <c r="N409" s="146"/>
      <c r="O409" s="146"/>
      <c r="P409" s="167"/>
      <c r="Q409" s="168"/>
      <c r="R409" s="166"/>
    </row>
    <row r="410" spans="1:67">
      <c r="A410" s="165"/>
      <c r="B410" s="166"/>
      <c r="C410" s="166"/>
      <c r="D410" s="166"/>
      <c r="E410" s="166"/>
      <c r="F410" s="166"/>
      <c r="G410" s="166"/>
      <c r="H410" s="166"/>
      <c r="I410" s="166"/>
      <c r="J410" s="166"/>
      <c r="K410" s="167"/>
      <c r="L410" s="167"/>
      <c r="M410" s="146"/>
      <c r="N410" s="146"/>
      <c r="O410" s="146"/>
      <c r="P410" s="167"/>
      <c r="Q410" s="168"/>
      <c r="R410" s="166"/>
    </row>
    <row r="411" spans="1:67">
      <c r="A411" s="165"/>
      <c r="B411" s="165"/>
      <c r="C411" s="166"/>
      <c r="D411" s="166"/>
      <c r="E411" s="166"/>
      <c r="F411" s="166"/>
      <c r="G411" s="167"/>
      <c r="H411" s="167"/>
      <c r="I411" s="166"/>
      <c r="J411" s="166"/>
      <c r="K411" s="167"/>
      <c r="L411" s="167"/>
      <c r="M411" s="146"/>
      <c r="N411" s="146"/>
      <c r="O411" s="146"/>
      <c r="P411" s="167"/>
      <c r="Q411" s="168"/>
      <c r="R411" s="166"/>
    </row>
    <row r="412" spans="1:67">
      <c r="A412" s="165"/>
      <c r="B412" s="165"/>
      <c r="C412" s="166"/>
      <c r="D412" s="166"/>
      <c r="E412" s="166"/>
      <c r="F412" s="166"/>
      <c r="G412" s="167"/>
      <c r="H412" s="167"/>
      <c r="I412" s="166"/>
      <c r="J412" s="166"/>
      <c r="K412" s="167"/>
      <c r="L412" s="167"/>
      <c r="M412" s="146"/>
      <c r="N412" s="146"/>
      <c r="O412" s="146"/>
      <c r="P412" s="167"/>
      <c r="Q412" s="168"/>
      <c r="R412" s="166"/>
    </row>
    <row r="413" spans="1:67">
      <c r="A413" s="165"/>
      <c r="B413" s="165"/>
      <c r="C413" s="166"/>
      <c r="D413" s="166"/>
      <c r="E413" s="166"/>
      <c r="F413" s="166"/>
      <c r="G413" s="167"/>
      <c r="H413" s="167"/>
      <c r="I413" s="166"/>
      <c r="J413" s="166"/>
      <c r="K413" s="167"/>
      <c r="L413" s="167"/>
      <c r="M413" s="146"/>
      <c r="N413" s="146"/>
      <c r="O413" s="146"/>
      <c r="P413" s="167"/>
      <c r="Q413" s="168"/>
      <c r="R413" s="166"/>
    </row>
    <row r="414" spans="1:67">
      <c r="A414" s="165"/>
      <c r="B414" s="166"/>
      <c r="C414" s="166"/>
      <c r="D414" s="166"/>
      <c r="E414" s="166"/>
      <c r="F414" s="166"/>
      <c r="G414" s="166"/>
      <c r="H414" s="166"/>
      <c r="I414" s="166"/>
      <c r="J414" s="166"/>
      <c r="K414" s="167"/>
      <c r="L414" s="167"/>
      <c r="M414" s="146"/>
      <c r="N414" s="146"/>
      <c r="O414" s="146"/>
      <c r="P414" s="167"/>
      <c r="Q414" s="168"/>
      <c r="R414" s="166"/>
    </row>
    <row r="415" spans="1:67">
      <c r="B415" s="165"/>
      <c r="C415" s="166"/>
      <c r="D415" s="166"/>
      <c r="E415" s="166"/>
      <c r="F415" s="166"/>
      <c r="G415" s="167"/>
      <c r="H415" s="167"/>
      <c r="I415" s="166"/>
      <c r="J415" s="166"/>
      <c r="K415" s="167"/>
      <c r="L415" s="167"/>
      <c r="M415" s="146"/>
      <c r="N415" s="146"/>
      <c r="O415" s="146"/>
      <c r="P415" s="167"/>
      <c r="Q415" s="168"/>
      <c r="R415" s="166"/>
    </row>
    <row r="416" spans="1:67">
      <c r="B416" s="165"/>
      <c r="C416" s="166"/>
      <c r="D416" s="166"/>
      <c r="E416" s="166"/>
      <c r="F416" s="166"/>
      <c r="G416" s="167"/>
      <c r="H416" s="167"/>
      <c r="I416" s="166"/>
      <c r="J416" s="166"/>
      <c r="K416" s="167"/>
      <c r="L416" s="167"/>
      <c r="M416" s="146"/>
      <c r="N416" s="146"/>
      <c r="O416" s="146"/>
      <c r="P416" s="167"/>
      <c r="Q416" s="168"/>
      <c r="R416" s="166"/>
    </row>
    <row r="417" spans="2:18">
      <c r="B417" s="165"/>
      <c r="C417" s="166"/>
      <c r="D417" s="166"/>
      <c r="E417" s="166"/>
      <c r="F417" s="166"/>
      <c r="G417" s="167"/>
      <c r="H417" s="167"/>
      <c r="I417" s="166"/>
      <c r="J417" s="166"/>
      <c r="K417" s="167"/>
      <c r="L417" s="167"/>
      <c r="M417" s="146"/>
      <c r="N417" s="146"/>
      <c r="O417" s="146"/>
      <c r="P417" s="167"/>
      <c r="Q417" s="168"/>
      <c r="R417" s="166"/>
    </row>
    <row r="418" spans="2:18">
      <c r="B418" s="166"/>
      <c r="C418" s="166"/>
      <c r="D418" s="166"/>
      <c r="E418" s="166"/>
      <c r="F418" s="166"/>
      <c r="G418" s="166"/>
      <c r="H418" s="166"/>
      <c r="I418" s="166"/>
      <c r="J418" s="166"/>
      <c r="K418" s="167"/>
      <c r="L418" s="167"/>
      <c r="M418" s="146"/>
      <c r="N418" s="146"/>
      <c r="O418" s="146"/>
      <c r="P418" s="167"/>
      <c r="Q418" s="168"/>
      <c r="R418" s="166"/>
    </row>
    <row r="419" spans="2:18">
      <c r="B419" s="165"/>
      <c r="C419" s="166"/>
      <c r="D419" s="166"/>
      <c r="E419" s="166"/>
      <c r="F419" s="166"/>
      <c r="G419" s="167"/>
      <c r="H419" s="167"/>
      <c r="I419" s="166"/>
      <c r="J419" s="166"/>
      <c r="K419" s="167"/>
      <c r="L419" s="167"/>
      <c r="M419" s="146"/>
      <c r="N419" s="146"/>
      <c r="O419" s="146"/>
      <c r="P419" s="167"/>
      <c r="Q419" s="168"/>
      <c r="R419" s="166"/>
    </row>
    <row r="420" spans="2:18">
      <c r="B420" s="165"/>
      <c r="C420" s="166"/>
      <c r="D420" s="166"/>
      <c r="E420" s="166"/>
      <c r="F420" s="166"/>
      <c r="G420" s="167"/>
      <c r="H420" s="167"/>
      <c r="I420" s="166"/>
      <c r="J420" s="166"/>
      <c r="K420" s="167"/>
      <c r="L420" s="167"/>
      <c r="M420" s="146"/>
      <c r="N420" s="146"/>
      <c r="O420" s="146"/>
      <c r="P420" s="167"/>
      <c r="Q420" s="168"/>
      <c r="R420" s="166"/>
    </row>
    <row r="421" spans="2:18">
      <c r="B421" s="165"/>
      <c r="C421" s="166"/>
      <c r="D421" s="166"/>
      <c r="E421" s="166"/>
      <c r="F421" s="166"/>
      <c r="G421" s="167"/>
      <c r="H421" s="167"/>
      <c r="I421" s="166"/>
      <c r="J421" s="166"/>
      <c r="K421" s="167"/>
      <c r="L421" s="167"/>
      <c r="M421" s="146"/>
      <c r="N421" s="146"/>
      <c r="O421" s="146"/>
      <c r="P421" s="167"/>
      <c r="Q421" s="168"/>
      <c r="R421" s="166"/>
    </row>
    <row r="422" spans="2:18">
      <c r="B422" s="166"/>
      <c r="C422" s="166"/>
      <c r="D422" s="166"/>
      <c r="E422" s="166"/>
      <c r="F422" s="166"/>
      <c r="G422" s="166"/>
      <c r="H422" s="166"/>
      <c r="I422" s="166"/>
      <c r="J422" s="166"/>
      <c r="K422" s="167"/>
      <c r="L422" s="167"/>
      <c r="M422" s="146"/>
      <c r="N422" s="146"/>
      <c r="O422" s="146"/>
      <c r="P422" s="167"/>
      <c r="Q422" s="168"/>
      <c r="R422" s="166"/>
    </row>
  </sheetData>
  <sheetProtection algorithmName="SHA-512" hashValue="qsamuGLE45IhlHP1CmDizd2neOmWF+6KnAUv5qvoj4QeWGPydI/aFHwIqmtp9zoFdj18uWp08faPimeiFd716w==" saltValue="OShzxOs0JtWZwOtQUQ7+DQ==" spinCount="100000" sheet="1" objects="1" scenarios="1"/>
  <protectedRanges>
    <protectedRange algorithmName="SHA-512" hashValue="sjK1PjsdkdI09dvyMJ4Ldig5r6g+PmIIAIQrVWU6x1Omn4z1nPENDAj51spYhKOvcvmT9fDCLeJjLUUfboPY8A==" saltValue="cfoBMXmxdcWii4o4CqWgWw==" spinCount="100000" sqref="E7:G406" name="手入力"/>
  </protectedRanges>
  <mergeCells count="1025">
    <mergeCell ref="AQ6:AR6"/>
    <mergeCell ref="AO6:AP6"/>
    <mergeCell ref="AM6:AN6"/>
    <mergeCell ref="AK6:AL6"/>
    <mergeCell ref="AI6:AJ6"/>
    <mergeCell ref="A1:R1"/>
    <mergeCell ref="A2:R2"/>
    <mergeCell ref="E9:F9"/>
    <mergeCell ref="B10:C10"/>
    <mergeCell ref="E10:G10"/>
    <mergeCell ref="A11:A14"/>
    <mergeCell ref="B11:B13"/>
    <mergeCell ref="C11:C13"/>
    <mergeCell ref="E11:E12"/>
    <mergeCell ref="F11:F12"/>
    <mergeCell ref="Q5:R5"/>
    <mergeCell ref="E6:F6"/>
    <mergeCell ref="K6:L6"/>
    <mergeCell ref="A7:A10"/>
    <mergeCell ref="B7:B9"/>
    <mergeCell ref="C7:C9"/>
    <mergeCell ref="E7:E8"/>
    <mergeCell ref="F7:F8"/>
    <mergeCell ref="Q7:Q10"/>
    <mergeCell ref="R7:R10"/>
    <mergeCell ref="A5:A6"/>
    <mergeCell ref="B5:C6"/>
    <mergeCell ref="G5:G6"/>
    <mergeCell ref="I5:J6"/>
    <mergeCell ref="K5:P5"/>
    <mergeCell ref="Y5:Z5"/>
    <mergeCell ref="AI5:AL5"/>
    <mergeCell ref="Q15:Q18"/>
    <mergeCell ref="R15:R18"/>
    <mergeCell ref="E17:F17"/>
    <mergeCell ref="B18:C18"/>
    <mergeCell ref="E18:G18"/>
    <mergeCell ref="A19:A22"/>
    <mergeCell ref="B19:B21"/>
    <mergeCell ref="C19:C21"/>
    <mergeCell ref="E19:E20"/>
    <mergeCell ref="F19:F20"/>
    <mergeCell ref="Q11:Q14"/>
    <mergeCell ref="R11:R14"/>
    <mergeCell ref="E13:F13"/>
    <mergeCell ref="B14:C14"/>
    <mergeCell ref="E14:G14"/>
    <mergeCell ref="A15:A18"/>
    <mergeCell ref="B15:B17"/>
    <mergeCell ref="C15:C17"/>
    <mergeCell ref="E15:E16"/>
    <mergeCell ref="F15:F16"/>
    <mergeCell ref="Q23:Q26"/>
    <mergeCell ref="R23:R26"/>
    <mergeCell ref="E25:F25"/>
    <mergeCell ref="B26:C26"/>
    <mergeCell ref="E26:G26"/>
    <mergeCell ref="A27:A30"/>
    <mergeCell ref="B27:B29"/>
    <mergeCell ref="C27:C29"/>
    <mergeCell ref="E27:E28"/>
    <mergeCell ref="F27:F28"/>
    <mergeCell ref="Q19:Q22"/>
    <mergeCell ref="R19:R22"/>
    <mergeCell ref="E21:F21"/>
    <mergeCell ref="B22:C22"/>
    <mergeCell ref="E22:G22"/>
    <mergeCell ref="A23:A26"/>
    <mergeCell ref="B23:B25"/>
    <mergeCell ref="C23:C25"/>
    <mergeCell ref="E23:E24"/>
    <mergeCell ref="F23:F24"/>
    <mergeCell ref="Q31:Q34"/>
    <mergeCell ref="R31:R34"/>
    <mergeCell ref="E33:F33"/>
    <mergeCell ref="B34:C34"/>
    <mergeCell ref="E34:G34"/>
    <mergeCell ref="A35:A38"/>
    <mergeCell ref="B35:B37"/>
    <mergeCell ref="C35:C37"/>
    <mergeCell ref="E35:E36"/>
    <mergeCell ref="F35:F36"/>
    <mergeCell ref="Q27:Q30"/>
    <mergeCell ref="R27:R30"/>
    <mergeCell ref="E29:F29"/>
    <mergeCell ref="B30:C30"/>
    <mergeCell ref="E30:G30"/>
    <mergeCell ref="A31:A34"/>
    <mergeCell ref="B31:B33"/>
    <mergeCell ref="C31:C33"/>
    <mergeCell ref="E31:E32"/>
    <mergeCell ref="F31:F32"/>
    <mergeCell ref="Q39:Q42"/>
    <mergeCell ref="R39:R42"/>
    <mergeCell ref="E41:F41"/>
    <mergeCell ref="B42:C42"/>
    <mergeCell ref="E42:G42"/>
    <mergeCell ref="A43:A46"/>
    <mergeCell ref="B43:B45"/>
    <mergeCell ref="C43:C45"/>
    <mergeCell ref="E43:E44"/>
    <mergeCell ref="F43:F44"/>
    <mergeCell ref="Q35:Q38"/>
    <mergeCell ref="R35:R38"/>
    <mergeCell ref="E37:F37"/>
    <mergeCell ref="B38:C38"/>
    <mergeCell ref="E38:G38"/>
    <mergeCell ref="A39:A42"/>
    <mergeCell ref="B39:B41"/>
    <mergeCell ref="C39:C41"/>
    <mergeCell ref="E39:E40"/>
    <mergeCell ref="F39:F40"/>
    <mergeCell ref="Q47:Q50"/>
    <mergeCell ref="R47:R50"/>
    <mergeCell ref="E49:F49"/>
    <mergeCell ref="B50:C50"/>
    <mergeCell ref="E50:G50"/>
    <mergeCell ref="A51:A54"/>
    <mergeCell ref="B51:B53"/>
    <mergeCell ref="C51:C53"/>
    <mergeCell ref="E51:E52"/>
    <mergeCell ref="F51:F52"/>
    <mergeCell ref="Q43:Q46"/>
    <mergeCell ref="R43:R46"/>
    <mergeCell ref="E45:F45"/>
    <mergeCell ref="B46:C46"/>
    <mergeCell ref="E46:G46"/>
    <mergeCell ref="A47:A50"/>
    <mergeCell ref="B47:B49"/>
    <mergeCell ref="C47:C49"/>
    <mergeCell ref="E47:E48"/>
    <mergeCell ref="F47:F48"/>
    <mergeCell ref="Q55:Q58"/>
    <mergeCell ref="R55:R58"/>
    <mergeCell ref="E57:F57"/>
    <mergeCell ref="B58:C58"/>
    <mergeCell ref="E58:G58"/>
    <mergeCell ref="A59:A62"/>
    <mergeCell ref="B59:B61"/>
    <mergeCell ref="C59:C61"/>
    <mergeCell ref="E59:E60"/>
    <mergeCell ref="F59:F60"/>
    <mergeCell ref="Q51:Q54"/>
    <mergeCell ref="R51:R54"/>
    <mergeCell ref="E53:F53"/>
    <mergeCell ref="B54:C54"/>
    <mergeCell ref="E54:G54"/>
    <mergeCell ref="A55:A58"/>
    <mergeCell ref="B55:B57"/>
    <mergeCell ref="C55:C57"/>
    <mergeCell ref="E55:E56"/>
    <mergeCell ref="F55:F56"/>
    <mergeCell ref="Q63:Q66"/>
    <mergeCell ref="R63:R66"/>
    <mergeCell ref="E65:F65"/>
    <mergeCell ref="B66:C66"/>
    <mergeCell ref="E66:G66"/>
    <mergeCell ref="A67:A70"/>
    <mergeCell ref="B67:B69"/>
    <mergeCell ref="C67:C69"/>
    <mergeCell ref="E67:E68"/>
    <mergeCell ref="F67:F68"/>
    <mergeCell ref="Q59:Q62"/>
    <mergeCell ref="R59:R62"/>
    <mergeCell ref="E61:F61"/>
    <mergeCell ref="B62:C62"/>
    <mergeCell ref="E62:G62"/>
    <mergeCell ref="A63:A66"/>
    <mergeCell ref="B63:B65"/>
    <mergeCell ref="C63:C65"/>
    <mergeCell ref="E63:E64"/>
    <mergeCell ref="F63:F64"/>
    <mergeCell ref="Q71:Q74"/>
    <mergeCell ref="R71:R74"/>
    <mergeCell ref="E73:F73"/>
    <mergeCell ref="B74:C74"/>
    <mergeCell ref="E74:G74"/>
    <mergeCell ref="A75:A78"/>
    <mergeCell ref="B75:B77"/>
    <mergeCell ref="C75:C77"/>
    <mergeCell ref="E75:E76"/>
    <mergeCell ref="F75:F76"/>
    <mergeCell ref="Q67:Q70"/>
    <mergeCell ref="R67:R70"/>
    <mergeCell ref="E69:F69"/>
    <mergeCell ref="B70:C70"/>
    <mergeCell ref="E70:G70"/>
    <mergeCell ref="A71:A74"/>
    <mergeCell ref="B71:B73"/>
    <mergeCell ref="C71:C73"/>
    <mergeCell ref="E71:E72"/>
    <mergeCell ref="F71:F72"/>
    <mergeCell ref="Q79:Q82"/>
    <mergeCell ref="R79:R82"/>
    <mergeCell ref="E81:F81"/>
    <mergeCell ref="B82:C82"/>
    <mergeCell ref="E82:G82"/>
    <mergeCell ref="A83:A86"/>
    <mergeCell ref="B83:B85"/>
    <mergeCell ref="C83:C85"/>
    <mergeCell ref="E83:E84"/>
    <mergeCell ref="F83:F84"/>
    <mergeCell ref="Q75:Q78"/>
    <mergeCell ref="R75:R78"/>
    <mergeCell ref="E77:F77"/>
    <mergeCell ref="B78:C78"/>
    <mergeCell ref="E78:G78"/>
    <mergeCell ref="A79:A82"/>
    <mergeCell ref="B79:B81"/>
    <mergeCell ref="C79:C81"/>
    <mergeCell ref="E79:E80"/>
    <mergeCell ref="F79:F80"/>
    <mergeCell ref="Q87:Q90"/>
    <mergeCell ref="R87:R90"/>
    <mergeCell ref="E89:F89"/>
    <mergeCell ref="B90:C90"/>
    <mergeCell ref="E90:G90"/>
    <mergeCell ref="A91:A94"/>
    <mergeCell ref="B91:B93"/>
    <mergeCell ref="C91:C93"/>
    <mergeCell ref="E91:E92"/>
    <mergeCell ref="F91:F92"/>
    <mergeCell ref="Q83:Q86"/>
    <mergeCell ref="R83:R86"/>
    <mergeCell ref="E85:F85"/>
    <mergeCell ref="B86:C86"/>
    <mergeCell ref="E86:G86"/>
    <mergeCell ref="A87:A90"/>
    <mergeCell ref="B87:B89"/>
    <mergeCell ref="C87:C89"/>
    <mergeCell ref="E87:E88"/>
    <mergeCell ref="F87:F88"/>
    <mergeCell ref="Q95:Q98"/>
    <mergeCell ref="R95:R98"/>
    <mergeCell ref="E97:F97"/>
    <mergeCell ref="B98:C98"/>
    <mergeCell ref="E98:G98"/>
    <mergeCell ref="A99:A102"/>
    <mergeCell ref="B99:B101"/>
    <mergeCell ref="C99:C101"/>
    <mergeCell ref="E99:E100"/>
    <mergeCell ref="F99:F100"/>
    <mergeCell ref="Q91:Q94"/>
    <mergeCell ref="R91:R94"/>
    <mergeCell ref="E93:F93"/>
    <mergeCell ref="B94:C94"/>
    <mergeCell ref="E94:G94"/>
    <mergeCell ref="A95:A98"/>
    <mergeCell ref="B95:B97"/>
    <mergeCell ref="C95:C97"/>
    <mergeCell ref="E95:E96"/>
    <mergeCell ref="F95:F96"/>
    <mergeCell ref="Q103:Q106"/>
    <mergeCell ref="R103:R106"/>
    <mergeCell ref="E105:F105"/>
    <mergeCell ref="B106:C106"/>
    <mergeCell ref="E106:G106"/>
    <mergeCell ref="A107:A110"/>
    <mergeCell ref="B107:B109"/>
    <mergeCell ref="C107:C109"/>
    <mergeCell ref="E107:E108"/>
    <mergeCell ref="F107:F108"/>
    <mergeCell ref="Q99:Q102"/>
    <mergeCell ref="R99:R102"/>
    <mergeCell ref="E101:F101"/>
    <mergeCell ref="B102:C102"/>
    <mergeCell ref="E102:G102"/>
    <mergeCell ref="A103:A106"/>
    <mergeCell ref="B103:B105"/>
    <mergeCell ref="C103:C105"/>
    <mergeCell ref="E103:E104"/>
    <mergeCell ref="F103:F104"/>
    <mergeCell ref="Q111:Q114"/>
    <mergeCell ref="R111:R114"/>
    <mergeCell ref="E113:F113"/>
    <mergeCell ref="B114:C114"/>
    <mergeCell ref="E114:G114"/>
    <mergeCell ref="A115:A118"/>
    <mergeCell ref="B115:B117"/>
    <mergeCell ref="C115:C117"/>
    <mergeCell ref="E115:E116"/>
    <mergeCell ref="F115:F116"/>
    <mergeCell ref="Q107:Q110"/>
    <mergeCell ref="R107:R110"/>
    <mergeCell ref="E109:F109"/>
    <mergeCell ref="B110:C110"/>
    <mergeCell ref="E110:G110"/>
    <mergeCell ref="A111:A114"/>
    <mergeCell ref="B111:B113"/>
    <mergeCell ref="C111:C113"/>
    <mergeCell ref="E111:E112"/>
    <mergeCell ref="F111:F112"/>
    <mergeCell ref="Q119:Q122"/>
    <mergeCell ref="R119:R122"/>
    <mergeCell ref="E121:F121"/>
    <mergeCell ref="B122:C122"/>
    <mergeCell ref="E122:G122"/>
    <mergeCell ref="A123:A126"/>
    <mergeCell ref="B123:B125"/>
    <mergeCell ref="C123:C125"/>
    <mergeCell ref="E123:E124"/>
    <mergeCell ref="F123:F124"/>
    <mergeCell ref="Q115:Q118"/>
    <mergeCell ref="R115:R118"/>
    <mergeCell ref="E117:F117"/>
    <mergeCell ref="B118:C118"/>
    <mergeCell ref="E118:G118"/>
    <mergeCell ref="A119:A122"/>
    <mergeCell ref="B119:B121"/>
    <mergeCell ref="C119:C121"/>
    <mergeCell ref="E119:E120"/>
    <mergeCell ref="F119:F120"/>
    <mergeCell ref="Q127:Q130"/>
    <mergeCell ref="R127:R130"/>
    <mergeCell ref="E129:F129"/>
    <mergeCell ref="B130:C130"/>
    <mergeCell ref="E130:G130"/>
    <mergeCell ref="A131:A134"/>
    <mergeCell ref="B131:B133"/>
    <mergeCell ref="C131:C133"/>
    <mergeCell ref="E131:E132"/>
    <mergeCell ref="F131:F132"/>
    <mergeCell ref="Q123:Q126"/>
    <mergeCell ref="R123:R126"/>
    <mergeCell ref="E125:F125"/>
    <mergeCell ref="B126:C126"/>
    <mergeCell ref="E126:G126"/>
    <mergeCell ref="A127:A130"/>
    <mergeCell ref="B127:B129"/>
    <mergeCell ref="C127:C129"/>
    <mergeCell ref="E127:E128"/>
    <mergeCell ref="F127:F128"/>
    <mergeCell ref="Q135:Q138"/>
    <mergeCell ref="R135:R138"/>
    <mergeCell ref="E137:F137"/>
    <mergeCell ref="B138:C138"/>
    <mergeCell ref="E138:G138"/>
    <mergeCell ref="A139:A142"/>
    <mergeCell ref="B139:B141"/>
    <mergeCell ref="C139:C141"/>
    <mergeCell ref="E139:E140"/>
    <mergeCell ref="F139:F140"/>
    <mergeCell ref="Q131:Q134"/>
    <mergeCell ref="R131:R134"/>
    <mergeCell ref="E133:F133"/>
    <mergeCell ref="B134:C134"/>
    <mergeCell ref="E134:G134"/>
    <mergeCell ref="A135:A138"/>
    <mergeCell ref="B135:B137"/>
    <mergeCell ref="C135:C137"/>
    <mergeCell ref="E135:E136"/>
    <mergeCell ref="F135:F136"/>
    <mergeCell ref="Q143:Q146"/>
    <mergeCell ref="R143:R146"/>
    <mergeCell ref="E145:F145"/>
    <mergeCell ref="B146:C146"/>
    <mergeCell ref="E146:G146"/>
    <mergeCell ref="A147:A150"/>
    <mergeCell ref="B147:B149"/>
    <mergeCell ref="C147:C149"/>
    <mergeCell ref="E147:E148"/>
    <mergeCell ref="F147:F148"/>
    <mergeCell ref="Q139:Q142"/>
    <mergeCell ref="R139:R142"/>
    <mergeCell ref="E141:F141"/>
    <mergeCell ref="B142:C142"/>
    <mergeCell ref="E142:G142"/>
    <mergeCell ref="A143:A146"/>
    <mergeCell ref="B143:B145"/>
    <mergeCell ref="C143:C145"/>
    <mergeCell ref="E143:E144"/>
    <mergeCell ref="F143:F144"/>
    <mergeCell ref="Q151:Q154"/>
    <mergeCell ref="R151:R154"/>
    <mergeCell ref="E153:F153"/>
    <mergeCell ref="B154:C154"/>
    <mergeCell ref="E154:G154"/>
    <mergeCell ref="A155:A158"/>
    <mergeCell ref="B155:B157"/>
    <mergeCell ref="C155:C157"/>
    <mergeCell ref="E155:E156"/>
    <mergeCell ref="F155:F156"/>
    <mergeCell ref="Q147:Q150"/>
    <mergeCell ref="R147:R150"/>
    <mergeCell ref="E149:F149"/>
    <mergeCell ref="B150:C150"/>
    <mergeCell ref="E150:G150"/>
    <mergeCell ref="A151:A154"/>
    <mergeCell ref="B151:B153"/>
    <mergeCell ref="C151:C153"/>
    <mergeCell ref="E151:E152"/>
    <mergeCell ref="F151:F152"/>
    <mergeCell ref="Q159:Q162"/>
    <mergeCell ref="R159:R162"/>
    <mergeCell ref="E161:F161"/>
    <mergeCell ref="B162:C162"/>
    <mergeCell ref="E162:G162"/>
    <mergeCell ref="A163:A166"/>
    <mergeCell ref="B163:B165"/>
    <mergeCell ref="C163:C165"/>
    <mergeCell ref="E163:E164"/>
    <mergeCell ref="F163:F164"/>
    <mergeCell ref="Q155:Q158"/>
    <mergeCell ref="R155:R158"/>
    <mergeCell ref="E157:F157"/>
    <mergeCell ref="B158:C158"/>
    <mergeCell ref="E158:G158"/>
    <mergeCell ref="A159:A162"/>
    <mergeCell ref="B159:B161"/>
    <mergeCell ref="C159:C161"/>
    <mergeCell ref="E159:E160"/>
    <mergeCell ref="F159:F160"/>
    <mergeCell ref="Q167:Q170"/>
    <mergeCell ref="R167:R170"/>
    <mergeCell ref="E169:F169"/>
    <mergeCell ref="B170:C170"/>
    <mergeCell ref="E170:G170"/>
    <mergeCell ref="A171:A174"/>
    <mergeCell ref="B171:B173"/>
    <mergeCell ref="C171:C173"/>
    <mergeCell ref="E171:E172"/>
    <mergeCell ref="F171:F172"/>
    <mergeCell ref="Q163:Q166"/>
    <mergeCell ref="R163:R166"/>
    <mergeCell ref="E165:F165"/>
    <mergeCell ref="B166:C166"/>
    <mergeCell ref="E166:G166"/>
    <mergeCell ref="A167:A170"/>
    <mergeCell ref="B167:B169"/>
    <mergeCell ref="C167:C169"/>
    <mergeCell ref="E167:E168"/>
    <mergeCell ref="F167:F168"/>
    <mergeCell ref="Q175:Q178"/>
    <mergeCell ref="R175:R178"/>
    <mergeCell ref="E177:F177"/>
    <mergeCell ref="B178:C178"/>
    <mergeCell ref="E178:G178"/>
    <mergeCell ref="A179:A182"/>
    <mergeCell ref="B179:B181"/>
    <mergeCell ref="C179:C181"/>
    <mergeCell ref="E179:E180"/>
    <mergeCell ref="F179:F180"/>
    <mergeCell ref="Q171:Q174"/>
    <mergeCell ref="R171:R174"/>
    <mergeCell ref="E173:F173"/>
    <mergeCell ref="B174:C174"/>
    <mergeCell ref="E174:G174"/>
    <mergeCell ref="A175:A178"/>
    <mergeCell ref="B175:B177"/>
    <mergeCell ref="C175:C177"/>
    <mergeCell ref="E175:E176"/>
    <mergeCell ref="F175:F176"/>
    <mergeCell ref="Q183:Q186"/>
    <mergeCell ref="R183:R186"/>
    <mergeCell ref="E185:F185"/>
    <mergeCell ref="B186:C186"/>
    <mergeCell ref="E186:G186"/>
    <mergeCell ref="A187:A190"/>
    <mergeCell ref="B187:B189"/>
    <mergeCell ref="C187:C189"/>
    <mergeCell ref="E187:E188"/>
    <mergeCell ref="F187:F188"/>
    <mergeCell ref="Q179:Q182"/>
    <mergeCell ref="R179:R182"/>
    <mergeCell ref="E181:F181"/>
    <mergeCell ref="B182:C182"/>
    <mergeCell ref="E182:G182"/>
    <mergeCell ref="A183:A186"/>
    <mergeCell ref="B183:B185"/>
    <mergeCell ref="C183:C185"/>
    <mergeCell ref="E183:E184"/>
    <mergeCell ref="F183:F184"/>
    <mergeCell ref="Q191:Q194"/>
    <mergeCell ref="R191:R194"/>
    <mergeCell ref="E193:F193"/>
    <mergeCell ref="B194:C194"/>
    <mergeCell ref="E194:G194"/>
    <mergeCell ref="A195:A198"/>
    <mergeCell ref="B195:B197"/>
    <mergeCell ref="C195:C197"/>
    <mergeCell ref="E195:E196"/>
    <mergeCell ref="F195:F196"/>
    <mergeCell ref="Q187:Q190"/>
    <mergeCell ref="R187:R190"/>
    <mergeCell ref="E189:F189"/>
    <mergeCell ref="B190:C190"/>
    <mergeCell ref="E190:G190"/>
    <mergeCell ref="A191:A194"/>
    <mergeCell ref="B191:B193"/>
    <mergeCell ref="C191:C193"/>
    <mergeCell ref="E191:E192"/>
    <mergeCell ref="F191:F192"/>
    <mergeCell ref="Q199:Q202"/>
    <mergeCell ref="R199:R202"/>
    <mergeCell ref="E201:F201"/>
    <mergeCell ref="B202:C202"/>
    <mergeCell ref="E202:G202"/>
    <mergeCell ref="A203:A206"/>
    <mergeCell ref="B203:B205"/>
    <mergeCell ref="C203:C205"/>
    <mergeCell ref="E203:E204"/>
    <mergeCell ref="F203:F204"/>
    <mergeCell ref="Q195:Q198"/>
    <mergeCell ref="R195:R198"/>
    <mergeCell ref="E197:F197"/>
    <mergeCell ref="B198:C198"/>
    <mergeCell ref="E198:G198"/>
    <mergeCell ref="A199:A202"/>
    <mergeCell ref="B199:B201"/>
    <mergeCell ref="C199:C201"/>
    <mergeCell ref="E199:E200"/>
    <mergeCell ref="F199:F200"/>
    <mergeCell ref="Q207:Q210"/>
    <mergeCell ref="R207:R210"/>
    <mergeCell ref="E209:F209"/>
    <mergeCell ref="B210:C210"/>
    <mergeCell ref="E210:G210"/>
    <mergeCell ref="A211:A214"/>
    <mergeCell ref="B211:B213"/>
    <mergeCell ref="C211:C213"/>
    <mergeCell ref="E211:E212"/>
    <mergeCell ref="F211:F212"/>
    <mergeCell ref="Q203:Q206"/>
    <mergeCell ref="R203:R206"/>
    <mergeCell ref="E205:F205"/>
    <mergeCell ref="B206:C206"/>
    <mergeCell ref="E206:G206"/>
    <mergeCell ref="A207:A210"/>
    <mergeCell ref="B207:B209"/>
    <mergeCell ref="C207:C209"/>
    <mergeCell ref="E207:E208"/>
    <mergeCell ref="F207:F208"/>
    <mergeCell ref="Q215:Q218"/>
    <mergeCell ref="R215:R218"/>
    <mergeCell ref="E217:F217"/>
    <mergeCell ref="B218:C218"/>
    <mergeCell ref="E218:G218"/>
    <mergeCell ref="A219:A222"/>
    <mergeCell ref="B219:B221"/>
    <mergeCell ref="C219:C221"/>
    <mergeCell ref="E219:E220"/>
    <mergeCell ref="F219:F220"/>
    <mergeCell ref="Q211:Q214"/>
    <mergeCell ref="R211:R214"/>
    <mergeCell ref="E213:F213"/>
    <mergeCell ref="B214:C214"/>
    <mergeCell ref="E214:G214"/>
    <mergeCell ref="A215:A218"/>
    <mergeCell ref="B215:B217"/>
    <mergeCell ref="C215:C217"/>
    <mergeCell ref="E215:E216"/>
    <mergeCell ref="F215:F216"/>
    <mergeCell ref="Q223:Q226"/>
    <mergeCell ref="R223:R226"/>
    <mergeCell ref="E225:F225"/>
    <mergeCell ref="B226:C226"/>
    <mergeCell ref="E226:G226"/>
    <mergeCell ref="A227:A230"/>
    <mergeCell ref="B227:B229"/>
    <mergeCell ref="C227:C229"/>
    <mergeCell ref="E227:E228"/>
    <mergeCell ref="F227:F228"/>
    <mergeCell ref="Q219:Q222"/>
    <mergeCell ref="R219:R222"/>
    <mergeCell ref="E221:F221"/>
    <mergeCell ref="B222:C222"/>
    <mergeCell ref="E222:G222"/>
    <mergeCell ref="A223:A226"/>
    <mergeCell ref="B223:B225"/>
    <mergeCell ref="C223:C225"/>
    <mergeCell ref="E223:E224"/>
    <mergeCell ref="F223:F224"/>
    <mergeCell ref="Q231:Q234"/>
    <mergeCell ref="R231:R234"/>
    <mergeCell ref="E233:F233"/>
    <mergeCell ref="B234:C234"/>
    <mergeCell ref="E234:G234"/>
    <mergeCell ref="A235:A238"/>
    <mergeCell ref="B235:B237"/>
    <mergeCell ref="C235:C237"/>
    <mergeCell ref="E235:E236"/>
    <mergeCell ref="F235:F236"/>
    <mergeCell ref="Q227:Q230"/>
    <mergeCell ref="R227:R230"/>
    <mergeCell ref="E229:F229"/>
    <mergeCell ref="B230:C230"/>
    <mergeCell ref="E230:G230"/>
    <mergeCell ref="A231:A234"/>
    <mergeCell ref="B231:B233"/>
    <mergeCell ref="C231:C233"/>
    <mergeCell ref="E231:E232"/>
    <mergeCell ref="F231:F232"/>
    <mergeCell ref="Q239:Q242"/>
    <mergeCell ref="R239:R242"/>
    <mergeCell ref="E241:F241"/>
    <mergeCell ref="B242:C242"/>
    <mergeCell ref="E242:G242"/>
    <mergeCell ref="A243:A246"/>
    <mergeCell ref="B243:B245"/>
    <mergeCell ref="C243:C245"/>
    <mergeCell ref="E243:E244"/>
    <mergeCell ref="F243:F244"/>
    <mergeCell ref="Q235:Q238"/>
    <mergeCell ref="R235:R238"/>
    <mergeCell ref="E237:F237"/>
    <mergeCell ref="B238:C238"/>
    <mergeCell ref="E238:G238"/>
    <mergeCell ref="A239:A242"/>
    <mergeCell ref="B239:B241"/>
    <mergeCell ref="C239:C241"/>
    <mergeCell ref="E239:E240"/>
    <mergeCell ref="F239:F240"/>
    <mergeCell ref="Q247:Q250"/>
    <mergeCell ref="R247:R250"/>
    <mergeCell ref="E249:F249"/>
    <mergeCell ref="B250:C250"/>
    <mergeCell ref="E250:G250"/>
    <mergeCell ref="A251:A254"/>
    <mergeCell ref="B251:B253"/>
    <mergeCell ref="C251:C253"/>
    <mergeCell ref="E251:E252"/>
    <mergeCell ref="F251:F252"/>
    <mergeCell ref="Q243:Q246"/>
    <mergeCell ref="R243:R246"/>
    <mergeCell ref="E245:F245"/>
    <mergeCell ref="B246:C246"/>
    <mergeCell ref="E246:G246"/>
    <mergeCell ref="A247:A250"/>
    <mergeCell ref="B247:B249"/>
    <mergeCell ref="C247:C249"/>
    <mergeCell ref="E247:E248"/>
    <mergeCell ref="F247:F248"/>
    <mergeCell ref="Q255:Q258"/>
    <mergeCell ref="R255:R258"/>
    <mergeCell ref="E257:F257"/>
    <mergeCell ref="B258:C258"/>
    <mergeCell ref="E258:G258"/>
    <mergeCell ref="A259:A262"/>
    <mergeCell ref="B259:B261"/>
    <mergeCell ref="C259:C261"/>
    <mergeCell ref="E259:E260"/>
    <mergeCell ref="F259:F260"/>
    <mergeCell ref="Q251:Q254"/>
    <mergeCell ref="R251:R254"/>
    <mergeCell ref="E253:F253"/>
    <mergeCell ref="B254:C254"/>
    <mergeCell ref="E254:G254"/>
    <mergeCell ref="A255:A258"/>
    <mergeCell ref="B255:B257"/>
    <mergeCell ref="C255:C257"/>
    <mergeCell ref="E255:E256"/>
    <mergeCell ref="F255:F256"/>
    <mergeCell ref="Q263:Q266"/>
    <mergeCell ref="R263:R266"/>
    <mergeCell ref="E265:F265"/>
    <mergeCell ref="B266:C266"/>
    <mergeCell ref="E266:G266"/>
    <mergeCell ref="A267:A270"/>
    <mergeCell ref="B267:B269"/>
    <mergeCell ref="C267:C269"/>
    <mergeCell ref="E267:E268"/>
    <mergeCell ref="F267:F268"/>
    <mergeCell ref="Q259:Q262"/>
    <mergeCell ref="R259:R262"/>
    <mergeCell ref="E261:F261"/>
    <mergeCell ref="B262:C262"/>
    <mergeCell ref="E262:G262"/>
    <mergeCell ref="A263:A266"/>
    <mergeCell ref="B263:B265"/>
    <mergeCell ref="C263:C265"/>
    <mergeCell ref="E263:E264"/>
    <mergeCell ref="F263:F264"/>
    <mergeCell ref="Q271:Q274"/>
    <mergeCell ref="R271:R274"/>
    <mergeCell ref="E273:F273"/>
    <mergeCell ref="B274:C274"/>
    <mergeCell ref="E274:G274"/>
    <mergeCell ref="A275:A278"/>
    <mergeCell ref="B275:B277"/>
    <mergeCell ref="C275:C277"/>
    <mergeCell ref="E275:E276"/>
    <mergeCell ref="F275:F276"/>
    <mergeCell ref="Q267:Q270"/>
    <mergeCell ref="R267:R270"/>
    <mergeCell ref="E269:F269"/>
    <mergeCell ref="B270:C270"/>
    <mergeCell ref="E270:G270"/>
    <mergeCell ref="A271:A274"/>
    <mergeCell ref="B271:B273"/>
    <mergeCell ref="C271:C273"/>
    <mergeCell ref="E271:E272"/>
    <mergeCell ref="F271:F272"/>
    <mergeCell ref="Q279:Q282"/>
    <mergeCell ref="R279:R282"/>
    <mergeCell ref="E281:F281"/>
    <mergeCell ref="B282:C282"/>
    <mergeCell ref="E282:G282"/>
    <mergeCell ref="A283:A286"/>
    <mergeCell ref="B283:B285"/>
    <mergeCell ref="C283:C285"/>
    <mergeCell ref="E283:E284"/>
    <mergeCell ref="F283:F284"/>
    <mergeCell ref="Q275:Q278"/>
    <mergeCell ref="R275:R278"/>
    <mergeCell ref="E277:F277"/>
    <mergeCell ref="B278:C278"/>
    <mergeCell ref="E278:G278"/>
    <mergeCell ref="A279:A282"/>
    <mergeCell ref="B279:B281"/>
    <mergeCell ref="C279:C281"/>
    <mergeCell ref="E279:E280"/>
    <mergeCell ref="F279:F280"/>
    <mergeCell ref="Q287:Q290"/>
    <mergeCell ref="R287:R290"/>
    <mergeCell ref="E289:F289"/>
    <mergeCell ref="B290:C290"/>
    <mergeCell ref="E290:G290"/>
    <mergeCell ref="A291:A294"/>
    <mergeCell ref="B291:B293"/>
    <mergeCell ref="C291:C293"/>
    <mergeCell ref="E291:E292"/>
    <mergeCell ref="F291:F292"/>
    <mergeCell ref="Q283:Q286"/>
    <mergeCell ref="R283:R286"/>
    <mergeCell ref="E285:F285"/>
    <mergeCell ref="B286:C286"/>
    <mergeCell ref="E286:G286"/>
    <mergeCell ref="A287:A290"/>
    <mergeCell ref="B287:B289"/>
    <mergeCell ref="C287:C289"/>
    <mergeCell ref="E287:E288"/>
    <mergeCell ref="F287:F288"/>
    <mergeCell ref="Q295:Q298"/>
    <mergeCell ref="R295:R298"/>
    <mergeCell ref="E297:F297"/>
    <mergeCell ref="B298:C298"/>
    <mergeCell ref="E298:G298"/>
    <mergeCell ref="A299:A302"/>
    <mergeCell ref="B299:B301"/>
    <mergeCell ref="C299:C301"/>
    <mergeCell ref="E299:E300"/>
    <mergeCell ref="F299:F300"/>
    <mergeCell ref="Q291:Q294"/>
    <mergeCell ref="R291:R294"/>
    <mergeCell ref="E293:F293"/>
    <mergeCell ref="B294:C294"/>
    <mergeCell ref="E294:G294"/>
    <mergeCell ref="A295:A298"/>
    <mergeCell ref="B295:B297"/>
    <mergeCell ref="C295:C297"/>
    <mergeCell ref="E295:E296"/>
    <mergeCell ref="F295:F296"/>
    <mergeCell ref="Q303:Q306"/>
    <mergeCell ref="R303:R306"/>
    <mergeCell ref="E305:F305"/>
    <mergeCell ref="B306:C306"/>
    <mergeCell ref="E306:G306"/>
    <mergeCell ref="A307:A310"/>
    <mergeCell ref="B307:B309"/>
    <mergeCell ref="C307:C309"/>
    <mergeCell ref="E307:E308"/>
    <mergeCell ref="F307:F308"/>
    <mergeCell ref="Q299:Q302"/>
    <mergeCell ref="R299:R302"/>
    <mergeCell ref="E301:F301"/>
    <mergeCell ref="B302:C302"/>
    <mergeCell ref="E302:G302"/>
    <mergeCell ref="A303:A306"/>
    <mergeCell ref="B303:B305"/>
    <mergeCell ref="C303:C305"/>
    <mergeCell ref="E303:E304"/>
    <mergeCell ref="F303:F304"/>
    <mergeCell ref="Q311:Q314"/>
    <mergeCell ref="R311:R314"/>
    <mergeCell ref="E313:F313"/>
    <mergeCell ref="B314:C314"/>
    <mergeCell ref="E314:G314"/>
    <mergeCell ref="A315:A318"/>
    <mergeCell ref="B315:B317"/>
    <mergeCell ref="C315:C317"/>
    <mergeCell ref="E315:E316"/>
    <mergeCell ref="F315:F316"/>
    <mergeCell ref="Q307:Q310"/>
    <mergeCell ref="R307:R310"/>
    <mergeCell ref="E309:F309"/>
    <mergeCell ref="B310:C310"/>
    <mergeCell ref="E310:G310"/>
    <mergeCell ref="A311:A314"/>
    <mergeCell ref="B311:B313"/>
    <mergeCell ref="C311:C313"/>
    <mergeCell ref="E311:E312"/>
    <mergeCell ref="F311:F312"/>
    <mergeCell ref="Q319:Q322"/>
    <mergeCell ref="R319:R322"/>
    <mergeCell ref="E321:F321"/>
    <mergeCell ref="B322:C322"/>
    <mergeCell ref="E322:G322"/>
    <mergeCell ref="A323:A326"/>
    <mergeCell ref="B323:B325"/>
    <mergeCell ref="C323:C325"/>
    <mergeCell ref="E323:E324"/>
    <mergeCell ref="F323:F324"/>
    <mergeCell ref="Q315:Q318"/>
    <mergeCell ref="R315:R318"/>
    <mergeCell ref="E317:F317"/>
    <mergeCell ref="B318:C318"/>
    <mergeCell ref="E318:G318"/>
    <mergeCell ref="A319:A322"/>
    <mergeCell ref="B319:B321"/>
    <mergeCell ref="C319:C321"/>
    <mergeCell ref="E319:E320"/>
    <mergeCell ref="F319:F320"/>
    <mergeCell ref="Q327:Q330"/>
    <mergeCell ref="R327:R330"/>
    <mergeCell ref="E329:F329"/>
    <mergeCell ref="B330:C330"/>
    <mergeCell ref="E330:G330"/>
    <mergeCell ref="A331:A334"/>
    <mergeCell ref="B331:B333"/>
    <mergeCell ref="C331:C333"/>
    <mergeCell ref="E331:E332"/>
    <mergeCell ref="F331:F332"/>
    <mergeCell ref="Q323:Q326"/>
    <mergeCell ref="R323:R326"/>
    <mergeCell ref="E325:F325"/>
    <mergeCell ref="B326:C326"/>
    <mergeCell ref="E326:G326"/>
    <mergeCell ref="A327:A330"/>
    <mergeCell ref="B327:B329"/>
    <mergeCell ref="C327:C329"/>
    <mergeCell ref="E327:E328"/>
    <mergeCell ref="F327:F328"/>
    <mergeCell ref="Q335:Q338"/>
    <mergeCell ref="R335:R338"/>
    <mergeCell ref="E337:F337"/>
    <mergeCell ref="B338:C338"/>
    <mergeCell ref="E338:G338"/>
    <mergeCell ref="A339:A342"/>
    <mergeCell ref="B339:B341"/>
    <mergeCell ref="C339:C341"/>
    <mergeCell ref="E339:E340"/>
    <mergeCell ref="F339:F340"/>
    <mergeCell ref="Q331:Q334"/>
    <mergeCell ref="R331:R334"/>
    <mergeCell ref="E333:F333"/>
    <mergeCell ref="B334:C334"/>
    <mergeCell ref="E334:G334"/>
    <mergeCell ref="A335:A338"/>
    <mergeCell ref="B335:B337"/>
    <mergeCell ref="C335:C337"/>
    <mergeCell ref="E335:E336"/>
    <mergeCell ref="F335:F336"/>
    <mergeCell ref="Q343:Q346"/>
    <mergeCell ref="R343:R346"/>
    <mergeCell ref="E345:F345"/>
    <mergeCell ref="B346:C346"/>
    <mergeCell ref="E346:G346"/>
    <mergeCell ref="A347:A350"/>
    <mergeCell ref="B347:B349"/>
    <mergeCell ref="C347:C349"/>
    <mergeCell ref="E347:E348"/>
    <mergeCell ref="F347:F348"/>
    <mergeCell ref="Q339:Q342"/>
    <mergeCell ref="R339:R342"/>
    <mergeCell ref="E341:F341"/>
    <mergeCell ref="B342:C342"/>
    <mergeCell ref="E342:G342"/>
    <mergeCell ref="A343:A346"/>
    <mergeCell ref="B343:B345"/>
    <mergeCell ref="C343:C345"/>
    <mergeCell ref="E343:E344"/>
    <mergeCell ref="F343:F344"/>
    <mergeCell ref="Q351:Q354"/>
    <mergeCell ref="R351:R354"/>
    <mergeCell ref="E353:F353"/>
    <mergeCell ref="B354:C354"/>
    <mergeCell ref="E354:G354"/>
    <mergeCell ref="A355:A358"/>
    <mergeCell ref="B355:B357"/>
    <mergeCell ref="C355:C357"/>
    <mergeCell ref="E355:E356"/>
    <mergeCell ref="F355:F356"/>
    <mergeCell ref="Q347:Q350"/>
    <mergeCell ref="R347:R350"/>
    <mergeCell ref="E349:F349"/>
    <mergeCell ref="B350:C350"/>
    <mergeCell ref="E350:G350"/>
    <mergeCell ref="A351:A354"/>
    <mergeCell ref="B351:B353"/>
    <mergeCell ref="C351:C353"/>
    <mergeCell ref="E351:E352"/>
    <mergeCell ref="F351:F352"/>
    <mergeCell ref="Q359:Q362"/>
    <mergeCell ref="R359:R362"/>
    <mergeCell ref="E361:F361"/>
    <mergeCell ref="B362:C362"/>
    <mergeCell ref="E362:G362"/>
    <mergeCell ref="A363:A366"/>
    <mergeCell ref="B363:B365"/>
    <mergeCell ref="C363:C365"/>
    <mergeCell ref="E363:E364"/>
    <mergeCell ref="F363:F364"/>
    <mergeCell ref="Q355:Q358"/>
    <mergeCell ref="R355:R358"/>
    <mergeCell ref="E357:F357"/>
    <mergeCell ref="B358:C358"/>
    <mergeCell ref="E358:G358"/>
    <mergeCell ref="A359:A362"/>
    <mergeCell ref="B359:B361"/>
    <mergeCell ref="C359:C361"/>
    <mergeCell ref="E359:E360"/>
    <mergeCell ref="F359:F360"/>
    <mergeCell ref="Q367:Q370"/>
    <mergeCell ref="R367:R370"/>
    <mergeCell ref="E369:F369"/>
    <mergeCell ref="B370:C370"/>
    <mergeCell ref="E370:G370"/>
    <mergeCell ref="A371:A374"/>
    <mergeCell ref="B371:B373"/>
    <mergeCell ref="C371:C373"/>
    <mergeCell ref="E371:E372"/>
    <mergeCell ref="F371:F372"/>
    <mergeCell ref="Q363:Q366"/>
    <mergeCell ref="R363:R366"/>
    <mergeCell ref="E365:F365"/>
    <mergeCell ref="B366:C366"/>
    <mergeCell ref="E366:G366"/>
    <mergeCell ref="A367:A370"/>
    <mergeCell ref="B367:B369"/>
    <mergeCell ref="C367:C369"/>
    <mergeCell ref="E367:E368"/>
    <mergeCell ref="F367:F368"/>
    <mergeCell ref="Q375:Q378"/>
    <mergeCell ref="R375:R378"/>
    <mergeCell ref="E377:F377"/>
    <mergeCell ref="B378:C378"/>
    <mergeCell ref="E378:G378"/>
    <mergeCell ref="A379:A382"/>
    <mergeCell ref="B379:B381"/>
    <mergeCell ref="C379:C381"/>
    <mergeCell ref="E379:E380"/>
    <mergeCell ref="F379:F380"/>
    <mergeCell ref="Q371:Q374"/>
    <mergeCell ref="R371:R374"/>
    <mergeCell ref="E373:F373"/>
    <mergeCell ref="B374:C374"/>
    <mergeCell ref="E374:G374"/>
    <mergeCell ref="A375:A378"/>
    <mergeCell ref="B375:B377"/>
    <mergeCell ref="C375:C377"/>
    <mergeCell ref="E375:E376"/>
    <mergeCell ref="F375:F376"/>
    <mergeCell ref="Q383:Q386"/>
    <mergeCell ref="R383:R386"/>
    <mergeCell ref="E385:F385"/>
    <mergeCell ref="B386:C386"/>
    <mergeCell ref="E386:G386"/>
    <mergeCell ref="A387:A390"/>
    <mergeCell ref="B387:B389"/>
    <mergeCell ref="C387:C389"/>
    <mergeCell ref="E387:E388"/>
    <mergeCell ref="F387:F388"/>
    <mergeCell ref="Q379:Q382"/>
    <mergeCell ref="R379:R382"/>
    <mergeCell ref="E381:F381"/>
    <mergeCell ref="B382:C382"/>
    <mergeCell ref="E382:G382"/>
    <mergeCell ref="A383:A386"/>
    <mergeCell ref="B383:B385"/>
    <mergeCell ref="C383:C385"/>
    <mergeCell ref="E383:E384"/>
    <mergeCell ref="F383:F384"/>
    <mergeCell ref="F399:F400"/>
    <mergeCell ref="Q391:Q394"/>
    <mergeCell ref="R391:R394"/>
    <mergeCell ref="E393:F393"/>
    <mergeCell ref="B394:C394"/>
    <mergeCell ref="E394:G394"/>
    <mergeCell ref="A395:A398"/>
    <mergeCell ref="B395:B397"/>
    <mergeCell ref="C395:C397"/>
    <mergeCell ref="E395:E396"/>
    <mergeCell ref="F395:F396"/>
    <mergeCell ref="Q387:Q390"/>
    <mergeCell ref="R387:R390"/>
    <mergeCell ref="E389:F389"/>
    <mergeCell ref="B390:C390"/>
    <mergeCell ref="E390:G390"/>
    <mergeCell ref="A391:A394"/>
    <mergeCell ref="B391:B393"/>
    <mergeCell ref="C391:C393"/>
    <mergeCell ref="E391:E392"/>
    <mergeCell ref="F391:F392"/>
    <mergeCell ref="AA5:AC5"/>
    <mergeCell ref="AD5:AH5"/>
    <mergeCell ref="S5:U5"/>
    <mergeCell ref="V5:X5"/>
    <mergeCell ref="A3:C3"/>
    <mergeCell ref="A4:C4"/>
    <mergeCell ref="E3:P3"/>
    <mergeCell ref="E4:P4"/>
    <mergeCell ref="Q403:Q406"/>
    <mergeCell ref="R403:R406"/>
    <mergeCell ref="E405:F405"/>
    <mergeCell ref="B406:C406"/>
    <mergeCell ref="E406:G406"/>
    <mergeCell ref="Q399:Q402"/>
    <mergeCell ref="R399:R402"/>
    <mergeCell ref="E401:F401"/>
    <mergeCell ref="B402:C402"/>
    <mergeCell ref="E402:G402"/>
    <mergeCell ref="A403:A406"/>
    <mergeCell ref="B403:B405"/>
    <mergeCell ref="C403:C405"/>
    <mergeCell ref="E403:E404"/>
    <mergeCell ref="F403:F404"/>
    <mergeCell ref="Q395:Q398"/>
    <mergeCell ref="R395:R398"/>
    <mergeCell ref="E397:F397"/>
    <mergeCell ref="B398:C398"/>
    <mergeCell ref="E398:G398"/>
    <mergeCell ref="A399:A402"/>
    <mergeCell ref="B399:B401"/>
    <mergeCell ref="C399:C401"/>
    <mergeCell ref="E399:E400"/>
  </mergeCells>
  <phoneticPr fontId="3"/>
  <conditionalFormatting sqref="E4:P4">
    <cfRule type="expression" dxfId="2" priority="3">
      <formula>SUM($AN$3:$BQ$3)&gt;0</formula>
    </cfRule>
  </conditionalFormatting>
  <pageMargins left="0.7" right="0.7" top="0.75" bottom="0.75" header="0.3" footer="0.3"/>
  <pageSetup paperSize="9" scale="4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1DB3719-0FA9-449C-B66A-CA0DEA347D70}">
          <x14:formula1>
            <xm:f>競技会設定!$AD$2:$AD$3</xm:f>
          </x14:formula1>
          <xm:sqref>Q7:R406</xm:sqref>
        </x14:dataValidation>
        <x14:dataValidation type="list" allowBlank="1" showInputMessage="1" showErrorMessage="1" xr:uid="{BDFD1032-2EAD-4754-BD34-5F41B7B07F59}">
          <x14:formula1>
            <xm:f>競技会設定!$AH$2:$AH$33</xm:f>
          </x14:formula1>
          <xm:sqref>O7:O406</xm:sqref>
        </x14:dataValidation>
        <x14:dataValidation type="list" allowBlank="1" showInputMessage="1" showErrorMessage="1" xr:uid="{610397D3-CF60-4EEB-9CCA-F849643E1E63}">
          <x14:formula1>
            <xm:f>競技会設定!$AF$2:$AF$14</xm:f>
          </x14:formula1>
          <xm:sqref>N7:N406</xm:sqref>
        </x14:dataValidation>
        <x14:dataValidation type="list" allowBlank="1" showInputMessage="1" showErrorMessage="1" xr:uid="{9EC646A2-0DED-448B-ACE2-1AE2049EE368}">
          <x14:formula1>
            <xm:f>競技会設定!$AE$2:$AE$4</xm:f>
          </x14:formula1>
          <xm:sqref>M7:M406</xm:sqref>
        </x14:dataValidation>
        <x14:dataValidation type="list" allowBlank="1" showInputMessage="1" showErrorMessage="1" xr:uid="{2F7EC83D-0458-4B14-9BA2-E1DEC9CA4CDF}">
          <x14:formula1>
            <xm:f>競技会設定!$T$2:$T$22</xm:f>
          </x14:formula1>
          <xm:sqref>J7:J406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AF381-7D71-4CD7-A575-739B9E6829B3}">
  <sheetPr codeName="Sheet4">
    <tabColor rgb="FF92D050"/>
  </sheetPr>
  <dimension ref="A1:Z32"/>
  <sheetViews>
    <sheetView zoomScale="90" zoomScaleNormal="90" zoomScaleSheetLayoutView="90" workbookViewId="0">
      <pane ySplit="2" topLeftCell="A3" activePane="bottomLeft" state="frozen"/>
      <selection pane="bottomLeft" sqref="A1:N1"/>
    </sheetView>
  </sheetViews>
  <sheetFormatPr defaultRowHeight="17.399999999999999"/>
  <cols>
    <col min="1" max="1" width="8.796875" style="12"/>
    <col min="2" max="2" width="11.59765625" style="12" bestFit="1" customWidth="1"/>
    <col min="3" max="3" width="4.09765625" style="12" hidden="1" customWidth="1"/>
    <col min="4" max="4" width="8.8984375" style="12" bestFit="1" customWidth="1"/>
    <col min="5" max="6" width="19.09765625" style="12" customWidth="1"/>
    <col min="7" max="7" width="5" style="12" bestFit="1" customWidth="1"/>
    <col min="8" max="8" width="8.59765625" style="12" bestFit="1" customWidth="1"/>
    <col min="9" max="9" width="6.8984375" style="12" bestFit="1" customWidth="1"/>
    <col min="10" max="10" width="6.19921875" style="12" bestFit="1" customWidth="1"/>
    <col min="11" max="12" width="4" style="12" bestFit="1" customWidth="1"/>
    <col min="13" max="13" width="32" style="12" bestFit="1" customWidth="1"/>
    <col min="14" max="14" width="8.8984375" style="12" customWidth="1"/>
    <col min="15" max="26" width="8.796875" style="12" hidden="1" customWidth="1"/>
    <col min="27" max="27" width="8.796875" style="12" customWidth="1"/>
    <col min="28" max="16384" width="8.796875" style="12"/>
  </cols>
  <sheetData>
    <row r="1" spans="1:26" s="37" customFormat="1" ht="27" thickBot="1">
      <c r="A1" s="499" t="str">
        <f>競技会設定!$C$1&amp;"　リレーエントリー"</f>
        <v>第47回東海学生陸上競技秋季選手権大会　リレーエントリー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179"/>
      <c r="P1" s="179"/>
      <c r="Q1" s="180"/>
      <c r="R1" s="180"/>
      <c r="S1" s="180"/>
      <c r="T1" s="180"/>
      <c r="U1" s="180"/>
      <c r="V1" s="181"/>
      <c r="W1" s="241"/>
      <c r="X1" s="181"/>
    </row>
    <row r="2" spans="1:26" ht="29.4" customHeight="1" thickBot="1">
      <c r="B2" s="507" t="s">
        <v>6829</v>
      </c>
      <c r="C2" s="507"/>
      <c r="D2" s="507"/>
      <c r="E2" s="508" t="str">
        <f>IFERROR(HLOOKUP(1,Q3:Y4,2,0),"エラーはありません。")</f>
        <v>エラーはありません。</v>
      </c>
      <c r="F2" s="508"/>
      <c r="G2" s="508"/>
      <c r="H2" s="508"/>
      <c r="I2" s="508"/>
      <c r="J2" s="508"/>
      <c r="K2" s="508"/>
      <c r="L2" s="508"/>
      <c r="M2" s="508"/>
      <c r="O2" s="182"/>
      <c r="P2" s="182"/>
      <c r="W2" s="182"/>
    </row>
    <row r="3" spans="1:26" ht="18" thickBot="1">
      <c r="I3" s="167"/>
      <c r="J3" s="167"/>
      <c r="K3" s="167"/>
      <c r="L3" s="167"/>
      <c r="O3" s="182"/>
      <c r="P3" s="182"/>
      <c r="Q3" s="12">
        <f>IF(COUNTIF(Q6:Q32,TRUE)&gt;0,1,0)</f>
        <v>0</v>
      </c>
      <c r="R3" s="12">
        <f t="shared" ref="R3:Y3" si="0">IF(COUNTIF(R6:R32,TRUE)&gt;0,1,0)</f>
        <v>0</v>
      </c>
      <c r="S3" s="12">
        <f t="shared" si="0"/>
        <v>0</v>
      </c>
      <c r="T3" s="12">
        <f t="shared" si="0"/>
        <v>0</v>
      </c>
      <c r="U3" s="12">
        <f t="shared" si="0"/>
        <v>0</v>
      </c>
      <c r="V3" s="12">
        <f t="shared" si="0"/>
        <v>0</v>
      </c>
      <c r="W3" s="182"/>
      <c r="X3" s="12">
        <f>IF(COUNTIF(X6:X32,TRUE)&gt;0,1,0)</f>
        <v>0</v>
      </c>
      <c r="Y3" s="12">
        <f t="shared" si="0"/>
        <v>0</v>
      </c>
    </row>
    <row r="4" spans="1:26" ht="18" thickBot="1">
      <c r="B4" s="183" t="s">
        <v>6770</v>
      </c>
      <c r="D4" s="184">
        <f>SUM(Z6:Z12)</f>
        <v>0</v>
      </c>
      <c r="O4" s="182"/>
      <c r="P4" s="182"/>
      <c r="Q4" s="38" t="s">
        <v>6830</v>
      </c>
      <c r="R4" s="38" t="s">
        <v>6831</v>
      </c>
      <c r="S4" s="38" t="s">
        <v>7099</v>
      </c>
      <c r="T4" s="38" t="s">
        <v>6832</v>
      </c>
      <c r="U4" s="38" t="s">
        <v>6809</v>
      </c>
      <c r="V4" s="38" t="s">
        <v>7100</v>
      </c>
      <c r="W4" s="242"/>
      <c r="X4" s="38" t="s">
        <v>7098</v>
      </c>
      <c r="Y4" s="38" t="s">
        <v>7101</v>
      </c>
    </row>
    <row r="5" spans="1:26" ht="18" thickBot="1">
      <c r="B5" s="185" t="s">
        <v>6772</v>
      </c>
      <c r="C5" s="186" t="s">
        <v>6773</v>
      </c>
      <c r="D5" s="186" t="s">
        <v>4012</v>
      </c>
      <c r="E5" s="186" t="s">
        <v>6774</v>
      </c>
      <c r="F5" s="186" t="s">
        <v>6775</v>
      </c>
      <c r="G5" s="186" t="s">
        <v>6777</v>
      </c>
      <c r="H5" s="186" t="s">
        <v>6779</v>
      </c>
      <c r="I5" s="186" t="s">
        <v>4014</v>
      </c>
      <c r="J5" s="243" t="s">
        <v>7083</v>
      </c>
      <c r="K5" s="244" t="s">
        <v>7084</v>
      </c>
      <c r="L5" s="245" t="s">
        <v>7085</v>
      </c>
      <c r="M5" s="187" t="s">
        <v>182</v>
      </c>
      <c r="O5" s="12" t="s">
        <v>6820</v>
      </c>
      <c r="P5" s="12" t="s">
        <v>6821</v>
      </c>
      <c r="Q5" s="12" t="s">
        <v>6827</v>
      </c>
      <c r="R5" s="12" t="s">
        <v>6828</v>
      </c>
      <c r="S5" s="12" t="s">
        <v>6822</v>
      </c>
      <c r="T5" s="12" t="s">
        <v>6823</v>
      </c>
      <c r="U5" s="12" t="s">
        <v>6824</v>
      </c>
      <c r="V5" s="12" t="s">
        <v>6825</v>
      </c>
      <c r="W5" s="12" t="s">
        <v>7089</v>
      </c>
      <c r="X5" s="12" t="s">
        <v>7091</v>
      </c>
      <c r="Y5" s="12" t="s">
        <v>6826</v>
      </c>
    </row>
    <row r="6" spans="1:26" ht="18.600000000000001" thickTop="1" thickBot="1">
      <c r="B6" s="500" t="s">
        <v>6780</v>
      </c>
      <c r="C6" s="188">
        <v>1</v>
      </c>
      <c r="D6" s="188" t="str">
        <f>IFERROR(INDEX(男子エントリー!$A$7:$X$406,MATCH($C6,男子エントリー!$T$7:$T$406,0),2)&amp;INDEX(男子エントリー!$A$7:$X$406,MATCH($C6,男子エントリー!$T$7:$T$406,0),3),"")</f>
        <v/>
      </c>
      <c r="E6" s="188" t="str">
        <f>IFERROR(INDEX(男子エントリー!$A$7:$X$406,MATCH($C6,男子エントリー!$T$7:$T$406,0),5),"")</f>
        <v/>
      </c>
      <c r="F6" s="188" t="str">
        <f>IFERROR(INDEX(男子エントリー!$A$7:$X$406,MATCH($C6,男子エントリー!$T$7:$T$406,0),6),"")</f>
        <v/>
      </c>
      <c r="G6" s="188" t="str">
        <f>IFERROR(INDEX(男子エントリー!$A$7:$X$406,MATCH($C6,男子エントリー!$T$7:$T$406,0),7),"")</f>
        <v/>
      </c>
      <c r="H6" s="188" t="str" cm="1">
        <f t="array" ref="H6">IFERROR(INDEX(男子エントリー!$A$7:$X$406,MATCH($C6,男子エントリー!$T$7:$T$406,0)+1,7),"")</f>
        <v/>
      </c>
      <c r="I6" s="502"/>
      <c r="J6" s="483"/>
      <c r="K6" s="494"/>
      <c r="L6" s="491"/>
      <c r="M6" s="505"/>
      <c r="O6" s="12" t="b">
        <f>IF(AND(COUNTIF(D6:D11,"")=6,COUNTIF(I6:M6,"")=5),FALSE,TRUE)</f>
        <v>0</v>
      </c>
      <c r="P6" s="12" t="b">
        <f t="shared" ref="P6:P17" si="1">IF(D6="",FALSE,TRUE)</f>
        <v>0</v>
      </c>
      <c r="Q6" s="12" t="b">
        <f>IF(O6=FALSE,FALSE,IF(COUNTIF(P6:P11,TRUE)=0,TRUE,FALSE))</f>
        <v>0</v>
      </c>
      <c r="R6" s="12" t="b">
        <f>IF(COUNTIF(D6:D11,"")=6,FALSE,IF(COUNTIF(D6:D11,"")&gt;2,TRUE,FALSE))</f>
        <v>0</v>
      </c>
      <c r="S6" s="12" t="b">
        <f>IF(AND(I6="",NOT(R6),COUNTIF(P6:P11,TRUE)&gt;=4),TRUE,FALSE)</f>
        <v>0</v>
      </c>
      <c r="T6" s="189" t="b">
        <f>IF(P6=FALSE,FALSE,IF(ISNUMBER(I6)&lt;&gt;TRUE,TRUE,IFERROR(IF(MOD(I6,1)=0,FALSE,TRUE),FALSE)))</f>
        <v>0</v>
      </c>
      <c r="U6" s="12" t="b">
        <f>IF(VALUE(RIGHT(INT(I6/100),2))&gt;59,TRUE,IF(VALUE(RIGHT(INT(I6/10000),2))&gt;59,TRUE,FALSE))</f>
        <v>0</v>
      </c>
      <c r="V6" s="12" t="b">
        <f>IF(I6=0,FALSE,IF(AND(P6,NOT(S6),OR(J6="",K6="",L6="")),TRUE,FALSE))</f>
        <v>0</v>
      </c>
      <c r="W6" s="12" t="b">
        <f>IF(OR(J6="",K6="",L6=""),FALSE,DATE(J6,K6,L6))</f>
        <v>0</v>
      </c>
      <c r="X6" s="12" t="b">
        <f>IF(NOT(W6),FALSE,IF(AND(競技会設定!$C$5&lt;=W6,W6&lt;=競技会設定!$C$6),FALSE,TRUE))</f>
        <v>0</v>
      </c>
      <c r="Y6" s="12" t="b">
        <f>IF(I6=0,FALSE,IF(AND(P6,NOT(S6),NOT(V6),M6=""),TRUE,FALSE))</f>
        <v>0</v>
      </c>
      <c r="Z6" s="12">
        <f>IF(AND(O6,COUNTIF(Q6:Y6,TRUE)=0),1,0)</f>
        <v>0</v>
      </c>
    </row>
    <row r="7" spans="1:26" ht="19.2" customHeight="1" thickTop="1" thickBot="1">
      <c r="B7" s="500"/>
      <c r="C7" s="190">
        <v>2</v>
      </c>
      <c r="D7" s="190" t="str">
        <f>IFERROR(INDEX(男子エントリー!$A$7:$X$406,MATCH($C7,男子エントリー!$T$7:$T$406,0),2)&amp;INDEX(男子エントリー!$A$7:$X$406,MATCH($C7,男子エントリー!$T$7:$T$406,0),3),"")</f>
        <v/>
      </c>
      <c r="E7" s="190" t="str">
        <f>IFERROR(INDEX(男子エントリー!$A$7:$X$406,MATCH($C7,男子エントリー!$T$7:$T$406,0),5),"")</f>
        <v/>
      </c>
      <c r="F7" s="190" t="str">
        <f>IFERROR(INDEX(男子エントリー!$A$7:$X$406,MATCH($C7,男子エントリー!$T$7:$T$406,0),6),"")</f>
        <v/>
      </c>
      <c r="G7" s="190" t="str">
        <f>IFERROR(INDEX(男子エントリー!$A$7:$X$406,MATCH($C7,男子エントリー!$T$7:$T$406,0),7),"")</f>
        <v/>
      </c>
      <c r="H7" s="190" t="str" cm="1">
        <f t="array" ref="H7">IFERROR(INDEX(男子エントリー!$A$7:$X$406,MATCH($C7,男子エントリー!$T$7:$T$406,0)+1,7),"")</f>
        <v/>
      </c>
      <c r="I7" s="503"/>
      <c r="J7" s="484"/>
      <c r="K7" s="495"/>
      <c r="L7" s="492"/>
      <c r="M7" s="505"/>
      <c r="P7" s="12" t="b">
        <f t="shared" si="1"/>
        <v>0</v>
      </c>
    </row>
    <row r="8" spans="1:26" ht="19.2" customHeight="1" thickTop="1" thickBot="1">
      <c r="B8" s="500"/>
      <c r="C8" s="190">
        <v>3</v>
      </c>
      <c r="D8" s="190" t="str">
        <f>IFERROR(INDEX(男子エントリー!$A$7:$X$406,MATCH($C8,男子エントリー!$T$7:$T$406,0),2)&amp;INDEX(男子エントリー!$A$7:$X$406,MATCH($C8,男子エントリー!$T$7:$T$406,0),3),"")</f>
        <v/>
      </c>
      <c r="E8" s="190" t="str">
        <f>IFERROR(INDEX(男子エントリー!$A$7:$X$406,MATCH($C8,男子エントリー!$T$7:$T$406,0),5),"")</f>
        <v/>
      </c>
      <c r="F8" s="190" t="str">
        <f>IFERROR(INDEX(男子エントリー!$A$7:$X$406,MATCH($C8,男子エントリー!$T$7:$T$406,0),6),"")</f>
        <v/>
      </c>
      <c r="G8" s="190" t="str">
        <f>IFERROR(INDEX(男子エントリー!$A$7:$X$406,MATCH($C8,男子エントリー!$T$7:$T$406,0),7),"")</f>
        <v/>
      </c>
      <c r="H8" s="190" t="str" cm="1">
        <f t="array" ref="H8">IFERROR(INDEX(男子エントリー!$A$7:$X$406,MATCH($C8,男子エントリー!$T$7:$T$406,0)+1,7),"")</f>
        <v/>
      </c>
      <c r="I8" s="503"/>
      <c r="J8" s="484"/>
      <c r="K8" s="495"/>
      <c r="L8" s="492"/>
      <c r="M8" s="505"/>
      <c r="P8" s="12" t="b">
        <f t="shared" si="1"/>
        <v>0</v>
      </c>
    </row>
    <row r="9" spans="1:26" ht="19.2" customHeight="1" thickTop="1" thickBot="1">
      <c r="B9" s="500"/>
      <c r="C9" s="190">
        <v>4</v>
      </c>
      <c r="D9" s="190" t="str">
        <f>IFERROR(INDEX(男子エントリー!$A$7:$X$406,MATCH($C9,男子エントリー!$T$7:$T$406,0),2)&amp;INDEX(男子エントリー!$A$7:$X$406,MATCH($C9,男子エントリー!$T$7:$T$406,0),3),"")</f>
        <v/>
      </c>
      <c r="E9" s="190" t="str">
        <f>IFERROR(INDEX(男子エントリー!$A$7:$X$406,MATCH($C9,男子エントリー!$T$7:$T$406,0),5),"")</f>
        <v/>
      </c>
      <c r="F9" s="190" t="str">
        <f>IFERROR(INDEX(男子エントリー!$A$7:$X$406,MATCH($C9,男子エントリー!$T$7:$T$406,0),6),"")</f>
        <v/>
      </c>
      <c r="G9" s="190" t="str">
        <f>IFERROR(INDEX(男子エントリー!$A$7:$X$406,MATCH($C9,男子エントリー!$T$7:$T$406,0),7),"")</f>
        <v/>
      </c>
      <c r="H9" s="190" t="str" cm="1">
        <f t="array" ref="H9">IFERROR(INDEX(男子エントリー!$A$7:$X$406,MATCH($C9,男子エントリー!$T$7:$T$406,0)+1,7),"")</f>
        <v/>
      </c>
      <c r="I9" s="503"/>
      <c r="J9" s="484"/>
      <c r="K9" s="495"/>
      <c r="L9" s="492"/>
      <c r="M9" s="505"/>
      <c r="P9" s="12" t="b">
        <f t="shared" si="1"/>
        <v>0</v>
      </c>
    </row>
    <row r="10" spans="1:26" ht="19.2" customHeight="1" thickTop="1" thickBot="1">
      <c r="B10" s="500"/>
      <c r="C10" s="190">
        <v>5</v>
      </c>
      <c r="D10" s="190" t="str">
        <f>IFERROR(INDEX(男子エントリー!$A$7:$X$406,MATCH($C10,男子エントリー!$T$7:$T$406,0),2)&amp;INDEX(男子エントリー!$A$7:$X$406,MATCH($C10,男子エントリー!$T$7:$T$406,0),3),"")</f>
        <v/>
      </c>
      <c r="E10" s="190" t="str">
        <f>IFERROR(INDEX(男子エントリー!$A$7:$X$406,MATCH($C10,男子エントリー!$T$7:$T$406,0),5),"")</f>
        <v/>
      </c>
      <c r="F10" s="190" t="str">
        <f>IFERROR(INDEX(男子エントリー!$A$7:$X$406,MATCH($C10,男子エントリー!$T$7:$T$406,0),6),"")</f>
        <v/>
      </c>
      <c r="G10" s="190" t="str">
        <f>IFERROR(INDEX(男子エントリー!$A$7:$X$406,MATCH($C10,男子エントリー!$T$7:$T$406,0),7),"")</f>
        <v/>
      </c>
      <c r="H10" s="190" t="str" cm="1">
        <f t="array" ref="H10">IFERROR(INDEX(男子エントリー!$A$7:$X$406,MATCH($C10,男子エントリー!$T$7:$T$406,0)+1,7),"")</f>
        <v/>
      </c>
      <c r="I10" s="503"/>
      <c r="J10" s="484"/>
      <c r="K10" s="495"/>
      <c r="L10" s="492"/>
      <c r="M10" s="505"/>
      <c r="P10" s="12" t="b">
        <f t="shared" si="1"/>
        <v>0</v>
      </c>
    </row>
    <row r="11" spans="1:26" ht="19.2" customHeight="1" thickTop="1" thickBot="1">
      <c r="B11" s="500"/>
      <c r="C11" s="191">
        <v>6</v>
      </c>
      <c r="D11" s="191" t="str">
        <f>IFERROR(INDEX(男子エントリー!$A$7:$X$406,MATCH($C11,男子エントリー!$T$7:$T$406,0),2)&amp;INDEX(男子エントリー!$A$7:$X$406,MATCH($C11,男子エントリー!$T$7:$T$406,0),3),"")</f>
        <v/>
      </c>
      <c r="E11" s="191" t="str">
        <f>IFERROR(INDEX(男子エントリー!$A$7:$X$406,MATCH($C11,男子エントリー!$T$7:$T$406,0),5),"")</f>
        <v/>
      </c>
      <c r="F11" s="191" t="str">
        <f>IFERROR(INDEX(男子エントリー!$A$7:$X$406,MATCH($C11,男子エントリー!$T$7:$T$406,0),6),"")</f>
        <v/>
      </c>
      <c r="G11" s="191" t="str">
        <f>IFERROR(INDEX(男子エントリー!$A$7:$X$406,MATCH($C11,男子エントリー!$T$7:$T$406,0),7),"")</f>
        <v/>
      </c>
      <c r="H11" s="191" t="str" cm="1">
        <f t="array" ref="H11">IFERROR(INDEX(男子エントリー!$A$7:$X$406,MATCH($C11,男子エントリー!$T$7:$T$406,0)+1,7),"")</f>
        <v/>
      </c>
      <c r="I11" s="504"/>
      <c r="J11" s="485"/>
      <c r="K11" s="497"/>
      <c r="L11" s="498"/>
      <c r="M11" s="505"/>
      <c r="P11" s="12" t="b">
        <f t="shared" si="1"/>
        <v>0</v>
      </c>
    </row>
    <row r="12" spans="1:26" ht="18.600000000000001" thickTop="1" thickBot="1">
      <c r="B12" s="500" t="s">
        <v>6781</v>
      </c>
      <c r="C12" s="188">
        <v>1</v>
      </c>
      <c r="D12" s="188" t="str">
        <f>IFERROR(INDEX(男子エントリー!$A$7:$X$406,MATCH($C12,男子エントリー!$W$7:$W$406,0),2)&amp;INDEX(男子エントリー!$A$7:$X$406,MATCH($C12,男子エントリー!$W$7:$W$406,0),3),"")</f>
        <v/>
      </c>
      <c r="E12" s="188" t="str">
        <f>IFERROR(INDEX(男子エントリー!$A$7:$X$406,MATCH($C12,男子エントリー!$W$7:$W$406,0),5),"")</f>
        <v/>
      </c>
      <c r="F12" s="188" t="str">
        <f>IFERROR(INDEX(男子エントリー!$A$7:$X$406,MATCH($C12,男子エントリー!$W$7:$W$406,0),6),"")</f>
        <v/>
      </c>
      <c r="G12" s="188" t="str">
        <f>IFERROR(INDEX(男子エントリー!$A$7:$X$406,MATCH($C12,男子エントリー!$W$7:$W$406,0),7),"")</f>
        <v/>
      </c>
      <c r="H12" s="188" t="str" cm="1">
        <f t="array" ref="H12">IFERROR(INDEX(男子エントリー!$A$7:$X$406,MATCH($C12,男子エントリー!$W$7:$W$406,0)+1,7),"")</f>
        <v/>
      </c>
      <c r="I12" s="502"/>
      <c r="J12" s="483"/>
      <c r="K12" s="494"/>
      <c r="L12" s="491"/>
      <c r="M12" s="486"/>
      <c r="O12" s="12" t="b">
        <f>IF(AND(COUNTIF(D12:D17,"")=6,COUNTIF(I12:M12,"")=5),FALSE,TRUE)</f>
        <v>0</v>
      </c>
      <c r="P12" s="12" t="b">
        <f t="shared" si="1"/>
        <v>0</v>
      </c>
      <c r="Q12" s="12" t="b">
        <f>IF(O12=FALSE,FALSE,IF(COUNTIF(P12:P17,TRUE)=0,TRUE,FALSE))</f>
        <v>0</v>
      </c>
      <c r="R12" s="12" t="b">
        <f>IF(COUNTIF(D12:D17,"")=6,FALSE,IF(COUNTIF(D12:D17,"")&gt;2,TRUE,FALSE))</f>
        <v>0</v>
      </c>
      <c r="S12" s="12" t="b">
        <f>IF(AND(I12="",NOT(R12),COUNTIF(P12:P17,TRUE)&gt;=4),TRUE,FALSE)</f>
        <v>0</v>
      </c>
      <c r="T12" s="189" t="b">
        <f>IF(P12=FALSE,FALSE,IF(ISNUMBER(I12)&lt;&gt;TRUE,TRUE,IFERROR(IF(MOD(I12,1)=0,FALSE,TRUE),FALSE)))</f>
        <v>0</v>
      </c>
      <c r="U12" s="12" t="b">
        <f>IF(VALUE(RIGHT(INT(I12/100),2))&gt;59,TRUE,IF(VALUE(RIGHT(INT(I12/10000),2))&gt;59,TRUE,FALSE))</f>
        <v>0</v>
      </c>
      <c r="V12" s="12" t="b">
        <f>IF(I12=0,FALSE,IF(AND(P12,NOT(S12),OR(J12="",K12="",L12="")),TRUE,FALSE))</f>
        <v>0</v>
      </c>
      <c r="W12" s="12" t="b">
        <f>IF(OR(J12="",K12="",L12=""),FALSE,DATE(J12,K12,L12))</f>
        <v>0</v>
      </c>
      <c r="X12" s="12" t="b">
        <f>IF(NOT(W12),FALSE,IF(AND(競技会設定!$C$5&lt;=W12,W12&lt;=競技会設定!$C$6),FALSE,TRUE))</f>
        <v>0</v>
      </c>
      <c r="Y12" s="12" t="b">
        <f>IF(I12=0,FALSE,IF(AND(P12,NOT(S12),NOT(V12),M12=""),TRUE,FALSE))</f>
        <v>0</v>
      </c>
      <c r="Z12" s="12">
        <f>IF(AND(O12,COUNTIF(Q12:Y12,TRUE)=0),1,0)</f>
        <v>0</v>
      </c>
    </row>
    <row r="13" spans="1:26" ht="19.2" customHeight="1" thickTop="1" thickBot="1">
      <c r="B13" s="500"/>
      <c r="C13" s="190">
        <v>2</v>
      </c>
      <c r="D13" s="190" t="str">
        <f>IFERROR(INDEX(男子エントリー!$A$7:$X$406,MATCH($C13,男子エントリー!$W$7:$W$406,0),2)&amp;INDEX(男子エントリー!$A$7:$X$406,MATCH($C13,男子エントリー!$W$7:$W$406,0),3),"")</f>
        <v/>
      </c>
      <c r="E13" s="190" t="str">
        <f>IFERROR(INDEX(男子エントリー!$A$7:$X$406,MATCH($C13,男子エントリー!$W$7:$W$406,0),5),"")</f>
        <v/>
      </c>
      <c r="F13" s="190" t="str">
        <f>IFERROR(INDEX(男子エントリー!$A$7:$X$406,MATCH($C13,男子エントリー!$W$7:$W$406,0),6),"")</f>
        <v/>
      </c>
      <c r="G13" s="190" t="str">
        <f>IFERROR(INDEX(男子エントリー!$A$7:$X$406,MATCH($C13,男子エントリー!$W$7:$W$406,0),7),"")</f>
        <v/>
      </c>
      <c r="H13" s="190" t="str" cm="1">
        <f t="array" ref="H13">IFERROR(INDEX(男子エントリー!$A$7:$X$406,MATCH($C13,男子エントリー!$W$7:$W$406,0)+1,7),"")</f>
        <v/>
      </c>
      <c r="I13" s="503"/>
      <c r="J13" s="484"/>
      <c r="K13" s="495"/>
      <c r="L13" s="492"/>
      <c r="M13" s="486"/>
      <c r="P13" s="12" t="b">
        <f t="shared" si="1"/>
        <v>0</v>
      </c>
    </row>
    <row r="14" spans="1:26" ht="19.2" customHeight="1" thickTop="1" thickBot="1">
      <c r="B14" s="500"/>
      <c r="C14" s="190">
        <v>3</v>
      </c>
      <c r="D14" s="190" t="str">
        <f>IFERROR(INDEX(男子エントリー!$A$7:$X$406,MATCH($C14,男子エントリー!$W$7:$W$406,0),2)&amp;INDEX(男子エントリー!$A$7:$X$406,MATCH($C14,男子エントリー!$W$7:$W$406,0),3),"")</f>
        <v/>
      </c>
      <c r="E14" s="190" t="str">
        <f>IFERROR(INDEX(男子エントリー!$A$7:$X$406,MATCH($C14,男子エントリー!$W$7:$W$406,0),5),"")</f>
        <v/>
      </c>
      <c r="F14" s="190" t="str">
        <f>IFERROR(INDEX(男子エントリー!$A$7:$X$406,MATCH($C14,男子エントリー!$W$7:$W$406,0),6),"")</f>
        <v/>
      </c>
      <c r="G14" s="190" t="str">
        <f>IFERROR(INDEX(男子エントリー!$A$7:$X$406,MATCH($C14,男子エントリー!$W$7:$W$406,0),7),"")</f>
        <v/>
      </c>
      <c r="H14" s="190" t="str" cm="1">
        <f t="array" ref="H14">IFERROR(INDEX(男子エントリー!$A$7:$X$406,MATCH($C14,男子エントリー!$W$7:$W$406,0)+1,7),"")</f>
        <v/>
      </c>
      <c r="I14" s="503"/>
      <c r="J14" s="484"/>
      <c r="K14" s="495"/>
      <c r="L14" s="492"/>
      <c r="M14" s="486"/>
      <c r="P14" s="12" t="b">
        <f t="shared" si="1"/>
        <v>0</v>
      </c>
    </row>
    <row r="15" spans="1:26" ht="19.2" customHeight="1" thickTop="1" thickBot="1">
      <c r="B15" s="500"/>
      <c r="C15" s="190">
        <v>4</v>
      </c>
      <c r="D15" s="190" t="str">
        <f>IFERROR(INDEX(男子エントリー!$A$7:$X$406,MATCH($C15,男子エントリー!$W$7:$W$406,0),2)&amp;INDEX(男子エントリー!$A$7:$X$406,MATCH($C15,男子エントリー!$W$7:$W$406,0),3),"")</f>
        <v/>
      </c>
      <c r="E15" s="190" t="str">
        <f>IFERROR(INDEX(男子エントリー!$A$7:$X$406,MATCH($C15,男子エントリー!$W$7:$W$406,0),5),"")</f>
        <v/>
      </c>
      <c r="F15" s="190" t="str">
        <f>IFERROR(INDEX(男子エントリー!$A$7:$X$406,MATCH($C15,男子エントリー!$W$7:$W$406,0),6),"")</f>
        <v/>
      </c>
      <c r="G15" s="190" t="str">
        <f>IFERROR(INDEX(男子エントリー!$A$7:$X$406,MATCH($C15,男子エントリー!$W$7:$W$406,0),7),"")</f>
        <v/>
      </c>
      <c r="H15" s="190" t="str" cm="1">
        <f t="array" ref="H15">IFERROR(INDEX(男子エントリー!$A$7:$X$406,MATCH($C15,男子エントリー!$W$7:$W$406,0)+1,7),"")</f>
        <v/>
      </c>
      <c r="I15" s="503"/>
      <c r="J15" s="484"/>
      <c r="K15" s="495"/>
      <c r="L15" s="492"/>
      <c r="M15" s="486"/>
      <c r="P15" s="12" t="b">
        <f t="shared" si="1"/>
        <v>0</v>
      </c>
    </row>
    <row r="16" spans="1:26" ht="19.2" customHeight="1" thickTop="1" thickBot="1">
      <c r="B16" s="500"/>
      <c r="C16" s="190">
        <v>5</v>
      </c>
      <c r="D16" s="190" t="str">
        <f>IFERROR(INDEX(男子エントリー!$A$7:$X$406,MATCH($C16,男子エントリー!$W$7:$W$406,0),2)&amp;INDEX(男子エントリー!$A$7:$X$406,MATCH($C16,男子エントリー!$W$7:$W$406,0),3),"")</f>
        <v/>
      </c>
      <c r="E16" s="190" t="str">
        <f>IFERROR(INDEX(男子エントリー!$A$7:$X$406,MATCH($C16,男子エントリー!$W$7:$W$406,0),5),"")</f>
        <v/>
      </c>
      <c r="F16" s="190" t="str">
        <f>IFERROR(INDEX(男子エントリー!$A$7:$X$406,MATCH($C16,男子エントリー!$W$7:$W$406,0),6),"")</f>
        <v/>
      </c>
      <c r="G16" s="190" t="str">
        <f>IFERROR(INDEX(男子エントリー!$A$7:$X$406,MATCH($C16,男子エントリー!$W$7:$W$406,0),7),"")</f>
        <v/>
      </c>
      <c r="H16" s="190" t="str" cm="1">
        <f t="array" ref="H16">IFERROR(INDEX(男子エントリー!$A$7:$X$406,MATCH($C16,男子エントリー!$W$7:$W$406,0)+1,7),"")</f>
        <v/>
      </c>
      <c r="I16" s="503"/>
      <c r="J16" s="484"/>
      <c r="K16" s="495"/>
      <c r="L16" s="492"/>
      <c r="M16" s="486"/>
      <c r="P16" s="12" t="b">
        <f t="shared" si="1"/>
        <v>0</v>
      </c>
    </row>
    <row r="17" spans="2:26" ht="19.2" customHeight="1" thickTop="1" thickBot="1">
      <c r="B17" s="501"/>
      <c r="C17" s="192">
        <v>6</v>
      </c>
      <c r="D17" s="192" t="str">
        <f>IFERROR(INDEX(男子エントリー!$A$7:$X$406,MATCH($C17,男子エントリー!$W$7:$W$406,0),2)&amp;INDEX(男子エントリー!$A$7:$X$406,MATCH($C17,男子エントリー!$W$7:$W$406,0),3),"")</f>
        <v/>
      </c>
      <c r="E17" s="192" t="str">
        <f>IFERROR(INDEX(男子エントリー!$A$7:$X$406,MATCH($C17,男子エントリー!$W$7:$W$406,0),5),"")</f>
        <v/>
      </c>
      <c r="F17" s="192" t="str">
        <f>IFERROR(INDEX(男子エントリー!$A$7:$X$406,MATCH($C17,男子エントリー!$W$7:$W$406,0),6),"")</f>
        <v/>
      </c>
      <c r="G17" s="192" t="str">
        <f>IFERROR(INDEX(男子エントリー!$A$7:$X$406,MATCH($C17,男子エントリー!$W$7:$W$406,0),7),"")</f>
        <v/>
      </c>
      <c r="H17" s="192" t="str" cm="1">
        <f t="array" ref="H17">IFERROR(INDEX(男子エントリー!$A$7:$X$406,MATCH($C17,男子エントリー!$W$7:$W$406,0)+1,7),"")</f>
        <v/>
      </c>
      <c r="I17" s="506"/>
      <c r="J17" s="489"/>
      <c r="K17" s="496"/>
      <c r="L17" s="493"/>
      <c r="M17" s="490"/>
      <c r="P17" s="12" t="b">
        <f t="shared" si="1"/>
        <v>0</v>
      </c>
    </row>
    <row r="18" spans="2:26" ht="18" thickBot="1"/>
    <row r="19" spans="2:26" ht="18" thickBot="1">
      <c r="B19" s="183" t="s">
        <v>6782</v>
      </c>
      <c r="D19" s="184">
        <f>SUM(Z21:Z27)</f>
        <v>0</v>
      </c>
    </row>
    <row r="20" spans="2:26" ht="18" thickBot="1">
      <c r="B20" s="193" t="s">
        <v>6772</v>
      </c>
      <c r="C20" s="194" t="s">
        <v>6773</v>
      </c>
      <c r="D20" s="194" t="s">
        <v>7108</v>
      </c>
      <c r="E20" s="194" t="s">
        <v>6774</v>
      </c>
      <c r="F20" s="194" t="s">
        <v>6775</v>
      </c>
      <c r="G20" s="194" t="s">
        <v>6777</v>
      </c>
      <c r="H20" s="194" t="s">
        <v>6779</v>
      </c>
      <c r="I20" s="194" t="s">
        <v>6755</v>
      </c>
      <c r="J20" s="246" t="s">
        <v>7102</v>
      </c>
      <c r="K20" s="247" t="s">
        <v>7084</v>
      </c>
      <c r="L20" s="248" t="s">
        <v>7085</v>
      </c>
      <c r="M20" s="195" t="s">
        <v>7067</v>
      </c>
    </row>
    <row r="21" spans="2:26" ht="18.600000000000001" thickTop="1" thickBot="1">
      <c r="B21" s="481" t="s">
        <v>6780</v>
      </c>
      <c r="C21" s="196">
        <v>1</v>
      </c>
      <c r="D21" s="196" t="str">
        <f>IFERROR(INDEX(女子エントリー!$A$7:$X$406,MATCH($C21,女子エントリー!$T$7:$T$406,0),2)&amp;INDEX(女子エントリー!$A$7:$X$406,MATCH($C21,女子エントリー!$T$7:$T$406,0),3),"")</f>
        <v/>
      </c>
      <c r="E21" s="196" t="str">
        <f>IFERROR(INDEX(女子エントリー!$A$7:$X$406,MATCH($C21,女子エントリー!$T$7:$T$406,0),5),"")</f>
        <v/>
      </c>
      <c r="F21" s="196" t="str">
        <f>IFERROR(INDEX(女子エントリー!$A$7:$X$406,MATCH($C21,女子エントリー!$T$7:$T$406,0),6),"")</f>
        <v/>
      </c>
      <c r="G21" s="196" t="str">
        <f>IFERROR(INDEX(女子エントリー!$A$7:$X$406,MATCH($C21,女子エントリー!$T$7:$T$406,0),7),"")</f>
        <v/>
      </c>
      <c r="H21" s="196" t="str" cm="1">
        <f t="array" ref="H21">IFERROR(INDEX(女子エントリー!$A$7:$X$406,MATCH($C21,女子エントリー!$T$7:$T$406,0)+1,7),"")</f>
        <v/>
      </c>
      <c r="I21" s="482"/>
      <c r="J21" s="483"/>
      <c r="K21" s="494"/>
      <c r="L21" s="491"/>
      <c r="M21" s="486"/>
      <c r="O21" s="12" t="b">
        <f>IF(AND(COUNTIF(D21:D26,"")=6,COUNTIF(I21:M21,"")=5),FALSE,TRUE)</f>
        <v>0</v>
      </c>
      <c r="P21" s="12" t="b">
        <f t="shared" ref="P21:P32" si="2">IF(D21="",FALSE,TRUE)</f>
        <v>0</v>
      </c>
      <c r="Q21" s="12" t="b">
        <f>IF(O21=FALSE,FALSE,IF(COUNTIF(P21:P26,TRUE)=0,TRUE,FALSE))</f>
        <v>0</v>
      </c>
      <c r="R21" s="12" t="b">
        <f>IF(COUNTIF(D21:D26,"")=6,FALSE,IF(COUNTIF(D21:D26,"")&gt;2,TRUE,FALSE))</f>
        <v>0</v>
      </c>
      <c r="S21" s="12" t="b">
        <f>IF(AND(I21="",NOT(R21),COUNTIF(P21:P26,TRUE)&gt;=4),TRUE,FALSE)</f>
        <v>0</v>
      </c>
      <c r="T21" s="12" t="b">
        <f>IF(P21=FALSE,FALSE,IF(ISNUMBER(I21)&lt;&gt;TRUE,TRUE,IFERROR(IF(MOD(I21,1)=0,FALSE,TRUE),FALSE)))</f>
        <v>0</v>
      </c>
      <c r="U21" s="12" t="b">
        <f>IF(VALUE(RIGHT(INT(I21/100),2))&gt;59,TRUE,IF(VALUE(RIGHT(INT(I21/10000),2))&gt;59,TRUE,FALSE))</f>
        <v>0</v>
      </c>
      <c r="V21" s="12" t="b">
        <f>IF(I21=0,FALSE,IF(AND(P21,NOT(S21),OR(J21="",K21="",L21="")),TRUE,FALSE))</f>
        <v>0</v>
      </c>
      <c r="W21" s="12" t="b">
        <f>IF(OR(J21="",K21="",L21=""),FALSE,DATE(J21,K21,L21))</f>
        <v>0</v>
      </c>
      <c r="X21" s="12" t="b">
        <f>IF(NOT(W21),FALSE,IF(AND(競技会設定!$C$5&lt;=W21,W21&lt;=競技会設定!$C$6),FALSE,TRUE))</f>
        <v>0</v>
      </c>
      <c r="Y21" s="12" t="b">
        <f>IF(I21=0,FALSE,IF(AND(P21,NOT(S21),NOT(V21),M21=""),TRUE,FALSE))</f>
        <v>0</v>
      </c>
      <c r="Z21" s="12">
        <f>IF(AND(O21,COUNTIF(Q21:Y21,TRUE)=0),1,0)</f>
        <v>0</v>
      </c>
    </row>
    <row r="22" spans="2:26" ht="19.2" customHeight="1" thickTop="1" thickBot="1">
      <c r="B22" s="481"/>
      <c r="C22" s="197">
        <v>2</v>
      </c>
      <c r="D22" s="197" t="str">
        <f>IFERROR(INDEX(女子エントリー!$A$7:$X$406,MATCH($C22,女子エントリー!$T$7:$T$406,0),2)&amp;INDEX(女子エントリー!$A$7:$X$406,MATCH($C22,女子エントリー!$T$7:$T$406,0),3),"")</f>
        <v/>
      </c>
      <c r="E22" s="197" t="str">
        <f>IFERROR(INDEX(女子エントリー!$A$7:$X$406,MATCH($C22,女子エントリー!$T$7:$T$406,0),5),"")</f>
        <v/>
      </c>
      <c r="F22" s="197" t="str">
        <f>IFERROR(INDEX(女子エントリー!$A$7:$X$406,MATCH($C22,女子エントリー!$T$7:$T$406,0),6),"")</f>
        <v/>
      </c>
      <c r="G22" s="197" t="str">
        <f>IFERROR(INDEX(女子エントリー!$A$7:$X$406,MATCH($C22,女子エントリー!$T$7:$T$406,0),7),"")</f>
        <v/>
      </c>
      <c r="H22" s="197" t="str" cm="1">
        <f t="array" ref="H22">IFERROR(INDEX(女子エントリー!$A$7:$X$406,MATCH($C22,女子エントリー!$T$7:$T$406,0)+1,7),"")</f>
        <v/>
      </c>
      <c r="I22" s="482"/>
      <c r="J22" s="484"/>
      <c r="K22" s="495"/>
      <c r="L22" s="492"/>
      <c r="M22" s="486"/>
      <c r="P22" s="12" t="b">
        <f t="shared" si="2"/>
        <v>0</v>
      </c>
    </row>
    <row r="23" spans="2:26" ht="19.2" customHeight="1" thickTop="1" thickBot="1">
      <c r="B23" s="481"/>
      <c r="C23" s="197">
        <v>3</v>
      </c>
      <c r="D23" s="197" t="str">
        <f>IFERROR(INDEX(女子エントリー!$A$7:$X$406,MATCH($C23,女子エントリー!$T$7:$T$406,0),2)&amp;INDEX(女子エントリー!$A$7:$X$406,MATCH($C23,女子エントリー!$T$7:$T$406,0),3),"")</f>
        <v/>
      </c>
      <c r="E23" s="197" t="str">
        <f>IFERROR(INDEX(女子エントリー!$A$7:$X$406,MATCH($C23,女子エントリー!$T$7:$T$406,0),5),"")</f>
        <v/>
      </c>
      <c r="F23" s="197" t="str">
        <f>IFERROR(INDEX(女子エントリー!$A$7:$X$406,MATCH($C23,女子エントリー!$T$7:$T$406,0),6),"")</f>
        <v/>
      </c>
      <c r="G23" s="197" t="str">
        <f>IFERROR(INDEX(女子エントリー!$A$7:$X$406,MATCH($C23,女子エントリー!$T$7:$T$406,0),7),"")</f>
        <v/>
      </c>
      <c r="H23" s="197" t="str" cm="1">
        <f t="array" ref="H23">IFERROR(INDEX(女子エントリー!$A$7:$X$406,MATCH($C23,女子エントリー!$T$7:$T$406,0)+1,7),"")</f>
        <v/>
      </c>
      <c r="I23" s="482"/>
      <c r="J23" s="484"/>
      <c r="K23" s="495"/>
      <c r="L23" s="492"/>
      <c r="M23" s="486"/>
      <c r="P23" s="12" t="b">
        <f t="shared" si="2"/>
        <v>0</v>
      </c>
    </row>
    <row r="24" spans="2:26" ht="19.2" customHeight="1" thickTop="1" thickBot="1">
      <c r="B24" s="481"/>
      <c r="C24" s="197">
        <v>4</v>
      </c>
      <c r="D24" s="197" t="str">
        <f>IFERROR(INDEX(女子エントリー!$A$7:$X$406,MATCH($C24,女子エントリー!$T$7:$T$406,0),2)&amp;INDEX(女子エントリー!$A$7:$X$406,MATCH($C24,女子エントリー!$T$7:$T$406,0),3),"")</f>
        <v/>
      </c>
      <c r="E24" s="197" t="str">
        <f>IFERROR(INDEX(女子エントリー!$A$7:$X$406,MATCH($C24,女子エントリー!$T$7:$T$406,0),5),"")</f>
        <v/>
      </c>
      <c r="F24" s="197" t="str">
        <f>IFERROR(INDEX(女子エントリー!$A$7:$X$406,MATCH($C24,女子エントリー!$T$7:$T$406,0),6),"")</f>
        <v/>
      </c>
      <c r="G24" s="197" t="str">
        <f>IFERROR(INDEX(女子エントリー!$A$7:$X$406,MATCH($C24,女子エントリー!$T$7:$T$406,0),7),"")</f>
        <v/>
      </c>
      <c r="H24" s="197" t="str" cm="1">
        <f t="array" ref="H24">IFERROR(INDEX(女子エントリー!$A$7:$X$406,MATCH($C24,女子エントリー!$T$7:$T$406,0)+1,7),"")</f>
        <v/>
      </c>
      <c r="I24" s="482"/>
      <c r="J24" s="484"/>
      <c r="K24" s="495"/>
      <c r="L24" s="492"/>
      <c r="M24" s="486"/>
      <c r="P24" s="12" t="b">
        <f t="shared" si="2"/>
        <v>0</v>
      </c>
    </row>
    <row r="25" spans="2:26" ht="19.2" customHeight="1" thickTop="1" thickBot="1">
      <c r="B25" s="481"/>
      <c r="C25" s="197">
        <v>5</v>
      </c>
      <c r="D25" s="197" t="str">
        <f>IFERROR(INDEX(女子エントリー!$A$7:$X$406,MATCH($C25,女子エントリー!$T$7:$T$406,0),2)&amp;INDEX(女子エントリー!$A$7:$X$406,MATCH($C25,女子エントリー!$T$7:$T$406,0),3),"")</f>
        <v/>
      </c>
      <c r="E25" s="197" t="str">
        <f>IFERROR(INDEX(女子エントリー!$A$7:$X$406,MATCH($C25,女子エントリー!$T$7:$T$406,0),5),"")</f>
        <v/>
      </c>
      <c r="F25" s="197" t="str">
        <f>IFERROR(INDEX(女子エントリー!$A$7:$X$406,MATCH($C25,女子エントリー!$T$7:$T$406,0),6),"")</f>
        <v/>
      </c>
      <c r="G25" s="197" t="str">
        <f>IFERROR(INDEX(女子エントリー!$A$7:$X$406,MATCH($C25,女子エントリー!$T$7:$T$406,0),7),"")</f>
        <v/>
      </c>
      <c r="H25" s="197" t="str" cm="1">
        <f t="array" ref="H25">IFERROR(INDEX(女子エントリー!$A$7:$X$406,MATCH($C25,女子エントリー!$T$7:$T$406,0)+1,7),"")</f>
        <v/>
      </c>
      <c r="I25" s="482"/>
      <c r="J25" s="484"/>
      <c r="K25" s="495"/>
      <c r="L25" s="492"/>
      <c r="M25" s="486"/>
      <c r="P25" s="12" t="b">
        <f t="shared" si="2"/>
        <v>0</v>
      </c>
    </row>
    <row r="26" spans="2:26" ht="19.2" customHeight="1" thickTop="1" thickBot="1">
      <c r="B26" s="481"/>
      <c r="C26" s="198">
        <v>6</v>
      </c>
      <c r="D26" s="198" t="str">
        <f>IFERROR(INDEX(女子エントリー!$A$7:$X$406,MATCH($C26,女子エントリー!$T$7:$T$406,0),2)&amp;INDEX(女子エントリー!$A$7:$X$406,MATCH($C26,女子エントリー!$T$7:$T$406,0),3),"")</f>
        <v/>
      </c>
      <c r="E26" s="198" t="str">
        <f>IFERROR(INDEX(女子エントリー!$A$7:$X$406,MATCH($C26,女子エントリー!$T$7:$T$406,0),5),"")</f>
        <v/>
      </c>
      <c r="F26" s="198" t="str">
        <f>IFERROR(INDEX(女子エントリー!$A$7:$X$406,MATCH($C26,女子エントリー!$T$7:$T$406,0),6),"")</f>
        <v/>
      </c>
      <c r="G26" s="198" t="str">
        <f>IFERROR(INDEX(女子エントリー!$A$7:$X$406,MATCH($C26,女子エントリー!$T$7:$T$406,0),7),"")</f>
        <v/>
      </c>
      <c r="H26" s="198" t="str" cm="1">
        <f t="array" ref="H26">IFERROR(INDEX(女子エントリー!$A$7:$X$406,MATCH($C26,女子エントリー!$T$7:$T$406,0)+1,7),"")</f>
        <v/>
      </c>
      <c r="I26" s="482"/>
      <c r="J26" s="485"/>
      <c r="K26" s="497"/>
      <c r="L26" s="498"/>
      <c r="M26" s="486"/>
      <c r="P26" s="12" t="b">
        <f t="shared" si="2"/>
        <v>0</v>
      </c>
    </row>
    <row r="27" spans="2:26" ht="18.600000000000001" thickTop="1" thickBot="1">
      <c r="B27" s="481" t="s">
        <v>6781</v>
      </c>
      <c r="C27" s="196">
        <v>1</v>
      </c>
      <c r="D27" s="196" t="str">
        <f>IFERROR(INDEX(女子エントリー!$A$7:$X$406,MATCH($C27,女子エントリー!$W$7:$W$406,0),2)&amp;INDEX(女子エントリー!$A$7:$X$406,MATCH($C27,女子エントリー!$W$7:$W$406,0),3),"")</f>
        <v/>
      </c>
      <c r="E27" s="196" t="str">
        <f>IFERROR(INDEX(女子エントリー!$A$7:$X$406,MATCH($C27,女子エントリー!$W$7:$W$406,0),5),"")</f>
        <v/>
      </c>
      <c r="F27" s="196" t="str">
        <f>IFERROR(INDEX(女子エントリー!$A$7:$X$406,MATCH($C27,女子エントリー!$W$7:$W$406,0),6),"")</f>
        <v/>
      </c>
      <c r="G27" s="196" t="str">
        <f>IFERROR(INDEX(女子エントリー!$A$7:$X$406,MATCH($C27,女子エントリー!$W$7:$W$406,0),7),"")</f>
        <v/>
      </c>
      <c r="H27" s="196" t="str" cm="1">
        <f t="array" ref="H27">IFERROR(INDEX(女子エントリー!$A$7:$X$406,MATCH($C27,女子エントリー!$W$7:$W$406,0)+1,7),"")</f>
        <v/>
      </c>
      <c r="I27" s="482"/>
      <c r="J27" s="483"/>
      <c r="K27" s="494"/>
      <c r="L27" s="491"/>
      <c r="M27" s="486"/>
      <c r="O27" s="12" t="b">
        <f>IF(AND(COUNTIF(D27:D32,"")=6,COUNTIF(I27:M27,"")=5),FALSE,TRUE)</f>
        <v>0</v>
      </c>
      <c r="P27" s="12" t="b">
        <f t="shared" si="2"/>
        <v>0</v>
      </c>
      <c r="Q27" s="12" t="b">
        <f>IF(O27=FALSE,FALSE,IF(COUNTIF(P27:P32,TRUE)=0,TRUE,FALSE))</f>
        <v>0</v>
      </c>
      <c r="R27" s="12" t="b">
        <f>IF(COUNTIF(D27:D32,"")=6,FALSE,IF(COUNTIF(D27:D32,"")&gt;2,TRUE,FALSE))</f>
        <v>0</v>
      </c>
      <c r="S27" s="12" t="b">
        <f>IF(AND(I27="",NOT(R27),COUNTIF(P27:P32,TRUE)&gt;=4),TRUE,FALSE)</f>
        <v>0</v>
      </c>
      <c r="T27" s="12" t="b">
        <f>IF(P27=FALSE,FALSE,IF(ISNUMBER(I27)&lt;&gt;TRUE,TRUE,IFERROR(IF(MOD(I27,1)=0,FALSE,TRUE),FALSE)))</f>
        <v>0</v>
      </c>
      <c r="U27" s="12" t="b">
        <f>IF(VALUE(RIGHT(INT(I27/100),2))&gt;59,TRUE,IF(VALUE(RIGHT(INT(I27/10000),2))&gt;59,TRUE,FALSE))</f>
        <v>0</v>
      </c>
      <c r="V27" s="12" t="b">
        <f>IF(I27=0,FALSE,IF(AND(P27,NOT(S27),OR(J27="",K27="",L27="")),TRUE,FALSE))</f>
        <v>0</v>
      </c>
      <c r="W27" s="12" t="b">
        <f>IF(OR(J27="",K27="",L27=""),FALSE,DATE(J27,K27,L27))</f>
        <v>0</v>
      </c>
      <c r="X27" s="12" t="b">
        <f>IF(NOT(W27),FALSE,IF(AND(競技会設定!$C$5&lt;=W27,W27&lt;=競技会設定!$C$6),FALSE,TRUE))</f>
        <v>0</v>
      </c>
      <c r="Y27" s="12" t="b">
        <f>IF(I27=0,FALSE,IF(AND(P27,NOT(S27),NOT(V27),M27=""),TRUE,FALSE))</f>
        <v>0</v>
      </c>
      <c r="Z27" s="12">
        <f>IF(AND(O27,COUNTIF(Q27:Y27,TRUE)=0),1,0)</f>
        <v>0</v>
      </c>
    </row>
    <row r="28" spans="2:26" ht="19.2" customHeight="1" thickTop="1" thickBot="1">
      <c r="B28" s="481"/>
      <c r="C28" s="197">
        <v>2</v>
      </c>
      <c r="D28" s="197" t="str">
        <f>IFERROR(INDEX(女子エントリー!$A$7:$X$406,MATCH($C28,女子エントリー!$W$7:$W$406,0),2)&amp;INDEX(女子エントリー!$A$7:$X$406,MATCH($C28,女子エントリー!$W$7:$W$406,0),3),"")</f>
        <v/>
      </c>
      <c r="E28" s="197" t="str">
        <f>IFERROR(INDEX(女子エントリー!$A$7:$X$406,MATCH($C28,女子エントリー!$W$7:$W$406,0),5),"")</f>
        <v/>
      </c>
      <c r="F28" s="197" t="str">
        <f>IFERROR(INDEX(女子エントリー!$A$7:$X$406,MATCH($C28,女子エントリー!$W$7:$W$406,0),6),"")</f>
        <v/>
      </c>
      <c r="G28" s="197" t="str">
        <f>IFERROR(INDEX(女子エントリー!$A$7:$X$406,MATCH($C28,女子エントリー!$W$7:$W$406,0),7),"")</f>
        <v/>
      </c>
      <c r="H28" s="197" t="str" cm="1">
        <f t="array" ref="H28">IFERROR(INDEX(女子エントリー!$A$7:$X$406,MATCH($C28,女子エントリー!$W$7:$W$406,0)+1,7),"")</f>
        <v/>
      </c>
      <c r="I28" s="482"/>
      <c r="J28" s="484"/>
      <c r="K28" s="495"/>
      <c r="L28" s="492"/>
      <c r="M28" s="486"/>
      <c r="P28" s="12" t="b">
        <f t="shared" si="2"/>
        <v>0</v>
      </c>
    </row>
    <row r="29" spans="2:26" ht="19.2" customHeight="1" thickTop="1" thickBot="1">
      <c r="B29" s="481"/>
      <c r="C29" s="197">
        <v>3</v>
      </c>
      <c r="D29" s="197" t="str">
        <f>IFERROR(INDEX(女子エントリー!$A$7:$X$406,MATCH($C29,女子エントリー!$W$7:$W$406,0),2)&amp;INDEX(女子エントリー!$A$7:$X$406,MATCH($C29,女子エントリー!$W$7:$W$406,0),3),"")</f>
        <v/>
      </c>
      <c r="E29" s="197" t="str">
        <f>IFERROR(INDEX(女子エントリー!$A$7:$X$406,MATCH($C29,女子エントリー!$W$7:$W$406,0),5),"")</f>
        <v/>
      </c>
      <c r="F29" s="197" t="str">
        <f>IFERROR(INDEX(女子エントリー!$A$7:$X$406,MATCH($C29,女子エントリー!$W$7:$W$406,0),6),"")</f>
        <v/>
      </c>
      <c r="G29" s="197" t="str">
        <f>IFERROR(INDEX(女子エントリー!$A$7:$X$406,MATCH($C29,女子エントリー!$W$7:$W$406,0),7),"")</f>
        <v/>
      </c>
      <c r="H29" s="197" t="str" cm="1">
        <f t="array" ref="H29">IFERROR(INDEX(女子エントリー!$A$7:$X$406,MATCH($C29,女子エントリー!$W$7:$W$406,0)+1,7),"")</f>
        <v/>
      </c>
      <c r="I29" s="482"/>
      <c r="J29" s="484"/>
      <c r="K29" s="495"/>
      <c r="L29" s="492"/>
      <c r="M29" s="486"/>
      <c r="P29" s="12" t="b">
        <f t="shared" si="2"/>
        <v>0</v>
      </c>
    </row>
    <row r="30" spans="2:26" ht="19.2" customHeight="1" thickTop="1" thickBot="1">
      <c r="B30" s="481"/>
      <c r="C30" s="197">
        <v>4</v>
      </c>
      <c r="D30" s="197" t="str">
        <f>IFERROR(INDEX(女子エントリー!$A$7:$X$406,MATCH($C30,女子エントリー!$W$7:$W$406,0),2)&amp;INDEX(女子エントリー!$A$7:$X$406,MATCH($C30,女子エントリー!$W$7:$W$406,0),3),"")</f>
        <v/>
      </c>
      <c r="E30" s="197" t="str">
        <f>IFERROR(INDEX(女子エントリー!$A$7:$X$406,MATCH($C30,女子エントリー!$W$7:$W$406,0),5),"")</f>
        <v/>
      </c>
      <c r="F30" s="197" t="str">
        <f>IFERROR(INDEX(女子エントリー!$A$7:$X$406,MATCH($C30,女子エントリー!$W$7:$W$406,0),6),"")</f>
        <v/>
      </c>
      <c r="G30" s="197" t="str">
        <f>IFERROR(INDEX(女子エントリー!$A$7:$X$406,MATCH($C30,女子エントリー!$W$7:$W$406,0),7),"")</f>
        <v/>
      </c>
      <c r="H30" s="197" t="str" cm="1">
        <f t="array" ref="H30">IFERROR(INDEX(女子エントリー!$A$7:$X$406,MATCH($C30,女子エントリー!$W$7:$W$406,0)+1,7),"")</f>
        <v/>
      </c>
      <c r="I30" s="482"/>
      <c r="J30" s="484"/>
      <c r="K30" s="495"/>
      <c r="L30" s="492"/>
      <c r="M30" s="486"/>
      <c r="P30" s="12" t="b">
        <f t="shared" si="2"/>
        <v>0</v>
      </c>
    </row>
    <row r="31" spans="2:26" ht="19.2" customHeight="1" thickTop="1" thickBot="1">
      <c r="B31" s="481"/>
      <c r="C31" s="197">
        <v>5</v>
      </c>
      <c r="D31" s="197" t="str">
        <f>IFERROR(INDEX(女子エントリー!$A$7:$X$406,MATCH($C31,女子エントリー!$W$7:$W$406,0),2)&amp;INDEX(女子エントリー!$A$7:$X$406,MATCH($C31,女子エントリー!$W$7:$W$406,0),3),"")</f>
        <v/>
      </c>
      <c r="E31" s="197" t="str">
        <f>IFERROR(INDEX(女子エントリー!$A$7:$X$406,MATCH($C31,女子エントリー!$W$7:$W$406,0),5),"")</f>
        <v/>
      </c>
      <c r="F31" s="197" t="str">
        <f>IFERROR(INDEX(女子エントリー!$A$7:$X$406,MATCH($C31,女子エントリー!$W$7:$W$406,0),6),"")</f>
        <v/>
      </c>
      <c r="G31" s="197" t="str">
        <f>IFERROR(INDEX(女子エントリー!$A$7:$X$406,MATCH($C31,女子エントリー!$W$7:$W$406,0),7),"")</f>
        <v/>
      </c>
      <c r="H31" s="197" t="str" cm="1">
        <f t="array" ref="H31">IFERROR(INDEX(女子エントリー!$A$7:$X$406,MATCH($C31,女子エントリー!$W$7:$W$406,0)+1,7),"")</f>
        <v/>
      </c>
      <c r="I31" s="482"/>
      <c r="J31" s="484"/>
      <c r="K31" s="495"/>
      <c r="L31" s="492"/>
      <c r="M31" s="486"/>
      <c r="P31" s="12" t="b">
        <f t="shared" si="2"/>
        <v>0</v>
      </c>
    </row>
    <row r="32" spans="2:26" ht="19.2" customHeight="1" thickTop="1" thickBot="1">
      <c r="B32" s="487"/>
      <c r="C32" s="199">
        <v>6</v>
      </c>
      <c r="D32" s="199" t="str">
        <f>IFERROR(INDEX(女子エントリー!$A$7:$X$406,MATCH($C32,女子エントリー!$W$7:$W$406,0),2)&amp;INDEX(女子エントリー!$A$7:$X$406,MATCH($C32,女子エントリー!$W$7:$W$406,0),3),"")</f>
        <v/>
      </c>
      <c r="E32" s="199" t="str">
        <f>IFERROR(INDEX(女子エントリー!$A$7:$X$406,MATCH($C32,女子エントリー!$W$7:$W$406,0),5),"")</f>
        <v/>
      </c>
      <c r="F32" s="199" t="str">
        <f>IFERROR(INDEX(女子エントリー!$A$7:$X$406,MATCH($C32,女子エントリー!$W$7:$W$406,0),6),"")</f>
        <v/>
      </c>
      <c r="G32" s="199" t="str">
        <f>IFERROR(INDEX(女子エントリー!$A$7:$X$406,MATCH($C32,女子エントリー!$W$7:$W$406,0),7),"")</f>
        <v/>
      </c>
      <c r="H32" s="199" t="str" cm="1">
        <f t="array" ref="H32">IFERROR(INDEX(女子エントリー!$A$7:$X$406,MATCH($C32,女子エントリー!$W$7:$W$406,0)+1,7),"")</f>
        <v/>
      </c>
      <c r="I32" s="488"/>
      <c r="J32" s="489"/>
      <c r="K32" s="496"/>
      <c r="L32" s="493"/>
      <c r="M32" s="490"/>
      <c r="P32" s="12" t="b">
        <f t="shared" si="2"/>
        <v>0</v>
      </c>
    </row>
  </sheetData>
  <sheetProtection algorithmName="SHA-512" hashValue="p2B+vHp2Z0Ku2F6cArC8LHTJN5AYQNgLOjTAj4h3M24YcG9YR8l0kKVixSTlYOClvEyUM5IGSVuQDfNs1I73fw==" saltValue="qZXXpD/N0xltWNvD9/Rsqw==" spinCount="100000" sheet="1" objects="1" scenarios="1"/>
  <mergeCells count="27">
    <mergeCell ref="A1:N1"/>
    <mergeCell ref="B6:B11"/>
    <mergeCell ref="B12:B17"/>
    <mergeCell ref="I6:I11"/>
    <mergeCell ref="J6:J11"/>
    <mergeCell ref="M6:M11"/>
    <mergeCell ref="I12:I17"/>
    <mergeCell ref="J12:J17"/>
    <mergeCell ref="M12:M17"/>
    <mergeCell ref="B2:D2"/>
    <mergeCell ref="E2:M2"/>
    <mergeCell ref="K6:K11"/>
    <mergeCell ref="L6:L11"/>
    <mergeCell ref="K12:K17"/>
    <mergeCell ref="L12:L17"/>
    <mergeCell ref="B21:B26"/>
    <mergeCell ref="I21:I26"/>
    <mergeCell ref="J21:J26"/>
    <mergeCell ref="M21:M26"/>
    <mergeCell ref="B27:B32"/>
    <mergeCell ref="I27:I32"/>
    <mergeCell ref="J27:J32"/>
    <mergeCell ref="M27:M32"/>
    <mergeCell ref="L27:L32"/>
    <mergeCell ref="K27:K32"/>
    <mergeCell ref="K21:K26"/>
    <mergeCell ref="L21:L26"/>
  </mergeCells>
  <phoneticPr fontId="3"/>
  <conditionalFormatting sqref="E2:M2">
    <cfRule type="expression" dxfId="1" priority="3">
      <formula>SUM($Q$3:$Y$3)&gt;0</formula>
    </cfRule>
  </conditionalFormatting>
  <pageMargins left="0.7" right="0.7" top="0.75" bottom="0.75" header="0.3" footer="0.3"/>
  <pageSetup paperSize="9" scale="5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732FEE3-FBCB-4751-8A18-B9DDEEB906B4}">
          <x14:formula1>
            <xm:f>競技会設定!$AE$2:$AE$4</xm:f>
          </x14:formula1>
          <xm:sqref>J6 J12 J21 J27</xm:sqref>
        </x14:dataValidation>
        <x14:dataValidation type="list" allowBlank="1" showInputMessage="1" showErrorMessage="1" xr:uid="{51400869-2401-43C2-9E16-A7423C6AD5AD}">
          <x14:formula1>
            <xm:f>競技会設定!$AF$2:$AF$14</xm:f>
          </x14:formula1>
          <xm:sqref>K21:K32 K6:K17</xm:sqref>
        </x14:dataValidation>
        <x14:dataValidation type="list" allowBlank="1" showInputMessage="1" showErrorMessage="1" xr:uid="{6A9326C6-4454-449F-A5FC-287F9EDB094B}">
          <x14:formula1>
            <xm:f>競技会設定!$AH$2:$AH$33</xm:f>
          </x14:formula1>
          <xm:sqref>L6:L17 L21:L32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DEB93-151D-4132-835B-D9E466B98C19}">
  <sheetPr codeName="Sheet5">
    <tabColor rgb="FF92D050"/>
  </sheetPr>
  <dimension ref="A1:BD35"/>
  <sheetViews>
    <sheetView zoomScale="70" zoomScaleNormal="70" zoomScaleSheetLayoutView="70" workbookViewId="0">
      <pane ySplit="3" topLeftCell="A4" activePane="bottomLeft" state="frozen"/>
      <selection pane="bottomLeft" sqref="A1:AE1"/>
    </sheetView>
  </sheetViews>
  <sheetFormatPr defaultRowHeight="17.399999999999999"/>
  <cols>
    <col min="1" max="1" width="8.796875" style="12"/>
    <col min="2" max="2" width="8.796875" style="12" hidden="1" customWidth="1"/>
    <col min="3" max="3" width="10.3984375" style="12" bestFit="1" customWidth="1"/>
    <col min="4" max="4" width="19.09765625" style="12" customWidth="1"/>
    <col min="5" max="5" width="8.796875" style="12"/>
    <col min="6" max="6" width="9" style="12" customWidth="1"/>
    <col min="7" max="7" width="0" style="12" hidden="1" customWidth="1"/>
    <col min="8" max="9" width="8.796875" style="12"/>
    <col min="10" max="10" width="0" style="12" hidden="1" customWidth="1"/>
    <col min="11" max="11" width="4.8984375" style="12" customWidth="1"/>
    <col min="12" max="12" width="4.8984375" style="12" hidden="1" customWidth="1"/>
    <col min="13" max="13" width="8.796875" style="12"/>
    <col min="14" max="14" width="19.09765625" style="12" customWidth="1"/>
    <col min="15" max="15" width="8.796875" style="12"/>
    <col min="16" max="16" width="10" style="12" bestFit="1" customWidth="1"/>
    <col min="17" max="17" width="9.8984375" style="12" hidden="1" customWidth="1"/>
    <col min="18" max="19" width="8.796875" style="12"/>
    <col min="20" max="20" width="0" style="12" hidden="1" customWidth="1"/>
    <col min="21" max="21" width="4.8984375" style="12" customWidth="1"/>
    <col min="22" max="22" width="4.8984375" style="12" hidden="1" customWidth="1"/>
    <col min="23" max="23" width="8.796875" style="12"/>
    <col min="24" max="24" width="19.09765625" style="12" customWidth="1"/>
    <col min="25" max="26" width="8.796875" style="12"/>
    <col min="27" max="27" width="10.3984375" style="12" hidden="1" customWidth="1"/>
    <col min="28" max="29" width="8.796875" style="12"/>
    <col min="30" max="30" width="8.796875" style="12" hidden="1" customWidth="1"/>
    <col min="31" max="31" width="8.796875" style="12" customWidth="1"/>
    <col min="32" max="36" width="8.796875" style="12" hidden="1" customWidth="1"/>
    <col min="37" max="37" width="10.09765625" style="12" hidden="1" customWidth="1"/>
    <col min="38" max="46" width="8.796875" style="12" hidden="1" customWidth="1"/>
    <col min="47" max="47" width="9.69921875" style="12" hidden="1" customWidth="1"/>
    <col min="48" max="56" width="8.796875" style="12" hidden="1" customWidth="1"/>
    <col min="57" max="57" width="10.09765625" style="12" bestFit="1" customWidth="1"/>
    <col min="58" max="16384" width="8.796875" style="12"/>
  </cols>
  <sheetData>
    <row r="1" spans="1:56" s="37" customFormat="1" ht="30" customHeight="1" thickBot="1">
      <c r="A1" s="499" t="str">
        <f>競技会設定!$C$1&amp;"　混成種目エントリー"</f>
        <v>第47回東海学生陸上競技秋季選手権大会　混成種目エントリー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S1" s="499"/>
      <c r="T1" s="499"/>
      <c r="U1" s="499"/>
      <c r="V1" s="499"/>
      <c r="W1" s="499"/>
      <c r="X1" s="499"/>
      <c r="Y1" s="499"/>
      <c r="Z1" s="499"/>
      <c r="AA1" s="499"/>
      <c r="AB1" s="499"/>
      <c r="AC1" s="499"/>
      <c r="AD1" s="499"/>
      <c r="AE1" s="499"/>
      <c r="AF1" s="36"/>
      <c r="AG1" s="36"/>
      <c r="AH1" s="36"/>
      <c r="AI1" s="36"/>
      <c r="AJ1" s="36"/>
      <c r="AK1" s="36"/>
      <c r="AL1" s="36"/>
      <c r="AM1" s="36"/>
    </row>
    <row r="2" spans="1:56" s="38" customFormat="1" ht="22.2" customHeight="1" thickTop="1" thickBot="1">
      <c r="C2" s="512" t="s">
        <v>4011</v>
      </c>
      <c r="D2" s="512"/>
      <c r="E2" s="512"/>
      <c r="F2" s="512" t="str">
        <f>IFERROR(HLOOKUP(1,AI3:AL4,2,0),"エラーはありません。")</f>
        <v>エラーはありません。</v>
      </c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39"/>
      <c r="AB2" s="89" t="s">
        <v>6816</v>
      </c>
      <c r="AC2" s="91">
        <f>SUM(AM6:AM11)</f>
        <v>0</v>
      </c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</row>
    <row r="3" spans="1:56" s="38" customFormat="1" ht="22.2" customHeight="1" thickTop="1" thickBot="1">
      <c r="C3" s="513"/>
      <c r="D3" s="513"/>
      <c r="E3" s="513"/>
      <c r="F3" s="513"/>
      <c r="G3" s="513"/>
      <c r="H3" s="513"/>
      <c r="I3" s="513"/>
      <c r="J3" s="513"/>
      <c r="K3" s="513"/>
      <c r="L3" s="513"/>
      <c r="M3" s="513"/>
      <c r="N3" s="513"/>
      <c r="O3" s="513"/>
      <c r="P3" s="513"/>
      <c r="Q3" s="513"/>
      <c r="R3" s="513"/>
      <c r="S3" s="513"/>
      <c r="T3" s="513"/>
      <c r="U3" s="513"/>
      <c r="V3" s="513"/>
      <c r="W3" s="513"/>
      <c r="X3" s="513"/>
      <c r="Y3" s="513"/>
      <c r="Z3" s="513"/>
      <c r="AA3" s="288"/>
      <c r="AB3" s="90" t="s">
        <v>6817</v>
      </c>
      <c r="AC3" s="91">
        <f>SUM(AM22:AM27)</f>
        <v>0</v>
      </c>
      <c r="AD3" s="305"/>
      <c r="AE3" s="39"/>
      <c r="AG3" s="53"/>
      <c r="AH3" s="53"/>
      <c r="AI3" s="53">
        <f>IF(COUNTIF(AI6:AI27,TRUE)&gt;0,1,0)</f>
        <v>0</v>
      </c>
      <c r="AJ3" s="53">
        <f>IF(COUNTIF(AJ6:AJ27,TRUE)&gt;0,1,0)</f>
        <v>0</v>
      </c>
      <c r="AK3" s="53">
        <f>IF(COUNTIF(AK6:AK27,TRUE)&gt;0,1,0)</f>
        <v>0</v>
      </c>
      <c r="AL3" s="53">
        <f>IF(COUNTIF(AL6:AL27,TRUE)&gt;0,1,0)</f>
        <v>0</v>
      </c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</row>
    <row r="4" spans="1:56" s="38" customFormat="1" ht="18.600000000000001" thickTop="1" thickBot="1">
      <c r="K4" s="39"/>
      <c r="AI4" s="65" t="s">
        <v>6818</v>
      </c>
      <c r="AJ4" s="65" t="s">
        <v>7081</v>
      </c>
      <c r="AK4" s="65" t="s">
        <v>6808</v>
      </c>
      <c r="AL4" s="65" t="s">
        <v>6809</v>
      </c>
      <c r="AM4" s="65"/>
    </row>
    <row r="5" spans="1:56" s="38" customFormat="1" ht="22.8" customHeight="1" thickBot="1">
      <c r="C5" s="514" t="s">
        <v>6783</v>
      </c>
      <c r="D5" s="514"/>
      <c r="N5" s="40"/>
      <c r="AG5" s="38" t="s">
        <v>6792</v>
      </c>
      <c r="AH5" s="38" t="s">
        <v>6814</v>
      </c>
      <c r="AI5" s="38" t="s">
        <v>6815</v>
      </c>
      <c r="AJ5" s="38" t="s">
        <v>6793</v>
      </c>
      <c r="AK5" s="38" t="s">
        <v>6795</v>
      </c>
      <c r="AL5" s="38" t="s">
        <v>6796</v>
      </c>
      <c r="AN5" s="509" t="s">
        <v>6813</v>
      </c>
      <c r="AO5" s="510"/>
      <c r="AP5" s="510"/>
      <c r="AQ5" s="510"/>
      <c r="AR5" s="510"/>
      <c r="AS5" s="510"/>
      <c r="AT5" s="510"/>
      <c r="AU5" s="510"/>
      <c r="AV5" s="510"/>
      <c r="AW5" s="510"/>
      <c r="AX5" s="510"/>
      <c r="AY5" s="510"/>
      <c r="AZ5" s="510"/>
      <c r="BA5" s="510"/>
      <c r="BB5" s="510"/>
      <c r="BC5" s="510"/>
      <c r="BD5" s="511"/>
    </row>
    <row r="6" spans="1:56" s="38" customFormat="1" ht="22.8" customHeight="1" thickBot="1">
      <c r="B6" s="38">
        <v>1</v>
      </c>
      <c r="C6" s="78" t="s">
        <v>7108</v>
      </c>
      <c r="D6" s="79" t="str">
        <f>IFERROR((INDEX(男子エントリー!$B$7:$AB$406,MATCH(B6,男子エントリー!$AB$7:$AB$406,0),1)&amp;INDEX(男子エントリー!$B$7:$AB$406,MATCH(B6,男子エントリー!$AB$7:$AB$406,0),2)),"")</f>
        <v/>
      </c>
      <c r="E6" s="66" t="s">
        <v>6771</v>
      </c>
      <c r="F6" s="186" t="s">
        <v>6755</v>
      </c>
      <c r="G6" s="67" t="s">
        <v>6785</v>
      </c>
      <c r="H6" s="67" t="s">
        <v>6771</v>
      </c>
      <c r="I6" s="186" t="s">
        <v>6755</v>
      </c>
      <c r="J6" s="68" t="s">
        <v>6785</v>
      </c>
      <c r="K6" s="41"/>
      <c r="L6" s="38">
        <v>2</v>
      </c>
      <c r="M6" s="78" t="s">
        <v>7108</v>
      </c>
      <c r="N6" s="79" t="str">
        <f>IFERROR((INDEX(男子エントリー!$B$7:$AB$406,MATCH(L6,男子エントリー!$AB$7:$AB$406,0),1)&amp;INDEX(男子エントリー!$B$7:$AB$406,MATCH(L6,男子エントリー!$AB$7:$AB$406,0),2)),"")</f>
        <v/>
      </c>
      <c r="O6" s="66" t="s">
        <v>6771</v>
      </c>
      <c r="P6" s="186" t="s">
        <v>6755</v>
      </c>
      <c r="Q6" s="67" t="s">
        <v>6785</v>
      </c>
      <c r="R6" s="67" t="s">
        <v>6771</v>
      </c>
      <c r="S6" s="186" t="s">
        <v>6755</v>
      </c>
      <c r="T6" s="68" t="s">
        <v>6785</v>
      </c>
      <c r="U6" s="41"/>
      <c r="V6" s="38">
        <v>3</v>
      </c>
      <c r="W6" s="78" t="s">
        <v>7108</v>
      </c>
      <c r="X6" s="79" t="str">
        <f>IFERROR((INDEX(男子エントリー!$B$7:$AB$406,MATCH(V6,男子エントリー!$AB$7:$AB$406,0),1)&amp;INDEX(男子エントリー!$B$7:$AB$406,MATCH(V6,男子エントリー!$AB$7:$AB$406,0),2)),"")</f>
        <v/>
      </c>
      <c r="Y6" s="66" t="s">
        <v>6771</v>
      </c>
      <c r="Z6" s="186" t="s">
        <v>6755</v>
      </c>
      <c r="AA6" s="67" t="s">
        <v>6785</v>
      </c>
      <c r="AB6" s="67" t="s">
        <v>6771</v>
      </c>
      <c r="AC6" s="186" t="s">
        <v>6755</v>
      </c>
      <c r="AD6" s="68" t="s">
        <v>6785</v>
      </c>
      <c r="AE6" s="41"/>
      <c r="AF6" s="38">
        <v>1</v>
      </c>
      <c r="AG6" s="38" t="b">
        <f>IF(AND(D6="",COUNTIF(F7:F11,"")+COUNTIF(I7:I11,"")=10),FALSE,TRUE)</f>
        <v>0</v>
      </c>
      <c r="AH6" s="38" t="b">
        <f>IF(D6="",FALSE,TRUE)</f>
        <v>0</v>
      </c>
      <c r="AI6" s="38" t="b">
        <f t="shared" ref="AI6:AI11" si="0">IF(AG6=FALSE,FALSE,IF(AH6=FALSE,TRUE,FALSE))</f>
        <v>0</v>
      </c>
      <c r="AJ6" s="38" t="b">
        <f>IF(AG6=FALSE,FALSE,IF(AND(AG6,COUNTIF(F7:F11,"")+COUNTIF(I7:I11,"")&gt;0),TRUE,FALSE))</f>
        <v>0</v>
      </c>
      <c r="AK6" s="38" t="b">
        <f>IF(ISNUMBER(F7+F8+F9+F10+F11+I7+I8+I9+I10+I11)=TRUE,IF(MOD(F7+F8+F9+F10+F11+I7+I8+I9+I10+I11,1)&gt;0,TRUE,FALSE),TRUE)</f>
        <v>0</v>
      </c>
      <c r="AL6" s="38" t="b" cm="1">
        <f t="array" ref="AL6">IF(IFERROR(_xlfn.IFS(VALUE(RIGHT(INT(F7/100),2))&gt;59,TRUE,VALUE(RIGHT(INT(F7/10000),2))&gt;59,TRUE,VALUE(RIGHT(INT(F8/100),2))&gt;59,TRUE,VALUE(RIGHT(INT(F8/10000),2))&gt;59,TRUE,VALUE(RIGHT(INT(F9/100),2))&gt;59,TRUE,VALUE(RIGHT(INT(F9/10000),2))&gt;59,TRUE,VALUE(RIGHT(INT(F10/100),2))&gt;59,TRUE,VALUE(RIGHT(INT(F10/10000),2))&gt;59,TRUE),FALSE)&lt;&gt;TRUE,FALSE,TRUE)</f>
        <v>0</v>
      </c>
      <c r="AM6" s="38">
        <f t="shared" ref="AM6:AM11" si="1">IF(AND(AG6,COUNTIF(AI6:AL6,TRUE)=0),1,0)</f>
        <v>0</v>
      </c>
      <c r="AN6" s="41"/>
      <c r="AO6" s="39" t="s">
        <v>6767</v>
      </c>
      <c r="AP6" s="39" t="s">
        <v>6811</v>
      </c>
      <c r="AQ6" s="39" t="s">
        <v>6812</v>
      </c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42"/>
    </row>
    <row r="7" spans="1:56" s="38" customFormat="1" ht="22.8" customHeight="1" thickTop="1">
      <c r="C7" s="80" t="s">
        <v>6754</v>
      </c>
      <c r="D7" s="81" t="str">
        <f>IFERROR(INDEX(男子エントリー!$B$7:$AB$406,MATCH(B6,男子エントリー!$AB$7:$AB$406,0),4),"")</f>
        <v/>
      </c>
      <c r="E7" s="69" t="s">
        <v>3765</v>
      </c>
      <c r="F7" s="278"/>
      <c r="G7" s="70" t="str">
        <f>AT7</f>
        <v/>
      </c>
      <c r="H7" s="71" t="s">
        <v>3792</v>
      </c>
      <c r="I7" s="278"/>
      <c r="J7" s="72" t="str">
        <f>AT15</f>
        <v/>
      </c>
      <c r="K7" s="41"/>
      <c r="M7" s="80" t="s">
        <v>6754</v>
      </c>
      <c r="N7" s="81" t="str">
        <f>IFERROR(INDEX(男子エントリー!$B$7:$AB$406,MATCH(L6,男子エントリー!$AB$7:$AB$406,0),4),"")</f>
        <v/>
      </c>
      <c r="O7" s="69" t="s">
        <v>3765</v>
      </c>
      <c r="P7" s="281"/>
      <c r="Q7" s="70" t="str">
        <f>AV7</f>
        <v/>
      </c>
      <c r="R7" s="71" t="s">
        <v>3792</v>
      </c>
      <c r="S7" s="308"/>
      <c r="T7" s="72" t="str">
        <f>AV15</f>
        <v/>
      </c>
      <c r="U7" s="41"/>
      <c r="W7" s="80" t="s">
        <v>6754</v>
      </c>
      <c r="X7" s="81" t="str">
        <f>IFERROR(INDEX(男子エントリー!$B$7:$AB$406,MATCH(V6,男子エントリー!$AB$7:$AB$406,0),4),"")</f>
        <v/>
      </c>
      <c r="Y7" s="69" t="s">
        <v>3765</v>
      </c>
      <c r="Z7" s="278"/>
      <c r="AA7" s="70" t="str">
        <f>AX7</f>
        <v/>
      </c>
      <c r="AB7" s="71" t="s">
        <v>3792</v>
      </c>
      <c r="AC7" s="278"/>
      <c r="AD7" s="72" t="str">
        <f>AX15</f>
        <v/>
      </c>
      <c r="AE7" s="41"/>
      <c r="AF7" s="38">
        <v>2</v>
      </c>
      <c r="AG7" s="38" t="b">
        <f>IF(AND(N6="",COUNTIF(P7:P11,"")+COUNTIF(S7:S11,"")=10),FALSE,TRUE)</f>
        <v>0</v>
      </c>
      <c r="AH7" s="38" t="b">
        <f>IF(N6="",FALSE,TRUE)</f>
        <v>0</v>
      </c>
      <c r="AI7" s="38" t="b">
        <f t="shared" si="0"/>
        <v>0</v>
      </c>
      <c r="AJ7" s="38" t="b">
        <f>IF(AG7=FALSE,FALSE,IF(AND(AG7,COUNTIF(P7:P11,"")+COUNTIF(S7:S11,"")&gt;0),TRUE,FALSE))</f>
        <v>0</v>
      </c>
      <c r="AK7" s="38" t="b">
        <f>IF(ISNUMBER(P7+P8+P9+P10+P11+S7+S8+S9+S10+S11)=TRUE,IF(MOD(P7+P8+P9+P10+P11+S7+S8+S9+S10+S11,1)&gt;0,TRUE,FALSE),TRUE)</f>
        <v>0</v>
      </c>
      <c r="AL7" s="38" t="b" cm="1">
        <f t="array" ref="AL7">IF(IFERROR(_xlfn.IFS(VALUE(RIGHT(INT(P7/100),2))&gt;59,TRUE,VALUE(RIGHT(INT(P7/10000),2))&gt;59,TRUE,VALUE(RIGHT(INT(P8/100),2))&gt;59,TRUE,VALUE(RIGHT(INT(P8/10000),2))&gt;59,TRUE,VALUE(RIGHT(INT(P9/100),2))&gt;59,TRUE,VALUE(RIGHT(INT(P9/10000),2))&gt;59,TRUE,VALUE(RIGHT(INT(P10/100),2))&gt;59,TRUE,VALUE(RIGHT(INT(P10/10000),2))&gt;59,TRUE),FALSE)&lt;&gt;TRUE,FALSE,TRUE)</f>
        <v>0</v>
      </c>
      <c r="AM7" s="38">
        <f t="shared" si="1"/>
        <v>0</v>
      </c>
      <c r="AN7" s="41" t="s">
        <v>3765</v>
      </c>
      <c r="AO7" s="39">
        <v>25.434699999999999</v>
      </c>
      <c r="AP7" s="39">
        <v>18</v>
      </c>
      <c r="AQ7" s="39">
        <v>1.81</v>
      </c>
      <c r="AR7" s="39"/>
      <c r="AS7" s="39">
        <f>INT(F7/10000)*60+MOD(F7/100,100)</f>
        <v>0</v>
      </c>
      <c r="AT7" s="39" t="str">
        <f>IFERROR(IF(AS7=0,"",INT($AO7*ABS($AP7-AS7)^$AQ7)),"")</f>
        <v/>
      </c>
      <c r="AU7" s="39">
        <f>INT(P7/10000)*60+MOD(P7/100,100)</f>
        <v>0</v>
      </c>
      <c r="AV7" s="39" t="str">
        <f>IFERROR(IF(AU7=0,"",INT($AO7*ABS($AP7-AU7)^$AQ7)),"")</f>
        <v/>
      </c>
      <c r="AW7" s="39">
        <f>INT(Z7/10000)*60+MOD(Z7/100,100)</f>
        <v>0</v>
      </c>
      <c r="AX7" s="39" t="str">
        <f>IFERROR(IF(AW7=0,"",INT($AO7*ABS($AP7-AW7)^$AQ7)),"")</f>
        <v/>
      </c>
      <c r="AY7" s="39">
        <f>INT(F15/10000)*60+MOD(F15/100,100)</f>
        <v>0</v>
      </c>
      <c r="AZ7" s="39" t="str">
        <f>IFERROR(IF(AY7=0,"",INT($AO7*ABS($AP7-AY7)^$AQ7)),"")</f>
        <v/>
      </c>
      <c r="BA7" s="39">
        <f>INT(P15/10000)*60+MOD(P15/100,100)</f>
        <v>0</v>
      </c>
      <c r="BB7" s="39" t="str">
        <f>IFERROR(IF(BA7=0,"",INT($AO7*ABS($AP7-BA7)^$AQ7)),"")</f>
        <v/>
      </c>
      <c r="BC7" s="39">
        <f>INT(Z15/10000)*60+MOD(Z15/100,100)</f>
        <v>0</v>
      </c>
      <c r="BD7" s="42" t="str">
        <f>IFERROR(IF(BC7=0,"",INT($AO7*ABS($AP7-BC7)^$AQ7)),"")</f>
        <v/>
      </c>
    </row>
    <row r="8" spans="1:56" s="38" customFormat="1" ht="22.8" customHeight="1">
      <c r="C8" s="80" t="s">
        <v>4008</v>
      </c>
      <c r="D8" s="81" t="str">
        <f>IFERROR(INDEX(男子エントリー!$B$7:$AB$406,MATCH(B6,男子エントリー!$AB$7:$AB$406,0),5),"")</f>
        <v/>
      </c>
      <c r="E8" s="43" t="s">
        <v>3769</v>
      </c>
      <c r="F8" s="279"/>
      <c r="G8" s="45" t="str">
        <f t="shared" ref="G8:G11" si="2">AT8</f>
        <v/>
      </c>
      <c r="H8" s="44" t="s">
        <v>3794</v>
      </c>
      <c r="I8" s="279"/>
      <c r="J8" s="46" t="str">
        <f t="shared" ref="J8:J11" si="3">AT16</f>
        <v/>
      </c>
      <c r="K8" s="41"/>
      <c r="M8" s="80" t="s">
        <v>4008</v>
      </c>
      <c r="N8" s="81" t="str">
        <f>IFERROR(INDEX(男子エントリー!$B$7:$AB$406,MATCH(L6,男子エントリー!$AB$7:$AB$406,0),5),"")</f>
        <v/>
      </c>
      <c r="O8" s="43" t="s">
        <v>3769</v>
      </c>
      <c r="P8" s="279"/>
      <c r="Q8" s="45" t="str">
        <f t="shared" ref="Q8:Q11" si="4">AV8</f>
        <v/>
      </c>
      <c r="R8" s="44" t="s">
        <v>3794</v>
      </c>
      <c r="S8" s="309"/>
      <c r="T8" s="46" t="str">
        <f t="shared" ref="T8:T11" si="5">AV16</f>
        <v/>
      </c>
      <c r="U8" s="41"/>
      <c r="W8" s="80" t="s">
        <v>4008</v>
      </c>
      <c r="X8" s="81" t="str">
        <f>IFERROR(INDEX(男子エントリー!$B$7:$AB$406,MATCH(V6,男子エントリー!$AB$7:$AB$406,0),5),"")</f>
        <v/>
      </c>
      <c r="Y8" s="43" t="s">
        <v>3769</v>
      </c>
      <c r="Z8" s="279"/>
      <c r="AA8" s="45" t="str">
        <f t="shared" ref="AA8:AA11" si="6">AX8</f>
        <v/>
      </c>
      <c r="AB8" s="44" t="s">
        <v>3794</v>
      </c>
      <c r="AC8" s="279"/>
      <c r="AD8" s="46" t="str">
        <f t="shared" ref="AD8:AD11" si="7">AX16</f>
        <v/>
      </c>
      <c r="AE8" s="41"/>
      <c r="AF8" s="38">
        <v>3</v>
      </c>
      <c r="AG8" s="38" t="b">
        <f>IF(AND(X6="",COUNTIF(Z7:Z11,"")+COUNTIF(AC7:AC11,"")=10),FALSE,TRUE)</f>
        <v>0</v>
      </c>
      <c r="AH8" s="38" t="b">
        <f>IF(X6="",FALSE,TRUE)</f>
        <v>0</v>
      </c>
      <c r="AI8" s="38" t="b">
        <f t="shared" si="0"/>
        <v>0</v>
      </c>
      <c r="AJ8" s="38" t="b">
        <f>IF(AG8=FALSE,FALSE,IF(AND(AG8,COUNTIF(Z7:Z11,"")+COUNTIF(AC7:AC11,"")&gt;0),TRUE,FALSE))</f>
        <v>0</v>
      </c>
      <c r="AK8" s="38" t="b">
        <f>IF(ISNUMBER(Z7+Z8+Z9+Z10+Z11+AC7+AC8+AC9+AC10+AC11)=TRUE,IF(MOD(Z7+Z8+Z9+Z10+Z11+AC7+AC8+AC9+AC10+AC11,1)&gt;0,TRUE,FALSE),TRUE)</f>
        <v>0</v>
      </c>
      <c r="AL8" s="38" t="b" cm="1">
        <f t="array" ref="AL8">IF(IFERROR(_xlfn.IFS(VALUE(RIGHT(INT(Z7/100),2))&gt;59,TRUE,VALUE(RIGHT(INT(Z7/10000),2))&gt;59,TRUE,VALUE(RIGHT(INT(Z8/100),2))&gt;59,TRUE,VALUE(RIGHT(INT(Z8/10000),2))&gt;59,TRUE,VALUE(RIGHT(INT(Z9/100),2))&gt;59,TRUE,VALUE(RIGHT(INT(Z9/10000),2))&gt;59,TRUE,VALUE(RIGHT(INT(Z10/100),2))&gt;59,TRUE,VALUE(RIGHT(INT(Z10/10000),2))&gt;59,TRUE),FALSE)&lt;&gt;TRUE,FALSE,TRUE)</f>
        <v>0</v>
      </c>
      <c r="AM8" s="38">
        <f t="shared" si="1"/>
        <v>0</v>
      </c>
      <c r="AN8" s="41" t="s">
        <v>3769</v>
      </c>
      <c r="AO8" s="39">
        <v>1.53775</v>
      </c>
      <c r="AP8" s="39">
        <v>82</v>
      </c>
      <c r="AQ8" s="39">
        <v>1.81</v>
      </c>
      <c r="AR8" s="39"/>
      <c r="AS8" s="39">
        <f>INT(F8/10000)*60+MOD(F8/100,100)</f>
        <v>0</v>
      </c>
      <c r="AT8" s="39" t="str">
        <f t="shared" ref="AT8:AT33" si="8">IFERROR(IF(AS8=0,"",INT($AO8*ABS($AP8-AS8)^$AQ8)),"")</f>
        <v/>
      </c>
      <c r="AU8" s="39">
        <f>INT(P8/10000)*60+MOD(P8/100,100)</f>
        <v>0</v>
      </c>
      <c r="AV8" s="39" t="str">
        <f>IFERROR(IF(AU8=0,"",INT($AO8*ABS($AP8-AU8)^$AQ8)),"")</f>
        <v/>
      </c>
      <c r="AW8" s="39">
        <f>INT(Z8/10000)*60+MOD(Z8/100,100)</f>
        <v>0</v>
      </c>
      <c r="AX8" s="39" t="str">
        <f>IFERROR(IF(AW8=0,"",INT($AO8*ABS($AP8-AW8)^$AQ8)),"")</f>
        <v/>
      </c>
      <c r="AY8" s="39">
        <f>INT(F16/10000)*60+MOD(F16/100,100)</f>
        <v>0</v>
      </c>
      <c r="AZ8" s="39" t="str">
        <f>IFERROR(IF(AY8=0,"",INT($AO8*ABS($AP8-AY8)^$AQ8)),"")</f>
        <v/>
      </c>
      <c r="BA8" s="39">
        <f>INT(P16/10000)*60+MOD(P16/100,100)</f>
        <v>0</v>
      </c>
      <c r="BB8" s="39" t="str">
        <f>IFERROR(IF(BA8=0,"",INT($AO8*ABS($AP8-BA8)^$AQ8)),"")</f>
        <v/>
      </c>
      <c r="BC8" s="39">
        <f>INT(Z16/10000)*60+MOD(Z16/100,100)</f>
        <v>0</v>
      </c>
      <c r="BD8" s="42" t="str">
        <f>IFERROR(IF(BC8=0,"",INT($AO8*ABS($AP8-BC8)^$AQ8)),"")</f>
        <v/>
      </c>
    </row>
    <row r="9" spans="1:56" s="38" customFormat="1" ht="22.8" customHeight="1">
      <c r="C9" s="80" t="s">
        <v>6776</v>
      </c>
      <c r="D9" s="81" t="str">
        <f>IFERROR(INDEX(男子エントリー!$B$7:$AB$406,MATCH(B6,男子エントリー!$AB$7:$AB$406,0),6),"")</f>
        <v/>
      </c>
      <c r="E9" s="43" t="s">
        <v>3773</v>
      </c>
      <c r="F9" s="279"/>
      <c r="G9" s="45" t="str">
        <f t="shared" si="2"/>
        <v/>
      </c>
      <c r="H9" s="44" t="s">
        <v>3798</v>
      </c>
      <c r="I9" s="279"/>
      <c r="J9" s="46" t="str">
        <f t="shared" si="3"/>
        <v/>
      </c>
      <c r="K9" s="41"/>
      <c r="M9" s="80" t="s">
        <v>6776</v>
      </c>
      <c r="N9" s="81" t="str">
        <f>IFERROR(INDEX(男子エントリー!$B$7:$AB$406,MATCH(L6,男子エントリー!$AB$7:$AB$406,0),6),"")</f>
        <v/>
      </c>
      <c r="O9" s="43" t="s">
        <v>3773</v>
      </c>
      <c r="P9" s="279"/>
      <c r="Q9" s="45" t="str">
        <f t="shared" si="4"/>
        <v/>
      </c>
      <c r="R9" s="44" t="s">
        <v>3798</v>
      </c>
      <c r="S9" s="309"/>
      <c r="T9" s="46" t="str">
        <f t="shared" si="5"/>
        <v/>
      </c>
      <c r="U9" s="41"/>
      <c r="W9" s="80" t="s">
        <v>6776</v>
      </c>
      <c r="X9" s="81" t="str">
        <f>IFERROR(INDEX(男子エントリー!$B$7:$AB$406,MATCH(V6,男子エントリー!$AB$7:$AB$406,0),6),"")</f>
        <v/>
      </c>
      <c r="Y9" s="43" t="s">
        <v>3773</v>
      </c>
      <c r="Z9" s="279"/>
      <c r="AA9" s="45" t="str">
        <f t="shared" si="6"/>
        <v/>
      </c>
      <c r="AB9" s="44" t="s">
        <v>3798</v>
      </c>
      <c r="AC9" s="279"/>
      <c r="AD9" s="46" t="str">
        <f t="shared" si="7"/>
        <v/>
      </c>
      <c r="AE9" s="41"/>
      <c r="AF9" s="38">
        <v>4</v>
      </c>
      <c r="AG9" s="38" t="b">
        <f>IF(AND(D14="",COUNTIF(F15:F19,"")+COUNTIF(I15:I19,"")=10),FALSE,TRUE)</f>
        <v>0</v>
      </c>
      <c r="AH9" s="38" t="b">
        <f>IF(D14="",FALSE,TRUE)</f>
        <v>0</v>
      </c>
      <c r="AI9" s="38" t="b">
        <f t="shared" si="0"/>
        <v>0</v>
      </c>
      <c r="AJ9" s="38" t="b">
        <f>IF(AG9=FALSE,FALSE,IF(AND(AG9,COUNTIF(F15:F19,"")+COUNTIF(I15:I19,"")&gt;0),TRUE,FALSE))</f>
        <v>0</v>
      </c>
      <c r="AK9" s="38" t="b">
        <f>IF(ISNUMBER(F15+F16+F17+F18+F19+I15+I16+I17+I18+I19)=TRUE,IF(MOD(F15+F16+F17+F18+F19+I15+I16+I17+I18+I19,1)&gt;0,TRUE,FALSE),TRUE)</f>
        <v>0</v>
      </c>
      <c r="AL9" s="38" t="b" cm="1">
        <f t="array" ref="AL9">IF(IFERROR(_xlfn.IFS(VALUE(RIGHT(INT(F15/100),2))&gt;59,TRUE,VALUE(RIGHT(INT(F15/10000),2))&gt;59,TRUE,VALUE(RIGHT(INT(F16/100),2))&gt;59,TRUE,VALUE(RIGHT(INT(F16/10000),2))&gt;59,TRUE,VALUE(RIGHT(INT(F17/100),2))&gt;59,TRUE,VALUE(RIGHT(INT(F17/10000),2))&gt;59,TRUE,VALUE(RIGHT(INT(F18/100),2))&gt;59,TRUE,VALUE(RIGHT(INT(F18/10000),2))&gt;59,TRUE),FALSE)&lt;&gt;TRUE,FALSE,TRUE)</f>
        <v>0</v>
      </c>
      <c r="AM9" s="38">
        <f t="shared" si="1"/>
        <v>0</v>
      </c>
      <c r="AN9" s="41" t="s">
        <v>3773</v>
      </c>
      <c r="AO9" s="39">
        <v>3.7679999999999998E-2</v>
      </c>
      <c r="AP9" s="39">
        <v>480</v>
      </c>
      <c r="AQ9" s="39">
        <v>1.85</v>
      </c>
      <c r="AR9" s="39"/>
      <c r="AS9" s="39">
        <f>INT(F9/10000)*60+MOD(F9/100,100)</f>
        <v>0</v>
      </c>
      <c r="AT9" s="39" t="str">
        <f t="shared" si="8"/>
        <v/>
      </c>
      <c r="AU9" s="39">
        <f>INT(P9/10000)*60+MOD(P9/100,100)</f>
        <v>0</v>
      </c>
      <c r="AV9" s="39" t="str">
        <f>IFERROR(IF(AU9=0,"",INT($AO9*ABS($AP9-AU9)^$AQ9)),"")</f>
        <v/>
      </c>
      <c r="AW9" s="39">
        <f>INT(Z9/10000)*60+MOD(Z9/100,100)</f>
        <v>0</v>
      </c>
      <c r="AX9" s="39" t="str">
        <f>IFERROR(IF(AW9=0,"",INT($AO9*ABS($AP9-AW9)^$AQ9)),"")</f>
        <v/>
      </c>
      <c r="AY9" s="39">
        <f>INT(F17/10000)*60+MOD(F17/100,100)</f>
        <v>0</v>
      </c>
      <c r="AZ9" s="39" t="str">
        <f>IFERROR(IF(AY9=0,"",INT($AO9*ABS($AP9-AY9)^$AQ9)),"")</f>
        <v/>
      </c>
      <c r="BA9" s="39">
        <f>INT(P17/10000)*60+MOD(P17/100,100)</f>
        <v>0</v>
      </c>
      <c r="BB9" s="39" t="str">
        <f>IFERROR(IF(BA9=0,"",INT($AO9*ABS($AP9-BA9)^$AQ9)),"")</f>
        <v/>
      </c>
      <c r="BC9" s="39">
        <f>INT(Z17/10000)*60+MOD(Z17/100,100)</f>
        <v>0</v>
      </c>
      <c r="BD9" s="42" t="str">
        <f>IFERROR(IF(BC9=0,"",INT($AO9*ABS($AP9-BC9)^$AQ9)),"")</f>
        <v/>
      </c>
    </row>
    <row r="10" spans="1:56" s="38" customFormat="1" ht="22.8" customHeight="1">
      <c r="C10" s="80" t="s">
        <v>6778</v>
      </c>
      <c r="D10" s="81" t="str" cm="1">
        <f t="array" ref="D10">IFERROR(INDEX(男子エントリー!$B$7:$AB$406,MATCH(B6,男子エントリー!$AB$7:$AB$406,0)+1,6),"")</f>
        <v/>
      </c>
      <c r="E10" s="43" t="s">
        <v>3779</v>
      </c>
      <c r="F10" s="279"/>
      <c r="G10" s="45" t="str">
        <f t="shared" si="2"/>
        <v/>
      </c>
      <c r="H10" s="44" t="s">
        <v>3800</v>
      </c>
      <c r="I10" s="279"/>
      <c r="J10" s="46" t="str">
        <f t="shared" si="3"/>
        <v/>
      </c>
      <c r="K10" s="41"/>
      <c r="M10" s="80" t="s">
        <v>6778</v>
      </c>
      <c r="N10" s="81" t="str" cm="1">
        <f t="array" ref="N10">IFERROR(INDEX(男子エントリー!$B$7:$AB$406,MATCH(L6,男子エントリー!$AB$7:$AB$406,0)+1,6),"")</f>
        <v/>
      </c>
      <c r="O10" s="43" t="s">
        <v>3779</v>
      </c>
      <c r="P10" s="279"/>
      <c r="Q10" s="45" t="str">
        <f t="shared" si="4"/>
        <v/>
      </c>
      <c r="R10" s="44" t="s">
        <v>3800</v>
      </c>
      <c r="S10" s="309"/>
      <c r="T10" s="46" t="str">
        <f t="shared" si="5"/>
        <v/>
      </c>
      <c r="U10" s="41"/>
      <c r="W10" s="80" t="s">
        <v>6778</v>
      </c>
      <c r="X10" s="81" t="str" cm="1">
        <f t="array" ref="X10">IFERROR(INDEX(男子エントリー!$B$7:$AB$406,MATCH(V6,男子エントリー!$AB$7:$AB$406,0)+1,6),"")</f>
        <v/>
      </c>
      <c r="Y10" s="43" t="s">
        <v>3779</v>
      </c>
      <c r="Z10" s="279"/>
      <c r="AA10" s="45" t="str">
        <f t="shared" si="6"/>
        <v/>
      </c>
      <c r="AB10" s="44" t="s">
        <v>3800</v>
      </c>
      <c r="AC10" s="279"/>
      <c r="AD10" s="46" t="str">
        <f t="shared" si="7"/>
        <v/>
      </c>
      <c r="AE10" s="41"/>
      <c r="AF10" s="38">
        <v>5</v>
      </c>
      <c r="AG10" s="38" t="b">
        <f>IF(AND(N14="",COUNTIF(P15:P19,"")+COUNTIF(S15:S19,"")=10),FALSE,TRUE)</f>
        <v>0</v>
      </c>
      <c r="AH10" s="38" t="b">
        <f>IF(N14="",FALSE,TRUE)</f>
        <v>0</v>
      </c>
      <c r="AI10" s="38" t="b">
        <f t="shared" si="0"/>
        <v>0</v>
      </c>
      <c r="AJ10" s="38" t="b">
        <f>IF(AG10=FALSE,FALSE,IF(AND(AG10,COUNTIF(P15:P19,"")+COUNTIF(S15:S19,"")&gt;0),TRUE,FALSE))</f>
        <v>0</v>
      </c>
      <c r="AK10" s="38" t="b">
        <f>IF(ISNUMBER(P15+P16+P17+P18+P19+S15+S16+S17+S18+S19)=TRUE,IF(MOD(P15+P16+P17+P18+P19+S15+S16+S17+S18+S19,1)&gt;0,TRUE,FALSE),TRUE)</f>
        <v>0</v>
      </c>
      <c r="AL10" s="38" t="b" cm="1">
        <f t="array" ref="AL10">IF(IFERROR(_xlfn.IFS(VALUE(RIGHT(INT(P15/100),2))&gt;59,TRUE,VALUE(RIGHT(INT(P15/10000),2))&gt;59,TRUE,VALUE(RIGHT(INT(P16/100),2))&gt;59,TRUE,VALUE(RIGHT(INT(P16/10000),2))&gt;59,TRUE,VALUE(RIGHT(INT(P17/100),2))&gt;59,TRUE,VALUE(RIGHT(INT(P17/10000),2))&gt;59,TRUE,VALUE(RIGHT(INT(P18/100),2))&gt;59,TRUE,VALUE(RIGHT(INT(P18/10000),2))&gt;59,TRUE),FALSE)&lt;&gt;TRUE,FALSE,TRUE)</f>
        <v>0</v>
      </c>
      <c r="AM10" s="38">
        <f t="shared" si="1"/>
        <v>0</v>
      </c>
      <c r="AN10" s="41" t="s">
        <v>3779</v>
      </c>
      <c r="AO10" s="39">
        <v>5.7435200000000002</v>
      </c>
      <c r="AP10" s="39">
        <v>28.5</v>
      </c>
      <c r="AQ10" s="39">
        <v>1.92</v>
      </c>
      <c r="AR10" s="39"/>
      <c r="AS10" s="39">
        <f>INT(F10/10000)*60+MOD(F10/100,100)</f>
        <v>0</v>
      </c>
      <c r="AT10" s="39" t="str">
        <f t="shared" si="8"/>
        <v/>
      </c>
      <c r="AU10" s="39">
        <f>INT(P10/10000)*60+MOD(P10/100,100)</f>
        <v>0</v>
      </c>
      <c r="AV10" s="39" t="str">
        <f>IFERROR(IF(AU10=0,"",INT($AO10*ABS($AP10-AU10)^$AQ10)),"")</f>
        <v/>
      </c>
      <c r="AW10" s="39">
        <f>INT(Z10/10000)*60+MOD(Z10/100,100)</f>
        <v>0</v>
      </c>
      <c r="AX10" s="39" t="str">
        <f>IFERROR(IF(AW10=0,"",INT($AO10*ABS($AP10-AW10)^$AQ10)),"")</f>
        <v/>
      </c>
      <c r="AY10" s="39">
        <f>INT(F18/10000)*60+MOD(F18/100,100)</f>
        <v>0</v>
      </c>
      <c r="AZ10" s="39" t="str">
        <f>IFERROR(IF(AY10=0,"",INT($AO10*ABS($AP10-AY10)^$AQ10)),"")</f>
        <v/>
      </c>
      <c r="BA10" s="39">
        <f>INT(P18/10000)*60+MOD(P18/100,100)</f>
        <v>0</v>
      </c>
      <c r="BB10" s="39" t="str">
        <f>IFERROR(IF(BA10=0,"",INT($AO10*ABS($AP10-BA10)^$AQ10)),"")</f>
        <v/>
      </c>
      <c r="BC10" s="39">
        <f>INT(Z18/10000)*60+MOD(Z18/100,100)</f>
        <v>0</v>
      </c>
      <c r="BD10" s="42" t="str">
        <f>IFERROR(IF(BC10=0,"",INT($AO10*ABS($AP10-BC10)^$AQ10)),"")</f>
        <v/>
      </c>
    </row>
    <row r="11" spans="1:56" s="38" customFormat="1" ht="22.8" customHeight="1" thickBot="1">
      <c r="C11" s="82" t="s">
        <v>6756</v>
      </c>
      <c r="D11" s="83" t="str">
        <f>IFERROR(INDEX(男子エントリー!$B$7:$AC$406,MATCH(B6,男子エントリー!$AB$7:$AB$406,0),28),"")</f>
        <v/>
      </c>
      <c r="E11" s="47" t="s">
        <v>3790</v>
      </c>
      <c r="F11" s="280"/>
      <c r="G11" s="48" t="str">
        <f t="shared" si="2"/>
        <v/>
      </c>
      <c r="H11" s="49" t="s">
        <v>3804</v>
      </c>
      <c r="I11" s="280"/>
      <c r="J11" s="50" t="str">
        <f t="shared" si="3"/>
        <v/>
      </c>
      <c r="K11" s="41"/>
      <c r="M11" s="82" t="s">
        <v>6756</v>
      </c>
      <c r="N11" s="83" t="str">
        <f>IFERROR(INDEX(男子エントリー!$B$7:$AC$406,MATCH(L6,男子エントリー!$AB$7:$AB$406,0),28),"")</f>
        <v/>
      </c>
      <c r="O11" s="47" t="s">
        <v>3790</v>
      </c>
      <c r="P11" s="280"/>
      <c r="Q11" s="48" t="str">
        <f t="shared" si="4"/>
        <v/>
      </c>
      <c r="R11" s="49" t="s">
        <v>3804</v>
      </c>
      <c r="S11" s="310"/>
      <c r="T11" s="50" t="str">
        <f t="shared" si="5"/>
        <v/>
      </c>
      <c r="U11" s="41"/>
      <c r="W11" s="82" t="s">
        <v>6756</v>
      </c>
      <c r="X11" s="83" t="str">
        <f>IFERROR(INDEX(男子エントリー!$B$7:$AC$406,MATCH(V6,男子エントリー!$AB$7:$AB$406,0),28),"")</f>
        <v/>
      </c>
      <c r="Y11" s="47" t="s">
        <v>3790</v>
      </c>
      <c r="Z11" s="280"/>
      <c r="AA11" s="48" t="str">
        <f t="shared" si="6"/>
        <v/>
      </c>
      <c r="AB11" s="49" t="s">
        <v>3804</v>
      </c>
      <c r="AC11" s="280"/>
      <c r="AD11" s="50" t="str">
        <f t="shared" si="7"/>
        <v/>
      </c>
      <c r="AE11" s="41"/>
      <c r="AF11" s="38">
        <v>6</v>
      </c>
      <c r="AG11" s="38" t="b">
        <f>IF(AND(X14="",COUNTIF(Z15:Z19,"")+COUNTIF(AC15:AC19,"")=10),FALSE,TRUE)</f>
        <v>0</v>
      </c>
      <c r="AH11" s="38" t="b">
        <f>IF(X14="",FALSE,TRUE)</f>
        <v>0</v>
      </c>
      <c r="AI11" s="38" t="b">
        <f t="shared" si="0"/>
        <v>0</v>
      </c>
      <c r="AJ11" s="38" t="b">
        <f>IF(AG11=FALSE,FALSE,IF(AND(AG11,COUNTIF(Z15:Z19,"")+COUNTIF(AC15:AC19,"")&gt;0),TRUE,FALSE))</f>
        <v>0</v>
      </c>
      <c r="AK11" s="38" t="b">
        <f>IF(ISNUMBER(Z15+Z16+Z17+Z18+Z19+AC15+AC16+AC17+AC18+AC19)=TRUE,IF(MOD(Z15+Z16+Z17+Z18+Z19+AC15+AC16+AC17+AC18+AC19,1)&gt;0,TRUE,FALSE),TRUE)</f>
        <v>0</v>
      </c>
      <c r="AL11" s="38" t="b" cm="1">
        <f t="array" ref="AL11">IF(IFERROR(_xlfn.IFS(VALUE(RIGHT(INT(Z15/100),2))&gt;59,TRUE,VALUE(RIGHT(INT(Z15/10000),2))&gt;59,TRUE,VALUE(RIGHT(INT(Z16/100),2))&gt;59,TRUE,VALUE(RIGHT(INT(Z16/10000),2))&gt;59,TRUE,VALUE(RIGHT(INT(Z17/100),2))&gt;59,TRUE,VALUE(RIGHT(INT(Z17/10000),2))&gt;59,TRUE,VALUE(RIGHT(INT(Z18/100),2))&gt;59,TRUE,VALUE(RIGHT(INT(Z18/10000),2))&gt;59,TRUE),FALSE)&lt;&gt;TRUE,FALSE,TRUE)</f>
        <v>0</v>
      </c>
      <c r="AM11" s="38">
        <f t="shared" si="1"/>
        <v>0</v>
      </c>
      <c r="AN11" s="41" t="s">
        <v>3790</v>
      </c>
      <c r="AO11" s="39">
        <v>0.84650000000000003</v>
      </c>
      <c r="AP11" s="39">
        <v>75</v>
      </c>
      <c r="AQ11" s="39">
        <v>1.42</v>
      </c>
      <c r="AR11" s="39"/>
      <c r="AS11" s="39">
        <f>F11</f>
        <v>0</v>
      </c>
      <c r="AT11" s="39" t="str">
        <f t="shared" si="8"/>
        <v/>
      </c>
      <c r="AU11" s="39">
        <f>P11</f>
        <v>0</v>
      </c>
      <c r="AV11" s="39" t="str">
        <f>IFERROR(IF(AU11=0,"",INT($AO11*ABS($AP11-AU11)^$AQ11)),"")</f>
        <v/>
      </c>
      <c r="AW11" s="39">
        <f>Z11</f>
        <v>0</v>
      </c>
      <c r="AX11" s="39" t="str">
        <f>IFERROR(IF(AW11=0,"",INT($AO11*ABS($AP11-AW11)^$AQ11)),"")</f>
        <v/>
      </c>
      <c r="AY11" s="39">
        <f>F19</f>
        <v>0</v>
      </c>
      <c r="AZ11" s="39" t="str">
        <f>IFERROR(IF(AY11=0,"",INT($AO11*ABS($AP11-AY11)^$AQ11)),"")</f>
        <v/>
      </c>
      <c r="BA11" s="39">
        <f>P19</f>
        <v>0</v>
      </c>
      <c r="BB11" s="39" t="str">
        <f>IFERROR(IF(BA11=0,"",INT($AO11*ABS($AP11-BA11)^$AQ11)),"")</f>
        <v/>
      </c>
      <c r="BC11" s="39">
        <f>Z19</f>
        <v>0</v>
      </c>
      <c r="BD11" s="42" t="str">
        <f>IFERROR(IF(BC11=0,"",INT($AO11*ABS($AP11-BC11)^$AQ11)),"")</f>
        <v/>
      </c>
    </row>
    <row r="12" spans="1:56" s="38" customFormat="1">
      <c r="C12" s="51"/>
      <c r="D12" s="51"/>
      <c r="E12" s="51"/>
      <c r="F12" s="52"/>
      <c r="G12" s="51"/>
      <c r="H12" s="51"/>
      <c r="I12" s="52"/>
      <c r="J12" s="51"/>
      <c r="K12" s="53"/>
      <c r="L12" s="53"/>
      <c r="M12" s="51"/>
      <c r="N12" s="51"/>
      <c r="O12" s="51"/>
      <c r="P12" s="52"/>
      <c r="Q12" s="51"/>
      <c r="R12" s="51"/>
      <c r="S12" s="52"/>
      <c r="T12" s="51"/>
      <c r="U12" s="53"/>
      <c r="V12" s="53"/>
      <c r="W12" s="51"/>
      <c r="X12" s="51"/>
      <c r="Y12" s="51"/>
      <c r="Z12" s="52"/>
      <c r="AA12" s="51"/>
      <c r="AB12" s="51"/>
      <c r="AC12" s="52"/>
      <c r="AD12" s="51"/>
      <c r="AE12" s="53"/>
      <c r="AF12" s="53"/>
      <c r="AG12" s="53"/>
      <c r="AH12" s="53"/>
      <c r="AI12" s="53"/>
      <c r="AJ12" s="53"/>
      <c r="AK12" s="53"/>
      <c r="AL12" s="53"/>
      <c r="AM12" s="53"/>
      <c r="AN12" s="41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42"/>
    </row>
    <row r="13" spans="1:56" s="38" customFormat="1" ht="18" thickBot="1">
      <c r="C13" s="54"/>
      <c r="D13" s="54"/>
      <c r="E13" s="53"/>
      <c r="F13" s="53"/>
      <c r="G13" s="53"/>
      <c r="H13" s="53"/>
      <c r="I13" s="53"/>
      <c r="J13" s="53"/>
      <c r="K13" s="53"/>
      <c r="L13" s="53"/>
      <c r="M13" s="53"/>
      <c r="N13" s="55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41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42"/>
    </row>
    <row r="14" spans="1:56" s="38" customFormat="1" ht="22.8" customHeight="1" thickBot="1">
      <c r="B14" s="38">
        <v>4</v>
      </c>
      <c r="C14" s="78" t="s">
        <v>7108</v>
      </c>
      <c r="D14" s="79" t="str">
        <f>IFERROR((INDEX(男子エントリー!$B$7:$AB$406,MATCH(B14,男子エントリー!$AB$7:$AB$406,0),1)&amp;INDEX(男子エントリー!$B$7:$AB$406,MATCH(B14,男子エントリー!$AB$7:$AB$406,0),2)),"")</f>
        <v/>
      </c>
      <c r="E14" s="66" t="s">
        <v>6771</v>
      </c>
      <c r="F14" s="67" t="s">
        <v>6755</v>
      </c>
      <c r="G14" s="67" t="s">
        <v>6785</v>
      </c>
      <c r="H14" s="67" t="s">
        <v>6771</v>
      </c>
      <c r="I14" s="67" t="s">
        <v>6755</v>
      </c>
      <c r="J14" s="68" t="s">
        <v>6785</v>
      </c>
      <c r="K14" s="41"/>
      <c r="L14" s="38">
        <v>5</v>
      </c>
      <c r="M14" s="78" t="s">
        <v>7108</v>
      </c>
      <c r="N14" s="79" t="str">
        <f>IFERROR((INDEX(男子エントリー!$B$7:$AB$406,MATCH(L14,男子エントリー!$AB$7:$AB$406,0),1)&amp;INDEX(男子エントリー!$B$7:$AB$406,MATCH(L14,男子エントリー!$AB$7:$AB$406,0),2)),"")</f>
        <v/>
      </c>
      <c r="O14" s="66" t="s">
        <v>6771</v>
      </c>
      <c r="P14" s="67" t="s">
        <v>6755</v>
      </c>
      <c r="Q14" s="67" t="s">
        <v>6785</v>
      </c>
      <c r="R14" s="67" t="s">
        <v>6771</v>
      </c>
      <c r="S14" s="67" t="s">
        <v>6755</v>
      </c>
      <c r="T14" s="68" t="s">
        <v>6785</v>
      </c>
      <c r="U14" s="41"/>
      <c r="V14" s="38">
        <v>6</v>
      </c>
      <c r="W14" s="78" t="s">
        <v>7108</v>
      </c>
      <c r="X14" s="79" t="str">
        <f>IFERROR((INDEX(男子エントリー!$B$7:$AB$406,MATCH(V14,男子エントリー!$AB$7:$AB$406,0),1)&amp;INDEX(男子エントリー!$B$7:$AB$406,MATCH(V14,男子エントリー!$AB$7:$AB$406,0),2)),"")</f>
        <v/>
      </c>
      <c r="Y14" s="66" t="s">
        <v>6771</v>
      </c>
      <c r="Z14" s="67" t="s">
        <v>6755</v>
      </c>
      <c r="AA14" s="67" t="s">
        <v>6785</v>
      </c>
      <c r="AB14" s="67" t="s">
        <v>6771</v>
      </c>
      <c r="AC14" s="67" t="s">
        <v>6755</v>
      </c>
      <c r="AD14" s="68" t="s">
        <v>6785</v>
      </c>
      <c r="AE14" s="41"/>
      <c r="AN14" s="41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42"/>
    </row>
    <row r="15" spans="1:56" s="38" customFormat="1" ht="22.8" customHeight="1" thickTop="1">
      <c r="C15" s="80" t="s">
        <v>6754</v>
      </c>
      <c r="D15" s="81" t="str">
        <f>IFERROR(INDEX(男子エントリー!$B$7:$AB$406,MATCH(B14,男子エントリー!$AB$7:$AB$406,0),4),"")</f>
        <v/>
      </c>
      <c r="E15" s="69" t="s">
        <v>3765</v>
      </c>
      <c r="F15" s="278"/>
      <c r="G15" s="70" t="str">
        <f>AZ7</f>
        <v/>
      </c>
      <c r="H15" s="71" t="s">
        <v>3792</v>
      </c>
      <c r="I15" s="278"/>
      <c r="J15" s="72" t="str">
        <f>AZ15</f>
        <v/>
      </c>
      <c r="K15" s="41"/>
      <c r="M15" s="80" t="s">
        <v>6754</v>
      </c>
      <c r="N15" s="81" t="str">
        <f>IFERROR(INDEX(男子エントリー!$B$7:$AB$406,MATCH(L14,男子エントリー!$AB$7:$AB$406,0),4),"")</f>
        <v/>
      </c>
      <c r="O15" s="69" t="s">
        <v>3765</v>
      </c>
      <c r="P15" s="278"/>
      <c r="Q15" s="70" t="str">
        <f>BB7</f>
        <v/>
      </c>
      <c r="R15" s="71" t="s">
        <v>3792</v>
      </c>
      <c r="S15" s="278"/>
      <c r="T15" s="72" t="str">
        <f>BB15</f>
        <v/>
      </c>
      <c r="U15" s="41"/>
      <c r="W15" s="80" t="s">
        <v>6754</v>
      </c>
      <c r="X15" s="81" t="str">
        <f>IFERROR(INDEX(男子エントリー!$B$7:$AB$406,MATCH(V14,男子エントリー!$AB$7:$AB$406,0),4),"")</f>
        <v/>
      </c>
      <c r="Y15" s="69" t="s">
        <v>3765</v>
      </c>
      <c r="Z15" s="278"/>
      <c r="AA15" s="70" t="str">
        <f>BD7</f>
        <v/>
      </c>
      <c r="AB15" s="71" t="s">
        <v>3792</v>
      </c>
      <c r="AC15" s="278"/>
      <c r="AD15" s="72" t="str">
        <f>BD15</f>
        <v/>
      </c>
      <c r="AE15" s="41"/>
      <c r="AN15" s="41" t="s">
        <v>3792</v>
      </c>
      <c r="AO15" s="39">
        <v>0.2797</v>
      </c>
      <c r="AP15" s="39">
        <v>100</v>
      </c>
      <c r="AQ15" s="39">
        <v>1.35</v>
      </c>
      <c r="AR15" s="39"/>
      <c r="AS15" s="39">
        <f>I7</f>
        <v>0</v>
      </c>
      <c r="AT15" s="39" t="str">
        <f t="shared" si="8"/>
        <v/>
      </c>
      <c r="AU15" s="39">
        <f>S7</f>
        <v>0</v>
      </c>
      <c r="AV15" s="39" t="str">
        <f>IFERROR(IF(AU15=0,"",INT($AO15*ABS($AP15-AU15)^$AQ15)),"")</f>
        <v/>
      </c>
      <c r="AW15" s="39">
        <f>AC7</f>
        <v>0</v>
      </c>
      <c r="AX15" s="39" t="str">
        <f>IFERROR(IF(AW15=0,"",INT($AO15*ABS($AP15-AW15)^$AQ15)),"")</f>
        <v/>
      </c>
      <c r="AY15" s="39">
        <f>I15</f>
        <v>0</v>
      </c>
      <c r="AZ15" s="39" t="str">
        <f>IFERROR(IF(AY15=0,"",INT($AO15*ABS($AP15-AY15)^$AQ15)),"")</f>
        <v/>
      </c>
      <c r="BA15" s="39">
        <f>S15</f>
        <v>0</v>
      </c>
      <c r="BB15" s="39" t="str">
        <f>IFERROR(IF(BA15=0,"",INT($AO15*ABS($AP15-BA15)^$AQ15)),"")</f>
        <v/>
      </c>
      <c r="BC15" s="39">
        <f>AC15</f>
        <v>0</v>
      </c>
      <c r="BD15" s="42" t="str">
        <f>IFERROR(IF(BC15=0,"",INT($AO15*ABS($AP15-BC15)^$AQ15)),"")</f>
        <v/>
      </c>
    </row>
    <row r="16" spans="1:56" s="38" customFormat="1" ht="22.8" customHeight="1">
      <c r="C16" s="80" t="s">
        <v>4008</v>
      </c>
      <c r="D16" s="81" t="str">
        <f>IFERROR(INDEX(男子エントリー!$B$7:$AB$406,MATCH(B14,男子エントリー!$AB$7:$AB$406,0),5),"")</f>
        <v/>
      </c>
      <c r="E16" s="43" t="s">
        <v>3769</v>
      </c>
      <c r="F16" s="279"/>
      <c r="G16" s="45" t="str">
        <f t="shared" ref="G16:G19" si="9">AZ8</f>
        <v/>
      </c>
      <c r="H16" s="44" t="s">
        <v>3794</v>
      </c>
      <c r="I16" s="279"/>
      <c r="J16" s="46" t="str">
        <f t="shared" ref="J16:J19" si="10">AZ16</f>
        <v/>
      </c>
      <c r="K16" s="41"/>
      <c r="M16" s="80" t="s">
        <v>4008</v>
      </c>
      <c r="N16" s="81" t="str">
        <f>IFERROR(INDEX(男子エントリー!$B$7:$AB$406,MATCH(L14,男子エントリー!$AB$7:$AB$406,0),5),"")</f>
        <v/>
      </c>
      <c r="O16" s="43" t="s">
        <v>3769</v>
      </c>
      <c r="P16" s="279"/>
      <c r="Q16" s="45" t="str">
        <f t="shared" ref="Q16:Q19" si="11">BB8</f>
        <v/>
      </c>
      <c r="R16" s="44" t="s">
        <v>3794</v>
      </c>
      <c r="S16" s="279"/>
      <c r="T16" s="46" t="str">
        <f t="shared" ref="T16:T19" si="12">BB16</f>
        <v/>
      </c>
      <c r="U16" s="41"/>
      <c r="W16" s="80" t="s">
        <v>4008</v>
      </c>
      <c r="X16" s="81" t="str">
        <f>IFERROR(INDEX(男子エントリー!$B$7:$AB$406,MATCH(V14,男子エントリー!$AB$7:$AB$406,0),5),"")</f>
        <v/>
      </c>
      <c r="Y16" s="43" t="s">
        <v>3769</v>
      </c>
      <c r="Z16" s="279"/>
      <c r="AA16" s="45" t="str">
        <f t="shared" ref="AA16:AA19" si="13">BD8</f>
        <v/>
      </c>
      <c r="AB16" s="44" t="s">
        <v>3794</v>
      </c>
      <c r="AC16" s="279"/>
      <c r="AD16" s="46" t="str">
        <f t="shared" ref="AD16:AD19" si="14">BD16</f>
        <v/>
      </c>
      <c r="AE16" s="41"/>
      <c r="AN16" s="41" t="s">
        <v>3794</v>
      </c>
      <c r="AO16" s="39">
        <v>0.14354</v>
      </c>
      <c r="AP16" s="39">
        <v>220</v>
      </c>
      <c r="AQ16" s="39">
        <v>1.4</v>
      </c>
      <c r="AR16" s="39"/>
      <c r="AS16" s="39">
        <f>I8</f>
        <v>0</v>
      </c>
      <c r="AT16" s="39" t="str">
        <f t="shared" si="8"/>
        <v/>
      </c>
      <c r="AU16" s="39">
        <f>S8</f>
        <v>0</v>
      </c>
      <c r="AV16" s="39" t="str">
        <f>IFERROR(IF(AU16=0,"",INT($AO16*ABS($AP16-AU16)^$AQ16)),"")</f>
        <v/>
      </c>
      <c r="AW16" s="39">
        <f>AC8</f>
        <v>0</v>
      </c>
      <c r="AX16" s="39" t="str">
        <f>IFERROR(IF(AW16=0,"",INT($AO16*ABS($AP16-AW16)^$AQ16)),"")</f>
        <v/>
      </c>
      <c r="AY16" s="39">
        <f>I16</f>
        <v>0</v>
      </c>
      <c r="AZ16" s="39" t="str">
        <f>IFERROR(IF(AY16=0,"",INT($AO16*ABS($AP16-AY16)^$AQ16)),"")</f>
        <v/>
      </c>
      <c r="BA16" s="39">
        <f>S16</f>
        <v>0</v>
      </c>
      <c r="BB16" s="39" t="str">
        <f>IFERROR(IF(BA16=0,"",INT($AO16*ABS($AP16-BA16)^$AQ16)),"")</f>
        <v/>
      </c>
      <c r="BC16" s="39">
        <f>AC16</f>
        <v>0</v>
      </c>
      <c r="BD16" s="42" t="str">
        <f>IFERROR(IF(BC16=0,"",INT($AO16*ABS($AP16-BC16)^$AQ16)),"")</f>
        <v/>
      </c>
    </row>
    <row r="17" spans="2:56" s="38" customFormat="1" ht="22.8" customHeight="1">
      <c r="C17" s="80" t="s">
        <v>6776</v>
      </c>
      <c r="D17" s="81" t="str">
        <f>IFERROR(INDEX(男子エントリー!$B$7:$AB$406,MATCH(B14,男子エントリー!$AB$7:$AB$406,0),6),"")</f>
        <v/>
      </c>
      <c r="E17" s="43" t="s">
        <v>3773</v>
      </c>
      <c r="F17" s="279"/>
      <c r="G17" s="45" t="str">
        <f t="shared" si="9"/>
        <v/>
      </c>
      <c r="H17" s="44" t="s">
        <v>3798</v>
      </c>
      <c r="I17" s="279"/>
      <c r="J17" s="46" t="str">
        <f t="shared" si="10"/>
        <v/>
      </c>
      <c r="K17" s="41"/>
      <c r="M17" s="80" t="s">
        <v>6776</v>
      </c>
      <c r="N17" s="81" t="str">
        <f>IFERROR(INDEX(男子エントリー!$B$7:$AB$406,MATCH(L14,男子エントリー!$AB$7:$AB$406,0),6),"")</f>
        <v/>
      </c>
      <c r="O17" s="43" t="s">
        <v>3773</v>
      </c>
      <c r="P17" s="279"/>
      <c r="Q17" s="45" t="str">
        <f t="shared" si="11"/>
        <v/>
      </c>
      <c r="R17" s="44" t="s">
        <v>3798</v>
      </c>
      <c r="S17" s="279"/>
      <c r="T17" s="46" t="str">
        <f t="shared" si="12"/>
        <v/>
      </c>
      <c r="U17" s="41"/>
      <c r="W17" s="80" t="s">
        <v>6776</v>
      </c>
      <c r="X17" s="81" t="str">
        <f>IFERROR(INDEX(男子エントリー!$B$7:$AB$406,MATCH(V14,男子エントリー!$AB$7:$AB$406,0),6),"")</f>
        <v/>
      </c>
      <c r="Y17" s="43" t="s">
        <v>3773</v>
      </c>
      <c r="Z17" s="279"/>
      <c r="AA17" s="45" t="str">
        <f t="shared" si="13"/>
        <v/>
      </c>
      <c r="AB17" s="44" t="s">
        <v>3798</v>
      </c>
      <c r="AC17" s="279"/>
      <c r="AD17" s="46" t="str">
        <f t="shared" si="14"/>
        <v/>
      </c>
      <c r="AE17" s="41"/>
      <c r="AN17" s="41" t="s">
        <v>3798</v>
      </c>
      <c r="AO17" s="39">
        <v>51.39</v>
      </c>
      <c r="AP17" s="39">
        <v>1.5</v>
      </c>
      <c r="AQ17" s="39">
        <v>1.05</v>
      </c>
      <c r="AR17" s="39"/>
      <c r="AS17" s="39">
        <f>I9/100</f>
        <v>0</v>
      </c>
      <c r="AT17" s="39" t="str">
        <f t="shared" si="8"/>
        <v/>
      </c>
      <c r="AU17" s="39">
        <f>S9/100</f>
        <v>0</v>
      </c>
      <c r="AV17" s="39" t="str">
        <f>IFERROR(IF(AU17=0,"",INT($AO17*ABS($AP17-AU17)^$AQ17)),"")</f>
        <v/>
      </c>
      <c r="AW17" s="39">
        <f>AC9/100</f>
        <v>0</v>
      </c>
      <c r="AX17" s="39" t="str">
        <f>IFERROR(IF(AW17=0,"",INT($AO17*ABS($AP17-AW17)^$AQ17)),"")</f>
        <v/>
      </c>
      <c r="AY17" s="39">
        <f>I17/100</f>
        <v>0</v>
      </c>
      <c r="AZ17" s="39" t="str">
        <f>IFERROR(IF(AY17=0,"",INT($AO17*ABS($AP17-AY17)^$AQ17)),"")</f>
        <v/>
      </c>
      <c r="BA17" s="39">
        <f>S17/100</f>
        <v>0</v>
      </c>
      <c r="BB17" s="39" t="str">
        <f>IFERROR(IF(BA17=0,"",INT($AO17*ABS($AP17-BA17)^$AQ17)),"")</f>
        <v/>
      </c>
      <c r="BC17" s="39">
        <f>AC17/100</f>
        <v>0</v>
      </c>
      <c r="BD17" s="42" t="str">
        <f>IFERROR(IF(BC17=0,"",INT($AO17*ABS($AP17-BC17)^$AQ17)),"")</f>
        <v/>
      </c>
    </row>
    <row r="18" spans="2:56" s="38" customFormat="1" ht="22.8" customHeight="1">
      <c r="C18" s="80" t="s">
        <v>6778</v>
      </c>
      <c r="D18" s="81" t="str" cm="1">
        <f t="array" ref="D18">IFERROR(INDEX(男子エントリー!$B$7:$AB$406,MATCH(B14,男子エントリー!$AB$7:$AB$406,0)+1,6),"")</f>
        <v/>
      </c>
      <c r="E18" s="43" t="s">
        <v>3779</v>
      </c>
      <c r="F18" s="279"/>
      <c r="G18" s="45" t="str">
        <f t="shared" si="9"/>
        <v/>
      </c>
      <c r="H18" s="44" t="s">
        <v>3800</v>
      </c>
      <c r="I18" s="279"/>
      <c r="J18" s="46" t="str">
        <f t="shared" si="10"/>
        <v/>
      </c>
      <c r="K18" s="41"/>
      <c r="M18" s="80" t="s">
        <v>6778</v>
      </c>
      <c r="N18" s="81" t="str" cm="1">
        <f t="array" ref="N18">IFERROR(INDEX(男子エントリー!$B$7:$AB$406,MATCH(L14,男子エントリー!$AB$7:$AB$406,0)+1,6),"")</f>
        <v/>
      </c>
      <c r="O18" s="43" t="s">
        <v>3779</v>
      </c>
      <c r="P18" s="279"/>
      <c r="Q18" s="45" t="str">
        <f t="shared" si="11"/>
        <v/>
      </c>
      <c r="R18" s="44" t="s">
        <v>3800</v>
      </c>
      <c r="S18" s="279"/>
      <c r="T18" s="46" t="str">
        <f t="shared" si="12"/>
        <v/>
      </c>
      <c r="U18" s="41"/>
      <c r="W18" s="80" t="s">
        <v>6778</v>
      </c>
      <c r="X18" s="81" t="str" cm="1">
        <f t="array" ref="X18">IFERROR(INDEX(男子エントリー!$B$7:$AB$406,MATCH(V14,男子エントリー!$AB$7:$AB$406,0)+1,6),"")</f>
        <v/>
      </c>
      <c r="Y18" s="43" t="s">
        <v>3779</v>
      </c>
      <c r="Z18" s="279"/>
      <c r="AA18" s="45" t="str">
        <f t="shared" si="13"/>
        <v/>
      </c>
      <c r="AB18" s="44" t="s">
        <v>3800</v>
      </c>
      <c r="AC18" s="279"/>
      <c r="AD18" s="46" t="str">
        <f t="shared" si="14"/>
        <v/>
      </c>
      <c r="AE18" s="41"/>
      <c r="AN18" s="41" t="s">
        <v>3800</v>
      </c>
      <c r="AO18" s="39">
        <v>12.91</v>
      </c>
      <c r="AP18" s="39">
        <v>4</v>
      </c>
      <c r="AQ18" s="39">
        <v>1.1000000000000001</v>
      </c>
      <c r="AR18" s="39"/>
      <c r="AS18" s="39">
        <f>I10/100</f>
        <v>0</v>
      </c>
      <c r="AT18" s="39" t="str">
        <f t="shared" si="8"/>
        <v/>
      </c>
      <c r="AU18" s="39">
        <f>S10/100</f>
        <v>0</v>
      </c>
      <c r="AV18" s="39" t="str">
        <f>IFERROR(IF(AU18=0,"",INT($AO18*ABS($AP18-AU18)^$AQ18)),"")</f>
        <v/>
      </c>
      <c r="AW18" s="39">
        <f>AC10/100</f>
        <v>0</v>
      </c>
      <c r="AX18" s="39" t="str">
        <f>IFERROR(IF(AW18=0,"",INT($AO18*ABS($AP18-AW18)^$AQ18)),"")</f>
        <v/>
      </c>
      <c r="AY18" s="39">
        <f>I18/100</f>
        <v>0</v>
      </c>
      <c r="AZ18" s="39" t="str">
        <f>IFERROR(IF(AY18=0,"",INT($AO18*ABS($AP18-AY18)^$AQ18)),"")</f>
        <v/>
      </c>
      <c r="BA18" s="39">
        <f>S18/100</f>
        <v>0</v>
      </c>
      <c r="BB18" s="39" t="str">
        <f>IFERROR(IF(BA18=0,"",INT($AO18*ABS($AP18-BA18)^$AQ18)),"")</f>
        <v/>
      </c>
      <c r="BC18" s="39">
        <f>AC18/100</f>
        <v>0</v>
      </c>
      <c r="BD18" s="42" t="str">
        <f>IFERROR(IF(BC18=0,"",INT($AO18*ABS($AP18-BC18)^$AQ18)),"")</f>
        <v/>
      </c>
    </row>
    <row r="19" spans="2:56" s="38" customFormat="1" ht="22.8" customHeight="1" thickBot="1">
      <c r="C19" s="82" t="s">
        <v>6756</v>
      </c>
      <c r="D19" s="83" t="str">
        <f>IFERROR(INDEX(男子エントリー!$B$7:$AC$406,MATCH(B14,男子エントリー!$AB$7:$AB$406,0),28),"")</f>
        <v/>
      </c>
      <c r="E19" s="47" t="s">
        <v>3790</v>
      </c>
      <c r="F19" s="280"/>
      <c r="G19" s="48" t="str">
        <f t="shared" si="9"/>
        <v/>
      </c>
      <c r="H19" s="49" t="s">
        <v>3804</v>
      </c>
      <c r="I19" s="280"/>
      <c r="J19" s="50" t="str">
        <f t="shared" si="10"/>
        <v/>
      </c>
      <c r="K19" s="41"/>
      <c r="M19" s="82" t="s">
        <v>6756</v>
      </c>
      <c r="N19" s="83" t="str">
        <f>IFERROR(INDEX(男子エントリー!$B$7:$AC$406,MATCH(L14,男子エントリー!$AB$7:$AB$406,0),28),"")</f>
        <v/>
      </c>
      <c r="O19" s="47" t="s">
        <v>3790</v>
      </c>
      <c r="P19" s="280"/>
      <c r="Q19" s="48" t="str">
        <f t="shared" si="11"/>
        <v/>
      </c>
      <c r="R19" s="49" t="s">
        <v>3804</v>
      </c>
      <c r="S19" s="280"/>
      <c r="T19" s="50" t="str">
        <f t="shared" si="12"/>
        <v/>
      </c>
      <c r="U19" s="41"/>
      <c r="W19" s="82" t="s">
        <v>6756</v>
      </c>
      <c r="X19" s="83" t="str">
        <f>IFERROR(INDEX(男子エントリー!$B$7:$AC$406,MATCH(V14,男子エントリー!$AB$7:$AB$406,0),28),"")</f>
        <v/>
      </c>
      <c r="Y19" s="47" t="s">
        <v>3790</v>
      </c>
      <c r="Z19" s="280"/>
      <c r="AA19" s="48" t="str">
        <f t="shared" si="13"/>
        <v/>
      </c>
      <c r="AB19" s="49" t="s">
        <v>3804</v>
      </c>
      <c r="AC19" s="280"/>
      <c r="AD19" s="50" t="str">
        <f t="shared" si="14"/>
        <v/>
      </c>
      <c r="AE19" s="41"/>
      <c r="AN19" s="41" t="s">
        <v>3804</v>
      </c>
      <c r="AO19" s="39">
        <v>10.14</v>
      </c>
      <c r="AP19" s="39">
        <v>7</v>
      </c>
      <c r="AQ19" s="39">
        <v>1.08</v>
      </c>
      <c r="AR19" s="39"/>
      <c r="AS19" s="39">
        <f>I11/100</f>
        <v>0</v>
      </c>
      <c r="AT19" s="39" t="str">
        <f t="shared" si="8"/>
        <v/>
      </c>
      <c r="AU19" s="39">
        <f>S11/100</f>
        <v>0</v>
      </c>
      <c r="AV19" s="39" t="str">
        <f>IFERROR(IF(AU19=0,"",INT($AO19*ABS($AP19-AU19)^$AQ19)),"")</f>
        <v/>
      </c>
      <c r="AW19" s="39">
        <f>AC11/100</f>
        <v>0</v>
      </c>
      <c r="AX19" s="39" t="str">
        <f>IFERROR(IF(AW19=0,"",INT($AO19*ABS($AP19-AW19)^$AQ19)),"")</f>
        <v/>
      </c>
      <c r="AY19" s="39">
        <f>I19/100</f>
        <v>0</v>
      </c>
      <c r="AZ19" s="39" t="str">
        <f>IFERROR(IF(AY19=0,"",INT($AO19*ABS($AP19-AY19)^$AQ19)),"")</f>
        <v/>
      </c>
      <c r="BA19" s="39">
        <f>S19/100</f>
        <v>0</v>
      </c>
      <c r="BB19" s="39" t="str">
        <f>IFERROR(IF(BA19=0,"",INT($AO19*ABS($AP19-BA19)^$AQ19)),"")</f>
        <v/>
      </c>
      <c r="BC19" s="39">
        <f>AC19/100</f>
        <v>0</v>
      </c>
      <c r="BD19" s="42" t="str">
        <f>IFERROR(IF(BC19=0,"",INT($AO19*ABS($AP19-BC19)^$AQ19)),"")</f>
        <v/>
      </c>
    </row>
    <row r="20" spans="2:56" s="38" customFormat="1" ht="27.6" customHeight="1">
      <c r="AN20" s="41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42"/>
    </row>
    <row r="21" spans="2:56" s="38" customFormat="1" ht="22.8" customHeight="1" thickBot="1">
      <c r="C21" s="514" t="s">
        <v>7068</v>
      </c>
      <c r="D21" s="514"/>
      <c r="M21" s="56"/>
      <c r="N21" s="56"/>
      <c r="W21" s="56"/>
      <c r="X21" s="56"/>
      <c r="AN21" s="41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42"/>
    </row>
    <row r="22" spans="2:56" s="38" customFormat="1" ht="22.8" customHeight="1" thickBot="1">
      <c r="B22" s="38">
        <v>1</v>
      </c>
      <c r="C22" s="84" t="s">
        <v>7108</v>
      </c>
      <c r="D22" s="85" t="str">
        <f>IFERROR((INDEX(女子エントリー!$B$7:$AB$406,MATCH(B22,女子エントリー!$AB$7:$AB$406,0),1)&amp;INDEX(女子エントリー!$B$7:$AB$406,MATCH(B22,女子エントリー!$AB$7:$AB$406,0),2)),"")</f>
        <v/>
      </c>
      <c r="E22" s="73" t="s">
        <v>6771</v>
      </c>
      <c r="F22" s="194" t="s">
        <v>6755</v>
      </c>
      <c r="G22" s="74" t="s">
        <v>6785</v>
      </c>
      <c r="H22" s="74" t="s">
        <v>6771</v>
      </c>
      <c r="I22" s="194" t="s">
        <v>6755</v>
      </c>
      <c r="J22" s="75" t="s">
        <v>6785</v>
      </c>
      <c r="K22" s="41"/>
      <c r="L22" s="38">
        <v>2</v>
      </c>
      <c r="M22" s="84" t="s">
        <v>7108</v>
      </c>
      <c r="N22" s="85" t="str">
        <f>IFERROR((INDEX(女子エントリー!$B$7:$AB$406,MATCH(L22,女子エントリー!$AB$7:$AB$406,0),1)&amp;INDEX(女子エントリー!$B$7:$AB$406,MATCH(L22,女子エントリー!$AB$7:$AB$406,0),2)),"")</f>
        <v/>
      </c>
      <c r="O22" s="73" t="s">
        <v>6771</v>
      </c>
      <c r="P22" s="194" t="s">
        <v>6755</v>
      </c>
      <c r="Q22" s="74" t="s">
        <v>6785</v>
      </c>
      <c r="R22" s="74" t="s">
        <v>6771</v>
      </c>
      <c r="S22" s="194" t="s">
        <v>6755</v>
      </c>
      <c r="T22" s="75" t="s">
        <v>6785</v>
      </c>
      <c r="U22" s="41"/>
      <c r="V22" s="38">
        <v>3</v>
      </c>
      <c r="W22" s="84" t="s">
        <v>7108</v>
      </c>
      <c r="X22" s="85" t="str">
        <f>IFERROR((INDEX(女子エントリー!$B$7:$AB$406,MATCH(V22,女子エントリー!$AB$7:$AB$406,0),1)&amp;INDEX(女子エントリー!$B$7:$AB$406,MATCH(V22,女子エントリー!$AB$7:$AB$406,0),2)),"")</f>
        <v/>
      </c>
      <c r="Y22" s="73" t="s">
        <v>6771</v>
      </c>
      <c r="Z22" s="194" t="s">
        <v>6755</v>
      </c>
      <c r="AA22" s="74" t="s">
        <v>6785</v>
      </c>
      <c r="AB22" s="74" t="s">
        <v>6771</v>
      </c>
      <c r="AC22" s="194" t="s">
        <v>6755</v>
      </c>
      <c r="AD22" s="75" t="s">
        <v>6785</v>
      </c>
      <c r="AE22" s="41"/>
      <c r="AF22" s="38">
        <v>1</v>
      </c>
      <c r="AG22" s="38" t="b">
        <f>IF(AND(D22="",COUNTIF(F23:F27,"")+COUNTIF(I23:I24,"")=7),FALSE,TRUE)</f>
        <v>0</v>
      </c>
      <c r="AH22" s="38" t="b">
        <f>IF(D22="",FALSE,TRUE)</f>
        <v>0</v>
      </c>
      <c r="AI22" s="38" t="b">
        <f>IF(AG22=FALSE,FALSE,IF(AH22=FALSE,TRUE,FALSE))</f>
        <v>0</v>
      </c>
      <c r="AJ22" s="38" t="b">
        <f>IF(AH22=FALSE,FALSE,IF(AND(AH22,COUNTIF(F23:F27,"")+COUNTIF(I23:I24,"")&gt;0),TRUE,FALSE))</f>
        <v>0</v>
      </c>
      <c r="AK22" s="38" t="b">
        <f>IF(ISNUMBER(F23+F24+F25+F26+F27+I23+I24)=TRUE,IF(MOD(F23+F24+F25+F26+F27+I23+F27+I24,1)&gt;0,TRUE,FALSE),TRUE)</f>
        <v>0</v>
      </c>
      <c r="AL22" s="38" t="b" cm="1">
        <f t="array" ref="AL22">IF(IFERROR(_xlfn.IFS(VALUE(RIGHT(INT(F23/100),2))&gt;59,TRUE,VALUE(RIGHT(INT(F23/10000),2))&gt;59,TRUE,VALUE(RIGHT(INT(F24/100),2))&gt;59,TRUE,VALUE(RIGHT(INT(F24/10000),2))&gt;59,TRUE,VALUE(RIGHT(INT(F25/100),2))&gt;59,TRUE,VALUE(RIGHT(INT(F25/10000),2))&gt;59,TRUE),FALSE)&lt;&gt;TRUE,FALSE,TRUE)</f>
        <v>0</v>
      </c>
      <c r="AM22" s="38">
        <f t="shared" ref="AM22:AM27" si="15">IF(AND(AG22,COUNTIF(AI22:AL22,TRUE)=0),1,0)</f>
        <v>0</v>
      </c>
      <c r="AN22" s="41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42"/>
    </row>
    <row r="23" spans="2:56" s="38" customFormat="1" ht="22.8" customHeight="1" thickTop="1">
      <c r="C23" s="86" t="s">
        <v>6754</v>
      </c>
      <c r="D23" s="87" t="str">
        <f>IFERROR(INDEX(女子エントリー!$B$7:$AB$406,MATCH(B22,女子エントリー!$AB$7:$AB$406,0),4),"")</f>
        <v/>
      </c>
      <c r="E23" s="76" t="s">
        <v>3767</v>
      </c>
      <c r="F23" s="308"/>
      <c r="G23" s="77" t="str">
        <f>AT23</f>
        <v/>
      </c>
      <c r="H23" s="58" t="s">
        <v>3798</v>
      </c>
      <c r="I23" s="279"/>
      <c r="J23" s="60" t="str">
        <f>AT32</f>
        <v/>
      </c>
      <c r="K23" s="41"/>
      <c r="M23" s="86" t="s">
        <v>6754</v>
      </c>
      <c r="N23" s="87" t="str">
        <f>IFERROR(INDEX(女子エントリー!$B$7:$AB$406,MATCH(L22,女子エントリー!$AB$7:$AB$406,0),4),"")</f>
        <v/>
      </c>
      <c r="O23" s="76" t="s">
        <v>3767</v>
      </c>
      <c r="P23" s="278"/>
      <c r="Q23" s="77" t="str">
        <f>AV23</f>
        <v/>
      </c>
      <c r="R23" s="58" t="s">
        <v>3798</v>
      </c>
      <c r="S23" s="279"/>
      <c r="T23" s="60" t="str">
        <f>AV32</f>
        <v/>
      </c>
      <c r="U23" s="41"/>
      <c r="W23" s="86" t="s">
        <v>6754</v>
      </c>
      <c r="X23" s="87" t="str">
        <f>IFERROR(INDEX(女子エントリー!$B$7:$AB$406,MATCH(V22,女子エントリー!$AB$7:$AB$406,0),4),"")</f>
        <v/>
      </c>
      <c r="Y23" s="76" t="s">
        <v>3767</v>
      </c>
      <c r="Z23" s="278"/>
      <c r="AA23" s="77" t="str">
        <f>AX23</f>
        <v/>
      </c>
      <c r="AB23" s="58" t="s">
        <v>3798</v>
      </c>
      <c r="AC23" s="279"/>
      <c r="AD23" s="60" t="str">
        <f>AX32</f>
        <v/>
      </c>
      <c r="AE23" s="41"/>
      <c r="AF23" s="38">
        <v>2</v>
      </c>
      <c r="AG23" s="38" t="b">
        <f>IF(AND(N22="",COUNTIF(P23:P27,"")+COUNTIF(S23:S24,"")=7),FALSE,TRUE)</f>
        <v>0</v>
      </c>
      <c r="AH23" s="38" t="b">
        <f>IF(N22="",FALSE,TRUE)</f>
        <v>0</v>
      </c>
      <c r="AI23" s="38" t="b">
        <f>IF(AG23=FALSE,FALSE,IF(AH23=FALSE,TRUE,FALSE))</f>
        <v>0</v>
      </c>
      <c r="AJ23" s="38" t="b">
        <f>IF(AH23=FALSE,FALSE,IF(AND(AH23,COUNTIF(P23:P27,"")+COUNTIF(S23:S24,"")&gt;0),TRUE,FALSE))</f>
        <v>0</v>
      </c>
      <c r="AK23" s="38" t="b">
        <f>IF(ISNUMBER(P23+P24+P25+P26+P27+S23+S24)=TRUE,IF(MOD(P23+P24+P25+P26+P27+S23+S24,1)&gt;0,TRUE,FALSE),TRUE)</f>
        <v>0</v>
      </c>
      <c r="AL23" s="38" t="b" cm="1">
        <f t="array" ref="AL23">IF(IFERROR(_xlfn.IFS(VALUE(RIGHT(INT(P23/100),2))&gt;59,TRUE,VALUE(RIGHT(INT(P23/10000),2))&gt;59,TRUE,VALUE(RIGHT(INT(P24/100),2))&gt;59,TRUE,VALUE(RIGHT(INT(P24/10000),2))&gt;59,TRUE,VALUE(RIGHT(INT(P25/100),2))&gt;59,TRUE,VALUE(RIGHT(INT(P25/10000),2))&gt;59,TRUE),FALSE)&lt;&gt;TRUE,FALSE,TRUE)</f>
        <v>0</v>
      </c>
      <c r="AM23" s="38">
        <f t="shared" si="15"/>
        <v>0</v>
      </c>
      <c r="AN23" s="41" t="s">
        <v>3767</v>
      </c>
      <c r="AO23" s="39">
        <v>4.9908700000000001</v>
      </c>
      <c r="AP23" s="39">
        <v>42.5</v>
      </c>
      <c r="AQ23" s="39">
        <v>1.81</v>
      </c>
      <c r="AR23" s="39"/>
      <c r="AS23" s="39">
        <f>INT(F23/10000)*60+MOD(F23/100,100)</f>
        <v>0</v>
      </c>
      <c r="AT23" s="39" t="str">
        <f t="shared" si="8"/>
        <v/>
      </c>
      <c r="AU23" s="39">
        <f>INT(P23/10000)*60+MOD(P23/100,100)</f>
        <v>0</v>
      </c>
      <c r="AV23" s="39" t="str">
        <f>IFERROR(IF(AU23=0,"",INT($AO23*ABS($AP23-AU23)^$AQ23)),"")</f>
        <v/>
      </c>
      <c r="AW23" s="39">
        <f>INT(Z23/10000)*60+MOD(Z23/100,100)</f>
        <v>0</v>
      </c>
      <c r="AX23" s="39" t="str">
        <f>IFERROR(IF(AW23=0,"",INT($AO23*ABS($AP23-AW23)^$AQ23)),"")</f>
        <v/>
      </c>
      <c r="AY23" s="39">
        <f>INT(F31/10000)*60+MOD(F31/100,100)</f>
        <v>0</v>
      </c>
      <c r="AZ23" s="39" t="str">
        <f>IFERROR(IF(AY23=0,"",INT($AO23*ABS($AP23-AY23)^$AQ23)),"")</f>
        <v/>
      </c>
      <c r="BA23" s="39">
        <f>INT(P31/10000)*60+MOD(P31/100,100)</f>
        <v>0</v>
      </c>
      <c r="BB23" s="39" t="str">
        <f>IFERROR(IF(BA23=0,"",INT($AO23*ABS($AP23-BA23)^$AQ23)),"")</f>
        <v/>
      </c>
      <c r="BC23" s="39">
        <f>INT(Z31/10000)*60+MOD(Z31/100,100)</f>
        <v>0</v>
      </c>
      <c r="BD23" s="42" t="str">
        <f>IFERROR(IF(BC23=0,"",INT($AO23*ABS($AP23-BC23)^$AQ23)),"")</f>
        <v/>
      </c>
    </row>
    <row r="24" spans="2:56" s="38" customFormat="1" ht="22.8" customHeight="1" thickBot="1">
      <c r="C24" s="86" t="s">
        <v>4008</v>
      </c>
      <c r="D24" s="87" t="str">
        <f>IFERROR(INDEX(女子エントリー!$B$7:$AB$406,MATCH(B22,女子エントリー!$AB$7:$AB$406,0),5),"")</f>
        <v/>
      </c>
      <c r="E24" s="57" t="s">
        <v>3771</v>
      </c>
      <c r="F24" s="309"/>
      <c r="G24" s="59" t="str">
        <f t="shared" ref="G24:G26" si="16">AT24</f>
        <v/>
      </c>
      <c r="H24" s="62" t="s">
        <v>3804</v>
      </c>
      <c r="I24" s="280"/>
      <c r="J24" s="277" t="str">
        <f>AT33</f>
        <v/>
      </c>
      <c r="K24" s="41"/>
      <c r="M24" s="86" t="s">
        <v>4008</v>
      </c>
      <c r="N24" s="87" t="str">
        <f>IFERROR(INDEX(女子エントリー!$B$7:$AB$406,MATCH(L22,女子エントリー!$AB$7:$AB$406,0),5),"")</f>
        <v/>
      </c>
      <c r="O24" s="57" t="s">
        <v>3771</v>
      </c>
      <c r="P24" s="279"/>
      <c r="Q24" s="59" t="str">
        <f t="shared" ref="Q24:Q26" si="17">AV24</f>
        <v/>
      </c>
      <c r="R24" s="62" t="s">
        <v>3804</v>
      </c>
      <c r="S24" s="280"/>
      <c r="T24" s="277" t="str">
        <f>AV33</f>
        <v/>
      </c>
      <c r="U24" s="41"/>
      <c r="W24" s="86" t="s">
        <v>4008</v>
      </c>
      <c r="X24" s="87" t="str">
        <f>IFERROR(INDEX(女子エントリー!$B$7:$AB$406,MATCH(V22,女子エントリー!$AB$7:$AB$406,0),5),"")</f>
        <v/>
      </c>
      <c r="Y24" s="57" t="s">
        <v>3771</v>
      </c>
      <c r="Z24" s="279"/>
      <c r="AA24" s="59" t="str">
        <f t="shared" ref="AA24:AA26" si="18">AX24</f>
        <v/>
      </c>
      <c r="AB24" s="62" t="s">
        <v>3804</v>
      </c>
      <c r="AC24" s="280"/>
      <c r="AD24" s="277" t="str">
        <f>AX33</f>
        <v/>
      </c>
      <c r="AE24" s="41"/>
      <c r="AF24" s="38">
        <v>3</v>
      </c>
      <c r="AG24" s="38" t="b">
        <f>IF(AND(X22="",COUNTIF(Z23:Z27,"")+COUNTIF(AC23:AC24,"")=7),FALSE,TRUE)</f>
        <v>0</v>
      </c>
      <c r="AH24" s="38" t="b">
        <f>IF(X22="",FALSE,TRUE)</f>
        <v>0</v>
      </c>
      <c r="AI24" s="38" t="b">
        <f t="shared" ref="AI24:AI27" si="19">IF(AG24=FALSE,FALSE,IF(AH24=FALSE,TRUE,FALSE))</f>
        <v>0</v>
      </c>
      <c r="AJ24" s="38" t="b">
        <f>IF(AH24=FALSE,FALSE,IF(AND(AH24,COUNTIF(Z23:Z27,"")+COUNTIF(AC23:AC24,"")&gt;0),TRUE,FALSE))</f>
        <v>0</v>
      </c>
      <c r="AK24" s="38" t="b">
        <f>IF(ISNUMBER(Z23+Z24+Z25+Z26+Z27+AC23+AC24)=TRUE,IF(MOD(Z23+Z24+Z25+Z26+Z27+AC23+AC24,1)&gt;0,TRUE,FALSE),TRUE)</f>
        <v>0</v>
      </c>
      <c r="AL24" s="38" t="b" cm="1">
        <f t="array" ref="AL24">IF(IFERROR(_xlfn.IFS(VALUE(RIGHT(INT(Z23/100),2))&gt;59,TRUE,VALUE(RIGHT(INT(Z23/10000),2))&gt;59,TRUE,VALUE(RIGHT(INT(Z24/100),2))&gt;59,TRUE,VALUE(RIGHT(INT(Z24/10000),2))&gt;59,TRUE,VALUE(RIGHT(INT(Z25/100),2))&gt;59,TRUE,VALUE(RIGHT(INT(Z25/10000),2))&gt;59,TRUE),FALSE)&lt;&gt;TRUE,FALSE,TRUE)</f>
        <v>0</v>
      </c>
      <c r="AM24" s="38">
        <f t="shared" si="15"/>
        <v>0</v>
      </c>
      <c r="AN24" s="41" t="s">
        <v>3771</v>
      </c>
      <c r="AO24" s="39">
        <v>0.11193</v>
      </c>
      <c r="AP24" s="39">
        <v>254</v>
      </c>
      <c r="AQ24" s="39">
        <v>1.88</v>
      </c>
      <c r="AR24" s="39"/>
      <c r="AS24" s="39">
        <f>INT(F24/10000)*60+MOD(F24/100,100)</f>
        <v>0</v>
      </c>
      <c r="AT24" s="39" t="str">
        <f t="shared" si="8"/>
        <v/>
      </c>
      <c r="AU24" s="39">
        <f>INT(P24/10000)*60+MOD(P24/100,100)</f>
        <v>0</v>
      </c>
      <c r="AV24" s="39" t="str">
        <f>IFERROR(IF(AU24=0,"",INT($AO24*ABS($AP24-AU24)^$AQ24)),"")</f>
        <v/>
      </c>
      <c r="AW24" s="39">
        <f>INT(Z24/10000)*60+MOD(Z24/100,100)</f>
        <v>0</v>
      </c>
      <c r="AX24" s="39" t="str">
        <f>IFERROR(IF(AW24=0,"",INT($AO24*ABS($AP24-AW24)^$AQ24)),"")</f>
        <v/>
      </c>
      <c r="AY24" s="39">
        <f>INT(F32/10000)*60+MOD(F32/100,100)</f>
        <v>0</v>
      </c>
      <c r="AZ24" s="39" t="str">
        <f>IFERROR(IF(AY24=0,"",INT($AO24*ABS($AP24-AY24)^$AQ24)),"")</f>
        <v/>
      </c>
      <c r="BA24" s="39">
        <f>INT(P32/10000)*60+MOD(P32/100,100)</f>
        <v>0</v>
      </c>
      <c r="BB24" s="39" t="str">
        <f>IFERROR(IF(BA24=0,"",INT($AO24*ABS($AP24-BA24)^$AQ24)),"")</f>
        <v/>
      </c>
      <c r="BC24" s="39">
        <f>INT(Z32/10000)*60+MOD(Z32/100,100)</f>
        <v>0</v>
      </c>
      <c r="BD24" s="42" t="str">
        <f>IFERROR(IF(BC24=0,"",INT($AO24*ABS($AP24-BC24)^$AQ24)),"")</f>
        <v/>
      </c>
    </row>
    <row r="25" spans="2:56" s="38" customFormat="1" ht="22.8" customHeight="1">
      <c r="C25" s="86" t="s">
        <v>6776</v>
      </c>
      <c r="D25" s="87" t="str">
        <f>IFERROR(INDEX(女子エントリー!$B$7:$AB$406,MATCH(B22,女子エントリー!$AB$7:$AB$406,0),6),"")</f>
        <v/>
      </c>
      <c r="E25" s="57" t="s">
        <v>3810</v>
      </c>
      <c r="F25" s="309"/>
      <c r="G25" s="60" t="str">
        <f t="shared" si="16"/>
        <v/>
      </c>
      <c r="H25" s="275"/>
      <c r="M25" s="86" t="s">
        <v>6776</v>
      </c>
      <c r="N25" s="87" t="str">
        <f>IFERROR(INDEX(女子エントリー!$B$7:$AB$406,MATCH(L22,女子エントリー!$AB$7:$AB$406,0),6),"")</f>
        <v/>
      </c>
      <c r="O25" s="57" t="s">
        <v>3810</v>
      </c>
      <c r="P25" s="279"/>
      <c r="Q25" s="60" t="str">
        <f t="shared" si="17"/>
        <v/>
      </c>
      <c r="R25" s="275"/>
      <c r="W25" s="86" t="s">
        <v>6776</v>
      </c>
      <c r="X25" s="87" t="str">
        <f>IFERROR(INDEX(女子エントリー!$B$7:$AB$406,MATCH(V22,女子エントリー!$AB$7:$AB$406,0),6),"")</f>
        <v/>
      </c>
      <c r="Y25" s="57" t="s">
        <v>3810</v>
      </c>
      <c r="Z25" s="279"/>
      <c r="AA25" s="60" t="str">
        <f t="shared" si="18"/>
        <v/>
      </c>
      <c r="AB25" s="275"/>
      <c r="AF25" s="38">
        <v>4</v>
      </c>
      <c r="AG25" s="38" t="b">
        <f>IF(AND(D30="",COUNTIF(F31:F35,"")+COUNTIF(I31:I32,"")=7),FALSE,TRUE)</f>
        <v>0</v>
      </c>
      <c r="AH25" s="38" t="b">
        <f>IF(D30="",FALSE,TRUE)</f>
        <v>0</v>
      </c>
      <c r="AI25" s="38" t="b">
        <f t="shared" si="19"/>
        <v>0</v>
      </c>
      <c r="AJ25" s="38" t="b">
        <f>IF(AH25=FALSE,FALSE,IF(AND(AH25,COUNTIF(F31:F35,"")+COUNTIF(I31:I32,"")&gt;0),TRUE,FALSE))</f>
        <v>0</v>
      </c>
      <c r="AK25" s="38" t="b">
        <f>IF(ISNUMBER(F31+F32+F33+F34+F35+I31+I32)=TRUE,IF(MOD(F31+F32+F33+F34+F35+I31+I32,1)&gt;0,TRUE,FALSE),TRUE)</f>
        <v>0</v>
      </c>
      <c r="AL25" s="38" t="b" cm="1">
        <f t="array" ref="AL25">IF(IFERROR(_xlfn.IFS(VALUE(RIGHT(INT(F31/100),2))&gt;59,TRUE,VALUE(RIGHT(INT(F31/10000),2))&gt;59,TRUE,VALUE(RIGHT(INT(F32/100),2))&gt;59,TRUE,VALUE(RIGHT(INT(F32/10000),2))&gt;59,TRUE,VALUE(RIGHT(INT(F33/100),2))&gt;59,TRUE,VALUE(RIGHT(INT(F33/10000),2))&gt;59,TRUE),FALSE)&lt;&gt;TRUE,FALSE,TRUE)</f>
        <v>0</v>
      </c>
      <c r="AM25" s="38">
        <f t="shared" si="15"/>
        <v>0</v>
      </c>
      <c r="AN25" s="41" t="s">
        <v>3810</v>
      </c>
      <c r="AO25" s="39">
        <v>9.2307600000000001</v>
      </c>
      <c r="AP25" s="39">
        <v>26.7</v>
      </c>
      <c r="AQ25" s="39">
        <v>1.835</v>
      </c>
      <c r="AR25" s="39"/>
      <c r="AS25" s="39">
        <f>INT(F25/10000)*60+MOD(F25/100,100)</f>
        <v>0</v>
      </c>
      <c r="AT25" s="39" t="str">
        <f t="shared" si="8"/>
        <v/>
      </c>
      <c r="AU25" s="39">
        <f>INT(P25/10000)*60+MOD(P25/100,100)</f>
        <v>0</v>
      </c>
      <c r="AV25" s="39" t="str">
        <f>IFERROR(IF(AU25=0,"",INT($AO25*ABS($AP25-AU25)^$AQ25)),"")</f>
        <v/>
      </c>
      <c r="AW25" s="39">
        <f>INT(Z25/10000)*60+MOD(Z25/100,100)</f>
        <v>0</v>
      </c>
      <c r="AX25" s="39" t="str">
        <f>IFERROR(IF(AW25=0,"",INT($AO25*ABS($AP25-AW25)^$AQ25)),"")</f>
        <v/>
      </c>
      <c r="AY25" s="39">
        <f>INT(F33/10000)*60+MOD(F33/100,100)</f>
        <v>0</v>
      </c>
      <c r="AZ25" s="39" t="str">
        <f>IFERROR(IF(AY25=0,"",INT($AO25*ABS($AP25-AY25)^$AQ25)),"")</f>
        <v/>
      </c>
      <c r="BA25" s="39">
        <f>INT(P33/10000)*60+MOD(P33/100,100)</f>
        <v>0</v>
      </c>
      <c r="BB25" s="39" t="str">
        <f>IFERROR(IF(BA25=0,"",INT($AO25*ABS($AP25-BA25)^$AQ25)),"")</f>
        <v/>
      </c>
      <c r="BC25" s="39">
        <f>INT(Z33/10000)*60+MOD(Z33/100,100)</f>
        <v>0</v>
      </c>
      <c r="BD25" s="42" t="str">
        <f>IFERROR(IF(BC25=0,"",INT($AO25*ABS($AP25-BC25)^$AQ25)),"")</f>
        <v/>
      </c>
    </row>
    <row r="26" spans="2:56" s="38" customFormat="1" ht="22.8" customHeight="1">
      <c r="C26" s="86" t="s">
        <v>6778</v>
      </c>
      <c r="D26" s="87" t="str" cm="1">
        <f t="array" ref="D26">IFERROR(INDEX(女子エントリー!$B$7:$AB$406,MATCH(B22,女子エントリー!$AB$7:$AB$406,0)+1,6),"")</f>
        <v/>
      </c>
      <c r="E26" s="57" t="s">
        <v>3790</v>
      </c>
      <c r="F26" s="309"/>
      <c r="G26" s="60" t="str">
        <f t="shared" si="16"/>
        <v/>
      </c>
      <c r="H26" s="41"/>
      <c r="I26" s="39"/>
      <c r="J26" s="39"/>
      <c r="M26" s="86" t="s">
        <v>6778</v>
      </c>
      <c r="N26" s="87" t="str" cm="1">
        <f t="array" ref="N26">IFERROR(INDEX(女子エントリー!$B$7:$AB$406,MATCH(L22,女子エントリー!$AB$7:$AB$406,0)+1,6),"")</f>
        <v/>
      </c>
      <c r="O26" s="57" t="s">
        <v>3790</v>
      </c>
      <c r="P26" s="279"/>
      <c r="Q26" s="60" t="str">
        <f t="shared" si="17"/>
        <v/>
      </c>
      <c r="R26" s="41"/>
      <c r="S26" s="39"/>
      <c r="T26" s="39"/>
      <c r="W26" s="86" t="s">
        <v>6778</v>
      </c>
      <c r="X26" s="87" t="str" cm="1">
        <f t="array" ref="X26">IFERROR(INDEX(女子エントリー!$B$7:$AB$406,MATCH(V22,女子エントリー!$AB$7:$AB$406,0)+1,6),"")</f>
        <v/>
      </c>
      <c r="Y26" s="57" t="s">
        <v>3790</v>
      </c>
      <c r="Z26" s="279"/>
      <c r="AA26" s="60" t="str">
        <f t="shared" si="18"/>
        <v/>
      </c>
      <c r="AB26" s="41"/>
      <c r="AC26" s="39"/>
      <c r="AD26" s="39"/>
      <c r="AF26" s="38">
        <v>5</v>
      </c>
      <c r="AG26" s="38" t="b">
        <f>IF(AND(N30="",COUNTIF(P31:P35,"")+COUNTIF(S31:S32,"")=7),FALSE,TRUE)</f>
        <v>0</v>
      </c>
      <c r="AH26" s="38" t="b">
        <f>IF(N30="",FALSE,TRUE)</f>
        <v>0</v>
      </c>
      <c r="AI26" s="38" t="b">
        <f t="shared" si="19"/>
        <v>0</v>
      </c>
      <c r="AJ26" s="38" t="b">
        <f>IF(AH26=FALSE,FALSE,IF(AND(AH26,COUNTIF(P31:P35,"")+COUNTIF(S31:S32,"")&gt;0),TRUE,FALSE))</f>
        <v>0</v>
      </c>
      <c r="AK26" s="38" t="b">
        <f>IF(ISNUMBER(P31+P32+P33+P34+P35+S31+S32)=TRUE,IF(MOD(P31+P32+P33+P34+P35+S31+S32,1)&gt;0,TRUE,FALSE),FALSE)</f>
        <v>0</v>
      </c>
      <c r="AL26" s="38" t="b" cm="1">
        <f t="array" ref="AL26">IF(IFERROR(_xlfn.IFS(VALUE(RIGHT(INT(P31/100),2))&gt;59,TRUE,VALUE(RIGHT(INT(P31/10000),2))&gt;59,TRUE,VALUE(RIGHT(INT(P32/100),2))&gt;59,TRUE,VALUE(RIGHT(INT(P32/10000),2))&gt;59,TRUE,VALUE(RIGHT(INT(P33/100),2))&gt;59,TRUE,VALUE(RIGHT(INT(P33/10000),2))&gt;59,TRUE),FALSE)&lt;&gt;TRUE,FALSE,TRUE)</f>
        <v>0</v>
      </c>
      <c r="AM26" s="38">
        <f t="shared" si="15"/>
        <v>0</v>
      </c>
      <c r="AN26" s="41" t="s">
        <v>3790</v>
      </c>
      <c r="AO26" s="39">
        <v>1.8452299999999999</v>
      </c>
      <c r="AP26" s="39">
        <v>75</v>
      </c>
      <c r="AQ26" s="39">
        <v>1.3480000000000001</v>
      </c>
      <c r="AR26" s="39"/>
      <c r="AS26" s="39">
        <f>F26</f>
        <v>0</v>
      </c>
      <c r="AT26" s="39" t="str">
        <f t="shared" si="8"/>
        <v/>
      </c>
      <c r="AU26" s="39">
        <f>P26</f>
        <v>0</v>
      </c>
      <c r="AV26" s="39" t="str">
        <f>IFERROR(IF(AU26=0,"",INT($AO26*ABS($AP26-AU26)^$AQ26)),"")</f>
        <v/>
      </c>
      <c r="AW26" s="39">
        <f>Z26</f>
        <v>0</v>
      </c>
      <c r="AX26" s="39" t="str">
        <f>IFERROR(IF(AW26=0,"",INT($AO26*ABS($AP26-AW26)^$AQ26)),"")</f>
        <v/>
      </c>
      <c r="AY26" s="39">
        <f>F34</f>
        <v>0</v>
      </c>
      <c r="AZ26" s="39" t="str">
        <f>IFERROR(IF(AY26=0,"",INT($AO26*ABS($AP26-AY26)^$AQ26)),"")</f>
        <v/>
      </c>
      <c r="BA26" s="39">
        <f>P34</f>
        <v>0</v>
      </c>
      <c r="BB26" s="39" t="str">
        <f>IFERROR(IF(BA26=0,"",INT($AO26*ABS($AP26-BA26)^$AQ26)),"")</f>
        <v/>
      </c>
      <c r="BC26" s="39">
        <f>Z34</f>
        <v>0</v>
      </c>
      <c r="BD26" s="42" t="str">
        <f>IFERROR(IF(BC26=0,"",INT($AO26*ABS($AP26-BC26)^$AQ26)),"")</f>
        <v/>
      </c>
    </row>
    <row r="27" spans="2:56" s="38" customFormat="1" ht="22.8" customHeight="1" thickBot="1">
      <c r="C27" s="88" t="s">
        <v>4016</v>
      </c>
      <c r="D27" s="306" t="str">
        <f>IFERROR(INDEX(女子エントリー!$B$7:$AC$406,MATCH(B22,女子エントリー!$AB$7:$AB$406,0),28),"")</f>
        <v/>
      </c>
      <c r="E27" s="61" t="s">
        <v>3795</v>
      </c>
      <c r="F27" s="280"/>
      <c r="G27" s="277" t="str">
        <f>AT31</f>
        <v/>
      </c>
      <c r="H27" s="41"/>
      <c r="M27" s="88" t="s">
        <v>4016</v>
      </c>
      <c r="N27" s="306" t="str">
        <f>IFERROR(INDEX(女子エントリー!$B$7:$AC$406,MATCH(L22,女子エントリー!$AB$7:$AB$406,0),28),"")</f>
        <v/>
      </c>
      <c r="O27" s="61" t="s">
        <v>3795</v>
      </c>
      <c r="P27" s="280"/>
      <c r="Q27" s="277" t="str">
        <f>AV31</f>
        <v/>
      </c>
      <c r="R27" s="41"/>
      <c r="W27" s="88" t="s">
        <v>4016</v>
      </c>
      <c r="X27" s="306" t="str">
        <f>IFERROR(INDEX(女子エントリー!$B$7:$AC$406,MATCH(V22,女子エントリー!$AB$7:$AB$406,0),28),"")</f>
        <v/>
      </c>
      <c r="Y27" s="61" t="s">
        <v>3795</v>
      </c>
      <c r="Z27" s="280"/>
      <c r="AA27" s="277" t="str">
        <f>AX31</f>
        <v/>
      </c>
      <c r="AB27" s="41"/>
      <c r="AF27" s="38">
        <v>6</v>
      </c>
      <c r="AG27" s="38" t="b">
        <f>IF(AND(X30="",COUNTIF(Z31:Z35,"")+COUNTIF(AC31:AC32,"")=7),FALSE,TRUE)</f>
        <v>0</v>
      </c>
      <c r="AH27" s="38" t="b">
        <f>IF(X30="",FALSE,TRUE)</f>
        <v>0</v>
      </c>
      <c r="AI27" s="38" t="b">
        <f t="shared" si="19"/>
        <v>0</v>
      </c>
      <c r="AJ27" s="38" t="b">
        <f>IF(AH27=FALSE,FALSE,IF(AND(AH27,COUNTIF(Z31:Z35,"")+COUNTIF(AC31:AC32,"")&gt;0),TRUE,FALSE))</f>
        <v>0</v>
      </c>
      <c r="AK27" s="38" t="b">
        <f>IF(ISNUMBER(Z31+Z32+Z33+Z34+Z35+AC31+AC32)=TRUE,IF(MOD(Z31+Z32+Z33+Z34+Z35+AC31+AC32,1)&gt;0,TRUE,FALSE),FALSE)</f>
        <v>0</v>
      </c>
      <c r="AL27" s="38" t="b" cm="1">
        <f t="array" ref="AL27">IF(IFERROR(_xlfn.IFS(VALUE(RIGHT(INT(Z31/100),2))&gt;59,TRUE,VALUE(RIGHT(INT(Z31/10000),2))&gt;59,TRUE,VALUE(RIGHT(INT(Z32/100),2))&gt;59,TRUE,VALUE(RIGHT(INT(Z32/10000),2))&gt;59,TRUE,VALUE(RIGHT(INT(Z33/100),2))&gt;59,TRUE,VALUE(RIGHT(INT(Z33/10000),2))&gt;59,TRUE),FALSE)&lt;&gt;TRUE,FALSE,TRUE)</f>
        <v>0</v>
      </c>
      <c r="AM27" s="38">
        <f t="shared" si="15"/>
        <v>0</v>
      </c>
      <c r="AN27" s="41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42"/>
    </row>
    <row r="28" spans="2:56" s="38" customFormat="1" ht="16.8" customHeight="1">
      <c r="F28" s="39"/>
      <c r="G28" s="39"/>
      <c r="H28" s="39"/>
      <c r="I28" s="39"/>
      <c r="J28" s="39"/>
      <c r="AN28" s="41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42"/>
    </row>
    <row r="29" spans="2:56" s="38" customFormat="1" ht="16.8" customHeight="1" thickBot="1">
      <c r="F29" s="39"/>
      <c r="G29" s="39"/>
      <c r="H29" s="39"/>
      <c r="I29" s="39"/>
      <c r="J29" s="39"/>
      <c r="AN29" s="41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42"/>
    </row>
    <row r="30" spans="2:56" s="38" customFormat="1" ht="22.8" customHeight="1" thickBot="1">
      <c r="B30" s="38">
        <v>4</v>
      </c>
      <c r="C30" s="84" t="s">
        <v>7108</v>
      </c>
      <c r="D30" s="85" t="str">
        <f>IFERROR((INDEX(女子エントリー!$B$7:$AB$406,MATCH(B30,女子エントリー!$AB$7:$AB$406,0),1)&amp;INDEX(女子エントリー!$B$7:$AB$406,MATCH(B30,女子エントリー!$AB$7:$AB$406,0),2)),"")</f>
        <v/>
      </c>
      <c r="E30" s="73" t="s">
        <v>6784</v>
      </c>
      <c r="F30" s="194" t="s">
        <v>4014</v>
      </c>
      <c r="G30" s="74" t="s">
        <v>6786</v>
      </c>
      <c r="H30" s="74" t="s">
        <v>6784</v>
      </c>
      <c r="I30" s="194" t="s">
        <v>4014</v>
      </c>
      <c r="J30" s="75" t="s">
        <v>6786</v>
      </c>
      <c r="K30" s="41"/>
      <c r="L30" s="38">
        <v>5</v>
      </c>
      <c r="M30" s="84" t="s">
        <v>7108</v>
      </c>
      <c r="N30" s="85" t="str">
        <f>IFERROR((INDEX(女子エントリー!$B$7:$AB$406,MATCH(L30,女子エントリー!$AB$7:$AB$406,0),1)&amp;INDEX(女子エントリー!$B$7:$AB$406,MATCH(L30,女子エントリー!$AB$7:$AB$406,0),2)),"")</f>
        <v/>
      </c>
      <c r="O30" s="73" t="s">
        <v>6784</v>
      </c>
      <c r="P30" s="194" t="s">
        <v>4014</v>
      </c>
      <c r="Q30" s="74" t="s">
        <v>6786</v>
      </c>
      <c r="R30" s="74" t="s">
        <v>6784</v>
      </c>
      <c r="S30" s="194" t="s">
        <v>4014</v>
      </c>
      <c r="T30" s="75" t="s">
        <v>6786</v>
      </c>
      <c r="U30" s="41"/>
      <c r="V30" s="38">
        <v>6</v>
      </c>
      <c r="W30" s="84" t="s">
        <v>7108</v>
      </c>
      <c r="X30" s="85" t="str">
        <f>IFERROR((INDEX(女子エントリー!$B$7:$AB$406,MATCH(V30,女子エントリー!$AB$7:$AB$406,0),1)&amp;INDEX(女子エントリー!$B$7:$AB$406,MATCH(V30,女子エントリー!$AB$7:$AB$406,0),2)),"")</f>
        <v/>
      </c>
      <c r="Y30" s="73" t="s">
        <v>6784</v>
      </c>
      <c r="Z30" s="194" t="s">
        <v>4014</v>
      </c>
      <c r="AA30" s="74" t="s">
        <v>6786</v>
      </c>
      <c r="AB30" s="74" t="s">
        <v>6784</v>
      </c>
      <c r="AC30" s="194" t="s">
        <v>4014</v>
      </c>
      <c r="AD30" s="75" t="s">
        <v>6786</v>
      </c>
      <c r="AE30" s="41"/>
      <c r="AN30" s="41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42"/>
    </row>
    <row r="31" spans="2:56" s="38" customFormat="1" ht="22.8" customHeight="1" thickTop="1">
      <c r="C31" s="86" t="s">
        <v>6754</v>
      </c>
      <c r="D31" s="87" t="str">
        <f>IFERROR(INDEX(女子エントリー!$B$7:$AB$406,MATCH(B30,女子エントリー!$AB$7:$AB$406,0),4),"")</f>
        <v/>
      </c>
      <c r="E31" s="76" t="s">
        <v>3768</v>
      </c>
      <c r="F31" s="278"/>
      <c r="G31" s="77" t="str">
        <f>AZ23</f>
        <v/>
      </c>
      <c r="H31" s="58" t="s">
        <v>3799</v>
      </c>
      <c r="I31" s="279"/>
      <c r="J31" s="60" t="str">
        <f>AZ32</f>
        <v/>
      </c>
      <c r="K31" s="41"/>
      <c r="M31" s="86" t="s">
        <v>6754</v>
      </c>
      <c r="N31" s="87" t="str">
        <f>IFERROR(INDEX(女子エントリー!$B$7:$AB$406,MATCH(L30,女子エントリー!$AB$7:$AB$406,0),4),"")</f>
        <v/>
      </c>
      <c r="O31" s="76" t="s">
        <v>3768</v>
      </c>
      <c r="P31" s="278"/>
      <c r="Q31" s="77" t="str">
        <f>BB23</f>
        <v/>
      </c>
      <c r="R31" s="58" t="s">
        <v>3799</v>
      </c>
      <c r="S31" s="279"/>
      <c r="T31" s="60" t="str">
        <f>BB32</f>
        <v/>
      </c>
      <c r="U31" s="41"/>
      <c r="W31" s="86" t="s">
        <v>6754</v>
      </c>
      <c r="X31" s="87" t="str">
        <f>IFERROR(INDEX(女子エントリー!$B$7:$AB$406,MATCH(V30,女子エントリー!$AB$7:$AB$406,0),4),"")</f>
        <v/>
      </c>
      <c r="Y31" s="76" t="s">
        <v>3768</v>
      </c>
      <c r="Z31" s="278"/>
      <c r="AA31" s="77" t="str">
        <f>BD23</f>
        <v/>
      </c>
      <c r="AB31" s="58" t="s">
        <v>3799</v>
      </c>
      <c r="AC31" s="279"/>
      <c r="AD31" s="60" t="str">
        <f>BD32</f>
        <v/>
      </c>
      <c r="AE31" s="41"/>
      <c r="AN31" s="41" t="s">
        <v>3794</v>
      </c>
      <c r="AO31" s="39">
        <v>0.188807</v>
      </c>
      <c r="AP31" s="39">
        <v>210</v>
      </c>
      <c r="AQ31" s="39">
        <v>1.41</v>
      </c>
      <c r="AR31" s="39"/>
      <c r="AS31" s="39">
        <f>F27</f>
        <v>0</v>
      </c>
      <c r="AT31" s="39" t="str">
        <f>IFERROR(IF(AS31=0,"",INT($AO31*ABS($AP31-AS31)^$AQ31)),"")</f>
        <v/>
      </c>
      <c r="AU31" s="39">
        <f>P27</f>
        <v>0</v>
      </c>
      <c r="AV31" s="39" t="str">
        <f>IFERROR(IF(AU31=0,"",INT($AO31*ABS($AP31-AU31)^$AQ31)),"")</f>
        <v/>
      </c>
      <c r="AW31" s="39">
        <f>Z27</f>
        <v>0</v>
      </c>
      <c r="AX31" s="39" t="str">
        <f>IFERROR(IF(AW31=0,"",INT($AO31*ABS($AP31-AW31)^$AQ31)),"")</f>
        <v/>
      </c>
      <c r="AY31" s="39">
        <f>F35</f>
        <v>0</v>
      </c>
      <c r="AZ31" s="39" t="str">
        <f>IFERROR(IF(AY31=0,"",INT($AO31*ABS($AP31-AY31)^$AQ31)),"")</f>
        <v/>
      </c>
      <c r="BA31" s="39">
        <f>P35</f>
        <v>0</v>
      </c>
      <c r="BB31" s="39" t="str">
        <f>IFERROR(IF(BA31=0,"",INT($AO31*ABS($AP31-BA31)^$AQ31)),"")</f>
        <v/>
      </c>
      <c r="BC31" s="39">
        <f>Z35</f>
        <v>0</v>
      </c>
      <c r="BD31" s="42" t="str">
        <f>IFERROR(IF(BC31=0,"",INT($AO31*ABS($AP31-BC31)^$AQ31)),"")</f>
        <v/>
      </c>
    </row>
    <row r="32" spans="2:56" s="38" customFormat="1" ht="22.8" customHeight="1" thickBot="1">
      <c r="C32" s="86" t="s">
        <v>4008</v>
      </c>
      <c r="D32" s="87" t="str">
        <f>IFERROR(INDEX(女子エントリー!$B$7:$AB$406,MATCH(B30,女子エントリー!$AB$7:$AB$406,0),5),"")</f>
        <v/>
      </c>
      <c r="E32" s="57" t="s">
        <v>3772</v>
      </c>
      <c r="F32" s="279"/>
      <c r="G32" s="59" t="str">
        <f>AZ24</f>
        <v/>
      </c>
      <c r="H32" s="62" t="s">
        <v>3805</v>
      </c>
      <c r="I32" s="280"/>
      <c r="J32" s="277" t="str">
        <f>AZ33</f>
        <v/>
      </c>
      <c r="K32" s="41"/>
      <c r="M32" s="86" t="s">
        <v>4008</v>
      </c>
      <c r="N32" s="87" t="str">
        <f>IFERROR(INDEX(女子エントリー!$B$7:$AB$406,MATCH(L30,女子エントリー!$AB$7:$AB$406,0),5),"")</f>
        <v/>
      </c>
      <c r="O32" s="57" t="s">
        <v>3772</v>
      </c>
      <c r="P32" s="279"/>
      <c r="Q32" s="59" t="str">
        <f>BB24</f>
        <v/>
      </c>
      <c r="R32" s="62" t="s">
        <v>3805</v>
      </c>
      <c r="S32" s="280"/>
      <c r="T32" s="277" t="str">
        <f>BB33</f>
        <v/>
      </c>
      <c r="U32" s="41"/>
      <c r="W32" s="86" t="s">
        <v>4008</v>
      </c>
      <c r="X32" s="87" t="str">
        <f>IFERROR(INDEX(女子エントリー!$B$7:$AB$406,MATCH(V30,女子エントリー!$AB$7:$AB$406,0),5),"")</f>
        <v/>
      </c>
      <c r="Y32" s="57" t="s">
        <v>3772</v>
      </c>
      <c r="Z32" s="279"/>
      <c r="AA32" s="59" t="str">
        <f>BD24</f>
        <v/>
      </c>
      <c r="AB32" s="62" t="s">
        <v>3805</v>
      </c>
      <c r="AC32" s="280"/>
      <c r="AD32" s="277" t="str">
        <f>BD33</f>
        <v/>
      </c>
      <c r="AE32" s="41"/>
      <c r="AN32" s="41" t="s">
        <v>3798</v>
      </c>
      <c r="AO32" s="39">
        <v>56.021099999999997</v>
      </c>
      <c r="AP32" s="39">
        <v>1.5</v>
      </c>
      <c r="AQ32" s="39">
        <v>1.05</v>
      </c>
      <c r="AR32" s="39"/>
      <c r="AS32" s="39">
        <f>I23/100</f>
        <v>0</v>
      </c>
      <c r="AT32" s="39" t="str">
        <f t="shared" si="8"/>
        <v/>
      </c>
      <c r="AU32" s="39">
        <f>S23/100</f>
        <v>0</v>
      </c>
      <c r="AV32" s="39" t="str">
        <f>IFERROR(IF(AU32=0,"",INT($AO32*ABS($AP32-AU32)^$AQ32)),"")</f>
        <v/>
      </c>
      <c r="AW32" s="39">
        <f>AC23/100</f>
        <v>0</v>
      </c>
      <c r="AX32" s="39" t="str">
        <f>IFERROR(IF(AW32=0,"",INT($AO32*ABS($AP32-AW32)^$AQ32)),"")</f>
        <v/>
      </c>
      <c r="AY32" s="39">
        <f>I31/100</f>
        <v>0</v>
      </c>
      <c r="AZ32" s="39" t="str">
        <f>IFERROR(IF(AY32=0,"",INT($AO32*ABS($AP32-AY32)^$AQ32)),"")</f>
        <v/>
      </c>
      <c r="BA32" s="39">
        <f>S31/100</f>
        <v>0</v>
      </c>
      <c r="BB32" s="39" t="str">
        <f>IFERROR(IF(BA32=0,"",INT($AO32*ABS($AP32-BA32)^$AQ32)),"")</f>
        <v/>
      </c>
      <c r="BC32" s="39">
        <f>AC31/100</f>
        <v>0</v>
      </c>
      <c r="BD32" s="42" t="str">
        <f>IFERROR(IF(BC32=0,"",INT($AO32*ABS($AP32-BC32)^$AQ32)),"")</f>
        <v/>
      </c>
    </row>
    <row r="33" spans="3:56" s="38" customFormat="1" ht="22.8" customHeight="1" thickBot="1">
      <c r="C33" s="86" t="s">
        <v>6776</v>
      </c>
      <c r="D33" s="87" t="str">
        <f>IFERROR(INDEX(女子エントリー!$B$7:$AB$406,MATCH(B30,女子エントリー!$AB$7:$AB$406,0),6),"")</f>
        <v/>
      </c>
      <c r="E33" s="57" t="s">
        <v>3811</v>
      </c>
      <c r="F33" s="279"/>
      <c r="G33" s="60" t="str">
        <f>AZ25</f>
        <v/>
      </c>
      <c r="H33" s="275"/>
      <c r="M33" s="86" t="s">
        <v>6776</v>
      </c>
      <c r="N33" s="87" t="str">
        <f>IFERROR(INDEX(女子エントリー!$B$7:$AB$406,MATCH(L30,女子エントリー!$AB$7:$AB$406,0),6),"")</f>
        <v/>
      </c>
      <c r="O33" s="57" t="s">
        <v>3811</v>
      </c>
      <c r="P33" s="279"/>
      <c r="Q33" s="60" t="str">
        <f>BB25</f>
        <v/>
      </c>
      <c r="R33" s="275"/>
      <c r="W33" s="86" t="s">
        <v>6776</v>
      </c>
      <c r="X33" s="87" t="str">
        <f>IFERROR(INDEX(女子エントリー!$B$7:$AB$406,MATCH(V30,女子エントリー!$AB$7:$AB$406,0),6),"")</f>
        <v/>
      </c>
      <c r="Y33" s="57" t="s">
        <v>3811</v>
      </c>
      <c r="Z33" s="279"/>
      <c r="AA33" s="60" t="str">
        <f>BD25</f>
        <v/>
      </c>
      <c r="AB33" s="275"/>
      <c r="AN33" s="63" t="s">
        <v>3804</v>
      </c>
      <c r="AO33" s="276">
        <v>15.9803</v>
      </c>
      <c r="AP33" s="276">
        <v>3.8</v>
      </c>
      <c r="AQ33" s="276">
        <v>1.04</v>
      </c>
      <c r="AR33" s="276"/>
      <c r="AS33" s="276">
        <f>I24/100</f>
        <v>0</v>
      </c>
      <c r="AT33" s="276" t="str">
        <f t="shared" si="8"/>
        <v/>
      </c>
      <c r="AU33" s="276">
        <f>S24/100</f>
        <v>0</v>
      </c>
      <c r="AV33" s="276" t="str">
        <f>IFERROR(IF(AU33=0,"",INT($AO33*ABS($AP33-AU33)^$AQ33)),"")</f>
        <v/>
      </c>
      <c r="AW33" s="276">
        <f>AC24/100</f>
        <v>0</v>
      </c>
      <c r="AX33" s="276" t="str">
        <f>IFERROR(IF(AW33=0,"",INT($AO33*ABS($AP33-AW33)^$AQ33)),"")</f>
        <v/>
      </c>
      <c r="AY33" s="276">
        <f>I32/100</f>
        <v>0</v>
      </c>
      <c r="AZ33" s="276" t="str">
        <f>IFERROR(IF(AY33=0,"",INT($AO33*ABS($AP33-AY33)^$AQ33)),"")</f>
        <v/>
      </c>
      <c r="BA33" s="276">
        <f>S32/100</f>
        <v>0</v>
      </c>
      <c r="BB33" s="276" t="str">
        <f>IFERROR(IF(BA33=0,"",INT($AO33*ABS($AP33-BA33)^$AQ33)),"")</f>
        <v/>
      </c>
      <c r="BC33" s="276">
        <f>AC32/100</f>
        <v>0</v>
      </c>
      <c r="BD33" s="64" t="str">
        <f>IFERROR(IF(BC33=0,"",INT($AO33*ABS($AP33-BC33)^$AQ33)),"")</f>
        <v/>
      </c>
    </row>
    <row r="34" spans="3:56" s="38" customFormat="1" ht="22.8" customHeight="1">
      <c r="C34" s="86" t="s">
        <v>6778</v>
      </c>
      <c r="D34" s="87" t="str" cm="1">
        <f t="array" ref="D34">IFERROR(INDEX(女子エントリー!$B$7:$AB$406,MATCH(B30,女子エントリー!$AB$7:$AB$406,0)+1,6),"")</f>
        <v/>
      </c>
      <c r="E34" s="57" t="s">
        <v>3791</v>
      </c>
      <c r="F34" s="279"/>
      <c r="G34" s="60" t="str">
        <f>AZ26</f>
        <v/>
      </c>
      <c r="H34" s="41"/>
      <c r="I34" s="39"/>
      <c r="J34" s="39"/>
      <c r="M34" s="86" t="s">
        <v>6778</v>
      </c>
      <c r="N34" s="87" t="str" cm="1">
        <f t="array" ref="N34">IFERROR(INDEX(女子エントリー!$B$7:$AB$406,MATCH(L30,女子エントリー!$AB$7:$AB$406,0)+1,6),"")</f>
        <v/>
      </c>
      <c r="O34" s="57" t="s">
        <v>3791</v>
      </c>
      <c r="P34" s="279"/>
      <c r="Q34" s="60" t="str">
        <f>BB26</f>
        <v/>
      </c>
      <c r="R34" s="41"/>
      <c r="S34" s="39"/>
      <c r="T34" s="39"/>
      <c r="W34" s="86" t="s">
        <v>6778</v>
      </c>
      <c r="X34" s="87" t="str" cm="1">
        <f t="array" ref="X34">IFERROR(INDEX(女子エントリー!$B$7:$AB$406,MATCH(V30,女子エントリー!$AB$7:$AB$406,0)+1,6),"")</f>
        <v/>
      </c>
      <c r="Y34" s="57" t="s">
        <v>3791</v>
      </c>
      <c r="Z34" s="279"/>
      <c r="AA34" s="60" t="str">
        <f>BD26</f>
        <v/>
      </c>
      <c r="AB34" s="41"/>
      <c r="AC34" s="39"/>
      <c r="AD34" s="39"/>
    </row>
    <row r="35" spans="3:56" ht="22.8" customHeight="1" thickBot="1">
      <c r="C35" s="88" t="s">
        <v>4016</v>
      </c>
      <c r="D35" s="306" t="str">
        <f>IFERROR(INDEX(女子エントリー!$B$7:$AC$406,MATCH(B30,女子エントリー!$AB$7:$AB$406,0),28),"")</f>
        <v/>
      </c>
      <c r="E35" s="61" t="s">
        <v>3795</v>
      </c>
      <c r="F35" s="280"/>
      <c r="G35" s="277" t="str">
        <f>AZ31</f>
        <v/>
      </c>
      <c r="H35" s="41"/>
      <c r="I35" s="38"/>
      <c r="J35" s="38"/>
      <c r="M35" s="88" t="s">
        <v>4016</v>
      </c>
      <c r="N35" s="306" t="str">
        <f>IFERROR(INDEX(女子エントリー!$B$7:$AC$406,MATCH(L30,女子エントリー!$AB$7:$AB$406,0),28),"")</f>
        <v/>
      </c>
      <c r="O35" s="61" t="s">
        <v>3795</v>
      </c>
      <c r="P35" s="280"/>
      <c r="Q35" s="277" t="str">
        <f>BB31</f>
        <v/>
      </c>
      <c r="R35" s="41"/>
      <c r="S35" s="38"/>
      <c r="T35" s="38"/>
      <c r="W35" s="88" t="s">
        <v>4016</v>
      </c>
      <c r="X35" s="306" t="str">
        <f>IFERROR(INDEX(女子エントリー!$B$7:$AC$406,MATCH(V30,女子エントリー!$AB$7:$AB$406,0),28),"")</f>
        <v/>
      </c>
      <c r="Y35" s="61" t="s">
        <v>3795</v>
      </c>
      <c r="Z35" s="280"/>
      <c r="AA35" s="277" t="str">
        <f>BD31</f>
        <v/>
      </c>
      <c r="AB35" s="41"/>
      <c r="AC35" s="38"/>
      <c r="AD35" s="38"/>
    </row>
  </sheetData>
  <sheetProtection algorithmName="SHA-512" hashValue="ycSz2ecO7hVAu6v0R9jhFBBf4hgORiIfXVS9CE3jQAxdu1nR1EFrhIka4dwf5NH3f8FSJk6sZrWwoSze1V3Erg==" saltValue="+saN/VK00K/9MQkeZ/10Pw==" spinCount="100000" sheet="1" objects="1" scenarios="1"/>
  <mergeCells count="6">
    <mergeCell ref="AN5:BD5"/>
    <mergeCell ref="A1:AE1"/>
    <mergeCell ref="C2:E3"/>
    <mergeCell ref="F2:Z3"/>
    <mergeCell ref="C21:D21"/>
    <mergeCell ref="C5:D5"/>
  </mergeCells>
  <phoneticPr fontId="3"/>
  <conditionalFormatting sqref="F2:Z3">
    <cfRule type="expression" dxfId="0" priority="2">
      <formula>SUM($AI$3:$AL$3)&gt;0</formula>
    </cfRule>
  </conditionalFormatting>
  <dataValidations count="1">
    <dataValidation imeMode="halfAlpha" allowBlank="1" showInputMessage="1" showErrorMessage="1" sqref="F7:F11 F23:F26 I7:I11 P7:P11 P23:P26 S7:S11 Z7:Z11 Z23:Z26 AC7:AC11 I23:I24 S23:S24 AC23:AC24" xr:uid="{2753BD40-483B-43E7-B4F4-999E496550FC}"/>
  </dataValidations>
  <pageMargins left="0.7" right="0.7" top="0.75" bottom="0.75" header="0.3" footer="0.3"/>
  <pageSetup paperSize="9" scale="43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51066-3118-4DCC-B8B6-4ED6E10053C6}">
  <sheetPr codeName="Sheet6">
    <tabColor rgb="FFFFC000"/>
    <pageSetUpPr fitToPage="1"/>
  </sheetPr>
  <dimension ref="A1:Q63"/>
  <sheetViews>
    <sheetView view="pageBreakPreview" zoomScaleNormal="100" zoomScaleSheetLayoutView="100" workbookViewId="0">
      <selection activeCell="K4" sqref="K4"/>
    </sheetView>
  </sheetViews>
  <sheetFormatPr defaultRowHeight="13.2"/>
  <cols>
    <col min="1" max="5" width="7.09765625" style="201" customWidth="1"/>
    <col min="6" max="7" width="8.3984375" style="201" customWidth="1"/>
    <col min="8" max="15" width="7.09765625" style="201" customWidth="1"/>
    <col min="16" max="16384" width="8.796875" style="201"/>
  </cols>
  <sheetData>
    <row r="1" spans="2:16"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527" t="s">
        <v>196</v>
      </c>
      <c r="N1" s="527"/>
    </row>
    <row r="4" spans="2:16" s="203" customFormat="1" ht="16.2">
      <c r="B4" s="202"/>
      <c r="C4" s="202"/>
      <c r="D4" s="202"/>
      <c r="E4" s="202"/>
      <c r="F4" s="202"/>
      <c r="G4" s="202"/>
      <c r="H4" s="202"/>
      <c r="I4" s="282">
        <v>2020</v>
      </c>
      <c r="J4" s="282" t="s">
        <v>197</v>
      </c>
      <c r="K4" s="283"/>
      <c r="L4" s="282" t="s">
        <v>198</v>
      </c>
      <c r="M4" s="283"/>
      <c r="N4" s="282" t="s">
        <v>199</v>
      </c>
    </row>
    <row r="5" spans="2:16">
      <c r="B5" s="200"/>
      <c r="C5" s="200"/>
      <c r="D5" s="200"/>
      <c r="E5" s="200"/>
      <c r="F5" s="200"/>
      <c r="G5" s="200"/>
      <c r="H5" s="200"/>
      <c r="I5" s="204"/>
      <c r="J5" s="200"/>
      <c r="K5" s="200"/>
      <c r="L5" s="200"/>
      <c r="M5" s="200"/>
      <c r="N5" s="200"/>
      <c r="O5" s="200"/>
    </row>
    <row r="6" spans="2:16" ht="16.2">
      <c r="B6" s="525" t="s">
        <v>185</v>
      </c>
      <c r="C6" s="525"/>
      <c r="D6" s="525"/>
      <c r="E6" s="52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3"/>
    </row>
    <row r="7" spans="2:16" ht="15.6" customHeight="1">
      <c r="B7" s="284" t="s">
        <v>200</v>
      </c>
      <c r="C7" s="526" t="s">
        <v>7001</v>
      </c>
      <c r="D7" s="526"/>
      <c r="E7" s="285" t="s">
        <v>201</v>
      </c>
      <c r="F7" s="205"/>
      <c r="G7" s="205"/>
      <c r="H7" s="205"/>
      <c r="I7" s="205"/>
      <c r="J7" s="205"/>
      <c r="K7" s="205"/>
      <c r="L7" s="205"/>
      <c r="M7" s="205"/>
      <c r="N7" s="205"/>
      <c r="O7" s="205"/>
    </row>
    <row r="8" spans="2:16" ht="16.2">
      <c r="P8" s="203"/>
    </row>
    <row r="10" spans="2:16" ht="16.2">
      <c r="P10" s="203"/>
    </row>
    <row r="11" spans="2:16" ht="30" customHeight="1">
      <c r="B11" s="200"/>
      <c r="C11" s="200"/>
      <c r="D11" s="200"/>
      <c r="E11" s="529" t="s">
        <v>186</v>
      </c>
      <c r="F11" s="529"/>
      <c r="G11" s="529"/>
      <c r="H11" s="529"/>
      <c r="I11" s="529"/>
      <c r="J11" s="529"/>
      <c r="K11" s="200"/>
      <c r="L11" s="200"/>
      <c r="M11" s="200"/>
      <c r="N11" s="200"/>
      <c r="O11" s="200"/>
    </row>
    <row r="12" spans="2:16" ht="16.2">
      <c r="P12" s="203"/>
    </row>
    <row r="14" spans="2:16" ht="20.399999999999999" customHeight="1">
      <c r="B14" s="200"/>
      <c r="C14" s="286" t="s">
        <v>187</v>
      </c>
      <c r="D14" s="286"/>
      <c r="E14" s="286"/>
      <c r="F14" s="286"/>
      <c r="G14" s="286"/>
      <c r="H14" s="286"/>
      <c r="I14" s="286"/>
      <c r="J14" s="286"/>
      <c r="K14" s="286"/>
      <c r="L14" s="286"/>
      <c r="M14" s="206"/>
      <c r="N14" s="206"/>
      <c r="O14" s="200"/>
      <c r="P14" s="203"/>
    </row>
    <row r="15" spans="2:16" ht="20.399999999999999" customHeight="1">
      <c r="B15" s="200"/>
      <c r="C15" s="286" t="s">
        <v>188</v>
      </c>
      <c r="D15" s="286"/>
      <c r="E15" s="286"/>
      <c r="F15" s="286"/>
      <c r="G15" s="286"/>
      <c r="H15" s="286"/>
      <c r="I15" s="286"/>
      <c r="J15" s="286"/>
      <c r="K15" s="286"/>
      <c r="L15" s="286"/>
      <c r="M15" s="206"/>
      <c r="N15" s="206"/>
      <c r="O15" s="200"/>
    </row>
    <row r="16" spans="2:16" ht="20.399999999999999" customHeight="1">
      <c r="B16" s="200"/>
      <c r="C16" s="286" t="s">
        <v>189</v>
      </c>
      <c r="D16" s="286"/>
      <c r="E16" s="286"/>
      <c r="F16" s="286"/>
      <c r="G16" s="286"/>
      <c r="H16" s="286"/>
      <c r="I16" s="286"/>
      <c r="J16" s="286"/>
      <c r="K16" s="286"/>
      <c r="L16" s="286"/>
      <c r="M16" s="206"/>
      <c r="N16" s="206"/>
      <c r="P16" s="203"/>
    </row>
    <row r="18" spans="1:17" ht="16.2">
      <c r="P18" s="203"/>
    </row>
    <row r="19" spans="1:17" ht="45" customHeight="1">
      <c r="B19" s="200"/>
      <c r="C19" s="520" t="s">
        <v>202</v>
      </c>
      <c r="D19" s="520"/>
      <c r="E19" s="287"/>
      <c r="F19" s="528" t="str">
        <f>基本情報!E4</f>
        <v/>
      </c>
      <c r="G19" s="528"/>
      <c r="H19" s="528"/>
      <c r="I19" s="528"/>
      <c r="J19" s="528"/>
      <c r="K19" s="528"/>
      <c r="L19" s="229"/>
      <c r="M19" s="232"/>
      <c r="N19" s="200"/>
      <c r="Q19" s="207"/>
    </row>
    <row r="20" spans="1:17" ht="18">
      <c r="B20" s="200"/>
      <c r="C20" s="200"/>
      <c r="D20" s="208"/>
      <c r="E20" s="227"/>
      <c r="F20" s="227"/>
      <c r="G20" s="227"/>
      <c r="H20" s="227"/>
      <c r="I20" s="227"/>
      <c r="J20" s="227"/>
      <c r="K20" s="227"/>
      <c r="L20" s="227"/>
      <c r="M20" s="200"/>
      <c r="N20" s="200"/>
      <c r="P20" s="203"/>
    </row>
    <row r="21" spans="1:17" ht="18">
      <c r="B21" s="200"/>
      <c r="C21" s="200"/>
      <c r="D21" s="208"/>
      <c r="E21" s="227"/>
      <c r="F21" s="227"/>
      <c r="G21" s="227"/>
      <c r="H21" s="227"/>
      <c r="I21" s="227"/>
      <c r="J21" s="227"/>
      <c r="K21" s="227"/>
      <c r="L21" s="227"/>
      <c r="M21" s="200"/>
      <c r="N21" s="200"/>
    </row>
    <row r="22" spans="1:17" ht="33" customHeight="1">
      <c r="B22" s="200"/>
      <c r="C22" s="520" t="s">
        <v>190</v>
      </c>
      <c r="D22" s="520"/>
      <c r="E22" s="287"/>
      <c r="F22" s="519" t="str">
        <f>競技会設定!C1</f>
        <v>第47回東海学生陸上競技秋季選手権大会</v>
      </c>
      <c r="G22" s="519"/>
      <c r="H22" s="519"/>
      <c r="I22" s="519"/>
      <c r="J22" s="519"/>
      <c r="K22" s="519"/>
      <c r="L22" s="229"/>
      <c r="M22" s="232"/>
      <c r="N22" s="200"/>
      <c r="P22" s="203"/>
    </row>
    <row r="23" spans="1:17" ht="18">
      <c r="B23" s="208"/>
      <c r="C23" s="227"/>
      <c r="D23" s="227"/>
      <c r="E23" s="227"/>
      <c r="F23" s="227"/>
      <c r="G23" s="227"/>
      <c r="H23" s="227"/>
      <c r="I23" s="227"/>
      <c r="J23" s="227"/>
      <c r="K23" s="200"/>
      <c r="L23" s="200"/>
      <c r="M23" s="200"/>
      <c r="N23" s="200"/>
    </row>
    <row r="24" spans="1:17" ht="18">
      <c r="A24" s="234"/>
      <c r="B24" s="235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4"/>
      <c r="P24" s="203"/>
    </row>
    <row r="25" spans="1:17" s="203" customFormat="1" ht="27" customHeight="1">
      <c r="A25" s="237"/>
      <c r="B25" s="521" t="s">
        <v>7082</v>
      </c>
      <c r="C25" s="521"/>
      <c r="D25" s="521"/>
      <c r="E25" s="521"/>
      <c r="F25" s="521"/>
      <c r="G25" s="521"/>
      <c r="H25" s="521"/>
      <c r="I25" s="521"/>
      <c r="J25" s="521"/>
      <c r="K25" s="521"/>
      <c r="L25" s="521"/>
      <c r="M25" s="521"/>
      <c r="N25" s="233"/>
      <c r="O25" s="237"/>
      <c r="P25" s="201"/>
    </row>
    <row r="26" spans="1:17" ht="16.2">
      <c r="A26" s="234"/>
      <c r="B26" s="522">
        <v>44107</v>
      </c>
      <c r="C26" s="523"/>
      <c r="D26" s="523"/>
      <c r="E26" s="522">
        <v>44108</v>
      </c>
      <c r="F26" s="523"/>
      <c r="G26" s="523"/>
      <c r="H26" s="522">
        <v>44121</v>
      </c>
      <c r="I26" s="523"/>
      <c r="J26" s="523"/>
      <c r="K26" s="522">
        <v>44122</v>
      </c>
      <c r="L26" s="523"/>
      <c r="M26" s="523"/>
      <c r="N26" s="233"/>
      <c r="O26" s="234"/>
      <c r="P26" s="203"/>
    </row>
    <row r="27" spans="1:17" ht="16.2">
      <c r="A27" s="234"/>
      <c r="B27" s="524"/>
      <c r="C27" s="524"/>
      <c r="D27" s="524"/>
      <c r="E27" s="524"/>
      <c r="F27" s="524"/>
      <c r="G27" s="524"/>
      <c r="H27" s="524"/>
      <c r="I27" s="524"/>
      <c r="J27" s="524"/>
      <c r="K27" s="524"/>
      <c r="L27" s="524"/>
      <c r="M27" s="524"/>
      <c r="N27" s="233"/>
      <c r="O27" s="234"/>
    </row>
    <row r="28" spans="1:17" ht="16.2">
      <c r="A28" s="234"/>
      <c r="B28" s="524"/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233"/>
      <c r="O28" s="234"/>
      <c r="P28" s="203"/>
    </row>
    <row r="29" spans="1:17" s="203" customFormat="1" ht="19.2" customHeight="1">
      <c r="A29" s="237"/>
      <c r="B29" s="524"/>
      <c r="C29" s="524"/>
      <c r="D29" s="524"/>
      <c r="E29" s="524"/>
      <c r="F29" s="524"/>
      <c r="G29" s="524"/>
      <c r="H29" s="524"/>
      <c r="I29" s="524"/>
      <c r="J29" s="524"/>
      <c r="K29" s="524"/>
      <c r="L29" s="524"/>
      <c r="M29" s="524"/>
      <c r="N29" s="233"/>
      <c r="O29" s="237"/>
      <c r="P29" s="201"/>
    </row>
    <row r="30" spans="1:17" ht="16.2">
      <c r="A30" s="234"/>
      <c r="B30" s="524"/>
      <c r="C30" s="524"/>
      <c r="D30" s="524"/>
      <c r="E30" s="524"/>
      <c r="F30" s="524"/>
      <c r="G30" s="524"/>
      <c r="H30" s="524"/>
      <c r="I30" s="524"/>
      <c r="J30" s="524"/>
      <c r="K30" s="524"/>
      <c r="L30" s="524"/>
      <c r="M30" s="524"/>
      <c r="N30" s="238"/>
      <c r="O30" s="234"/>
      <c r="P30" s="203"/>
    </row>
    <row r="31" spans="1:17" ht="16.2">
      <c r="A31" s="234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4"/>
    </row>
    <row r="32" spans="1:17" s="203" customFormat="1" ht="16.2">
      <c r="B32" s="202"/>
      <c r="C32" s="202"/>
      <c r="D32" s="202"/>
      <c r="E32" s="202"/>
      <c r="F32" s="519" t="s">
        <v>191</v>
      </c>
      <c r="G32" s="519"/>
      <c r="H32" s="520">
        <f>基本情報!E13</f>
        <v>0</v>
      </c>
      <c r="I32" s="520"/>
      <c r="J32" s="520"/>
      <c r="K32" s="520"/>
      <c r="L32" s="520"/>
      <c r="M32" s="228"/>
      <c r="N32" s="202"/>
    </row>
    <row r="33" spans="2:14" ht="18">
      <c r="B33" s="200"/>
      <c r="C33" s="200"/>
      <c r="D33" s="200"/>
      <c r="E33" s="200"/>
      <c r="F33" s="208"/>
      <c r="G33" s="200"/>
      <c r="H33" s="200"/>
      <c r="I33" s="200"/>
      <c r="J33" s="200"/>
      <c r="K33" s="200"/>
      <c r="L33" s="200"/>
      <c r="M33" s="200"/>
      <c r="N33" s="200"/>
    </row>
    <row r="34" spans="2:14" ht="18">
      <c r="B34" s="200"/>
      <c r="C34" s="200"/>
      <c r="D34" s="200"/>
      <c r="E34" s="200"/>
      <c r="F34" s="208"/>
      <c r="G34" s="200"/>
      <c r="H34" s="200"/>
      <c r="I34" s="200"/>
      <c r="J34" s="200"/>
      <c r="K34" s="200"/>
      <c r="L34" s="200"/>
      <c r="M34" s="200"/>
      <c r="N34" s="200"/>
    </row>
    <row r="35" spans="2:14" s="203" customFormat="1" ht="16.2" customHeight="1">
      <c r="B35" s="202"/>
      <c r="C35" s="202"/>
      <c r="D35" s="202"/>
      <c r="E35" s="202"/>
      <c r="F35" s="519" t="s">
        <v>203</v>
      </c>
      <c r="G35" s="519"/>
      <c r="H35" s="520">
        <f>基本情報!E15</f>
        <v>0</v>
      </c>
      <c r="I35" s="520"/>
      <c r="J35" s="520"/>
      <c r="K35" s="520"/>
      <c r="L35" s="520"/>
      <c r="M35" s="228"/>
      <c r="N35" s="202"/>
    </row>
    <row r="36" spans="2:14" ht="18">
      <c r="B36" s="208"/>
      <c r="C36" s="200"/>
      <c r="D36" s="200"/>
      <c r="E36" s="200"/>
      <c r="F36" s="200"/>
      <c r="G36" s="200"/>
      <c r="H36" s="200"/>
      <c r="I36" s="200"/>
      <c r="J36" s="200"/>
      <c r="K36" s="200"/>
      <c r="L36" s="200"/>
      <c r="M36" s="200"/>
      <c r="N36" s="200"/>
    </row>
    <row r="37" spans="2:14" ht="18">
      <c r="B37" s="208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</row>
    <row r="38" spans="2:14" s="203" customFormat="1" ht="16.2">
      <c r="B38" s="202"/>
      <c r="C38" s="202"/>
      <c r="D38" s="202"/>
      <c r="E38" s="202"/>
      <c r="F38" s="519" t="s">
        <v>204</v>
      </c>
      <c r="G38" s="519"/>
      <c r="H38" s="520">
        <f>基本情報!E10</f>
        <v>0</v>
      </c>
      <c r="I38" s="520"/>
      <c r="J38" s="520"/>
      <c r="K38" s="520"/>
      <c r="L38" s="520"/>
      <c r="M38" s="228"/>
      <c r="N38" s="202"/>
    </row>
    <row r="41" spans="2:14" hidden="1"/>
    <row r="42" spans="2:14" ht="15.6" hidden="1" customHeight="1">
      <c r="B42" s="205"/>
      <c r="C42" s="516" t="s">
        <v>205</v>
      </c>
      <c r="D42" s="516"/>
      <c r="E42" s="516" t="s">
        <v>206</v>
      </c>
      <c r="F42" s="516"/>
      <c r="G42" s="516"/>
      <c r="H42" s="516"/>
      <c r="I42" s="516"/>
      <c r="J42" s="516"/>
      <c r="K42" s="517"/>
      <c r="L42" s="517"/>
      <c r="M42" s="517"/>
      <c r="N42" s="205"/>
    </row>
    <row r="43" spans="2:14" ht="15.6" hidden="1" customHeight="1">
      <c r="B43" s="205"/>
      <c r="C43" s="230"/>
      <c r="D43" s="230"/>
      <c r="E43" s="205"/>
      <c r="F43" s="205"/>
      <c r="G43" s="518"/>
      <c r="H43" s="518"/>
      <c r="I43" s="518"/>
      <c r="J43" s="518"/>
      <c r="K43" s="518"/>
      <c r="L43" s="518"/>
      <c r="M43" s="518"/>
      <c r="N43" s="205"/>
    </row>
    <row r="44" spans="2:14" ht="13.2" hidden="1" customHeight="1">
      <c r="B44" s="209"/>
      <c r="C44" s="209"/>
      <c r="D44" s="209"/>
      <c r="E44" s="515" t="s">
        <v>192</v>
      </c>
      <c r="F44" s="515"/>
      <c r="G44" s="515"/>
      <c r="H44" s="515"/>
      <c r="I44" s="515"/>
      <c r="J44" s="515"/>
      <c r="K44" s="515"/>
      <c r="L44" s="515"/>
      <c r="M44" s="515"/>
      <c r="N44" s="209"/>
    </row>
    <row r="45" spans="2:14" ht="15.6" hidden="1" customHeight="1">
      <c r="B45" s="205"/>
      <c r="C45" s="205"/>
      <c r="D45" s="205"/>
      <c r="E45" s="516" t="s">
        <v>193</v>
      </c>
      <c r="F45" s="516"/>
      <c r="G45" s="516">
        <v>0</v>
      </c>
      <c r="H45" s="516"/>
      <c r="I45" s="516"/>
      <c r="J45" s="516"/>
      <c r="K45" s="516"/>
      <c r="L45" s="516"/>
      <c r="M45" s="516"/>
      <c r="N45" s="205"/>
    </row>
    <row r="46" spans="2:14" ht="15.6" hidden="1" customHeight="1">
      <c r="B46" s="205"/>
      <c r="C46" s="205"/>
      <c r="D46" s="205"/>
      <c r="E46" s="230"/>
      <c r="F46" s="230"/>
      <c r="G46" s="230"/>
      <c r="H46" s="230"/>
      <c r="I46" s="230"/>
      <c r="J46" s="230"/>
      <c r="K46" s="230"/>
      <c r="L46" s="230"/>
      <c r="M46" s="230"/>
      <c r="N46" s="205"/>
    </row>
    <row r="47" spans="2:14" ht="15.6" hidden="1" customHeight="1">
      <c r="B47" s="205"/>
      <c r="C47" s="205"/>
      <c r="D47" s="205"/>
      <c r="E47" s="205" t="s">
        <v>194</v>
      </c>
      <c r="F47" s="205"/>
      <c r="G47" s="516"/>
      <c r="H47" s="516"/>
      <c r="I47" s="516"/>
      <c r="J47" s="516"/>
      <c r="K47" s="516"/>
      <c r="L47" s="516"/>
      <c r="M47" s="516"/>
      <c r="N47" s="205"/>
    </row>
    <row r="48" spans="2:14" ht="16.5" hidden="1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</row>
    <row r="49" spans="3:13" ht="15.6" hidden="1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</row>
    <row r="50" spans="3:13" ht="15.6" hidden="1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</row>
    <row r="51" spans="3:13" ht="15.6" hidden="1" customHeight="1">
      <c r="C51" s="516" t="s">
        <v>207</v>
      </c>
      <c r="D51" s="516"/>
      <c r="E51" s="516" t="s">
        <v>206</v>
      </c>
      <c r="F51" s="516"/>
      <c r="G51" s="516"/>
      <c r="H51" s="516"/>
      <c r="I51" s="516"/>
      <c r="J51" s="516"/>
      <c r="K51" s="517"/>
      <c r="L51" s="517"/>
      <c r="M51" s="517"/>
    </row>
    <row r="52" spans="3:13" ht="15.6" hidden="1" customHeight="1">
      <c r="C52" s="230"/>
      <c r="D52" s="230"/>
      <c r="E52" s="205"/>
      <c r="F52" s="205"/>
      <c r="G52" s="516"/>
      <c r="H52" s="516"/>
      <c r="I52" s="516"/>
      <c r="J52" s="516"/>
      <c r="K52" s="516"/>
      <c r="L52" s="516"/>
      <c r="M52" s="516"/>
    </row>
    <row r="53" spans="3:13" ht="13.2" hidden="1" customHeight="1">
      <c r="C53" s="209"/>
      <c r="D53" s="209"/>
      <c r="E53" s="515" t="s">
        <v>192</v>
      </c>
      <c r="F53" s="515"/>
      <c r="G53" s="515" t="s">
        <v>195</v>
      </c>
      <c r="H53" s="515"/>
      <c r="I53" s="515"/>
      <c r="J53" s="515"/>
      <c r="K53" s="515"/>
      <c r="L53" s="515"/>
      <c r="M53" s="515"/>
    </row>
    <row r="54" spans="3:13" ht="15.6" hidden="1" customHeight="1">
      <c r="C54" s="205"/>
      <c r="D54" s="205"/>
      <c r="E54" s="516" t="s">
        <v>193</v>
      </c>
      <c r="F54" s="516"/>
      <c r="G54" s="516"/>
      <c r="H54" s="516"/>
      <c r="I54" s="516"/>
      <c r="J54" s="516"/>
      <c r="K54" s="516"/>
      <c r="L54" s="516"/>
      <c r="M54" s="516"/>
    </row>
    <row r="55" spans="3:13" ht="15.6" hidden="1" customHeight="1">
      <c r="C55" s="205"/>
      <c r="D55" s="205"/>
      <c r="E55" s="230"/>
      <c r="F55" s="230"/>
      <c r="G55" s="230"/>
      <c r="H55" s="230"/>
      <c r="I55" s="230"/>
      <c r="J55" s="230"/>
      <c r="K55" s="230"/>
      <c r="L55" s="230"/>
      <c r="M55" s="230"/>
    </row>
    <row r="56" spans="3:13" ht="15.6" hidden="1" customHeight="1">
      <c r="C56" s="205"/>
      <c r="D56" s="205"/>
      <c r="E56" s="205" t="s">
        <v>194</v>
      </c>
      <c r="F56" s="205"/>
      <c r="G56" s="516"/>
      <c r="H56" s="516"/>
      <c r="I56" s="516"/>
      <c r="J56" s="516"/>
      <c r="K56" s="516"/>
      <c r="L56" s="516"/>
      <c r="M56" s="516"/>
    </row>
    <row r="57" spans="3:13" ht="13.2" customHeight="1"/>
    <row r="58" spans="3:13" ht="13.2" customHeight="1"/>
    <row r="59" spans="3:13" ht="13.2" customHeight="1"/>
    <row r="60" spans="3:13" ht="13.2" customHeight="1"/>
    <row r="61" spans="3:13" ht="13.2" customHeight="1"/>
    <row r="62" spans="3:13" ht="13.2" customHeight="1"/>
    <row r="63" spans="3:13" ht="13.2" customHeight="1"/>
  </sheetData>
  <sheetProtection algorithmName="SHA-512" hashValue="9eioeNiDKOxq/5TpmdT2T/QAUdLfYBsEjIDovieHVku4N5PxR4FkHD81b1Sh2KW4EM8FmGAboLVry6FFMkOk9Q==" saltValue="0Bv3eyfduBzxVeDqZziD5Q==" spinCount="100000" sheet="1" objects="1" scenarios="1" selectLockedCells="1"/>
  <mergeCells count="45">
    <mergeCell ref="B6:E6"/>
    <mergeCell ref="C7:D7"/>
    <mergeCell ref="C19:D19"/>
    <mergeCell ref="M1:N1"/>
    <mergeCell ref="F19:K19"/>
    <mergeCell ref="E11:J11"/>
    <mergeCell ref="C22:D22"/>
    <mergeCell ref="F32:G32"/>
    <mergeCell ref="H32:L32"/>
    <mergeCell ref="F22:K22"/>
    <mergeCell ref="B25:M25"/>
    <mergeCell ref="B26:D26"/>
    <mergeCell ref="E26:G26"/>
    <mergeCell ref="H26:J26"/>
    <mergeCell ref="K26:M26"/>
    <mergeCell ref="B27:D30"/>
    <mergeCell ref="E27:G30"/>
    <mergeCell ref="H27:J30"/>
    <mergeCell ref="K27:M30"/>
    <mergeCell ref="F35:G35"/>
    <mergeCell ref="H35:L35"/>
    <mergeCell ref="F38:G38"/>
    <mergeCell ref="H38:L38"/>
    <mergeCell ref="C42:D42"/>
    <mergeCell ref="E42:F42"/>
    <mergeCell ref="G42:H42"/>
    <mergeCell ref="I42:J42"/>
    <mergeCell ref="K42:M42"/>
    <mergeCell ref="G52:M52"/>
    <mergeCell ref="G43:M43"/>
    <mergeCell ref="E44:F44"/>
    <mergeCell ref="G44:M44"/>
    <mergeCell ref="E45:F45"/>
    <mergeCell ref="G45:M45"/>
    <mergeCell ref="G47:M47"/>
    <mergeCell ref="C51:D51"/>
    <mergeCell ref="E51:F51"/>
    <mergeCell ref="G51:H51"/>
    <mergeCell ref="I51:J51"/>
    <mergeCell ref="K51:M51"/>
    <mergeCell ref="E53:F53"/>
    <mergeCell ref="G53:M53"/>
    <mergeCell ref="E54:F54"/>
    <mergeCell ref="G54:M54"/>
    <mergeCell ref="G56:M56"/>
  </mergeCells>
  <phoneticPr fontId="5"/>
  <pageMargins left="0.7" right="0.7" top="0.75" bottom="0.75" header="0.3" footer="0.3"/>
  <pageSetup paperSize="9" scale="7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C5B2B-EC9A-41AC-8C0C-70811ECA5589}">
  <dimension ref="B1:C244"/>
  <sheetViews>
    <sheetView workbookViewId="0"/>
  </sheetViews>
  <sheetFormatPr defaultRowHeight="14.4"/>
  <cols>
    <col min="1" max="1" width="8.796875" style="291"/>
    <col min="2" max="2" width="37.796875" style="291" bestFit="1" customWidth="1"/>
    <col min="3" max="3" width="6" style="291" bestFit="1" customWidth="1"/>
    <col min="4" max="16384" width="8.796875" style="291"/>
  </cols>
  <sheetData>
    <row r="1" spans="2:3" ht="15" thickBot="1"/>
    <row r="2" spans="2:3" ht="15" thickBot="1">
      <c r="B2" s="296" t="s">
        <v>7112</v>
      </c>
      <c r="C2" s="297" t="s">
        <v>7113</v>
      </c>
    </row>
    <row r="3" spans="2:3" ht="15" thickTop="1">
      <c r="B3" s="292" t="s">
        <v>7114</v>
      </c>
      <c r="C3" s="293" t="s">
        <v>7593</v>
      </c>
    </row>
    <row r="4" spans="2:3">
      <c r="B4" s="298" t="s">
        <v>7115</v>
      </c>
      <c r="C4" s="299" t="s">
        <v>7116</v>
      </c>
    </row>
    <row r="5" spans="2:3">
      <c r="B5" s="294" t="s">
        <v>7117</v>
      </c>
      <c r="C5" s="295" t="s">
        <v>7118</v>
      </c>
    </row>
    <row r="6" spans="2:3">
      <c r="B6" s="298" t="s">
        <v>7119</v>
      </c>
      <c r="C6" s="299" t="s">
        <v>7120</v>
      </c>
    </row>
    <row r="7" spans="2:3">
      <c r="B7" s="294" t="s">
        <v>7121</v>
      </c>
      <c r="C7" s="295" t="s">
        <v>7122</v>
      </c>
    </row>
    <row r="8" spans="2:3">
      <c r="B8" s="298" t="s">
        <v>7123</v>
      </c>
      <c r="C8" s="299" t="s">
        <v>7124</v>
      </c>
    </row>
    <row r="9" spans="2:3">
      <c r="B9" s="294" t="s">
        <v>7125</v>
      </c>
      <c r="C9" s="295" t="s">
        <v>7126</v>
      </c>
    </row>
    <row r="10" spans="2:3">
      <c r="B10" s="298" t="s">
        <v>7127</v>
      </c>
      <c r="C10" s="299" t="s">
        <v>7128</v>
      </c>
    </row>
    <row r="11" spans="2:3">
      <c r="B11" s="294" t="s">
        <v>7129</v>
      </c>
      <c r="C11" s="295" t="s">
        <v>7130</v>
      </c>
    </row>
    <row r="12" spans="2:3">
      <c r="B12" s="298" t="s">
        <v>7131</v>
      </c>
      <c r="C12" s="299" t="s">
        <v>7132</v>
      </c>
    </row>
    <row r="13" spans="2:3">
      <c r="B13" s="294" t="s">
        <v>7133</v>
      </c>
      <c r="C13" s="295" t="s">
        <v>7134</v>
      </c>
    </row>
    <row r="14" spans="2:3">
      <c r="B14" s="298" t="s">
        <v>7135</v>
      </c>
      <c r="C14" s="299" t="s">
        <v>7136</v>
      </c>
    </row>
    <row r="15" spans="2:3">
      <c r="B15" s="294" t="s">
        <v>7137</v>
      </c>
      <c r="C15" s="295" t="s">
        <v>7138</v>
      </c>
    </row>
    <row r="16" spans="2:3">
      <c r="B16" s="298" t="s">
        <v>7139</v>
      </c>
      <c r="C16" s="299" t="s">
        <v>7140</v>
      </c>
    </row>
    <row r="17" spans="2:3">
      <c r="B17" s="294" t="s">
        <v>7141</v>
      </c>
      <c r="C17" s="295" t="s">
        <v>7142</v>
      </c>
    </row>
    <row r="18" spans="2:3">
      <c r="B18" s="298" t="s">
        <v>7143</v>
      </c>
      <c r="C18" s="299" t="s">
        <v>7144</v>
      </c>
    </row>
    <row r="19" spans="2:3">
      <c r="B19" s="294" t="s">
        <v>7145</v>
      </c>
      <c r="C19" s="295" t="s">
        <v>7146</v>
      </c>
    </row>
    <row r="20" spans="2:3">
      <c r="B20" s="298" t="s">
        <v>7147</v>
      </c>
      <c r="C20" s="299" t="s">
        <v>7148</v>
      </c>
    </row>
    <row r="21" spans="2:3">
      <c r="B21" s="294" t="s">
        <v>7149</v>
      </c>
      <c r="C21" s="295" t="s">
        <v>7150</v>
      </c>
    </row>
    <row r="22" spans="2:3">
      <c r="B22" s="298" t="s">
        <v>7151</v>
      </c>
      <c r="C22" s="299" t="s">
        <v>7152</v>
      </c>
    </row>
    <row r="23" spans="2:3">
      <c r="B23" s="294" t="s">
        <v>7153</v>
      </c>
      <c r="C23" s="295" t="s">
        <v>7154</v>
      </c>
    </row>
    <row r="24" spans="2:3">
      <c r="B24" s="298" t="s">
        <v>7155</v>
      </c>
      <c r="C24" s="299" t="s">
        <v>7156</v>
      </c>
    </row>
    <row r="25" spans="2:3">
      <c r="B25" s="294" t="s">
        <v>7157</v>
      </c>
      <c r="C25" s="295" t="s">
        <v>7158</v>
      </c>
    </row>
    <row r="26" spans="2:3">
      <c r="B26" s="298" t="s">
        <v>7159</v>
      </c>
      <c r="C26" s="299" t="s">
        <v>7160</v>
      </c>
    </row>
    <row r="27" spans="2:3">
      <c r="B27" s="294" t="s">
        <v>7161</v>
      </c>
      <c r="C27" s="295" t="s">
        <v>7162</v>
      </c>
    </row>
    <row r="28" spans="2:3">
      <c r="B28" s="298" t="s">
        <v>7163</v>
      </c>
      <c r="C28" s="299" t="s">
        <v>7164</v>
      </c>
    </row>
    <row r="29" spans="2:3">
      <c r="B29" s="294" t="s">
        <v>7165</v>
      </c>
      <c r="C29" s="295" t="s">
        <v>7166</v>
      </c>
    </row>
    <row r="30" spans="2:3">
      <c r="B30" s="298" t="s">
        <v>7167</v>
      </c>
      <c r="C30" s="299" t="s">
        <v>7168</v>
      </c>
    </row>
    <row r="31" spans="2:3">
      <c r="B31" s="294" t="s">
        <v>7169</v>
      </c>
      <c r="C31" s="295" t="s">
        <v>7170</v>
      </c>
    </row>
    <row r="32" spans="2:3">
      <c r="B32" s="298" t="s">
        <v>7171</v>
      </c>
      <c r="C32" s="299" t="s">
        <v>7172</v>
      </c>
    </row>
    <row r="33" spans="2:3">
      <c r="B33" s="294" t="s">
        <v>7173</v>
      </c>
      <c r="C33" s="295" t="s">
        <v>7174</v>
      </c>
    </row>
    <row r="34" spans="2:3">
      <c r="B34" s="298" t="s">
        <v>7175</v>
      </c>
      <c r="C34" s="299" t="s">
        <v>7176</v>
      </c>
    </row>
    <row r="35" spans="2:3">
      <c r="B35" s="294" t="s">
        <v>7177</v>
      </c>
      <c r="C35" s="295" t="s">
        <v>7178</v>
      </c>
    </row>
    <row r="36" spans="2:3">
      <c r="B36" s="298" t="s">
        <v>7179</v>
      </c>
      <c r="C36" s="299" t="s">
        <v>7180</v>
      </c>
    </row>
    <row r="37" spans="2:3">
      <c r="B37" s="294" t="s">
        <v>7181</v>
      </c>
      <c r="C37" s="295" t="s">
        <v>7182</v>
      </c>
    </row>
    <row r="38" spans="2:3">
      <c r="B38" s="298" t="s">
        <v>7183</v>
      </c>
      <c r="C38" s="299" t="s">
        <v>7184</v>
      </c>
    </row>
    <row r="39" spans="2:3">
      <c r="B39" s="294" t="s">
        <v>7185</v>
      </c>
      <c r="C39" s="295" t="s">
        <v>7186</v>
      </c>
    </row>
    <row r="40" spans="2:3">
      <c r="B40" s="298" t="s">
        <v>7187</v>
      </c>
      <c r="C40" s="299" t="s">
        <v>7188</v>
      </c>
    </row>
    <row r="41" spans="2:3">
      <c r="B41" s="294" t="s">
        <v>7189</v>
      </c>
      <c r="C41" s="295" t="s">
        <v>7190</v>
      </c>
    </row>
    <row r="42" spans="2:3">
      <c r="B42" s="298" t="s">
        <v>7191</v>
      </c>
      <c r="C42" s="299" t="s">
        <v>7192</v>
      </c>
    </row>
    <row r="43" spans="2:3">
      <c r="B43" s="294" t="s">
        <v>7193</v>
      </c>
      <c r="C43" s="295" t="s">
        <v>7194</v>
      </c>
    </row>
    <row r="44" spans="2:3">
      <c r="B44" s="298" t="s">
        <v>7195</v>
      </c>
      <c r="C44" s="299" t="s">
        <v>7196</v>
      </c>
    </row>
    <row r="45" spans="2:3">
      <c r="B45" s="294" t="s">
        <v>7197</v>
      </c>
      <c r="C45" s="295" t="s">
        <v>7198</v>
      </c>
    </row>
    <row r="46" spans="2:3">
      <c r="B46" s="298" t="s">
        <v>7199</v>
      </c>
      <c r="C46" s="299" t="s">
        <v>7200</v>
      </c>
    </row>
    <row r="47" spans="2:3">
      <c r="B47" s="294" t="s">
        <v>7201</v>
      </c>
      <c r="C47" s="295" t="s">
        <v>7202</v>
      </c>
    </row>
    <row r="48" spans="2:3">
      <c r="B48" s="298" t="s">
        <v>7203</v>
      </c>
      <c r="C48" s="299" t="s">
        <v>7204</v>
      </c>
    </row>
    <row r="49" spans="2:3">
      <c r="B49" s="294" t="s">
        <v>7205</v>
      </c>
      <c r="C49" s="295" t="s">
        <v>7206</v>
      </c>
    </row>
    <row r="50" spans="2:3">
      <c r="B50" s="298" t="s">
        <v>7207</v>
      </c>
      <c r="C50" s="299" t="s">
        <v>7208</v>
      </c>
    </row>
    <row r="51" spans="2:3">
      <c r="B51" s="294" t="s">
        <v>7209</v>
      </c>
      <c r="C51" s="295" t="s">
        <v>7210</v>
      </c>
    </row>
    <row r="52" spans="2:3">
      <c r="B52" s="298" t="s">
        <v>7211</v>
      </c>
      <c r="C52" s="299" t="s">
        <v>7212</v>
      </c>
    </row>
    <row r="53" spans="2:3">
      <c r="B53" s="294" t="s">
        <v>7213</v>
      </c>
      <c r="C53" s="295" t="s">
        <v>7214</v>
      </c>
    </row>
    <row r="54" spans="2:3">
      <c r="B54" s="298" t="s">
        <v>7215</v>
      </c>
      <c r="C54" s="299" t="s">
        <v>7216</v>
      </c>
    </row>
    <row r="55" spans="2:3">
      <c r="B55" s="294" t="s">
        <v>7217</v>
      </c>
      <c r="C55" s="295" t="s">
        <v>7218</v>
      </c>
    </row>
    <row r="56" spans="2:3">
      <c r="B56" s="298" t="s">
        <v>7219</v>
      </c>
      <c r="C56" s="299" t="s">
        <v>7220</v>
      </c>
    </row>
    <row r="57" spans="2:3">
      <c r="B57" s="294" t="s">
        <v>7221</v>
      </c>
      <c r="C57" s="295" t="s">
        <v>7222</v>
      </c>
    </row>
    <row r="58" spans="2:3">
      <c r="B58" s="298" t="s">
        <v>7223</v>
      </c>
      <c r="C58" s="299" t="s">
        <v>7224</v>
      </c>
    </row>
    <row r="59" spans="2:3">
      <c r="B59" s="294" t="s">
        <v>7225</v>
      </c>
      <c r="C59" s="295" t="s">
        <v>7226</v>
      </c>
    </row>
    <row r="60" spans="2:3">
      <c r="B60" s="298" t="s">
        <v>7227</v>
      </c>
      <c r="C60" s="299" t="s">
        <v>7228</v>
      </c>
    </row>
    <row r="61" spans="2:3">
      <c r="B61" s="294" t="s">
        <v>7229</v>
      </c>
      <c r="C61" s="295" t="s">
        <v>7230</v>
      </c>
    </row>
    <row r="62" spans="2:3">
      <c r="B62" s="298" t="s">
        <v>7231</v>
      </c>
      <c r="C62" s="299" t="s">
        <v>7232</v>
      </c>
    </row>
    <row r="63" spans="2:3">
      <c r="B63" s="294" t="s">
        <v>7233</v>
      </c>
      <c r="C63" s="295" t="s">
        <v>7234</v>
      </c>
    </row>
    <row r="64" spans="2:3">
      <c r="B64" s="298" t="s">
        <v>7235</v>
      </c>
      <c r="C64" s="299" t="s">
        <v>7236</v>
      </c>
    </row>
    <row r="65" spans="2:3">
      <c r="B65" s="294" t="s">
        <v>7237</v>
      </c>
      <c r="C65" s="295" t="s">
        <v>7238</v>
      </c>
    </row>
    <row r="66" spans="2:3">
      <c r="B66" s="298" t="s">
        <v>7239</v>
      </c>
      <c r="C66" s="299" t="s">
        <v>7240</v>
      </c>
    </row>
    <row r="67" spans="2:3">
      <c r="B67" s="294" t="s">
        <v>7241</v>
      </c>
      <c r="C67" s="295" t="s">
        <v>7242</v>
      </c>
    </row>
    <row r="68" spans="2:3">
      <c r="B68" s="298" t="s">
        <v>7243</v>
      </c>
      <c r="C68" s="299" t="s">
        <v>7244</v>
      </c>
    </row>
    <row r="69" spans="2:3">
      <c r="B69" s="294" t="s">
        <v>7245</v>
      </c>
      <c r="C69" s="295" t="s">
        <v>7246</v>
      </c>
    </row>
    <row r="70" spans="2:3">
      <c r="B70" s="298" t="s">
        <v>7247</v>
      </c>
      <c r="C70" s="299" t="s">
        <v>7248</v>
      </c>
    </row>
    <row r="71" spans="2:3">
      <c r="B71" s="294" t="s">
        <v>7249</v>
      </c>
      <c r="C71" s="295" t="s">
        <v>7250</v>
      </c>
    </row>
    <row r="72" spans="2:3">
      <c r="B72" s="298" t="s">
        <v>7251</v>
      </c>
      <c r="C72" s="299" t="s">
        <v>7252</v>
      </c>
    </row>
    <row r="73" spans="2:3">
      <c r="B73" s="294" t="s">
        <v>7253</v>
      </c>
      <c r="C73" s="295" t="s">
        <v>7254</v>
      </c>
    </row>
    <row r="74" spans="2:3">
      <c r="B74" s="298" t="s">
        <v>7255</v>
      </c>
      <c r="C74" s="299" t="s">
        <v>7256</v>
      </c>
    </row>
    <row r="75" spans="2:3">
      <c r="B75" s="294" t="s">
        <v>7257</v>
      </c>
      <c r="C75" s="295" t="s">
        <v>6658</v>
      </c>
    </row>
    <row r="76" spans="2:3">
      <c r="B76" s="298" t="s">
        <v>7258</v>
      </c>
      <c r="C76" s="299" t="s">
        <v>7259</v>
      </c>
    </row>
    <row r="77" spans="2:3">
      <c r="B77" s="294" t="s">
        <v>7260</v>
      </c>
      <c r="C77" s="295" t="s">
        <v>7261</v>
      </c>
    </row>
    <row r="78" spans="2:3">
      <c r="B78" s="298" t="s">
        <v>7262</v>
      </c>
      <c r="C78" s="299" t="s">
        <v>7263</v>
      </c>
    </row>
    <row r="79" spans="2:3">
      <c r="B79" s="294" t="s">
        <v>7264</v>
      </c>
      <c r="C79" s="295" t="s">
        <v>7265</v>
      </c>
    </row>
    <row r="80" spans="2:3">
      <c r="B80" s="298" t="s">
        <v>7266</v>
      </c>
      <c r="C80" s="299" t="s">
        <v>7267</v>
      </c>
    </row>
    <row r="81" spans="2:3">
      <c r="B81" s="294" t="s">
        <v>7268</v>
      </c>
      <c r="C81" s="295" t="s">
        <v>7269</v>
      </c>
    </row>
    <row r="82" spans="2:3">
      <c r="B82" s="298" t="s">
        <v>7270</v>
      </c>
      <c r="C82" s="299" t="s">
        <v>7271</v>
      </c>
    </row>
    <row r="83" spans="2:3">
      <c r="B83" s="294" t="s">
        <v>7272</v>
      </c>
      <c r="C83" s="295" t="s">
        <v>7273</v>
      </c>
    </row>
    <row r="84" spans="2:3">
      <c r="B84" s="298" t="s">
        <v>7274</v>
      </c>
      <c r="C84" s="299" t="s">
        <v>7275</v>
      </c>
    </row>
    <row r="85" spans="2:3">
      <c r="B85" s="294" t="s">
        <v>7276</v>
      </c>
      <c r="C85" s="295" t="s">
        <v>7277</v>
      </c>
    </row>
    <row r="86" spans="2:3">
      <c r="B86" s="298" t="s">
        <v>7278</v>
      </c>
      <c r="C86" s="299" t="s">
        <v>7279</v>
      </c>
    </row>
    <row r="87" spans="2:3">
      <c r="B87" s="294" t="s">
        <v>7280</v>
      </c>
      <c r="C87" s="295" t="s">
        <v>7281</v>
      </c>
    </row>
    <row r="88" spans="2:3">
      <c r="B88" s="298" t="s">
        <v>7282</v>
      </c>
      <c r="C88" s="299" t="s">
        <v>7283</v>
      </c>
    </row>
    <row r="89" spans="2:3">
      <c r="B89" s="294" t="s">
        <v>7284</v>
      </c>
      <c r="C89" s="295" t="s">
        <v>7285</v>
      </c>
    </row>
    <row r="90" spans="2:3">
      <c r="B90" s="298" t="s">
        <v>7286</v>
      </c>
      <c r="C90" s="299" t="s">
        <v>7287</v>
      </c>
    </row>
    <row r="91" spans="2:3">
      <c r="B91" s="294" t="s">
        <v>7288</v>
      </c>
      <c r="C91" s="295" t="s">
        <v>7289</v>
      </c>
    </row>
    <row r="92" spans="2:3">
      <c r="B92" s="298" t="s">
        <v>7290</v>
      </c>
      <c r="C92" s="299" t="s">
        <v>7291</v>
      </c>
    </row>
    <row r="93" spans="2:3">
      <c r="B93" s="294" t="s">
        <v>7292</v>
      </c>
      <c r="C93" s="295" t="s">
        <v>7293</v>
      </c>
    </row>
    <row r="94" spans="2:3">
      <c r="B94" s="298" t="s">
        <v>7294</v>
      </c>
      <c r="C94" s="299" t="s">
        <v>7295</v>
      </c>
    </row>
    <row r="95" spans="2:3">
      <c r="B95" s="294" t="s">
        <v>7296</v>
      </c>
      <c r="C95" s="295" t="s">
        <v>7297</v>
      </c>
    </row>
    <row r="96" spans="2:3">
      <c r="B96" s="298" t="s">
        <v>7298</v>
      </c>
      <c r="C96" s="299" t="s">
        <v>7299</v>
      </c>
    </row>
    <row r="97" spans="2:3">
      <c r="B97" s="294" t="s">
        <v>7300</v>
      </c>
      <c r="C97" s="295" t="s">
        <v>7301</v>
      </c>
    </row>
    <row r="98" spans="2:3">
      <c r="B98" s="298" t="s">
        <v>7302</v>
      </c>
      <c r="C98" s="299" t="s">
        <v>7303</v>
      </c>
    </row>
    <row r="99" spans="2:3">
      <c r="B99" s="294" t="s">
        <v>7304</v>
      </c>
      <c r="C99" s="295" t="s">
        <v>7305</v>
      </c>
    </row>
    <row r="100" spans="2:3">
      <c r="B100" s="298" t="s">
        <v>7306</v>
      </c>
      <c r="C100" s="299" t="s">
        <v>7307</v>
      </c>
    </row>
    <row r="101" spans="2:3">
      <c r="B101" s="294" t="s">
        <v>7308</v>
      </c>
      <c r="C101" s="295" t="s">
        <v>7309</v>
      </c>
    </row>
    <row r="102" spans="2:3">
      <c r="B102" s="298" t="s">
        <v>7310</v>
      </c>
      <c r="C102" s="299" t="s">
        <v>7311</v>
      </c>
    </row>
    <row r="103" spans="2:3">
      <c r="B103" s="294" t="s">
        <v>7312</v>
      </c>
      <c r="C103" s="295" t="s">
        <v>7313</v>
      </c>
    </row>
    <row r="104" spans="2:3">
      <c r="B104" s="298" t="s">
        <v>7314</v>
      </c>
      <c r="C104" s="299" t="s">
        <v>7315</v>
      </c>
    </row>
    <row r="105" spans="2:3">
      <c r="B105" s="294" t="s">
        <v>7316</v>
      </c>
      <c r="C105" s="295" t="s">
        <v>7317</v>
      </c>
    </row>
    <row r="106" spans="2:3">
      <c r="B106" s="298" t="s">
        <v>7318</v>
      </c>
      <c r="C106" s="299" t="s">
        <v>7319</v>
      </c>
    </row>
    <row r="107" spans="2:3">
      <c r="B107" s="294" t="s">
        <v>7320</v>
      </c>
      <c r="C107" s="295" t="s">
        <v>7321</v>
      </c>
    </row>
    <row r="108" spans="2:3">
      <c r="B108" s="298" t="s">
        <v>7322</v>
      </c>
      <c r="C108" s="299" t="s">
        <v>7323</v>
      </c>
    </row>
    <row r="109" spans="2:3">
      <c r="B109" s="294" t="s">
        <v>7324</v>
      </c>
      <c r="C109" s="295" t="s">
        <v>7325</v>
      </c>
    </row>
    <row r="110" spans="2:3">
      <c r="B110" s="298" t="s">
        <v>7326</v>
      </c>
      <c r="C110" s="299" t="s">
        <v>7327</v>
      </c>
    </row>
    <row r="111" spans="2:3">
      <c r="B111" s="294" t="s">
        <v>7328</v>
      </c>
      <c r="C111" s="295" t="s">
        <v>7329</v>
      </c>
    </row>
    <row r="112" spans="2:3">
      <c r="B112" s="298" t="s">
        <v>7330</v>
      </c>
      <c r="C112" s="299" t="s">
        <v>7331</v>
      </c>
    </row>
    <row r="113" spans="2:3">
      <c r="B113" s="294" t="s">
        <v>7332</v>
      </c>
      <c r="C113" s="295" t="s">
        <v>7333</v>
      </c>
    </row>
    <row r="114" spans="2:3">
      <c r="B114" s="298" t="s">
        <v>7334</v>
      </c>
      <c r="C114" s="299" t="s">
        <v>7335</v>
      </c>
    </row>
    <row r="115" spans="2:3">
      <c r="B115" s="294" t="s">
        <v>7336</v>
      </c>
      <c r="C115" s="295" t="s">
        <v>7337</v>
      </c>
    </row>
    <row r="116" spans="2:3">
      <c r="B116" s="298" t="s">
        <v>7338</v>
      </c>
      <c r="C116" s="299" t="s">
        <v>7339</v>
      </c>
    </row>
    <row r="117" spans="2:3">
      <c r="B117" s="294" t="s">
        <v>7340</v>
      </c>
      <c r="C117" s="295" t="s">
        <v>7341</v>
      </c>
    </row>
    <row r="118" spans="2:3">
      <c r="B118" s="298" t="s">
        <v>7342</v>
      </c>
      <c r="C118" s="299" t="s">
        <v>7343</v>
      </c>
    </row>
    <row r="119" spans="2:3">
      <c r="B119" s="294" t="s">
        <v>7344</v>
      </c>
      <c r="C119" s="295" t="s">
        <v>7345</v>
      </c>
    </row>
    <row r="120" spans="2:3">
      <c r="B120" s="298" t="s">
        <v>7346</v>
      </c>
      <c r="C120" s="299" t="s">
        <v>7347</v>
      </c>
    </row>
    <row r="121" spans="2:3">
      <c r="B121" s="294" t="s">
        <v>7348</v>
      </c>
      <c r="C121" s="295" t="s">
        <v>7349</v>
      </c>
    </row>
    <row r="122" spans="2:3">
      <c r="B122" s="298" t="s">
        <v>7350</v>
      </c>
      <c r="C122" s="299" t="s">
        <v>7351</v>
      </c>
    </row>
    <row r="123" spans="2:3">
      <c r="B123" s="294" t="s">
        <v>7352</v>
      </c>
      <c r="C123" s="295" t="s">
        <v>7353</v>
      </c>
    </row>
    <row r="124" spans="2:3">
      <c r="B124" s="298" t="s">
        <v>7354</v>
      </c>
      <c r="C124" s="299" t="s">
        <v>7355</v>
      </c>
    </row>
    <row r="125" spans="2:3">
      <c r="B125" s="294" t="s">
        <v>7356</v>
      </c>
      <c r="C125" s="295" t="s">
        <v>7357</v>
      </c>
    </row>
    <row r="126" spans="2:3">
      <c r="B126" s="298" t="s">
        <v>7358</v>
      </c>
      <c r="C126" s="299" t="s">
        <v>7359</v>
      </c>
    </row>
    <row r="127" spans="2:3">
      <c r="B127" s="294" t="s">
        <v>7360</v>
      </c>
      <c r="C127" s="295" t="s">
        <v>7361</v>
      </c>
    </row>
    <row r="128" spans="2:3">
      <c r="B128" s="298" t="s">
        <v>7362</v>
      </c>
      <c r="C128" s="299" t="s">
        <v>7363</v>
      </c>
    </row>
    <row r="129" spans="2:3">
      <c r="B129" s="294" t="s">
        <v>7364</v>
      </c>
      <c r="C129" s="295" t="s">
        <v>7365</v>
      </c>
    </row>
    <row r="130" spans="2:3">
      <c r="B130" s="298" t="s">
        <v>7366</v>
      </c>
      <c r="C130" s="299" t="s">
        <v>7367</v>
      </c>
    </row>
    <row r="131" spans="2:3">
      <c r="B131" s="294" t="s">
        <v>7368</v>
      </c>
      <c r="C131" s="295" t="s">
        <v>7369</v>
      </c>
    </row>
    <row r="132" spans="2:3">
      <c r="B132" s="298" t="s">
        <v>7370</v>
      </c>
      <c r="C132" s="299" t="s">
        <v>7371</v>
      </c>
    </row>
    <row r="133" spans="2:3">
      <c r="B133" s="294" t="s">
        <v>7372</v>
      </c>
      <c r="C133" s="295" t="s">
        <v>7373</v>
      </c>
    </row>
    <row r="134" spans="2:3">
      <c r="B134" s="298" t="s">
        <v>7374</v>
      </c>
      <c r="C134" s="299" t="s">
        <v>7375</v>
      </c>
    </row>
    <row r="135" spans="2:3">
      <c r="B135" s="294" t="s">
        <v>7376</v>
      </c>
      <c r="C135" s="295" t="s">
        <v>7377</v>
      </c>
    </row>
    <row r="136" spans="2:3">
      <c r="B136" s="298" t="s">
        <v>7378</v>
      </c>
      <c r="C136" s="299" t="s">
        <v>7379</v>
      </c>
    </row>
    <row r="137" spans="2:3">
      <c r="B137" s="294" t="s">
        <v>7380</v>
      </c>
      <c r="C137" s="295" t="s">
        <v>7381</v>
      </c>
    </row>
    <row r="138" spans="2:3">
      <c r="B138" s="298" t="s">
        <v>7382</v>
      </c>
      <c r="C138" s="299" t="s">
        <v>7383</v>
      </c>
    </row>
    <row r="139" spans="2:3">
      <c r="B139" s="294" t="s">
        <v>7384</v>
      </c>
      <c r="C139" s="295" t="s">
        <v>7385</v>
      </c>
    </row>
    <row r="140" spans="2:3">
      <c r="B140" s="298" t="s">
        <v>7386</v>
      </c>
      <c r="C140" s="299" t="s">
        <v>7387</v>
      </c>
    </row>
    <row r="141" spans="2:3">
      <c r="B141" s="294" t="s">
        <v>7388</v>
      </c>
      <c r="C141" s="295" t="s">
        <v>7389</v>
      </c>
    </row>
    <row r="142" spans="2:3">
      <c r="B142" s="298" t="s">
        <v>7390</v>
      </c>
      <c r="C142" s="299" t="s">
        <v>7391</v>
      </c>
    </row>
    <row r="143" spans="2:3">
      <c r="B143" s="294" t="s">
        <v>7392</v>
      </c>
      <c r="C143" s="295" t="s">
        <v>7393</v>
      </c>
    </row>
    <row r="144" spans="2:3">
      <c r="B144" s="298" t="s">
        <v>7394</v>
      </c>
      <c r="C144" s="299" t="s">
        <v>7395</v>
      </c>
    </row>
    <row r="145" spans="2:3">
      <c r="B145" s="294" t="s">
        <v>7396</v>
      </c>
      <c r="C145" s="295" t="s">
        <v>7397</v>
      </c>
    </row>
    <row r="146" spans="2:3">
      <c r="B146" s="298" t="s">
        <v>7398</v>
      </c>
      <c r="C146" s="299" t="s">
        <v>7399</v>
      </c>
    </row>
    <row r="147" spans="2:3">
      <c r="B147" s="294" t="s">
        <v>7400</v>
      </c>
      <c r="C147" s="295" t="s">
        <v>7401</v>
      </c>
    </row>
    <row r="148" spans="2:3">
      <c r="B148" s="298" t="s">
        <v>7402</v>
      </c>
      <c r="C148" s="299" t="s">
        <v>7403</v>
      </c>
    </row>
    <row r="149" spans="2:3">
      <c r="B149" s="294" t="s">
        <v>7404</v>
      </c>
      <c r="C149" s="295" t="s">
        <v>4039</v>
      </c>
    </row>
    <row r="150" spans="2:3">
      <c r="B150" s="298" t="s">
        <v>7405</v>
      </c>
      <c r="C150" s="299" t="s">
        <v>7406</v>
      </c>
    </row>
    <row r="151" spans="2:3">
      <c r="B151" s="294" t="s">
        <v>7407</v>
      </c>
      <c r="C151" s="295" t="s">
        <v>7408</v>
      </c>
    </row>
    <row r="152" spans="2:3">
      <c r="B152" s="298" t="s">
        <v>7409</v>
      </c>
      <c r="C152" s="299" t="s">
        <v>7410</v>
      </c>
    </row>
    <row r="153" spans="2:3">
      <c r="B153" s="294" t="s">
        <v>7411</v>
      </c>
      <c r="C153" s="295" t="s">
        <v>7412</v>
      </c>
    </row>
    <row r="154" spans="2:3">
      <c r="B154" s="298" t="s">
        <v>7413</v>
      </c>
      <c r="C154" s="299" t="s">
        <v>7414</v>
      </c>
    </row>
    <row r="155" spans="2:3">
      <c r="B155" s="294" t="s">
        <v>7415</v>
      </c>
      <c r="C155" s="295" t="s">
        <v>7416</v>
      </c>
    </row>
    <row r="156" spans="2:3">
      <c r="B156" s="298" t="s">
        <v>7417</v>
      </c>
      <c r="C156" s="299" t="s">
        <v>7418</v>
      </c>
    </row>
    <row r="157" spans="2:3">
      <c r="B157" s="294" t="s">
        <v>7419</v>
      </c>
      <c r="C157" s="295" t="s">
        <v>7420</v>
      </c>
    </row>
    <row r="158" spans="2:3">
      <c r="B158" s="298" t="s">
        <v>7421</v>
      </c>
      <c r="C158" s="299" t="s">
        <v>7422</v>
      </c>
    </row>
    <row r="159" spans="2:3">
      <c r="B159" s="294" t="s">
        <v>7423</v>
      </c>
      <c r="C159" s="295" t="s">
        <v>7424</v>
      </c>
    </row>
    <row r="160" spans="2:3">
      <c r="B160" s="298" t="s">
        <v>7425</v>
      </c>
      <c r="C160" s="299" t="s">
        <v>7426</v>
      </c>
    </row>
    <row r="161" spans="2:3">
      <c r="B161" s="294" t="s">
        <v>7427</v>
      </c>
      <c r="C161" s="295" t="s">
        <v>7428</v>
      </c>
    </row>
    <row r="162" spans="2:3">
      <c r="B162" s="298" t="s">
        <v>7429</v>
      </c>
      <c r="C162" s="299" t="s">
        <v>7430</v>
      </c>
    </row>
    <row r="163" spans="2:3">
      <c r="B163" s="294" t="s">
        <v>7431</v>
      </c>
      <c r="C163" s="295" t="s">
        <v>7432</v>
      </c>
    </row>
    <row r="164" spans="2:3">
      <c r="B164" s="298" t="s">
        <v>7433</v>
      </c>
      <c r="C164" s="299" t="s">
        <v>7434</v>
      </c>
    </row>
    <row r="165" spans="2:3">
      <c r="B165" s="294" t="s">
        <v>7435</v>
      </c>
      <c r="C165" s="295" t="s">
        <v>7436</v>
      </c>
    </row>
    <row r="166" spans="2:3">
      <c r="B166" s="298" t="s">
        <v>7437</v>
      </c>
      <c r="C166" s="299" t="s">
        <v>7438</v>
      </c>
    </row>
    <row r="167" spans="2:3">
      <c r="B167" s="294" t="s">
        <v>7439</v>
      </c>
      <c r="C167" s="295" t="s">
        <v>7440</v>
      </c>
    </row>
    <row r="168" spans="2:3">
      <c r="B168" s="298" t="s">
        <v>7441</v>
      </c>
      <c r="C168" s="299" t="s">
        <v>7442</v>
      </c>
    </row>
    <row r="169" spans="2:3">
      <c r="B169" s="294" t="s">
        <v>7443</v>
      </c>
      <c r="C169" s="295" t="s">
        <v>7444</v>
      </c>
    </row>
    <row r="170" spans="2:3">
      <c r="B170" s="298" t="s">
        <v>7445</v>
      </c>
      <c r="C170" s="299" t="s">
        <v>7446</v>
      </c>
    </row>
    <row r="171" spans="2:3">
      <c r="B171" s="294" t="s">
        <v>7447</v>
      </c>
      <c r="C171" s="295" t="s">
        <v>7448</v>
      </c>
    </row>
    <row r="172" spans="2:3">
      <c r="B172" s="298" t="s">
        <v>7449</v>
      </c>
      <c r="C172" s="299" t="s">
        <v>7450</v>
      </c>
    </row>
    <row r="173" spans="2:3">
      <c r="B173" s="294" t="s">
        <v>7451</v>
      </c>
      <c r="C173" s="295" t="s">
        <v>7452</v>
      </c>
    </row>
    <row r="174" spans="2:3">
      <c r="B174" s="298" t="s">
        <v>7453</v>
      </c>
      <c r="C174" s="299" t="s">
        <v>7454</v>
      </c>
    </row>
    <row r="175" spans="2:3">
      <c r="B175" s="294" t="s">
        <v>7455</v>
      </c>
      <c r="C175" s="295" t="s">
        <v>7456</v>
      </c>
    </row>
    <row r="176" spans="2:3">
      <c r="B176" s="298" t="s">
        <v>7457</v>
      </c>
      <c r="C176" s="299" t="s">
        <v>7458</v>
      </c>
    </row>
    <row r="177" spans="2:3">
      <c r="B177" s="294" t="s">
        <v>7459</v>
      </c>
      <c r="C177" s="295" t="s">
        <v>7460</v>
      </c>
    </row>
    <row r="178" spans="2:3">
      <c r="B178" s="298" t="s">
        <v>7461</v>
      </c>
      <c r="C178" s="299" t="s">
        <v>7462</v>
      </c>
    </row>
    <row r="179" spans="2:3">
      <c r="B179" s="294" t="s">
        <v>7463</v>
      </c>
      <c r="C179" s="295" t="s">
        <v>7464</v>
      </c>
    </row>
    <row r="180" spans="2:3">
      <c r="B180" s="298" t="s">
        <v>7465</v>
      </c>
      <c r="C180" s="299" t="s">
        <v>7466</v>
      </c>
    </row>
    <row r="181" spans="2:3">
      <c r="B181" s="294" t="s">
        <v>7467</v>
      </c>
      <c r="C181" s="295" t="s">
        <v>6659</v>
      </c>
    </row>
    <row r="182" spans="2:3">
      <c r="B182" s="298" t="s">
        <v>7468</v>
      </c>
      <c r="C182" s="299" t="s">
        <v>7469</v>
      </c>
    </row>
    <row r="183" spans="2:3">
      <c r="B183" s="294" t="s">
        <v>7470</v>
      </c>
      <c r="C183" s="295" t="s">
        <v>7471</v>
      </c>
    </row>
    <row r="184" spans="2:3">
      <c r="B184" s="298" t="s">
        <v>7472</v>
      </c>
      <c r="C184" s="299" t="s">
        <v>7473</v>
      </c>
    </row>
    <row r="185" spans="2:3">
      <c r="B185" s="294" t="s">
        <v>7474</v>
      </c>
      <c r="C185" s="295" t="s">
        <v>7475</v>
      </c>
    </row>
    <row r="186" spans="2:3">
      <c r="B186" s="298" t="s">
        <v>7476</v>
      </c>
      <c r="C186" s="299" t="s">
        <v>7477</v>
      </c>
    </row>
    <row r="187" spans="2:3">
      <c r="B187" s="294" t="s">
        <v>7478</v>
      </c>
      <c r="C187" s="295" t="s">
        <v>7107</v>
      </c>
    </row>
    <row r="188" spans="2:3">
      <c r="B188" s="298" t="s">
        <v>7479</v>
      </c>
      <c r="C188" s="299" t="s">
        <v>7480</v>
      </c>
    </row>
    <row r="189" spans="2:3">
      <c r="B189" s="294" t="s">
        <v>7481</v>
      </c>
      <c r="C189" s="295" t="s">
        <v>7482</v>
      </c>
    </row>
    <row r="190" spans="2:3">
      <c r="B190" s="298" t="s">
        <v>7483</v>
      </c>
      <c r="C190" s="299" t="s">
        <v>7484</v>
      </c>
    </row>
    <row r="191" spans="2:3">
      <c r="B191" s="294" t="s">
        <v>7485</v>
      </c>
      <c r="C191" s="295" t="s">
        <v>7486</v>
      </c>
    </row>
    <row r="192" spans="2:3">
      <c r="B192" s="298" t="s">
        <v>7487</v>
      </c>
      <c r="C192" s="299" t="s">
        <v>7488</v>
      </c>
    </row>
    <row r="193" spans="2:3">
      <c r="B193" s="294" t="s">
        <v>7489</v>
      </c>
      <c r="C193" s="295" t="s">
        <v>7490</v>
      </c>
    </row>
    <row r="194" spans="2:3">
      <c r="B194" s="298" t="s">
        <v>7491</v>
      </c>
      <c r="C194" s="299" t="s">
        <v>7492</v>
      </c>
    </row>
    <row r="195" spans="2:3">
      <c r="B195" s="294" t="s">
        <v>7493</v>
      </c>
      <c r="C195" s="295" t="s">
        <v>7494</v>
      </c>
    </row>
    <row r="196" spans="2:3">
      <c r="B196" s="298" t="s">
        <v>7495</v>
      </c>
      <c r="C196" s="299" t="s">
        <v>7496</v>
      </c>
    </row>
    <row r="197" spans="2:3">
      <c r="B197" s="294" t="s">
        <v>7497</v>
      </c>
      <c r="C197" s="295" t="s">
        <v>7498</v>
      </c>
    </row>
    <row r="198" spans="2:3">
      <c r="B198" s="298" t="s">
        <v>7499</v>
      </c>
      <c r="C198" s="299" t="s">
        <v>7500</v>
      </c>
    </row>
    <row r="199" spans="2:3">
      <c r="B199" s="294" t="s">
        <v>7501</v>
      </c>
      <c r="C199" s="295" t="s">
        <v>7502</v>
      </c>
    </row>
    <row r="200" spans="2:3">
      <c r="B200" s="298" t="s">
        <v>7503</v>
      </c>
      <c r="C200" s="299" t="s">
        <v>7504</v>
      </c>
    </row>
    <row r="201" spans="2:3">
      <c r="B201" s="294" t="s">
        <v>7505</v>
      </c>
      <c r="C201" s="295" t="s">
        <v>7506</v>
      </c>
    </row>
    <row r="202" spans="2:3">
      <c r="B202" s="298" t="s">
        <v>7507</v>
      </c>
      <c r="C202" s="299" t="s">
        <v>7508</v>
      </c>
    </row>
    <row r="203" spans="2:3">
      <c r="B203" s="294" t="s">
        <v>7509</v>
      </c>
      <c r="C203" s="295" t="s">
        <v>7510</v>
      </c>
    </row>
    <row r="204" spans="2:3">
      <c r="B204" s="298" t="s">
        <v>7511</v>
      </c>
      <c r="C204" s="299" t="s">
        <v>7512</v>
      </c>
    </row>
    <row r="205" spans="2:3">
      <c r="B205" s="294" t="s">
        <v>7513</v>
      </c>
      <c r="C205" s="295" t="s">
        <v>7514</v>
      </c>
    </row>
    <row r="206" spans="2:3">
      <c r="B206" s="298" t="s">
        <v>7515</v>
      </c>
      <c r="C206" s="299" t="s">
        <v>7516</v>
      </c>
    </row>
    <row r="207" spans="2:3">
      <c r="B207" s="294" t="s">
        <v>7517</v>
      </c>
      <c r="C207" s="295" t="s">
        <v>7518</v>
      </c>
    </row>
    <row r="208" spans="2:3">
      <c r="B208" s="298" t="s">
        <v>7519</v>
      </c>
      <c r="C208" s="299" t="s">
        <v>7520</v>
      </c>
    </row>
    <row r="209" spans="2:3">
      <c r="B209" s="294" t="s">
        <v>7521</v>
      </c>
      <c r="C209" s="295" t="s">
        <v>7522</v>
      </c>
    </row>
    <row r="210" spans="2:3">
      <c r="B210" s="298" t="s">
        <v>7523</v>
      </c>
      <c r="C210" s="299" t="s">
        <v>7524</v>
      </c>
    </row>
    <row r="211" spans="2:3">
      <c r="B211" s="294" t="s">
        <v>7525</v>
      </c>
      <c r="C211" s="295" t="s">
        <v>7526</v>
      </c>
    </row>
    <row r="212" spans="2:3">
      <c r="B212" s="298" t="s">
        <v>7527</v>
      </c>
      <c r="C212" s="299" t="s">
        <v>7528</v>
      </c>
    </row>
    <row r="213" spans="2:3">
      <c r="B213" s="294" t="s">
        <v>7529</v>
      </c>
      <c r="C213" s="295" t="s">
        <v>7530</v>
      </c>
    </row>
    <row r="214" spans="2:3">
      <c r="B214" s="298" t="s">
        <v>7531</v>
      </c>
      <c r="C214" s="299" t="s">
        <v>7532</v>
      </c>
    </row>
    <row r="215" spans="2:3">
      <c r="B215" s="294" t="s">
        <v>7533</v>
      </c>
      <c r="C215" s="295" t="s">
        <v>7534</v>
      </c>
    </row>
    <row r="216" spans="2:3">
      <c r="B216" s="298" t="s">
        <v>7535</v>
      </c>
      <c r="C216" s="299" t="s">
        <v>7536</v>
      </c>
    </row>
    <row r="217" spans="2:3">
      <c r="B217" s="294" t="s">
        <v>7537</v>
      </c>
      <c r="C217" s="295" t="s">
        <v>7538</v>
      </c>
    </row>
    <row r="218" spans="2:3">
      <c r="B218" s="298" t="s">
        <v>7539</v>
      </c>
      <c r="C218" s="299" t="s">
        <v>7540</v>
      </c>
    </row>
    <row r="219" spans="2:3">
      <c r="B219" s="294" t="s">
        <v>7541</v>
      </c>
      <c r="C219" s="295" t="s">
        <v>7542</v>
      </c>
    </row>
    <row r="220" spans="2:3">
      <c r="B220" s="298" t="s">
        <v>7543</v>
      </c>
      <c r="C220" s="299" t="s">
        <v>7544</v>
      </c>
    </row>
    <row r="221" spans="2:3">
      <c r="B221" s="294" t="s">
        <v>7545</v>
      </c>
      <c r="C221" s="295" t="s">
        <v>7546</v>
      </c>
    </row>
    <row r="222" spans="2:3">
      <c r="B222" s="298" t="s">
        <v>7547</v>
      </c>
      <c r="C222" s="299" t="s">
        <v>7548</v>
      </c>
    </row>
    <row r="223" spans="2:3">
      <c r="B223" s="294" t="s">
        <v>7549</v>
      </c>
      <c r="C223" s="295" t="s">
        <v>7550</v>
      </c>
    </row>
    <row r="224" spans="2:3">
      <c r="B224" s="298" t="s">
        <v>7551</v>
      </c>
      <c r="C224" s="299" t="s">
        <v>7552</v>
      </c>
    </row>
    <row r="225" spans="2:3">
      <c r="B225" s="294" t="s">
        <v>7553</v>
      </c>
      <c r="C225" s="295" t="s">
        <v>7554</v>
      </c>
    </row>
    <row r="226" spans="2:3">
      <c r="B226" s="298" t="s">
        <v>7555</v>
      </c>
      <c r="C226" s="299" t="s">
        <v>7556</v>
      </c>
    </row>
    <row r="227" spans="2:3">
      <c r="B227" s="294" t="s">
        <v>7557</v>
      </c>
      <c r="C227" s="295" t="s">
        <v>7558</v>
      </c>
    </row>
    <row r="228" spans="2:3">
      <c r="B228" s="298" t="s">
        <v>7559</v>
      </c>
      <c r="C228" s="299" t="s">
        <v>7560</v>
      </c>
    </row>
    <row r="229" spans="2:3">
      <c r="B229" s="294" t="s">
        <v>7561</v>
      </c>
      <c r="C229" s="295" t="s">
        <v>7562</v>
      </c>
    </row>
    <row r="230" spans="2:3">
      <c r="B230" s="298" t="s">
        <v>7563</v>
      </c>
      <c r="C230" s="299" t="s">
        <v>7564</v>
      </c>
    </row>
    <row r="231" spans="2:3">
      <c r="B231" s="294" t="s">
        <v>7565</v>
      </c>
      <c r="C231" s="295" t="s">
        <v>7566</v>
      </c>
    </row>
    <row r="232" spans="2:3">
      <c r="B232" s="298" t="s">
        <v>7567</v>
      </c>
      <c r="C232" s="299" t="s">
        <v>7568</v>
      </c>
    </row>
    <row r="233" spans="2:3">
      <c r="B233" s="294" t="s">
        <v>7569</v>
      </c>
      <c r="C233" s="295" t="s">
        <v>7570</v>
      </c>
    </row>
    <row r="234" spans="2:3">
      <c r="B234" s="298" t="s">
        <v>7571</v>
      </c>
      <c r="C234" s="299" t="s">
        <v>7572</v>
      </c>
    </row>
    <row r="235" spans="2:3">
      <c r="B235" s="294" t="s">
        <v>7573</v>
      </c>
      <c r="C235" s="295" t="s">
        <v>7574</v>
      </c>
    </row>
    <row r="236" spans="2:3">
      <c r="B236" s="298" t="s">
        <v>7575</v>
      </c>
      <c r="C236" s="299" t="s">
        <v>7576</v>
      </c>
    </row>
    <row r="237" spans="2:3">
      <c r="B237" s="294" t="s">
        <v>7577</v>
      </c>
      <c r="C237" s="295" t="s">
        <v>7578</v>
      </c>
    </row>
    <row r="238" spans="2:3">
      <c r="B238" s="298" t="s">
        <v>7579</v>
      </c>
      <c r="C238" s="299" t="s">
        <v>7580</v>
      </c>
    </row>
    <row r="239" spans="2:3">
      <c r="B239" s="294" t="s">
        <v>7581</v>
      </c>
      <c r="C239" s="295" t="s">
        <v>7582</v>
      </c>
    </row>
    <row r="240" spans="2:3">
      <c r="B240" s="298" t="s">
        <v>7583</v>
      </c>
      <c r="C240" s="299" t="s">
        <v>7584</v>
      </c>
    </row>
    <row r="241" spans="2:3">
      <c r="B241" s="294" t="s">
        <v>7585</v>
      </c>
      <c r="C241" s="295" t="s">
        <v>7586</v>
      </c>
    </row>
    <row r="242" spans="2:3">
      <c r="B242" s="298" t="s">
        <v>7587</v>
      </c>
      <c r="C242" s="299" t="s">
        <v>7588</v>
      </c>
    </row>
    <row r="243" spans="2:3">
      <c r="B243" s="294" t="s">
        <v>7589</v>
      </c>
      <c r="C243" s="295" t="s">
        <v>7590</v>
      </c>
    </row>
    <row r="244" spans="2:3" ht="15" thickBot="1">
      <c r="B244" s="300" t="s">
        <v>7591</v>
      </c>
      <c r="C244" s="301" t="s">
        <v>7592</v>
      </c>
    </row>
  </sheetData>
  <sheetProtection algorithmName="SHA-512" hashValue="7AZ6vwtnbv5wxE2zUS+caiD23n57FlxI9wmPifuCqS3SXBUMuCt6Ocdwd/JrrlxaVf/f2EhymZgubJLHJOezBg==" saltValue="Ylx+l0AwEcFFqTYg+nq/lA==" spinCount="100000" sheet="1" objects="1" scenarios="1"/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AEE80-458D-4742-8C27-2CD602E3781A}">
  <sheetPr codeName="Sheet7"/>
  <dimension ref="A1:S101"/>
  <sheetViews>
    <sheetView workbookViewId="0">
      <selection activeCell="K31" sqref="K31"/>
    </sheetView>
  </sheetViews>
  <sheetFormatPr defaultRowHeight="13.2"/>
  <cols>
    <col min="1" max="1" width="9.5" style="1" bestFit="1" customWidth="1"/>
    <col min="2" max="4" width="18" style="1" customWidth="1"/>
    <col min="5" max="5" width="4.09765625" style="1" bestFit="1" customWidth="1"/>
    <col min="6" max="7" width="3.19921875" style="1" bestFit="1" customWidth="1"/>
    <col min="8" max="8" width="6.796875" style="1" bestFit="1" customWidth="1"/>
    <col min="9" max="9" width="3.19921875" style="2" bestFit="1" customWidth="1"/>
    <col min="10" max="10" width="3.19921875" style="2" customWidth="1"/>
    <col min="11" max="11" width="7.5" style="1" customWidth="1"/>
    <col min="12" max="15" width="15" style="1" customWidth="1"/>
    <col min="16" max="19" width="3.19921875" style="2" bestFit="1" customWidth="1"/>
    <col min="20" max="16384" width="8.796875" style="1"/>
  </cols>
  <sheetData>
    <row r="1" spans="1:19" s="3" customFormat="1">
      <c r="A1" s="3" t="s">
        <v>0</v>
      </c>
      <c r="B1" s="3" t="s">
        <v>1</v>
      </c>
      <c r="C1" s="3" t="s">
        <v>3755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</row>
    <row r="2" spans="1:19">
      <c r="A2" s="92" t="str">
        <f>男子エントリー!D7</f>
        <v/>
      </c>
      <c r="B2" s="1" t="str">
        <f>男子エントリー!E7&amp;"("&amp;男子エントリー!G7&amp;")"</f>
        <v>()</v>
      </c>
      <c r="C2" s="92" t="str">
        <f>男子エントリー!F7</f>
        <v/>
      </c>
      <c r="D2" s="92" t="str">
        <f>男子エントリー!E9</f>
        <v/>
      </c>
      <c r="E2" s="92" t="str">
        <f>男子エントリー!G9</f>
        <v/>
      </c>
      <c r="F2" s="1" t="str">
        <f>IF(C2="","",1)</f>
        <v/>
      </c>
      <c r="G2" s="92" t="str">
        <f>_xlfn.IFNA(VLOOKUP(男子エントリー!G8,競技会設定!$D$3:$E$49,2,0),"")</f>
        <v/>
      </c>
      <c r="H2" s="92" t="str">
        <f>_xlfn.IFNA(INDEX(競技会設定!$J$3:$O$47,MATCH(男子エントリー!H7,競技会設定!$N$3:$N$47,0),2),"")</f>
        <v/>
      </c>
      <c r="K2" s="92">
        <f>男子エントリー!C7</f>
        <v>0</v>
      </c>
      <c r="L2" s="1" t="str">
        <f>_xlfn.IFNA(TEXT(VLOOKUP(INDEX(男子エントリー!$J$7:$AF$406,MATCH(LEFT($B2,FIND("(",$B2)-1)&amp;RIGHT(L$1,1),男子エントリー!$AF$7:$AF$406,0),1),競技会設定!$P$2:$S$22,4,0),"000")&amp;"00 "&amp;IF(VLOOKUP(INDEX(男子エントリー!$J$7:$AF$406,MATCH(LEFT($B2,FIND("(",$B2)-1)&amp;RIGHT(L$1,1),男子エントリー!$AF$7:$AF$406,0),1),競技会設定!$P$2:$S$22,4,0)&gt;70,TEXT(INDEX(男子エントリー!$J$7:$AF$406,MATCH(LEFT($B2,FIND("(",$B2)-1)&amp;RIGHT(L$1,1),男子エントリー!$AF$7:$AF$406,0),3),"00000"),TEXT(INDEX(男子エントリー!$J$7:$AF$406,MATCH(LEFT($B2,FIND("(",$B2)-1)&amp;RIGHT(L$1,1),男子エントリー!$AF$7:$AF$406,0),3),"0000000")),"")</f>
        <v/>
      </c>
      <c r="M2" s="1" t="str">
        <f>_xlfn.IFNA(TEXT(VLOOKUP(INDEX(男子エントリー!$J$7:$AF$406,MATCH(LEFT($B2,FIND("(",$B2)-1)&amp;RIGHT(M$1,1),男子エントリー!$AF$7:$AF$406,0),1),競技会設定!$P$2:$S$22,4,0),"000")&amp;"00 "&amp;IF(VLOOKUP(INDEX(男子エントリー!$J$7:$AF$406,MATCH(LEFT($B2,FIND("(",$B2)-1)&amp;RIGHT(M$1,1),男子エントリー!$AF$7:$AF$406,0),1),競技会設定!$P$2:$S$22,4,0)&gt;70,TEXT(INDEX(男子エントリー!$J$7:$AF$406,MATCH(LEFT($B2,FIND("(",$B2)-1)&amp;RIGHT(M$1,1),男子エントリー!$AF$7:$AF$406,0),3),"00000"),TEXT(INDEX(男子エントリー!$J$7:$AF$406,MATCH(LEFT($B2,FIND("(",$B2)-1)&amp;RIGHT(M$1,1),男子エントリー!$AF$7:$AF$406,0),3),"0000000")),"")</f>
        <v/>
      </c>
      <c r="N2" s="1" t="str">
        <f>_xlfn.IFNA(TEXT(VLOOKUP(INDEX(男子エントリー!$J$7:$AF$406,MATCH(LEFT($B2,FIND("(",$B2)-1)&amp;RIGHT(N$1,1),男子エントリー!$AF$7:$AF$406,0),1),競技会設定!$P$2:$S$22,4,0),"000")&amp;"00 "&amp;IF(VLOOKUP(INDEX(男子エントリー!$J$7:$AF$406,MATCH(LEFT($B2,FIND("(",$B2)-1)&amp;RIGHT(N$1,1),男子エントリー!$AF$7:$AF$406,0),1),競技会設定!$P$2:$S$22,4,0)&gt;70,TEXT(INDEX(男子エントリー!$J$7:$AF$406,MATCH(LEFT($B2,FIND("(",$B2)-1)&amp;RIGHT(N$1,1),男子エントリー!$AF$7:$AF$406,0),3),"00000"),TEXT(INDEX(男子エントリー!$J$7:$AF$406,MATCH(LEFT($B2,FIND("(",$B2)-1)&amp;RIGHT(N$1,1),男子エントリー!$AF$7:$AF$406,0),3),"0000000")),"")</f>
        <v/>
      </c>
      <c r="O2" s="1" t="str">
        <f>_xlfn.IFNA(TEXT(VLOOKUP(INDEX(男子エントリー!$J$7:$AF$406,MATCH(LEFT($B2,FIND("(",$B2)-1)&amp;RIGHT(O$1,1),男子エントリー!$AF$7:$AF$406,0),1),競技会設定!$P$2:$S$22,4,0),"000")&amp;"00 "&amp;IF(VLOOKUP(INDEX(男子エントリー!$J$7:$AF$406,MATCH(LEFT($B2,FIND("(",$B2)-1)&amp;RIGHT(O$1,1),男子エントリー!$AF$7:$AF$406,0),1),競技会設定!$P$2:$S$22,4,0)&gt;70,TEXT(INDEX(男子エントリー!$J$7:$AF$406,MATCH(LEFT($B2,FIND("(",$B2)-1)&amp;RIGHT(O$1,1),男子エントリー!$AF$7:$AF$406,0),3),"00000"),TEXT(INDEX(男子エントリー!$J$7:$AF$406,MATCH(LEFT($B2,FIND("(",$B2)-1)&amp;RIGHT(O$1,1),男子エントリー!$AF$7:$AF$406,0),3),"0000000")),"")</f>
        <v/>
      </c>
    </row>
    <row r="3" spans="1:19">
      <c r="A3" s="92" t="str">
        <f>男子エントリー!D11</f>
        <v/>
      </c>
      <c r="B3" s="1" t="str">
        <f>男子エントリー!E11&amp;"("&amp;男子エントリー!G11&amp;")"</f>
        <v>()</v>
      </c>
      <c r="C3" s="92" t="str">
        <f>男子エントリー!F11</f>
        <v/>
      </c>
      <c r="D3" s="92" t="str">
        <f>男子エントリー!E13</f>
        <v/>
      </c>
      <c r="E3" s="92" t="str">
        <f>男子エントリー!G13</f>
        <v/>
      </c>
      <c r="F3" s="1" t="str">
        <f t="shared" ref="F3:F66" si="0">IF(C3="","",1)</f>
        <v/>
      </c>
      <c r="G3" s="92" t="str">
        <f>_xlfn.IFNA(VLOOKUP(男子エントリー!G12,競技会設定!$D$3:$E$49,2,0),"")</f>
        <v/>
      </c>
      <c r="H3" s="92" t="str">
        <f>_xlfn.IFNA(INDEX(競技会設定!$J$3:$O$47,MATCH(男子エントリー!H11,競技会設定!$N$3:$N$47,0),2),"")</f>
        <v/>
      </c>
      <c r="K3" s="92">
        <f>男子エントリー!C11</f>
        <v>0</v>
      </c>
      <c r="L3" s="1" t="str">
        <f>_xlfn.IFNA(TEXT(VLOOKUP(INDEX(男子エントリー!$J$7:$AF$406,MATCH(LEFT($B3,FIND("(",$B3)-1)&amp;RIGHT(L$1,1),男子エントリー!$AF$7:$AF$406,0),1),競技会設定!$P$2:$S$22,4,0),"000")&amp;"00 "&amp;IF(VLOOKUP(INDEX(男子エントリー!$J$7:$AF$406,MATCH(LEFT($B3,FIND("(",$B3)-1)&amp;RIGHT(L$1,1),男子エントリー!$AF$7:$AF$406,0),1),競技会設定!$P$2:$S$22,4,0)&gt;70,TEXT(INDEX(男子エントリー!$J$7:$AF$406,MATCH(LEFT($B3,FIND("(",$B3)-1)&amp;RIGHT(L$1,1),男子エントリー!$AF$7:$AF$406,0),3),"00000"),TEXT(INDEX(男子エントリー!$J$7:$AF$406,MATCH(LEFT($B3,FIND("(",$B3)-1)&amp;RIGHT(L$1,1),男子エントリー!$AF$7:$AF$406,0),3),"0000000")),"")</f>
        <v/>
      </c>
      <c r="M3" s="1" t="str">
        <f>_xlfn.IFNA(TEXT(VLOOKUP(INDEX(男子エントリー!$J$7:$AF$406,MATCH(LEFT($B3,FIND("(",$B3)-1)&amp;RIGHT(M$1,1),男子エントリー!$AF$7:$AF$406,0),1),競技会設定!$P$2:$S$22,4,0),"000")&amp;"00 "&amp;IF(VLOOKUP(INDEX(男子エントリー!$J$7:$AF$406,MATCH(LEFT($B3,FIND("(",$B3)-1)&amp;RIGHT(M$1,1),男子エントリー!$AF$7:$AF$406,0),1),競技会設定!$P$2:$S$22,4,0)&gt;70,TEXT(INDEX(男子エントリー!$J$7:$AF$406,MATCH(LEFT($B3,FIND("(",$B3)-1)&amp;RIGHT(M$1,1),男子エントリー!$AF$7:$AF$406,0),3),"00000"),TEXT(INDEX(男子エントリー!$J$7:$AF$406,MATCH(LEFT($B3,FIND("(",$B3)-1)&amp;RIGHT(M$1,1),男子エントリー!$AF$7:$AF$406,0),3),"0000000")),"")</f>
        <v/>
      </c>
      <c r="N3" s="1" t="str">
        <f>_xlfn.IFNA(TEXT(VLOOKUP(INDEX(男子エントリー!$J$7:$AF$406,MATCH(LEFT($B3,FIND("(",$B3)-1)&amp;RIGHT(N$1,1),男子エントリー!$AF$7:$AF$406,0),1),競技会設定!$P$2:$S$22,4,0),"000")&amp;"00 "&amp;IF(VLOOKUP(INDEX(男子エントリー!$J$7:$AF$406,MATCH(LEFT($B3,FIND("(",$B3)-1)&amp;RIGHT(N$1,1),男子エントリー!$AF$7:$AF$406,0),1),競技会設定!$P$2:$S$22,4,0)&gt;70,TEXT(INDEX(男子エントリー!$J$7:$AF$406,MATCH(LEFT($B3,FIND("(",$B3)-1)&amp;RIGHT(N$1,1),男子エントリー!$AF$7:$AF$406,0),3),"00000"),TEXT(INDEX(男子エントリー!$J$7:$AF$406,MATCH(LEFT($B3,FIND("(",$B3)-1)&amp;RIGHT(N$1,1),男子エントリー!$AF$7:$AF$406,0),3),"0000000")),"")</f>
        <v/>
      </c>
      <c r="O3" s="1" t="str">
        <f>_xlfn.IFNA(TEXT(VLOOKUP(INDEX(男子エントリー!$J$7:$AF$406,MATCH(LEFT($B3,FIND("(",$B3)-1)&amp;RIGHT(O$1,1),男子エントリー!$AF$7:$AF$406,0),1),競技会設定!$P$2:$S$22,4,0),"000")&amp;"00 "&amp;IF(VLOOKUP(INDEX(男子エントリー!$J$7:$AF$406,MATCH(LEFT($B3,FIND("(",$B3)-1)&amp;RIGHT(O$1,1),男子エントリー!$AF$7:$AF$406,0),1),競技会設定!$P$2:$S$22,4,0)&gt;70,TEXT(INDEX(男子エントリー!$J$7:$AF$406,MATCH(LEFT($B3,FIND("(",$B3)-1)&amp;RIGHT(O$1,1),男子エントリー!$AF$7:$AF$406,0),3),"00000"),TEXT(INDEX(男子エントリー!$J$7:$AF$406,MATCH(LEFT($B3,FIND("(",$B3)-1)&amp;RIGHT(O$1,1),男子エントリー!$AF$7:$AF$406,0),3),"0000000")),"")</f>
        <v/>
      </c>
    </row>
    <row r="4" spans="1:19">
      <c r="A4" s="92" t="str">
        <f>男子エントリー!D15</f>
        <v/>
      </c>
      <c r="B4" s="1" t="str">
        <f>男子エントリー!E15&amp;"("&amp;男子エントリー!G15&amp;")"</f>
        <v>()</v>
      </c>
      <c r="C4" s="92" t="str">
        <f>男子エントリー!F15</f>
        <v/>
      </c>
      <c r="D4" s="92" t="str">
        <f>男子エントリー!E17</f>
        <v/>
      </c>
      <c r="E4" s="92" t="str">
        <f>男子エントリー!G17</f>
        <v/>
      </c>
      <c r="F4" s="1" t="str">
        <f t="shared" si="0"/>
        <v/>
      </c>
      <c r="G4" s="92" t="str">
        <f>_xlfn.IFNA(VLOOKUP(男子エントリー!G16,競技会設定!$D$3:$E$49,2,0),"")</f>
        <v/>
      </c>
      <c r="H4" s="92" t="str">
        <f>_xlfn.IFNA(INDEX(競技会設定!$J$3:$O$47,MATCH(男子エントリー!H15,競技会設定!$N$3:$N$47,0),2),"")</f>
        <v/>
      </c>
      <c r="K4" s="92">
        <f>男子エントリー!C15</f>
        <v>0</v>
      </c>
      <c r="L4" s="1" t="str">
        <f>_xlfn.IFNA(TEXT(VLOOKUP(INDEX(男子エントリー!$J$7:$AF$406,MATCH(LEFT($B4,FIND("(",$B4)-1)&amp;RIGHT(L$1,1),男子エントリー!$AF$7:$AF$406,0),1),競技会設定!$P$2:$S$22,4,0),"000")&amp;"00 "&amp;IF(VLOOKUP(INDEX(男子エントリー!$J$7:$AF$406,MATCH(LEFT($B4,FIND("(",$B4)-1)&amp;RIGHT(L$1,1),男子エントリー!$AF$7:$AF$406,0),1),競技会設定!$P$2:$S$22,4,0)&gt;70,TEXT(INDEX(男子エントリー!$J$7:$AF$406,MATCH(LEFT($B4,FIND("(",$B4)-1)&amp;RIGHT(L$1,1),男子エントリー!$AF$7:$AF$406,0),3),"00000"),TEXT(INDEX(男子エントリー!$J$7:$AF$406,MATCH(LEFT($B4,FIND("(",$B4)-1)&amp;RIGHT(L$1,1),男子エントリー!$AF$7:$AF$406,0),3),"0000000")),"")</f>
        <v/>
      </c>
      <c r="M4" s="1" t="str">
        <f>_xlfn.IFNA(TEXT(VLOOKUP(INDEX(男子エントリー!$J$7:$AF$406,MATCH(LEFT($B4,FIND("(",$B4)-1)&amp;RIGHT(M$1,1),男子エントリー!$AF$7:$AF$406,0),1),競技会設定!$P$2:$S$22,4,0),"000")&amp;"00 "&amp;IF(VLOOKUP(INDEX(男子エントリー!$J$7:$AF$406,MATCH(LEFT($B4,FIND("(",$B4)-1)&amp;RIGHT(M$1,1),男子エントリー!$AF$7:$AF$406,0),1),競技会設定!$P$2:$S$22,4,0)&gt;70,TEXT(INDEX(男子エントリー!$J$7:$AF$406,MATCH(LEFT($B4,FIND("(",$B4)-1)&amp;RIGHT(M$1,1),男子エントリー!$AF$7:$AF$406,0),3),"00000"),TEXT(INDEX(男子エントリー!$J$7:$AF$406,MATCH(LEFT($B4,FIND("(",$B4)-1)&amp;RIGHT(M$1,1),男子エントリー!$AF$7:$AF$406,0),3),"0000000")),"")</f>
        <v/>
      </c>
      <c r="N4" s="1" t="str">
        <f>_xlfn.IFNA(TEXT(VLOOKUP(INDEX(男子エントリー!$J$7:$AF$406,MATCH(LEFT($B4,FIND("(",$B4)-1)&amp;RIGHT(N$1,1),男子エントリー!$AF$7:$AF$406,0),1),競技会設定!$P$2:$S$22,4,0),"000")&amp;"00 "&amp;IF(VLOOKUP(INDEX(男子エントリー!$J$7:$AF$406,MATCH(LEFT($B4,FIND("(",$B4)-1)&amp;RIGHT(N$1,1),男子エントリー!$AF$7:$AF$406,0),1),競技会設定!$P$2:$S$22,4,0)&gt;70,TEXT(INDEX(男子エントリー!$J$7:$AF$406,MATCH(LEFT($B4,FIND("(",$B4)-1)&amp;RIGHT(N$1,1),男子エントリー!$AF$7:$AF$406,0),3),"00000"),TEXT(INDEX(男子エントリー!$J$7:$AF$406,MATCH(LEFT($B4,FIND("(",$B4)-1)&amp;RIGHT(N$1,1),男子エントリー!$AF$7:$AF$406,0),3),"0000000")),"")</f>
        <v/>
      </c>
      <c r="O4" s="1" t="str">
        <f>_xlfn.IFNA(TEXT(VLOOKUP(INDEX(男子エントリー!$J$7:$AF$406,MATCH(LEFT($B4,FIND("(",$B4)-1)&amp;RIGHT(O$1,1),男子エントリー!$AF$7:$AF$406,0),1),競技会設定!$P$2:$S$22,4,0),"000")&amp;"00 "&amp;IF(VLOOKUP(INDEX(男子エントリー!$J$7:$AF$406,MATCH(LEFT($B4,FIND("(",$B4)-1)&amp;RIGHT(O$1,1),男子エントリー!$AF$7:$AF$406,0),1),競技会設定!$P$2:$S$22,4,0)&gt;70,TEXT(INDEX(男子エントリー!$J$7:$AF$406,MATCH(LEFT($B4,FIND("(",$B4)-1)&amp;RIGHT(O$1,1),男子エントリー!$AF$7:$AF$406,0),3),"00000"),TEXT(INDEX(男子エントリー!$J$7:$AF$406,MATCH(LEFT($B4,FIND("(",$B4)-1)&amp;RIGHT(O$1,1),男子エントリー!$AF$7:$AF$406,0),3),"0000000")),"")</f>
        <v/>
      </c>
    </row>
    <row r="5" spans="1:19">
      <c r="A5" s="92" t="str">
        <f>男子エントリー!D19</f>
        <v/>
      </c>
      <c r="B5" s="1" t="str">
        <f>男子エントリー!E19&amp;"("&amp;男子エントリー!G19&amp;")"</f>
        <v>()</v>
      </c>
      <c r="C5" s="92" t="str">
        <f>男子エントリー!F19</f>
        <v/>
      </c>
      <c r="D5" s="92" t="str">
        <f>男子エントリー!E21</f>
        <v/>
      </c>
      <c r="E5" s="92" t="str">
        <f>男子エントリー!G21</f>
        <v/>
      </c>
      <c r="F5" s="1" t="str">
        <f t="shared" si="0"/>
        <v/>
      </c>
      <c r="G5" s="92" t="str">
        <f>_xlfn.IFNA(VLOOKUP(男子エントリー!G20,競技会設定!$D$3:$E$49,2,0),"")</f>
        <v/>
      </c>
      <c r="H5" s="92" t="str">
        <f>_xlfn.IFNA(INDEX(競技会設定!$J$3:$O$47,MATCH(男子エントリー!H19,競技会設定!$N$3:$N$47,0),2),"")</f>
        <v/>
      </c>
      <c r="K5" s="92">
        <f>男子エントリー!C19</f>
        <v>0</v>
      </c>
      <c r="L5" s="1" t="str">
        <f>_xlfn.IFNA(TEXT(VLOOKUP(INDEX(男子エントリー!$J$7:$AF$406,MATCH(LEFT($B5,FIND("(",$B5)-1)&amp;RIGHT(L$1,1),男子エントリー!$AF$7:$AF$406,0),1),競技会設定!$P$2:$S$22,4,0),"000")&amp;"00 "&amp;IF(VLOOKUP(INDEX(男子エントリー!$J$7:$AF$406,MATCH(LEFT($B5,FIND("(",$B5)-1)&amp;RIGHT(L$1,1),男子エントリー!$AF$7:$AF$406,0),1),競技会設定!$P$2:$S$22,4,0)&gt;70,TEXT(INDEX(男子エントリー!$J$7:$AF$406,MATCH(LEFT($B5,FIND("(",$B5)-1)&amp;RIGHT(L$1,1),男子エントリー!$AF$7:$AF$406,0),3),"00000"),TEXT(INDEX(男子エントリー!$J$7:$AF$406,MATCH(LEFT($B5,FIND("(",$B5)-1)&amp;RIGHT(L$1,1),男子エントリー!$AF$7:$AF$406,0),3),"0000000")),"")</f>
        <v/>
      </c>
      <c r="M5" s="1" t="str">
        <f>_xlfn.IFNA(TEXT(VLOOKUP(INDEX(男子エントリー!$J$7:$AF$406,MATCH(LEFT($B5,FIND("(",$B5)-1)&amp;RIGHT(M$1,1),男子エントリー!$AF$7:$AF$406,0),1),競技会設定!$P$2:$S$22,4,0),"000")&amp;"00 "&amp;IF(VLOOKUP(INDEX(男子エントリー!$J$7:$AF$406,MATCH(LEFT($B5,FIND("(",$B5)-1)&amp;RIGHT(M$1,1),男子エントリー!$AF$7:$AF$406,0),1),競技会設定!$P$2:$S$22,4,0)&gt;70,TEXT(INDEX(男子エントリー!$J$7:$AF$406,MATCH(LEFT($B5,FIND("(",$B5)-1)&amp;RIGHT(M$1,1),男子エントリー!$AF$7:$AF$406,0),3),"00000"),TEXT(INDEX(男子エントリー!$J$7:$AF$406,MATCH(LEFT($B5,FIND("(",$B5)-1)&amp;RIGHT(M$1,1),男子エントリー!$AF$7:$AF$406,0),3),"0000000")),"")</f>
        <v/>
      </c>
      <c r="N5" s="1" t="str">
        <f>_xlfn.IFNA(TEXT(VLOOKUP(INDEX(男子エントリー!$J$7:$AF$406,MATCH(LEFT($B5,FIND("(",$B5)-1)&amp;RIGHT(N$1,1),男子エントリー!$AF$7:$AF$406,0),1),競技会設定!$P$2:$S$22,4,0),"000")&amp;"00 "&amp;IF(VLOOKUP(INDEX(男子エントリー!$J$7:$AF$406,MATCH(LEFT($B5,FIND("(",$B5)-1)&amp;RIGHT(N$1,1),男子エントリー!$AF$7:$AF$406,0),1),競技会設定!$P$2:$S$22,4,0)&gt;70,TEXT(INDEX(男子エントリー!$J$7:$AF$406,MATCH(LEFT($B5,FIND("(",$B5)-1)&amp;RIGHT(N$1,1),男子エントリー!$AF$7:$AF$406,0),3),"00000"),TEXT(INDEX(男子エントリー!$J$7:$AF$406,MATCH(LEFT($B5,FIND("(",$B5)-1)&amp;RIGHT(N$1,1),男子エントリー!$AF$7:$AF$406,0),3),"0000000")),"")</f>
        <v/>
      </c>
      <c r="O5" s="1" t="str">
        <f>_xlfn.IFNA(TEXT(VLOOKUP(INDEX(男子エントリー!$J$7:$AF$406,MATCH(LEFT($B5,FIND("(",$B5)-1)&amp;RIGHT(O$1,1),男子エントリー!$AF$7:$AF$406,0),1),競技会設定!$P$2:$S$22,4,0),"000")&amp;"00 "&amp;IF(VLOOKUP(INDEX(男子エントリー!$J$7:$AF$406,MATCH(LEFT($B5,FIND("(",$B5)-1)&amp;RIGHT(O$1,1),男子エントリー!$AF$7:$AF$406,0),1),競技会設定!$P$2:$S$22,4,0)&gt;70,TEXT(INDEX(男子エントリー!$J$7:$AF$406,MATCH(LEFT($B5,FIND("(",$B5)-1)&amp;RIGHT(O$1,1),男子エントリー!$AF$7:$AF$406,0),3),"00000"),TEXT(INDEX(男子エントリー!$J$7:$AF$406,MATCH(LEFT($B5,FIND("(",$B5)-1)&amp;RIGHT(O$1,1),男子エントリー!$AF$7:$AF$406,0),3),"0000000")),"")</f>
        <v/>
      </c>
    </row>
    <row r="6" spans="1:19">
      <c r="A6" s="92" t="str">
        <f>男子エントリー!D23</f>
        <v/>
      </c>
      <c r="B6" s="1" t="str">
        <f>男子エントリー!E23&amp;"("&amp;男子エントリー!G23&amp;")"</f>
        <v>()</v>
      </c>
      <c r="C6" s="92" t="str">
        <f>男子エントリー!F23</f>
        <v/>
      </c>
      <c r="D6" s="92" t="str">
        <f>男子エントリー!E25</f>
        <v/>
      </c>
      <c r="E6" s="92" t="str">
        <f>男子エントリー!G25</f>
        <v/>
      </c>
      <c r="F6" s="1" t="str">
        <f t="shared" si="0"/>
        <v/>
      </c>
      <c r="G6" s="92" t="str">
        <f>_xlfn.IFNA(VLOOKUP(男子エントリー!G24,競技会設定!$D$3:$E$49,2,0),"")</f>
        <v/>
      </c>
      <c r="H6" s="92" t="str">
        <f>_xlfn.IFNA(INDEX(競技会設定!$J$3:$O$47,MATCH(男子エントリー!H23,競技会設定!$N$3:$N$47,0),2),"")</f>
        <v/>
      </c>
      <c r="K6" s="92">
        <f>男子エントリー!C23</f>
        <v>0</v>
      </c>
      <c r="L6" s="1" t="str">
        <f>_xlfn.IFNA(TEXT(VLOOKUP(INDEX(男子エントリー!$J$7:$AF$406,MATCH(LEFT($B6,FIND("(",$B6)-1)&amp;RIGHT(L$1,1),男子エントリー!$AF$7:$AF$406,0),1),競技会設定!$P$2:$S$22,4,0),"000")&amp;"00 "&amp;IF(VLOOKUP(INDEX(男子エントリー!$J$7:$AF$406,MATCH(LEFT($B6,FIND("(",$B6)-1)&amp;RIGHT(L$1,1),男子エントリー!$AF$7:$AF$406,0),1),競技会設定!$P$2:$S$22,4,0)&gt;70,TEXT(INDEX(男子エントリー!$J$7:$AF$406,MATCH(LEFT($B6,FIND("(",$B6)-1)&amp;RIGHT(L$1,1),男子エントリー!$AF$7:$AF$406,0),3),"00000"),TEXT(INDEX(男子エントリー!$J$7:$AF$406,MATCH(LEFT($B6,FIND("(",$B6)-1)&amp;RIGHT(L$1,1),男子エントリー!$AF$7:$AF$406,0),3),"0000000")),"")</f>
        <v/>
      </c>
      <c r="M6" s="1" t="str">
        <f>_xlfn.IFNA(TEXT(VLOOKUP(INDEX(男子エントリー!$J$7:$AF$406,MATCH(LEFT($B6,FIND("(",$B6)-1)&amp;RIGHT(M$1,1),男子エントリー!$AF$7:$AF$406,0),1),競技会設定!$P$2:$S$22,4,0),"000")&amp;"00 "&amp;IF(VLOOKUP(INDEX(男子エントリー!$J$7:$AF$406,MATCH(LEFT($B6,FIND("(",$B6)-1)&amp;RIGHT(M$1,1),男子エントリー!$AF$7:$AF$406,0),1),競技会設定!$P$2:$S$22,4,0)&gt;70,TEXT(INDEX(男子エントリー!$J$7:$AF$406,MATCH(LEFT($B6,FIND("(",$B6)-1)&amp;RIGHT(M$1,1),男子エントリー!$AF$7:$AF$406,0),3),"00000"),TEXT(INDEX(男子エントリー!$J$7:$AF$406,MATCH(LEFT($B6,FIND("(",$B6)-1)&amp;RIGHT(M$1,1),男子エントリー!$AF$7:$AF$406,0),3),"0000000")),"")</f>
        <v/>
      </c>
      <c r="N6" s="1" t="str">
        <f>_xlfn.IFNA(TEXT(VLOOKUP(INDEX(男子エントリー!$J$7:$AF$406,MATCH(LEFT($B6,FIND("(",$B6)-1)&amp;RIGHT(N$1,1),男子エントリー!$AF$7:$AF$406,0),1),競技会設定!$P$2:$S$22,4,0),"000")&amp;"00 "&amp;IF(VLOOKUP(INDEX(男子エントリー!$J$7:$AF$406,MATCH(LEFT($B6,FIND("(",$B6)-1)&amp;RIGHT(N$1,1),男子エントリー!$AF$7:$AF$406,0),1),競技会設定!$P$2:$S$22,4,0)&gt;70,TEXT(INDEX(男子エントリー!$J$7:$AF$406,MATCH(LEFT($B6,FIND("(",$B6)-1)&amp;RIGHT(N$1,1),男子エントリー!$AF$7:$AF$406,0),3),"00000"),TEXT(INDEX(男子エントリー!$J$7:$AF$406,MATCH(LEFT($B6,FIND("(",$B6)-1)&amp;RIGHT(N$1,1),男子エントリー!$AF$7:$AF$406,0),3),"0000000")),"")</f>
        <v/>
      </c>
      <c r="O6" s="1" t="str">
        <f>_xlfn.IFNA(TEXT(VLOOKUP(INDEX(男子エントリー!$J$7:$AF$406,MATCH(LEFT($B6,FIND("(",$B6)-1)&amp;RIGHT(O$1,1),男子エントリー!$AF$7:$AF$406,0),1),競技会設定!$P$2:$S$22,4,0),"000")&amp;"00 "&amp;IF(VLOOKUP(INDEX(男子エントリー!$J$7:$AF$406,MATCH(LEFT($B6,FIND("(",$B6)-1)&amp;RIGHT(O$1,1),男子エントリー!$AF$7:$AF$406,0),1),競技会設定!$P$2:$S$22,4,0)&gt;70,TEXT(INDEX(男子エントリー!$J$7:$AF$406,MATCH(LEFT($B6,FIND("(",$B6)-1)&amp;RIGHT(O$1,1),男子エントリー!$AF$7:$AF$406,0),3),"00000"),TEXT(INDEX(男子エントリー!$J$7:$AF$406,MATCH(LEFT($B6,FIND("(",$B6)-1)&amp;RIGHT(O$1,1),男子エントリー!$AF$7:$AF$406,0),3),"0000000")),"")</f>
        <v/>
      </c>
    </row>
    <row r="7" spans="1:19">
      <c r="A7" s="92" t="str">
        <f>男子エントリー!D27</f>
        <v/>
      </c>
      <c r="B7" s="1" t="str">
        <f>男子エントリー!E27&amp;"("&amp;男子エントリー!G27&amp;")"</f>
        <v>()</v>
      </c>
      <c r="C7" s="92" t="str">
        <f>男子エントリー!F27</f>
        <v/>
      </c>
      <c r="D7" s="92" t="str">
        <f>男子エントリー!E29</f>
        <v/>
      </c>
      <c r="E7" s="92" t="str">
        <f>男子エントリー!G29</f>
        <v/>
      </c>
      <c r="F7" s="1" t="str">
        <f t="shared" si="0"/>
        <v/>
      </c>
      <c r="G7" s="92" t="str">
        <f>_xlfn.IFNA(VLOOKUP(男子エントリー!G28,競技会設定!$D$3:$E$49,2,0),"")</f>
        <v/>
      </c>
      <c r="H7" s="92" t="str">
        <f>_xlfn.IFNA(INDEX(競技会設定!$J$3:$O$47,MATCH(男子エントリー!H27,競技会設定!$N$3:$N$47,0),2),"")</f>
        <v/>
      </c>
      <c r="K7" s="92">
        <f>男子エントリー!C27</f>
        <v>0</v>
      </c>
      <c r="L7" s="1" t="str">
        <f>_xlfn.IFNA(TEXT(VLOOKUP(INDEX(男子エントリー!$J$7:$AF$406,MATCH(LEFT($B7,FIND("(",$B7)-1)&amp;RIGHT(L$1,1),男子エントリー!$AF$7:$AF$406,0),1),競技会設定!$P$2:$S$22,4,0),"000")&amp;"00 "&amp;IF(VLOOKUP(INDEX(男子エントリー!$J$7:$AF$406,MATCH(LEFT($B7,FIND("(",$B7)-1)&amp;RIGHT(L$1,1),男子エントリー!$AF$7:$AF$406,0),1),競技会設定!$P$2:$S$22,4,0)&gt;70,TEXT(INDEX(男子エントリー!$J$7:$AF$406,MATCH(LEFT($B7,FIND("(",$B7)-1)&amp;RIGHT(L$1,1),男子エントリー!$AF$7:$AF$406,0),3),"00000"),TEXT(INDEX(男子エントリー!$J$7:$AF$406,MATCH(LEFT($B7,FIND("(",$B7)-1)&amp;RIGHT(L$1,1),男子エントリー!$AF$7:$AF$406,0),3),"0000000")),"")</f>
        <v/>
      </c>
      <c r="M7" s="1" t="str">
        <f>_xlfn.IFNA(TEXT(VLOOKUP(INDEX(男子エントリー!$J$7:$AF$406,MATCH(LEFT($B7,FIND("(",$B7)-1)&amp;RIGHT(M$1,1),男子エントリー!$AF$7:$AF$406,0),1),競技会設定!$P$2:$S$22,4,0),"000")&amp;"00 "&amp;IF(VLOOKUP(INDEX(男子エントリー!$J$7:$AF$406,MATCH(LEFT($B7,FIND("(",$B7)-1)&amp;RIGHT(M$1,1),男子エントリー!$AF$7:$AF$406,0),1),競技会設定!$P$2:$S$22,4,0)&gt;70,TEXT(INDEX(男子エントリー!$J$7:$AF$406,MATCH(LEFT($B7,FIND("(",$B7)-1)&amp;RIGHT(M$1,1),男子エントリー!$AF$7:$AF$406,0),3),"00000"),TEXT(INDEX(男子エントリー!$J$7:$AF$406,MATCH(LEFT($B7,FIND("(",$B7)-1)&amp;RIGHT(M$1,1),男子エントリー!$AF$7:$AF$406,0),3),"0000000")),"")</f>
        <v/>
      </c>
      <c r="N7" s="1" t="str">
        <f>_xlfn.IFNA(TEXT(VLOOKUP(INDEX(男子エントリー!$J$7:$AF$406,MATCH(LEFT($B7,FIND("(",$B7)-1)&amp;RIGHT(N$1,1),男子エントリー!$AF$7:$AF$406,0),1),競技会設定!$P$2:$S$22,4,0),"000")&amp;"00 "&amp;IF(VLOOKUP(INDEX(男子エントリー!$J$7:$AF$406,MATCH(LEFT($B7,FIND("(",$B7)-1)&amp;RIGHT(N$1,1),男子エントリー!$AF$7:$AF$406,0),1),競技会設定!$P$2:$S$22,4,0)&gt;70,TEXT(INDEX(男子エントリー!$J$7:$AF$406,MATCH(LEFT($B7,FIND("(",$B7)-1)&amp;RIGHT(N$1,1),男子エントリー!$AF$7:$AF$406,0),3),"00000"),TEXT(INDEX(男子エントリー!$J$7:$AF$406,MATCH(LEFT($B7,FIND("(",$B7)-1)&amp;RIGHT(N$1,1),男子エントリー!$AF$7:$AF$406,0),3),"0000000")),"")</f>
        <v/>
      </c>
      <c r="O7" s="1" t="str">
        <f>_xlfn.IFNA(TEXT(VLOOKUP(INDEX(男子エントリー!$J$7:$AF$406,MATCH(LEFT($B7,FIND("(",$B7)-1)&amp;RIGHT(O$1,1),男子エントリー!$AF$7:$AF$406,0),1),競技会設定!$P$2:$S$22,4,0),"000")&amp;"00 "&amp;IF(VLOOKUP(INDEX(男子エントリー!$J$7:$AF$406,MATCH(LEFT($B7,FIND("(",$B7)-1)&amp;RIGHT(O$1,1),男子エントリー!$AF$7:$AF$406,0),1),競技会設定!$P$2:$S$22,4,0)&gt;70,TEXT(INDEX(男子エントリー!$J$7:$AF$406,MATCH(LEFT($B7,FIND("(",$B7)-1)&amp;RIGHT(O$1,1),男子エントリー!$AF$7:$AF$406,0),3),"00000"),TEXT(INDEX(男子エントリー!$J$7:$AF$406,MATCH(LEFT($B7,FIND("(",$B7)-1)&amp;RIGHT(O$1,1),男子エントリー!$AF$7:$AF$406,0),3),"0000000")),"")</f>
        <v/>
      </c>
    </row>
    <row r="8" spans="1:19">
      <c r="A8" s="92" t="str">
        <f>男子エントリー!D31</f>
        <v/>
      </c>
      <c r="B8" s="1" t="str">
        <f>男子エントリー!E31&amp;"("&amp;男子エントリー!G31&amp;")"</f>
        <v>()</v>
      </c>
      <c r="C8" s="92" t="str">
        <f>男子エントリー!F31</f>
        <v/>
      </c>
      <c r="D8" s="92" t="str">
        <f>男子エントリー!E33</f>
        <v/>
      </c>
      <c r="E8" s="92" t="str">
        <f>男子エントリー!G33</f>
        <v/>
      </c>
      <c r="F8" s="1" t="str">
        <f t="shared" si="0"/>
        <v/>
      </c>
      <c r="G8" s="92" t="str">
        <f>_xlfn.IFNA(VLOOKUP(男子エントリー!G32,競技会設定!$D$3:$E$49,2,0),"")</f>
        <v/>
      </c>
      <c r="H8" s="92" t="str">
        <f>_xlfn.IFNA(INDEX(競技会設定!$J$3:$O$47,MATCH(男子エントリー!H31,競技会設定!$N$3:$N$47,0),2),"")</f>
        <v/>
      </c>
      <c r="K8" s="92">
        <f>男子エントリー!C31</f>
        <v>0</v>
      </c>
      <c r="L8" s="1" t="str">
        <f>_xlfn.IFNA(TEXT(VLOOKUP(INDEX(男子エントリー!$J$7:$AF$406,MATCH(LEFT($B8,FIND("(",$B8)-1)&amp;RIGHT(L$1,1),男子エントリー!$AF$7:$AF$406,0),1),競技会設定!$P$2:$S$22,4,0),"000")&amp;"00 "&amp;IF(VLOOKUP(INDEX(男子エントリー!$J$7:$AF$406,MATCH(LEFT($B8,FIND("(",$B8)-1)&amp;RIGHT(L$1,1),男子エントリー!$AF$7:$AF$406,0),1),競技会設定!$P$2:$S$22,4,0)&gt;70,TEXT(INDEX(男子エントリー!$J$7:$AF$406,MATCH(LEFT($B8,FIND("(",$B8)-1)&amp;RIGHT(L$1,1),男子エントリー!$AF$7:$AF$406,0),3),"00000"),TEXT(INDEX(男子エントリー!$J$7:$AF$406,MATCH(LEFT($B8,FIND("(",$B8)-1)&amp;RIGHT(L$1,1),男子エントリー!$AF$7:$AF$406,0),3),"0000000")),"")</f>
        <v/>
      </c>
      <c r="M8" s="1" t="str">
        <f>_xlfn.IFNA(TEXT(VLOOKUP(INDEX(男子エントリー!$J$7:$AF$406,MATCH(LEFT($B8,FIND("(",$B8)-1)&amp;RIGHT(M$1,1),男子エントリー!$AF$7:$AF$406,0),1),競技会設定!$P$2:$S$22,4,0),"000")&amp;"00 "&amp;IF(VLOOKUP(INDEX(男子エントリー!$J$7:$AF$406,MATCH(LEFT($B8,FIND("(",$B8)-1)&amp;RIGHT(M$1,1),男子エントリー!$AF$7:$AF$406,0),1),競技会設定!$P$2:$S$22,4,0)&gt;70,TEXT(INDEX(男子エントリー!$J$7:$AF$406,MATCH(LEFT($B8,FIND("(",$B8)-1)&amp;RIGHT(M$1,1),男子エントリー!$AF$7:$AF$406,0),3),"00000"),TEXT(INDEX(男子エントリー!$J$7:$AF$406,MATCH(LEFT($B8,FIND("(",$B8)-1)&amp;RIGHT(M$1,1),男子エントリー!$AF$7:$AF$406,0),3),"0000000")),"")</f>
        <v/>
      </c>
      <c r="N8" s="1" t="str">
        <f>_xlfn.IFNA(TEXT(VLOOKUP(INDEX(男子エントリー!$J$7:$AF$406,MATCH(LEFT($B8,FIND("(",$B8)-1)&amp;RIGHT(N$1,1),男子エントリー!$AF$7:$AF$406,0),1),競技会設定!$P$2:$S$22,4,0),"000")&amp;"00 "&amp;IF(VLOOKUP(INDEX(男子エントリー!$J$7:$AF$406,MATCH(LEFT($B8,FIND("(",$B8)-1)&amp;RIGHT(N$1,1),男子エントリー!$AF$7:$AF$406,0),1),競技会設定!$P$2:$S$22,4,0)&gt;70,TEXT(INDEX(男子エントリー!$J$7:$AF$406,MATCH(LEFT($B8,FIND("(",$B8)-1)&amp;RIGHT(N$1,1),男子エントリー!$AF$7:$AF$406,0),3),"00000"),TEXT(INDEX(男子エントリー!$J$7:$AF$406,MATCH(LEFT($B8,FIND("(",$B8)-1)&amp;RIGHT(N$1,1),男子エントリー!$AF$7:$AF$406,0),3),"0000000")),"")</f>
        <v/>
      </c>
      <c r="O8" s="1" t="str">
        <f>_xlfn.IFNA(TEXT(VLOOKUP(INDEX(男子エントリー!$J$7:$AF$406,MATCH(LEFT($B8,FIND("(",$B8)-1)&amp;RIGHT(O$1,1),男子エントリー!$AF$7:$AF$406,0),1),競技会設定!$P$2:$S$22,4,0),"000")&amp;"00 "&amp;IF(VLOOKUP(INDEX(男子エントリー!$J$7:$AF$406,MATCH(LEFT($B8,FIND("(",$B8)-1)&amp;RIGHT(O$1,1),男子エントリー!$AF$7:$AF$406,0),1),競技会設定!$P$2:$S$22,4,0)&gt;70,TEXT(INDEX(男子エントリー!$J$7:$AF$406,MATCH(LEFT($B8,FIND("(",$B8)-1)&amp;RIGHT(O$1,1),男子エントリー!$AF$7:$AF$406,0),3),"00000"),TEXT(INDEX(男子エントリー!$J$7:$AF$406,MATCH(LEFT($B8,FIND("(",$B8)-1)&amp;RIGHT(O$1,1),男子エントリー!$AF$7:$AF$406,0),3),"0000000")),"")</f>
        <v/>
      </c>
    </row>
    <row r="9" spans="1:19">
      <c r="A9" s="92" t="str">
        <f>男子エントリー!D35</f>
        <v/>
      </c>
      <c r="B9" s="1" t="str">
        <f>男子エントリー!E35&amp;"("&amp;男子エントリー!G35&amp;")"</f>
        <v>()</v>
      </c>
      <c r="C9" s="92" t="str">
        <f>男子エントリー!F35</f>
        <v/>
      </c>
      <c r="D9" s="92" t="str">
        <f>男子エントリー!E37</f>
        <v/>
      </c>
      <c r="E9" s="92" t="str">
        <f>男子エントリー!G37</f>
        <v/>
      </c>
      <c r="F9" s="1" t="str">
        <f t="shared" si="0"/>
        <v/>
      </c>
      <c r="G9" s="92" t="str">
        <f>_xlfn.IFNA(VLOOKUP(男子エントリー!G36,競技会設定!$D$3:$E$49,2,0),"")</f>
        <v/>
      </c>
      <c r="H9" s="92" t="str">
        <f>_xlfn.IFNA(INDEX(競技会設定!$J$3:$O$47,MATCH(男子エントリー!H35,競技会設定!$N$3:$N$47,0),2),"")</f>
        <v/>
      </c>
      <c r="K9" s="92">
        <f>男子エントリー!C35</f>
        <v>0</v>
      </c>
      <c r="L9" s="1" t="str">
        <f>_xlfn.IFNA(TEXT(VLOOKUP(INDEX(男子エントリー!$J$7:$AF$406,MATCH(LEFT($B9,FIND("(",$B9)-1)&amp;RIGHT(L$1,1),男子エントリー!$AF$7:$AF$406,0),1),競技会設定!$P$2:$S$22,4,0),"000")&amp;"00 "&amp;IF(VLOOKUP(INDEX(男子エントリー!$J$7:$AF$406,MATCH(LEFT($B9,FIND("(",$B9)-1)&amp;RIGHT(L$1,1),男子エントリー!$AF$7:$AF$406,0),1),競技会設定!$P$2:$S$22,4,0)&gt;70,TEXT(INDEX(男子エントリー!$J$7:$AF$406,MATCH(LEFT($B9,FIND("(",$B9)-1)&amp;RIGHT(L$1,1),男子エントリー!$AF$7:$AF$406,0),3),"00000"),TEXT(INDEX(男子エントリー!$J$7:$AF$406,MATCH(LEFT($B9,FIND("(",$B9)-1)&amp;RIGHT(L$1,1),男子エントリー!$AF$7:$AF$406,0),3),"0000000")),"")</f>
        <v/>
      </c>
      <c r="M9" s="1" t="str">
        <f>_xlfn.IFNA(TEXT(VLOOKUP(INDEX(男子エントリー!$J$7:$AF$406,MATCH(LEFT($B9,FIND("(",$B9)-1)&amp;RIGHT(M$1,1),男子エントリー!$AF$7:$AF$406,0),1),競技会設定!$P$2:$S$22,4,0),"000")&amp;"00 "&amp;IF(VLOOKUP(INDEX(男子エントリー!$J$7:$AF$406,MATCH(LEFT($B9,FIND("(",$B9)-1)&amp;RIGHT(M$1,1),男子エントリー!$AF$7:$AF$406,0),1),競技会設定!$P$2:$S$22,4,0)&gt;70,TEXT(INDEX(男子エントリー!$J$7:$AF$406,MATCH(LEFT($B9,FIND("(",$B9)-1)&amp;RIGHT(M$1,1),男子エントリー!$AF$7:$AF$406,0),3),"00000"),TEXT(INDEX(男子エントリー!$J$7:$AF$406,MATCH(LEFT($B9,FIND("(",$B9)-1)&amp;RIGHT(M$1,1),男子エントリー!$AF$7:$AF$406,0),3),"0000000")),"")</f>
        <v/>
      </c>
      <c r="N9" s="1" t="str">
        <f>_xlfn.IFNA(TEXT(VLOOKUP(INDEX(男子エントリー!$J$7:$AF$406,MATCH(LEFT($B9,FIND("(",$B9)-1)&amp;RIGHT(N$1,1),男子エントリー!$AF$7:$AF$406,0),1),競技会設定!$P$2:$S$22,4,0),"000")&amp;"00 "&amp;IF(VLOOKUP(INDEX(男子エントリー!$J$7:$AF$406,MATCH(LEFT($B9,FIND("(",$B9)-1)&amp;RIGHT(N$1,1),男子エントリー!$AF$7:$AF$406,0),1),競技会設定!$P$2:$S$22,4,0)&gt;70,TEXT(INDEX(男子エントリー!$J$7:$AF$406,MATCH(LEFT($B9,FIND("(",$B9)-1)&amp;RIGHT(N$1,1),男子エントリー!$AF$7:$AF$406,0),3),"00000"),TEXT(INDEX(男子エントリー!$J$7:$AF$406,MATCH(LEFT($B9,FIND("(",$B9)-1)&amp;RIGHT(N$1,1),男子エントリー!$AF$7:$AF$406,0),3),"0000000")),"")</f>
        <v/>
      </c>
      <c r="O9" s="1" t="str">
        <f>_xlfn.IFNA(TEXT(VLOOKUP(INDEX(男子エントリー!$J$7:$AF$406,MATCH(LEFT($B9,FIND("(",$B9)-1)&amp;RIGHT(O$1,1),男子エントリー!$AF$7:$AF$406,0),1),競技会設定!$P$2:$S$22,4,0),"000")&amp;"00 "&amp;IF(VLOOKUP(INDEX(男子エントリー!$J$7:$AF$406,MATCH(LEFT($B9,FIND("(",$B9)-1)&amp;RIGHT(O$1,1),男子エントリー!$AF$7:$AF$406,0),1),競技会設定!$P$2:$S$22,4,0)&gt;70,TEXT(INDEX(男子エントリー!$J$7:$AF$406,MATCH(LEFT($B9,FIND("(",$B9)-1)&amp;RIGHT(O$1,1),男子エントリー!$AF$7:$AF$406,0),3),"00000"),TEXT(INDEX(男子エントリー!$J$7:$AF$406,MATCH(LEFT($B9,FIND("(",$B9)-1)&amp;RIGHT(O$1,1),男子エントリー!$AF$7:$AF$406,0),3),"0000000")),"")</f>
        <v/>
      </c>
    </row>
    <row r="10" spans="1:19">
      <c r="A10" s="92" t="str">
        <f>男子エントリー!D39</f>
        <v/>
      </c>
      <c r="B10" s="1" t="str">
        <f>男子エントリー!E39&amp;"("&amp;男子エントリー!G39&amp;")"</f>
        <v>()</v>
      </c>
      <c r="C10" s="92" t="str">
        <f>男子エントリー!F39</f>
        <v/>
      </c>
      <c r="D10" s="92" t="str">
        <f>男子エントリー!E41</f>
        <v/>
      </c>
      <c r="E10" s="92" t="str">
        <f>男子エントリー!G41</f>
        <v/>
      </c>
      <c r="F10" s="1" t="str">
        <f t="shared" si="0"/>
        <v/>
      </c>
      <c r="G10" s="92" t="str">
        <f>_xlfn.IFNA(VLOOKUP(男子エントリー!G40,競技会設定!$D$3:$E$49,2,0),"")</f>
        <v/>
      </c>
      <c r="H10" s="92" t="str">
        <f>_xlfn.IFNA(INDEX(競技会設定!$J$3:$O$47,MATCH(男子エントリー!H39,競技会設定!$N$3:$N$47,0),2),"")</f>
        <v/>
      </c>
      <c r="K10" s="92">
        <f>男子エントリー!C39</f>
        <v>0</v>
      </c>
      <c r="L10" s="1" t="str">
        <f>_xlfn.IFNA(TEXT(VLOOKUP(INDEX(男子エントリー!$J$7:$AF$406,MATCH(LEFT($B10,FIND("(",$B10)-1)&amp;RIGHT(L$1,1),男子エントリー!$AF$7:$AF$406,0),1),競技会設定!$P$2:$S$22,4,0),"000")&amp;"00 "&amp;IF(VLOOKUP(INDEX(男子エントリー!$J$7:$AF$406,MATCH(LEFT($B10,FIND("(",$B10)-1)&amp;RIGHT(L$1,1),男子エントリー!$AF$7:$AF$406,0),1),競技会設定!$P$2:$S$22,4,0)&gt;70,TEXT(INDEX(男子エントリー!$J$7:$AF$406,MATCH(LEFT($B10,FIND("(",$B10)-1)&amp;RIGHT(L$1,1),男子エントリー!$AF$7:$AF$406,0),3),"00000"),TEXT(INDEX(男子エントリー!$J$7:$AF$406,MATCH(LEFT($B10,FIND("(",$B10)-1)&amp;RIGHT(L$1,1),男子エントリー!$AF$7:$AF$406,0),3),"0000000")),"")</f>
        <v/>
      </c>
      <c r="M10" s="1" t="str">
        <f>_xlfn.IFNA(TEXT(VLOOKUP(INDEX(男子エントリー!$J$7:$AF$406,MATCH(LEFT($B10,FIND("(",$B10)-1)&amp;RIGHT(M$1,1),男子エントリー!$AF$7:$AF$406,0),1),競技会設定!$P$2:$S$22,4,0),"000")&amp;"00 "&amp;IF(VLOOKUP(INDEX(男子エントリー!$J$7:$AF$406,MATCH(LEFT($B10,FIND("(",$B10)-1)&amp;RIGHT(M$1,1),男子エントリー!$AF$7:$AF$406,0),1),競技会設定!$P$2:$S$22,4,0)&gt;70,TEXT(INDEX(男子エントリー!$J$7:$AF$406,MATCH(LEFT($B10,FIND("(",$B10)-1)&amp;RIGHT(M$1,1),男子エントリー!$AF$7:$AF$406,0),3),"00000"),TEXT(INDEX(男子エントリー!$J$7:$AF$406,MATCH(LEFT($B10,FIND("(",$B10)-1)&amp;RIGHT(M$1,1),男子エントリー!$AF$7:$AF$406,0),3),"0000000")),"")</f>
        <v/>
      </c>
      <c r="N10" s="1" t="str">
        <f>_xlfn.IFNA(TEXT(VLOOKUP(INDEX(男子エントリー!$J$7:$AF$406,MATCH(LEFT($B10,FIND("(",$B10)-1)&amp;RIGHT(N$1,1),男子エントリー!$AF$7:$AF$406,0),1),競技会設定!$P$2:$S$22,4,0),"000")&amp;"00 "&amp;IF(VLOOKUP(INDEX(男子エントリー!$J$7:$AF$406,MATCH(LEFT($B10,FIND("(",$B10)-1)&amp;RIGHT(N$1,1),男子エントリー!$AF$7:$AF$406,0),1),競技会設定!$P$2:$S$22,4,0)&gt;70,TEXT(INDEX(男子エントリー!$J$7:$AF$406,MATCH(LEFT($B10,FIND("(",$B10)-1)&amp;RIGHT(N$1,1),男子エントリー!$AF$7:$AF$406,0),3),"00000"),TEXT(INDEX(男子エントリー!$J$7:$AF$406,MATCH(LEFT($B10,FIND("(",$B10)-1)&amp;RIGHT(N$1,1),男子エントリー!$AF$7:$AF$406,0),3),"0000000")),"")</f>
        <v/>
      </c>
      <c r="O10" s="1" t="str">
        <f>_xlfn.IFNA(TEXT(VLOOKUP(INDEX(男子エントリー!$J$7:$AF$406,MATCH(LEFT($B10,FIND("(",$B10)-1)&amp;RIGHT(O$1,1),男子エントリー!$AF$7:$AF$406,0),1),競技会設定!$P$2:$S$22,4,0),"000")&amp;"00 "&amp;IF(VLOOKUP(INDEX(男子エントリー!$J$7:$AF$406,MATCH(LEFT($B10,FIND("(",$B10)-1)&amp;RIGHT(O$1,1),男子エントリー!$AF$7:$AF$406,0),1),競技会設定!$P$2:$S$22,4,0)&gt;70,TEXT(INDEX(男子エントリー!$J$7:$AF$406,MATCH(LEFT($B10,FIND("(",$B10)-1)&amp;RIGHT(O$1,1),男子エントリー!$AF$7:$AF$406,0),3),"00000"),TEXT(INDEX(男子エントリー!$J$7:$AF$406,MATCH(LEFT($B10,FIND("(",$B10)-1)&amp;RIGHT(O$1,1),男子エントリー!$AF$7:$AF$406,0),3),"0000000")),"")</f>
        <v/>
      </c>
    </row>
    <row r="11" spans="1:19">
      <c r="A11" s="92" t="str">
        <f>男子エントリー!D43</f>
        <v/>
      </c>
      <c r="B11" s="1" t="str">
        <f>男子エントリー!E43&amp;"("&amp;男子エントリー!G43&amp;")"</f>
        <v>()</v>
      </c>
      <c r="C11" s="92" t="str">
        <f>男子エントリー!F43</f>
        <v/>
      </c>
      <c r="D11" s="92" t="str">
        <f>男子エントリー!E45</f>
        <v/>
      </c>
      <c r="E11" s="92" t="str">
        <f>男子エントリー!G45</f>
        <v/>
      </c>
      <c r="F11" s="1" t="str">
        <f t="shared" si="0"/>
        <v/>
      </c>
      <c r="G11" s="92" t="str">
        <f>_xlfn.IFNA(VLOOKUP(男子エントリー!G44,競技会設定!$D$3:$E$49,2,0),"")</f>
        <v/>
      </c>
      <c r="H11" s="92" t="str">
        <f>_xlfn.IFNA(INDEX(競技会設定!$J$3:$O$47,MATCH(男子エントリー!H43,競技会設定!$N$3:$N$47,0),2),"")</f>
        <v/>
      </c>
      <c r="K11" s="92">
        <f>男子エントリー!C43</f>
        <v>0</v>
      </c>
      <c r="L11" s="1" t="str">
        <f>_xlfn.IFNA(TEXT(VLOOKUP(INDEX(男子エントリー!$J$7:$AF$406,MATCH(LEFT($B11,FIND("(",$B11)-1)&amp;RIGHT(L$1,1),男子エントリー!$AF$7:$AF$406,0),1),競技会設定!$P$2:$S$22,4,0),"000")&amp;"00 "&amp;IF(VLOOKUP(INDEX(男子エントリー!$J$7:$AF$406,MATCH(LEFT($B11,FIND("(",$B11)-1)&amp;RIGHT(L$1,1),男子エントリー!$AF$7:$AF$406,0),1),競技会設定!$P$2:$S$22,4,0)&gt;70,TEXT(INDEX(男子エントリー!$J$7:$AF$406,MATCH(LEFT($B11,FIND("(",$B11)-1)&amp;RIGHT(L$1,1),男子エントリー!$AF$7:$AF$406,0),3),"00000"),TEXT(INDEX(男子エントリー!$J$7:$AF$406,MATCH(LEFT($B11,FIND("(",$B11)-1)&amp;RIGHT(L$1,1),男子エントリー!$AF$7:$AF$406,0),3),"0000000")),"")</f>
        <v/>
      </c>
      <c r="M11" s="1" t="str">
        <f>_xlfn.IFNA(TEXT(VLOOKUP(INDEX(男子エントリー!$J$7:$AF$406,MATCH(LEFT($B11,FIND("(",$B11)-1)&amp;RIGHT(M$1,1),男子エントリー!$AF$7:$AF$406,0),1),競技会設定!$P$2:$S$22,4,0),"000")&amp;"00 "&amp;IF(VLOOKUP(INDEX(男子エントリー!$J$7:$AF$406,MATCH(LEFT($B11,FIND("(",$B11)-1)&amp;RIGHT(M$1,1),男子エントリー!$AF$7:$AF$406,0),1),競技会設定!$P$2:$S$22,4,0)&gt;70,TEXT(INDEX(男子エントリー!$J$7:$AF$406,MATCH(LEFT($B11,FIND("(",$B11)-1)&amp;RIGHT(M$1,1),男子エントリー!$AF$7:$AF$406,0),3),"00000"),TEXT(INDEX(男子エントリー!$J$7:$AF$406,MATCH(LEFT($B11,FIND("(",$B11)-1)&amp;RIGHT(M$1,1),男子エントリー!$AF$7:$AF$406,0),3),"0000000")),"")</f>
        <v/>
      </c>
      <c r="N11" s="1" t="str">
        <f>_xlfn.IFNA(TEXT(VLOOKUP(INDEX(男子エントリー!$J$7:$AF$406,MATCH(LEFT($B11,FIND("(",$B11)-1)&amp;RIGHT(N$1,1),男子エントリー!$AF$7:$AF$406,0),1),競技会設定!$P$2:$S$22,4,0),"000")&amp;"00 "&amp;IF(VLOOKUP(INDEX(男子エントリー!$J$7:$AF$406,MATCH(LEFT($B11,FIND("(",$B11)-1)&amp;RIGHT(N$1,1),男子エントリー!$AF$7:$AF$406,0),1),競技会設定!$P$2:$S$22,4,0)&gt;70,TEXT(INDEX(男子エントリー!$J$7:$AF$406,MATCH(LEFT($B11,FIND("(",$B11)-1)&amp;RIGHT(N$1,1),男子エントリー!$AF$7:$AF$406,0),3),"00000"),TEXT(INDEX(男子エントリー!$J$7:$AF$406,MATCH(LEFT($B11,FIND("(",$B11)-1)&amp;RIGHT(N$1,1),男子エントリー!$AF$7:$AF$406,0),3),"0000000")),"")</f>
        <v/>
      </c>
      <c r="O11" s="1" t="str">
        <f>_xlfn.IFNA(TEXT(VLOOKUP(INDEX(男子エントリー!$J$7:$AF$406,MATCH(LEFT($B11,FIND("(",$B11)-1)&amp;RIGHT(O$1,1),男子エントリー!$AF$7:$AF$406,0),1),競技会設定!$P$2:$S$22,4,0),"000")&amp;"00 "&amp;IF(VLOOKUP(INDEX(男子エントリー!$J$7:$AF$406,MATCH(LEFT($B11,FIND("(",$B11)-1)&amp;RIGHT(O$1,1),男子エントリー!$AF$7:$AF$406,0),1),競技会設定!$P$2:$S$22,4,0)&gt;70,TEXT(INDEX(男子エントリー!$J$7:$AF$406,MATCH(LEFT($B11,FIND("(",$B11)-1)&amp;RIGHT(O$1,1),男子エントリー!$AF$7:$AF$406,0),3),"00000"),TEXT(INDEX(男子エントリー!$J$7:$AF$406,MATCH(LEFT($B11,FIND("(",$B11)-1)&amp;RIGHT(O$1,1),男子エントリー!$AF$7:$AF$406,0),3),"0000000")),"")</f>
        <v/>
      </c>
    </row>
    <row r="12" spans="1:19">
      <c r="A12" s="92" t="str">
        <f>男子エントリー!D47</f>
        <v/>
      </c>
      <c r="B12" s="1" t="str">
        <f>男子エントリー!E47&amp;"("&amp;男子エントリー!G47&amp;")"</f>
        <v>()</v>
      </c>
      <c r="C12" s="92" t="str">
        <f>男子エントリー!F47</f>
        <v/>
      </c>
      <c r="D12" s="92" t="str">
        <f>男子エントリー!E49</f>
        <v/>
      </c>
      <c r="E12" s="92" t="str">
        <f>男子エントリー!G49</f>
        <v/>
      </c>
      <c r="F12" s="1" t="str">
        <f t="shared" si="0"/>
        <v/>
      </c>
      <c r="G12" s="92" t="str">
        <f>_xlfn.IFNA(VLOOKUP(男子エントリー!G48,競技会設定!$D$3:$E$49,2,0),"")</f>
        <v/>
      </c>
      <c r="H12" s="92" t="str">
        <f>_xlfn.IFNA(INDEX(競技会設定!$J$3:$O$47,MATCH(男子エントリー!H47,競技会設定!$N$3:$N$47,0),2),"")</f>
        <v/>
      </c>
      <c r="K12" s="92">
        <f>男子エントリー!C47</f>
        <v>0</v>
      </c>
      <c r="L12" s="1" t="str">
        <f>_xlfn.IFNA(TEXT(VLOOKUP(INDEX(男子エントリー!$J$7:$AF$406,MATCH(LEFT($B12,FIND("(",$B12)-1)&amp;RIGHT(L$1,1),男子エントリー!$AF$7:$AF$406,0),1),競技会設定!$P$2:$S$22,4,0),"000")&amp;"00 "&amp;IF(VLOOKUP(INDEX(男子エントリー!$J$7:$AF$406,MATCH(LEFT($B12,FIND("(",$B12)-1)&amp;RIGHT(L$1,1),男子エントリー!$AF$7:$AF$406,0),1),競技会設定!$P$2:$S$22,4,0)&gt;70,TEXT(INDEX(男子エントリー!$J$7:$AF$406,MATCH(LEFT($B12,FIND("(",$B12)-1)&amp;RIGHT(L$1,1),男子エントリー!$AF$7:$AF$406,0),3),"00000"),TEXT(INDEX(男子エントリー!$J$7:$AF$406,MATCH(LEFT($B12,FIND("(",$B12)-1)&amp;RIGHT(L$1,1),男子エントリー!$AF$7:$AF$406,0),3),"0000000")),"")</f>
        <v/>
      </c>
      <c r="M12" s="1" t="str">
        <f>_xlfn.IFNA(TEXT(VLOOKUP(INDEX(男子エントリー!$J$7:$AF$406,MATCH(LEFT($B12,FIND("(",$B12)-1)&amp;RIGHT(M$1,1),男子エントリー!$AF$7:$AF$406,0),1),競技会設定!$P$2:$S$22,4,0),"000")&amp;"00 "&amp;IF(VLOOKUP(INDEX(男子エントリー!$J$7:$AF$406,MATCH(LEFT($B12,FIND("(",$B12)-1)&amp;RIGHT(M$1,1),男子エントリー!$AF$7:$AF$406,0),1),競技会設定!$P$2:$S$22,4,0)&gt;70,TEXT(INDEX(男子エントリー!$J$7:$AF$406,MATCH(LEFT($B12,FIND("(",$B12)-1)&amp;RIGHT(M$1,1),男子エントリー!$AF$7:$AF$406,0),3),"00000"),TEXT(INDEX(男子エントリー!$J$7:$AF$406,MATCH(LEFT($B12,FIND("(",$B12)-1)&amp;RIGHT(M$1,1),男子エントリー!$AF$7:$AF$406,0),3),"0000000")),"")</f>
        <v/>
      </c>
      <c r="N12" s="1" t="str">
        <f>_xlfn.IFNA(TEXT(VLOOKUP(INDEX(男子エントリー!$J$7:$AF$406,MATCH(LEFT($B12,FIND("(",$B12)-1)&amp;RIGHT(N$1,1),男子エントリー!$AF$7:$AF$406,0),1),競技会設定!$P$2:$S$22,4,0),"000")&amp;"00 "&amp;IF(VLOOKUP(INDEX(男子エントリー!$J$7:$AF$406,MATCH(LEFT($B12,FIND("(",$B12)-1)&amp;RIGHT(N$1,1),男子エントリー!$AF$7:$AF$406,0),1),競技会設定!$P$2:$S$22,4,0)&gt;70,TEXT(INDEX(男子エントリー!$J$7:$AF$406,MATCH(LEFT($B12,FIND("(",$B12)-1)&amp;RIGHT(N$1,1),男子エントリー!$AF$7:$AF$406,0),3),"00000"),TEXT(INDEX(男子エントリー!$J$7:$AF$406,MATCH(LEFT($B12,FIND("(",$B12)-1)&amp;RIGHT(N$1,1),男子エントリー!$AF$7:$AF$406,0),3),"0000000")),"")</f>
        <v/>
      </c>
      <c r="O12" s="1" t="str">
        <f>_xlfn.IFNA(TEXT(VLOOKUP(INDEX(男子エントリー!$J$7:$AF$406,MATCH(LEFT($B12,FIND("(",$B12)-1)&amp;RIGHT(O$1,1),男子エントリー!$AF$7:$AF$406,0),1),競技会設定!$P$2:$S$22,4,0),"000")&amp;"00 "&amp;IF(VLOOKUP(INDEX(男子エントリー!$J$7:$AF$406,MATCH(LEFT($B12,FIND("(",$B12)-1)&amp;RIGHT(O$1,1),男子エントリー!$AF$7:$AF$406,0),1),競技会設定!$P$2:$S$22,4,0)&gt;70,TEXT(INDEX(男子エントリー!$J$7:$AF$406,MATCH(LEFT($B12,FIND("(",$B12)-1)&amp;RIGHT(O$1,1),男子エントリー!$AF$7:$AF$406,0),3),"00000"),TEXT(INDEX(男子エントリー!$J$7:$AF$406,MATCH(LEFT($B12,FIND("(",$B12)-1)&amp;RIGHT(O$1,1),男子エントリー!$AF$7:$AF$406,0),3),"0000000")),"")</f>
        <v/>
      </c>
    </row>
    <row r="13" spans="1:19">
      <c r="A13" s="92" t="str">
        <f>男子エントリー!D51</f>
        <v/>
      </c>
      <c r="B13" s="1" t="str">
        <f>男子エントリー!E51&amp;"("&amp;男子エントリー!G51&amp;")"</f>
        <v>()</v>
      </c>
      <c r="C13" s="92" t="str">
        <f>男子エントリー!F51</f>
        <v/>
      </c>
      <c r="D13" s="92" t="str">
        <f>男子エントリー!E53</f>
        <v/>
      </c>
      <c r="E13" s="92" t="str">
        <f>男子エントリー!G53</f>
        <v/>
      </c>
      <c r="F13" s="1" t="str">
        <f t="shared" si="0"/>
        <v/>
      </c>
      <c r="G13" s="92" t="str">
        <f>_xlfn.IFNA(VLOOKUP(男子エントリー!G52,競技会設定!$D$3:$E$49,2,0),"")</f>
        <v/>
      </c>
      <c r="H13" s="92" t="str">
        <f>_xlfn.IFNA(INDEX(競技会設定!$J$3:$O$47,MATCH(男子エントリー!H51,競技会設定!$N$3:$N$47,0),2),"")</f>
        <v/>
      </c>
      <c r="K13" s="92">
        <f>男子エントリー!C51</f>
        <v>0</v>
      </c>
      <c r="L13" s="1" t="str">
        <f>_xlfn.IFNA(TEXT(VLOOKUP(INDEX(男子エントリー!$J$7:$AF$406,MATCH(LEFT($B13,FIND("(",$B13)-1)&amp;RIGHT(L$1,1),男子エントリー!$AF$7:$AF$406,0),1),競技会設定!$P$2:$S$22,4,0),"000")&amp;"00 "&amp;IF(VLOOKUP(INDEX(男子エントリー!$J$7:$AF$406,MATCH(LEFT($B13,FIND("(",$B13)-1)&amp;RIGHT(L$1,1),男子エントリー!$AF$7:$AF$406,0),1),競技会設定!$P$2:$S$22,4,0)&gt;70,TEXT(INDEX(男子エントリー!$J$7:$AF$406,MATCH(LEFT($B13,FIND("(",$B13)-1)&amp;RIGHT(L$1,1),男子エントリー!$AF$7:$AF$406,0),3),"00000"),TEXT(INDEX(男子エントリー!$J$7:$AF$406,MATCH(LEFT($B13,FIND("(",$B13)-1)&amp;RIGHT(L$1,1),男子エントリー!$AF$7:$AF$406,0),3),"0000000")),"")</f>
        <v/>
      </c>
      <c r="M13" s="1" t="str">
        <f>_xlfn.IFNA(TEXT(VLOOKUP(INDEX(男子エントリー!$J$7:$AF$406,MATCH(LEFT($B13,FIND("(",$B13)-1)&amp;RIGHT(M$1,1),男子エントリー!$AF$7:$AF$406,0),1),競技会設定!$P$2:$S$22,4,0),"000")&amp;"00 "&amp;IF(VLOOKUP(INDEX(男子エントリー!$J$7:$AF$406,MATCH(LEFT($B13,FIND("(",$B13)-1)&amp;RIGHT(M$1,1),男子エントリー!$AF$7:$AF$406,0),1),競技会設定!$P$2:$S$22,4,0)&gt;70,TEXT(INDEX(男子エントリー!$J$7:$AF$406,MATCH(LEFT($B13,FIND("(",$B13)-1)&amp;RIGHT(M$1,1),男子エントリー!$AF$7:$AF$406,0),3),"00000"),TEXT(INDEX(男子エントリー!$J$7:$AF$406,MATCH(LEFT($B13,FIND("(",$B13)-1)&amp;RIGHT(M$1,1),男子エントリー!$AF$7:$AF$406,0),3),"0000000")),"")</f>
        <v/>
      </c>
      <c r="N13" s="1" t="str">
        <f>_xlfn.IFNA(TEXT(VLOOKUP(INDEX(男子エントリー!$J$7:$AF$406,MATCH(LEFT($B13,FIND("(",$B13)-1)&amp;RIGHT(N$1,1),男子エントリー!$AF$7:$AF$406,0),1),競技会設定!$P$2:$S$22,4,0),"000")&amp;"00 "&amp;IF(VLOOKUP(INDEX(男子エントリー!$J$7:$AF$406,MATCH(LEFT($B13,FIND("(",$B13)-1)&amp;RIGHT(N$1,1),男子エントリー!$AF$7:$AF$406,0),1),競技会設定!$P$2:$S$22,4,0)&gt;70,TEXT(INDEX(男子エントリー!$J$7:$AF$406,MATCH(LEFT($B13,FIND("(",$B13)-1)&amp;RIGHT(N$1,1),男子エントリー!$AF$7:$AF$406,0),3),"00000"),TEXT(INDEX(男子エントリー!$J$7:$AF$406,MATCH(LEFT($B13,FIND("(",$B13)-1)&amp;RIGHT(N$1,1),男子エントリー!$AF$7:$AF$406,0),3),"0000000")),"")</f>
        <v/>
      </c>
      <c r="O13" s="1" t="str">
        <f>_xlfn.IFNA(TEXT(VLOOKUP(INDEX(男子エントリー!$J$7:$AF$406,MATCH(LEFT($B13,FIND("(",$B13)-1)&amp;RIGHT(O$1,1),男子エントリー!$AF$7:$AF$406,0),1),競技会設定!$P$2:$S$22,4,0),"000")&amp;"00 "&amp;IF(VLOOKUP(INDEX(男子エントリー!$J$7:$AF$406,MATCH(LEFT($B13,FIND("(",$B13)-1)&amp;RIGHT(O$1,1),男子エントリー!$AF$7:$AF$406,0),1),競技会設定!$P$2:$S$22,4,0)&gt;70,TEXT(INDEX(男子エントリー!$J$7:$AF$406,MATCH(LEFT($B13,FIND("(",$B13)-1)&amp;RIGHT(O$1,1),男子エントリー!$AF$7:$AF$406,0),3),"00000"),TEXT(INDEX(男子エントリー!$J$7:$AF$406,MATCH(LEFT($B13,FIND("(",$B13)-1)&amp;RIGHT(O$1,1),男子エントリー!$AF$7:$AF$406,0),3),"0000000")),"")</f>
        <v/>
      </c>
    </row>
    <row r="14" spans="1:19">
      <c r="A14" s="92" t="str">
        <f>男子エントリー!D55</f>
        <v/>
      </c>
      <c r="B14" s="1" t="str">
        <f>男子エントリー!E55&amp;"("&amp;男子エントリー!G55&amp;")"</f>
        <v>()</v>
      </c>
      <c r="C14" s="92" t="str">
        <f>男子エントリー!F55</f>
        <v/>
      </c>
      <c r="D14" s="92" t="str">
        <f>男子エントリー!E57</f>
        <v/>
      </c>
      <c r="E14" s="92" t="str">
        <f>男子エントリー!G57</f>
        <v/>
      </c>
      <c r="F14" s="1" t="str">
        <f t="shared" si="0"/>
        <v/>
      </c>
      <c r="G14" s="92" t="str">
        <f>_xlfn.IFNA(VLOOKUP(男子エントリー!G56,競技会設定!$D$3:$E$49,2,0),"")</f>
        <v/>
      </c>
      <c r="H14" s="92" t="str">
        <f>_xlfn.IFNA(INDEX(競技会設定!$J$3:$O$47,MATCH(男子エントリー!H55,競技会設定!$N$3:$N$47,0),2),"")</f>
        <v/>
      </c>
      <c r="K14" s="92">
        <f>男子エントリー!C55</f>
        <v>0</v>
      </c>
      <c r="L14" s="1" t="str">
        <f>_xlfn.IFNA(TEXT(VLOOKUP(INDEX(男子エントリー!$J$7:$AF$406,MATCH(LEFT($B14,FIND("(",$B14)-1)&amp;RIGHT(L$1,1),男子エントリー!$AF$7:$AF$406,0),1),競技会設定!$P$2:$S$22,4,0),"000")&amp;"00 "&amp;IF(VLOOKUP(INDEX(男子エントリー!$J$7:$AF$406,MATCH(LEFT($B14,FIND("(",$B14)-1)&amp;RIGHT(L$1,1),男子エントリー!$AF$7:$AF$406,0),1),競技会設定!$P$2:$S$22,4,0)&gt;70,TEXT(INDEX(男子エントリー!$J$7:$AF$406,MATCH(LEFT($B14,FIND("(",$B14)-1)&amp;RIGHT(L$1,1),男子エントリー!$AF$7:$AF$406,0),3),"00000"),TEXT(INDEX(男子エントリー!$J$7:$AF$406,MATCH(LEFT($B14,FIND("(",$B14)-1)&amp;RIGHT(L$1,1),男子エントリー!$AF$7:$AF$406,0),3),"0000000")),"")</f>
        <v/>
      </c>
      <c r="M14" s="1" t="str">
        <f>_xlfn.IFNA(TEXT(VLOOKUP(INDEX(男子エントリー!$J$7:$AF$406,MATCH(LEFT($B14,FIND("(",$B14)-1)&amp;RIGHT(M$1,1),男子エントリー!$AF$7:$AF$406,0),1),競技会設定!$P$2:$S$22,4,0),"000")&amp;"00 "&amp;IF(VLOOKUP(INDEX(男子エントリー!$J$7:$AF$406,MATCH(LEFT($B14,FIND("(",$B14)-1)&amp;RIGHT(M$1,1),男子エントリー!$AF$7:$AF$406,0),1),競技会設定!$P$2:$S$22,4,0)&gt;70,TEXT(INDEX(男子エントリー!$J$7:$AF$406,MATCH(LEFT($B14,FIND("(",$B14)-1)&amp;RIGHT(M$1,1),男子エントリー!$AF$7:$AF$406,0),3),"00000"),TEXT(INDEX(男子エントリー!$J$7:$AF$406,MATCH(LEFT($B14,FIND("(",$B14)-1)&amp;RIGHT(M$1,1),男子エントリー!$AF$7:$AF$406,0),3),"0000000")),"")</f>
        <v/>
      </c>
      <c r="N14" s="1" t="str">
        <f>_xlfn.IFNA(TEXT(VLOOKUP(INDEX(男子エントリー!$J$7:$AF$406,MATCH(LEFT($B14,FIND("(",$B14)-1)&amp;RIGHT(N$1,1),男子エントリー!$AF$7:$AF$406,0),1),競技会設定!$P$2:$S$22,4,0),"000")&amp;"00 "&amp;IF(VLOOKUP(INDEX(男子エントリー!$J$7:$AF$406,MATCH(LEFT($B14,FIND("(",$B14)-1)&amp;RIGHT(N$1,1),男子エントリー!$AF$7:$AF$406,0),1),競技会設定!$P$2:$S$22,4,0)&gt;70,TEXT(INDEX(男子エントリー!$J$7:$AF$406,MATCH(LEFT($B14,FIND("(",$B14)-1)&amp;RIGHT(N$1,1),男子エントリー!$AF$7:$AF$406,0),3),"00000"),TEXT(INDEX(男子エントリー!$J$7:$AF$406,MATCH(LEFT($B14,FIND("(",$B14)-1)&amp;RIGHT(N$1,1),男子エントリー!$AF$7:$AF$406,0),3),"0000000")),"")</f>
        <v/>
      </c>
      <c r="O14" s="1" t="str">
        <f>_xlfn.IFNA(TEXT(VLOOKUP(INDEX(男子エントリー!$J$7:$AF$406,MATCH(LEFT($B14,FIND("(",$B14)-1)&amp;RIGHT(O$1,1),男子エントリー!$AF$7:$AF$406,0),1),競技会設定!$P$2:$S$22,4,0),"000")&amp;"00 "&amp;IF(VLOOKUP(INDEX(男子エントリー!$J$7:$AF$406,MATCH(LEFT($B14,FIND("(",$B14)-1)&amp;RIGHT(O$1,1),男子エントリー!$AF$7:$AF$406,0),1),競技会設定!$P$2:$S$22,4,0)&gt;70,TEXT(INDEX(男子エントリー!$J$7:$AF$406,MATCH(LEFT($B14,FIND("(",$B14)-1)&amp;RIGHT(O$1,1),男子エントリー!$AF$7:$AF$406,0),3),"00000"),TEXT(INDEX(男子エントリー!$J$7:$AF$406,MATCH(LEFT($B14,FIND("(",$B14)-1)&amp;RIGHT(O$1,1),男子エントリー!$AF$7:$AF$406,0),3),"0000000")),"")</f>
        <v/>
      </c>
    </row>
    <row r="15" spans="1:19">
      <c r="A15" s="92" t="str">
        <f>男子エントリー!D59</f>
        <v/>
      </c>
      <c r="B15" s="1" t="str">
        <f>男子エントリー!E59&amp;"("&amp;男子エントリー!G59&amp;")"</f>
        <v>()</v>
      </c>
      <c r="C15" s="92" t="str">
        <f>男子エントリー!F59</f>
        <v/>
      </c>
      <c r="D15" s="92" t="str">
        <f>男子エントリー!E61</f>
        <v/>
      </c>
      <c r="E15" s="92" t="str">
        <f>男子エントリー!G61</f>
        <v/>
      </c>
      <c r="F15" s="1" t="str">
        <f t="shared" si="0"/>
        <v/>
      </c>
      <c r="G15" s="92" t="str">
        <f>_xlfn.IFNA(VLOOKUP(男子エントリー!G60,競技会設定!$D$3:$E$49,2,0),"")</f>
        <v/>
      </c>
      <c r="H15" s="92" t="str">
        <f>_xlfn.IFNA(INDEX(競技会設定!$J$3:$O$47,MATCH(男子エントリー!H59,競技会設定!$N$3:$N$47,0),2),"")</f>
        <v/>
      </c>
      <c r="K15" s="92">
        <f>男子エントリー!C59</f>
        <v>0</v>
      </c>
      <c r="L15" s="1" t="str">
        <f>_xlfn.IFNA(TEXT(VLOOKUP(INDEX(男子エントリー!$J$7:$AF$406,MATCH(LEFT($B15,FIND("(",$B15)-1)&amp;RIGHT(L$1,1),男子エントリー!$AF$7:$AF$406,0),1),競技会設定!$P$2:$S$22,4,0),"000")&amp;"00 "&amp;IF(VLOOKUP(INDEX(男子エントリー!$J$7:$AF$406,MATCH(LEFT($B15,FIND("(",$B15)-1)&amp;RIGHT(L$1,1),男子エントリー!$AF$7:$AF$406,0),1),競技会設定!$P$2:$S$22,4,0)&gt;70,TEXT(INDEX(男子エントリー!$J$7:$AF$406,MATCH(LEFT($B15,FIND("(",$B15)-1)&amp;RIGHT(L$1,1),男子エントリー!$AF$7:$AF$406,0),3),"00000"),TEXT(INDEX(男子エントリー!$J$7:$AF$406,MATCH(LEFT($B15,FIND("(",$B15)-1)&amp;RIGHT(L$1,1),男子エントリー!$AF$7:$AF$406,0),3),"0000000")),"")</f>
        <v/>
      </c>
      <c r="M15" s="1" t="str">
        <f>_xlfn.IFNA(TEXT(VLOOKUP(INDEX(男子エントリー!$J$7:$AF$406,MATCH(LEFT($B15,FIND("(",$B15)-1)&amp;RIGHT(M$1,1),男子エントリー!$AF$7:$AF$406,0),1),競技会設定!$P$2:$S$22,4,0),"000")&amp;"00 "&amp;IF(VLOOKUP(INDEX(男子エントリー!$J$7:$AF$406,MATCH(LEFT($B15,FIND("(",$B15)-1)&amp;RIGHT(M$1,1),男子エントリー!$AF$7:$AF$406,0),1),競技会設定!$P$2:$S$22,4,0)&gt;70,TEXT(INDEX(男子エントリー!$J$7:$AF$406,MATCH(LEFT($B15,FIND("(",$B15)-1)&amp;RIGHT(M$1,1),男子エントリー!$AF$7:$AF$406,0),3),"00000"),TEXT(INDEX(男子エントリー!$J$7:$AF$406,MATCH(LEFT($B15,FIND("(",$B15)-1)&amp;RIGHT(M$1,1),男子エントリー!$AF$7:$AF$406,0),3),"0000000")),"")</f>
        <v/>
      </c>
      <c r="N15" s="1" t="str">
        <f>_xlfn.IFNA(TEXT(VLOOKUP(INDEX(男子エントリー!$J$7:$AF$406,MATCH(LEFT($B15,FIND("(",$B15)-1)&amp;RIGHT(N$1,1),男子エントリー!$AF$7:$AF$406,0),1),競技会設定!$P$2:$S$22,4,0),"000")&amp;"00 "&amp;IF(VLOOKUP(INDEX(男子エントリー!$J$7:$AF$406,MATCH(LEFT($B15,FIND("(",$B15)-1)&amp;RIGHT(N$1,1),男子エントリー!$AF$7:$AF$406,0),1),競技会設定!$P$2:$S$22,4,0)&gt;70,TEXT(INDEX(男子エントリー!$J$7:$AF$406,MATCH(LEFT($B15,FIND("(",$B15)-1)&amp;RIGHT(N$1,1),男子エントリー!$AF$7:$AF$406,0),3),"00000"),TEXT(INDEX(男子エントリー!$J$7:$AF$406,MATCH(LEFT($B15,FIND("(",$B15)-1)&amp;RIGHT(N$1,1),男子エントリー!$AF$7:$AF$406,0),3),"0000000")),"")</f>
        <v/>
      </c>
      <c r="O15" s="1" t="str">
        <f>_xlfn.IFNA(TEXT(VLOOKUP(INDEX(男子エントリー!$J$7:$AF$406,MATCH(LEFT($B15,FIND("(",$B15)-1)&amp;RIGHT(O$1,1),男子エントリー!$AF$7:$AF$406,0),1),競技会設定!$P$2:$S$22,4,0),"000")&amp;"00 "&amp;IF(VLOOKUP(INDEX(男子エントリー!$J$7:$AF$406,MATCH(LEFT($B15,FIND("(",$B15)-1)&amp;RIGHT(O$1,1),男子エントリー!$AF$7:$AF$406,0),1),競技会設定!$P$2:$S$22,4,0)&gt;70,TEXT(INDEX(男子エントリー!$J$7:$AF$406,MATCH(LEFT($B15,FIND("(",$B15)-1)&amp;RIGHT(O$1,1),男子エントリー!$AF$7:$AF$406,0),3),"00000"),TEXT(INDEX(男子エントリー!$J$7:$AF$406,MATCH(LEFT($B15,FIND("(",$B15)-1)&amp;RIGHT(O$1,1),男子エントリー!$AF$7:$AF$406,0),3),"0000000")),"")</f>
        <v/>
      </c>
    </row>
    <row r="16" spans="1:19">
      <c r="A16" s="92" t="str">
        <f>男子エントリー!D63</f>
        <v/>
      </c>
      <c r="B16" s="1" t="str">
        <f>男子エントリー!E63&amp;"("&amp;男子エントリー!G63&amp;")"</f>
        <v>()</v>
      </c>
      <c r="C16" s="92" t="str">
        <f>男子エントリー!F63</f>
        <v/>
      </c>
      <c r="D16" s="92" t="str">
        <f>男子エントリー!E65</f>
        <v/>
      </c>
      <c r="E16" s="92" t="str">
        <f>男子エントリー!G65</f>
        <v/>
      </c>
      <c r="F16" s="1" t="str">
        <f t="shared" si="0"/>
        <v/>
      </c>
      <c r="G16" s="92" t="str">
        <f>_xlfn.IFNA(VLOOKUP(男子エントリー!G64,競技会設定!$D$3:$E$49,2,0),"")</f>
        <v/>
      </c>
      <c r="H16" s="92" t="str">
        <f>_xlfn.IFNA(INDEX(競技会設定!$J$3:$O$47,MATCH(男子エントリー!H63,競技会設定!$N$3:$N$47,0),2),"")</f>
        <v/>
      </c>
      <c r="K16" s="92">
        <f>男子エントリー!C63</f>
        <v>0</v>
      </c>
      <c r="L16" s="1" t="str">
        <f>_xlfn.IFNA(TEXT(VLOOKUP(INDEX(男子エントリー!$J$7:$AF$406,MATCH(LEFT($B16,FIND("(",$B16)-1)&amp;RIGHT(L$1,1),男子エントリー!$AF$7:$AF$406,0),1),競技会設定!$P$2:$S$22,4,0),"000")&amp;"00 "&amp;IF(VLOOKUP(INDEX(男子エントリー!$J$7:$AF$406,MATCH(LEFT($B16,FIND("(",$B16)-1)&amp;RIGHT(L$1,1),男子エントリー!$AF$7:$AF$406,0),1),競技会設定!$P$2:$S$22,4,0)&gt;70,TEXT(INDEX(男子エントリー!$J$7:$AF$406,MATCH(LEFT($B16,FIND("(",$B16)-1)&amp;RIGHT(L$1,1),男子エントリー!$AF$7:$AF$406,0),3),"00000"),TEXT(INDEX(男子エントリー!$J$7:$AF$406,MATCH(LEFT($B16,FIND("(",$B16)-1)&amp;RIGHT(L$1,1),男子エントリー!$AF$7:$AF$406,0),3),"0000000")),"")</f>
        <v/>
      </c>
      <c r="M16" s="1" t="str">
        <f>_xlfn.IFNA(TEXT(VLOOKUP(INDEX(男子エントリー!$J$7:$AF$406,MATCH(LEFT($B16,FIND("(",$B16)-1)&amp;RIGHT(M$1,1),男子エントリー!$AF$7:$AF$406,0),1),競技会設定!$P$2:$S$22,4,0),"000")&amp;"00 "&amp;IF(VLOOKUP(INDEX(男子エントリー!$J$7:$AF$406,MATCH(LEFT($B16,FIND("(",$B16)-1)&amp;RIGHT(M$1,1),男子エントリー!$AF$7:$AF$406,0),1),競技会設定!$P$2:$S$22,4,0)&gt;70,TEXT(INDEX(男子エントリー!$J$7:$AF$406,MATCH(LEFT($B16,FIND("(",$B16)-1)&amp;RIGHT(M$1,1),男子エントリー!$AF$7:$AF$406,0),3),"00000"),TEXT(INDEX(男子エントリー!$J$7:$AF$406,MATCH(LEFT($B16,FIND("(",$B16)-1)&amp;RIGHT(M$1,1),男子エントリー!$AF$7:$AF$406,0),3),"0000000")),"")</f>
        <v/>
      </c>
      <c r="N16" s="1" t="str">
        <f>_xlfn.IFNA(TEXT(VLOOKUP(INDEX(男子エントリー!$J$7:$AF$406,MATCH(LEFT($B16,FIND("(",$B16)-1)&amp;RIGHT(N$1,1),男子エントリー!$AF$7:$AF$406,0),1),競技会設定!$P$2:$S$22,4,0),"000")&amp;"00 "&amp;IF(VLOOKUP(INDEX(男子エントリー!$J$7:$AF$406,MATCH(LEFT($B16,FIND("(",$B16)-1)&amp;RIGHT(N$1,1),男子エントリー!$AF$7:$AF$406,0),1),競技会設定!$P$2:$S$22,4,0)&gt;70,TEXT(INDEX(男子エントリー!$J$7:$AF$406,MATCH(LEFT($B16,FIND("(",$B16)-1)&amp;RIGHT(N$1,1),男子エントリー!$AF$7:$AF$406,0),3),"00000"),TEXT(INDEX(男子エントリー!$J$7:$AF$406,MATCH(LEFT($B16,FIND("(",$B16)-1)&amp;RIGHT(N$1,1),男子エントリー!$AF$7:$AF$406,0),3),"0000000")),"")</f>
        <v/>
      </c>
      <c r="O16" s="1" t="str">
        <f>_xlfn.IFNA(TEXT(VLOOKUP(INDEX(男子エントリー!$J$7:$AF$406,MATCH(LEFT($B16,FIND("(",$B16)-1)&amp;RIGHT(O$1,1),男子エントリー!$AF$7:$AF$406,0),1),競技会設定!$P$2:$S$22,4,0),"000")&amp;"00 "&amp;IF(VLOOKUP(INDEX(男子エントリー!$J$7:$AF$406,MATCH(LEFT($B16,FIND("(",$B16)-1)&amp;RIGHT(O$1,1),男子エントリー!$AF$7:$AF$406,0),1),競技会設定!$P$2:$S$22,4,0)&gt;70,TEXT(INDEX(男子エントリー!$J$7:$AF$406,MATCH(LEFT($B16,FIND("(",$B16)-1)&amp;RIGHT(O$1,1),男子エントリー!$AF$7:$AF$406,0),3),"00000"),TEXT(INDEX(男子エントリー!$J$7:$AF$406,MATCH(LEFT($B16,FIND("(",$B16)-1)&amp;RIGHT(O$1,1),男子エントリー!$AF$7:$AF$406,0),3),"0000000")),"")</f>
        <v/>
      </c>
    </row>
    <row r="17" spans="1:15">
      <c r="A17" s="92" t="str">
        <f>男子エントリー!D67</f>
        <v/>
      </c>
      <c r="B17" s="1" t="str">
        <f>男子エントリー!E67&amp;"("&amp;男子エントリー!G67&amp;")"</f>
        <v>()</v>
      </c>
      <c r="C17" s="92" t="str">
        <f>男子エントリー!F67</f>
        <v/>
      </c>
      <c r="D17" s="92" t="str">
        <f>男子エントリー!E69</f>
        <v/>
      </c>
      <c r="E17" s="92" t="str">
        <f>男子エントリー!G69</f>
        <v/>
      </c>
      <c r="F17" s="1" t="str">
        <f t="shared" si="0"/>
        <v/>
      </c>
      <c r="G17" s="92" t="str">
        <f>_xlfn.IFNA(VLOOKUP(男子エントリー!G68,競技会設定!$D$3:$E$49,2,0),"")</f>
        <v/>
      </c>
      <c r="H17" s="92" t="str">
        <f>_xlfn.IFNA(INDEX(競技会設定!$J$3:$O$47,MATCH(男子エントリー!H67,競技会設定!$N$3:$N$47,0),2),"")</f>
        <v/>
      </c>
      <c r="K17" s="92">
        <f>男子エントリー!C67</f>
        <v>0</v>
      </c>
      <c r="L17" s="1" t="str">
        <f>_xlfn.IFNA(TEXT(VLOOKUP(INDEX(男子エントリー!$J$7:$AF$406,MATCH(LEFT($B17,FIND("(",$B17)-1)&amp;RIGHT(L$1,1),男子エントリー!$AF$7:$AF$406,0),1),競技会設定!$P$2:$S$22,4,0),"000")&amp;"00 "&amp;IF(VLOOKUP(INDEX(男子エントリー!$J$7:$AF$406,MATCH(LEFT($B17,FIND("(",$B17)-1)&amp;RIGHT(L$1,1),男子エントリー!$AF$7:$AF$406,0),1),競技会設定!$P$2:$S$22,4,0)&gt;70,TEXT(INDEX(男子エントリー!$J$7:$AF$406,MATCH(LEFT($B17,FIND("(",$B17)-1)&amp;RIGHT(L$1,1),男子エントリー!$AF$7:$AF$406,0),3),"00000"),TEXT(INDEX(男子エントリー!$J$7:$AF$406,MATCH(LEFT($B17,FIND("(",$B17)-1)&amp;RIGHT(L$1,1),男子エントリー!$AF$7:$AF$406,0),3),"0000000")),"")</f>
        <v/>
      </c>
      <c r="M17" s="1" t="str">
        <f>_xlfn.IFNA(TEXT(VLOOKUP(INDEX(男子エントリー!$J$7:$AF$406,MATCH(LEFT($B17,FIND("(",$B17)-1)&amp;RIGHT(M$1,1),男子エントリー!$AF$7:$AF$406,0),1),競技会設定!$P$2:$S$22,4,0),"000")&amp;"00 "&amp;IF(VLOOKUP(INDEX(男子エントリー!$J$7:$AF$406,MATCH(LEFT($B17,FIND("(",$B17)-1)&amp;RIGHT(M$1,1),男子エントリー!$AF$7:$AF$406,0),1),競技会設定!$P$2:$S$22,4,0)&gt;70,TEXT(INDEX(男子エントリー!$J$7:$AF$406,MATCH(LEFT($B17,FIND("(",$B17)-1)&amp;RIGHT(M$1,1),男子エントリー!$AF$7:$AF$406,0),3),"00000"),TEXT(INDEX(男子エントリー!$J$7:$AF$406,MATCH(LEFT($B17,FIND("(",$B17)-1)&amp;RIGHT(M$1,1),男子エントリー!$AF$7:$AF$406,0),3),"0000000")),"")</f>
        <v/>
      </c>
      <c r="N17" s="1" t="str">
        <f>_xlfn.IFNA(TEXT(VLOOKUP(INDEX(男子エントリー!$J$7:$AF$406,MATCH(LEFT($B17,FIND("(",$B17)-1)&amp;RIGHT(N$1,1),男子エントリー!$AF$7:$AF$406,0),1),競技会設定!$P$2:$S$22,4,0),"000")&amp;"00 "&amp;IF(VLOOKUP(INDEX(男子エントリー!$J$7:$AF$406,MATCH(LEFT($B17,FIND("(",$B17)-1)&amp;RIGHT(N$1,1),男子エントリー!$AF$7:$AF$406,0),1),競技会設定!$P$2:$S$22,4,0)&gt;70,TEXT(INDEX(男子エントリー!$J$7:$AF$406,MATCH(LEFT($B17,FIND("(",$B17)-1)&amp;RIGHT(N$1,1),男子エントリー!$AF$7:$AF$406,0),3),"00000"),TEXT(INDEX(男子エントリー!$J$7:$AF$406,MATCH(LEFT($B17,FIND("(",$B17)-1)&amp;RIGHT(N$1,1),男子エントリー!$AF$7:$AF$406,0),3),"0000000")),"")</f>
        <v/>
      </c>
      <c r="O17" s="1" t="str">
        <f>_xlfn.IFNA(TEXT(VLOOKUP(INDEX(男子エントリー!$J$7:$AF$406,MATCH(LEFT($B17,FIND("(",$B17)-1)&amp;RIGHT(O$1,1),男子エントリー!$AF$7:$AF$406,0),1),競技会設定!$P$2:$S$22,4,0),"000")&amp;"00 "&amp;IF(VLOOKUP(INDEX(男子エントリー!$J$7:$AF$406,MATCH(LEFT($B17,FIND("(",$B17)-1)&amp;RIGHT(O$1,1),男子エントリー!$AF$7:$AF$406,0),1),競技会設定!$P$2:$S$22,4,0)&gt;70,TEXT(INDEX(男子エントリー!$J$7:$AF$406,MATCH(LEFT($B17,FIND("(",$B17)-1)&amp;RIGHT(O$1,1),男子エントリー!$AF$7:$AF$406,0),3),"00000"),TEXT(INDEX(男子エントリー!$J$7:$AF$406,MATCH(LEFT($B17,FIND("(",$B17)-1)&amp;RIGHT(O$1,1),男子エントリー!$AF$7:$AF$406,0),3),"0000000")),"")</f>
        <v/>
      </c>
    </row>
    <row r="18" spans="1:15">
      <c r="A18" s="92" t="str">
        <f>男子エントリー!D71</f>
        <v/>
      </c>
      <c r="B18" s="1" t="str">
        <f>男子エントリー!E71&amp;"("&amp;男子エントリー!G71&amp;")"</f>
        <v>()</v>
      </c>
      <c r="C18" s="92" t="str">
        <f>男子エントリー!F71</f>
        <v/>
      </c>
      <c r="D18" s="92" t="str">
        <f>男子エントリー!E73</f>
        <v/>
      </c>
      <c r="E18" s="92" t="str">
        <f>男子エントリー!G73</f>
        <v/>
      </c>
      <c r="F18" s="1" t="str">
        <f t="shared" si="0"/>
        <v/>
      </c>
      <c r="G18" s="92" t="str">
        <f>_xlfn.IFNA(VLOOKUP(男子エントリー!G72,競技会設定!$D$3:$E$49,2,0),"")</f>
        <v/>
      </c>
      <c r="H18" s="92" t="str">
        <f>_xlfn.IFNA(INDEX(競技会設定!$J$3:$O$47,MATCH(男子エントリー!H71,競技会設定!$N$3:$N$47,0),2),"")</f>
        <v/>
      </c>
      <c r="K18" s="92">
        <f>男子エントリー!C71</f>
        <v>0</v>
      </c>
      <c r="L18" s="1" t="str">
        <f>_xlfn.IFNA(TEXT(VLOOKUP(INDEX(男子エントリー!$J$7:$AF$406,MATCH(LEFT($B18,FIND("(",$B18)-1)&amp;RIGHT(L$1,1),男子エントリー!$AF$7:$AF$406,0),1),競技会設定!$P$2:$S$22,4,0),"000")&amp;"00 "&amp;IF(VLOOKUP(INDEX(男子エントリー!$J$7:$AF$406,MATCH(LEFT($B18,FIND("(",$B18)-1)&amp;RIGHT(L$1,1),男子エントリー!$AF$7:$AF$406,0),1),競技会設定!$P$2:$S$22,4,0)&gt;70,TEXT(INDEX(男子エントリー!$J$7:$AF$406,MATCH(LEFT($B18,FIND("(",$B18)-1)&amp;RIGHT(L$1,1),男子エントリー!$AF$7:$AF$406,0),3),"00000"),TEXT(INDEX(男子エントリー!$J$7:$AF$406,MATCH(LEFT($B18,FIND("(",$B18)-1)&amp;RIGHT(L$1,1),男子エントリー!$AF$7:$AF$406,0),3),"0000000")),"")</f>
        <v/>
      </c>
      <c r="M18" s="1" t="str">
        <f>_xlfn.IFNA(TEXT(VLOOKUP(INDEX(男子エントリー!$J$7:$AF$406,MATCH(LEFT($B18,FIND("(",$B18)-1)&amp;RIGHT(M$1,1),男子エントリー!$AF$7:$AF$406,0),1),競技会設定!$P$2:$S$22,4,0),"000")&amp;"00 "&amp;IF(VLOOKUP(INDEX(男子エントリー!$J$7:$AF$406,MATCH(LEFT($B18,FIND("(",$B18)-1)&amp;RIGHT(M$1,1),男子エントリー!$AF$7:$AF$406,0),1),競技会設定!$P$2:$S$22,4,0)&gt;70,TEXT(INDEX(男子エントリー!$J$7:$AF$406,MATCH(LEFT($B18,FIND("(",$B18)-1)&amp;RIGHT(M$1,1),男子エントリー!$AF$7:$AF$406,0),3),"00000"),TEXT(INDEX(男子エントリー!$J$7:$AF$406,MATCH(LEFT($B18,FIND("(",$B18)-1)&amp;RIGHT(M$1,1),男子エントリー!$AF$7:$AF$406,0),3),"0000000")),"")</f>
        <v/>
      </c>
      <c r="N18" s="1" t="str">
        <f>_xlfn.IFNA(TEXT(VLOOKUP(INDEX(男子エントリー!$J$7:$AF$406,MATCH(LEFT($B18,FIND("(",$B18)-1)&amp;RIGHT(N$1,1),男子エントリー!$AF$7:$AF$406,0),1),競技会設定!$P$2:$S$22,4,0),"000")&amp;"00 "&amp;IF(VLOOKUP(INDEX(男子エントリー!$J$7:$AF$406,MATCH(LEFT($B18,FIND("(",$B18)-1)&amp;RIGHT(N$1,1),男子エントリー!$AF$7:$AF$406,0),1),競技会設定!$P$2:$S$22,4,0)&gt;70,TEXT(INDEX(男子エントリー!$J$7:$AF$406,MATCH(LEFT($B18,FIND("(",$B18)-1)&amp;RIGHT(N$1,1),男子エントリー!$AF$7:$AF$406,0),3),"00000"),TEXT(INDEX(男子エントリー!$J$7:$AF$406,MATCH(LEFT($B18,FIND("(",$B18)-1)&amp;RIGHT(N$1,1),男子エントリー!$AF$7:$AF$406,0),3),"0000000")),"")</f>
        <v/>
      </c>
      <c r="O18" s="1" t="str">
        <f>_xlfn.IFNA(TEXT(VLOOKUP(INDEX(男子エントリー!$J$7:$AF$406,MATCH(LEFT($B18,FIND("(",$B18)-1)&amp;RIGHT(O$1,1),男子エントリー!$AF$7:$AF$406,0),1),競技会設定!$P$2:$S$22,4,0),"000")&amp;"00 "&amp;IF(VLOOKUP(INDEX(男子エントリー!$J$7:$AF$406,MATCH(LEFT($B18,FIND("(",$B18)-1)&amp;RIGHT(O$1,1),男子エントリー!$AF$7:$AF$406,0),1),競技会設定!$P$2:$S$22,4,0)&gt;70,TEXT(INDEX(男子エントリー!$J$7:$AF$406,MATCH(LEFT($B18,FIND("(",$B18)-1)&amp;RIGHT(O$1,1),男子エントリー!$AF$7:$AF$406,0),3),"00000"),TEXT(INDEX(男子エントリー!$J$7:$AF$406,MATCH(LEFT($B18,FIND("(",$B18)-1)&amp;RIGHT(O$1,1),男子エントリー!$AF$7:$AF$406,0),3),"0000000")),"")</f>
        <v/>
      </c>
    </row>
    <row r="19" spans="1:15">
      <c r="A19" s="92" t="str">
        <f>男子エントリー!D75</f>
        <v/>
      </c>
      <c r="B19" s="1" t="str">
        <f>男子エントリー!E75&amp;"("&amp;男子エントリー!G75&amp;")"</f>
        <v>()</v>
      </c>
      <c r="C19" s="92" t="str">
        <f>男子エントリー!F75</f>
        <v/>
      </c>
      <c r="D19" s="92" t="str">
        <f>男子エントリー!E77</f>
        <v/>
      </c>
      <c r="E19" s="92" t="str">
        <f>男子エントリー!G77</f>
        <v/>
      </c>
      <c r="F19" s="1" t="str">
        <f t="shared" si="0"/>
        <v/>
      </c>
      <c r="G19" s="92" t="str">
        <f>_xlfn.IFNA(VLOOKUP(男子エントリー!G76,競技会設定!$D$3:$E$49,2,0),"")</f>
        <v/>
      </c>
      <c r="H19" s="92" t="str">
        <f>_xlfn.IFNA(INDEX(競技会設定!$J$3:$O$47,MATCH(男子エントリー!H75,競技会設定!$N$3:$N$47,0),2),"")</f>
        <v/>
      </c>
      <c r="K19" s="92">
        <f>男子エントリー!C75</f>
        <v>0</v>
      </c>
      <c r="L19" s="1" t="str">
        <f>_xlfn.IFNA(TEXT(VLOOKUP(INDEX(男子エントリー!$J$7:$AF$406,MATCH(LEFT($B19,FIND("(",$B19)-1)&amp;RIGHT(L$1,1),男子エントリー!$AF$7:$AF$406,0),1),競技会設定!$P$2:$S$22,4,0),"000")&amp;"00 "&amp;IF(VLOOKUP(INDEX(男子エントリー!$J$7:$AF$406,MATCH(LEFT($B19,FIND("(",$B19)-1)&amp;RIGHT(L$1,1),男子エントリー!$AF$7:$AF$406,0),1),競技会設定!$P$2:$S$22,4,0)&gt;70,TEXT(INDEX(男子エントリー!$J$7:$AF$406,MATCH(LEFT($B19,FIND("(",$B19)-1)&amp;RIGHT(L$1,1),男子エントリー!$AF$7:$AF$406,0),3),"00000"),TEXT(INDEX(男子エントリー!$J$7:$AF$406,MATCH(LEFT($B19,FIND("(",$B19)-1)&amp;RIGHT(L$1,1),男子エントリー!$AF$7:$AF$406,0),3),"0000000")),"")</f>
        <v/>
      </c>
      <c r="M19" s="1" t="str">
        <f>_xlfn.IFNA(TEXT(VLOOKUP(INDEX(男子エントリー!$J$7:$AF$406,MATCH(LEFT($B19,FIND("(",$B19)-1)&amp;RIGHT(M$1,1),男子エントリー!$AF$7:$AF$406,0),1),競技会設定!$P$2:$S$22,4,0),"000")&amp;"00 "&amp;IF(VLOOKUP(INDEX(男子エントリー!$J$7:$AF$406,MATCH(LEFT($B19,FIND("(",$B19)-1)&amp;RIGHT(M$1,1),男子エントリー!$AF$7:$AF$406,0),1),競技会設定!$P$2:$S$22,4,0)&gt;70,TEXT(INDEX(男子エントリー!$J$7:$AF$406,MATCH(LEFT($B19,FIND("(",$B19)-1)&amp;RIGHT(M$1,1),男子エントリー!$AF$7:$AF$406,0),3),"00000"),TEXT(INDEX(男子エントリー!$J$7:$AF$406,MATCH(LEFT($B19,FIND("(",$B19)-1)&amp;RIGHT(M$1,1),男子エントリー!$AF$7:$AF$406,0),3),"0000000")),"")</f>
        <v/>
      </c>
      <c r="N19" s="1" t="str">
        <f>_xlfn.IFNA(TEXT(VLOOKUP(INDEX(男子エントリー!$J$7:$AF$406,MATCH(LEFT($B19,FIND("(",$B19)-1)&amp;RIGHT(N$1,1),男子エントリー!$AF$7:$AF$406,0),1),競技会設定!$P$2:$S$22,4,0),"000")&amp;"00 "&amp;IF(VLOOKUP(INDEX(男子エントリー!$J$7:$AF$406,MATCH(LEFT($B19,FIND("(",$B19)-1)&amp;RIGHT(N$1,1),男子エントリー!$AF$7:$AF$406,0),1),競技会設定!$P$2:$S$22,4,0)&gt;70,TEXT(INDEX(男子エントリー!$J$7:$AF$406,MATCH(LEFT($B19,FIND("(",$B19)-1)&amp;RIGHT(N$1,1),男子エントリー!$AF$7:$AF$406,0),3),"00000"),TEXT(INDEX(男子エントリー!$J$7:$AF$406,MATCH(LEFT($B19,FIND("(",$B19)-1)&amp;RIGHT(N$1,1),男子エントリー!$AF$7:$AF$406,0),3),"0000000")),"")</f>
        <v/>
      </c>
      <c r="O19" s="1" t="str">
        <f>_xlfn.IFNA(TEXT(VLOOKUP(INDEX(男子エントリー!$J$7:$AF$406,MATCH(LEFT($B19,FIND("(",$B19)-1)&amp;RIGHT(O$1,1),男子エントリー!$AF$7:$AF$406,0),1),競技会設定!$P$2:$S$22,4,0),"000")&amp;"00 "&amp;IF(VLOOKUP(INDEX(男子エントリー!$J$7:$AF$406,MATCH(LEFT($B19,FIND("(",$B19)-1)&amp;RIGHT(O$1,1),男子エントリー!$AF$7:$AF$406,0),1),競技会設定!$P$2:$S$22,4,0)&gt;70,TEXT(INDEX(男子エントリー!$J$7:$AF$406,MATCH(LEFT($B19,FIND("(",$B19)-1)&amp;RIGHT(O$1,1),男子エントリー!$AF$7:$AF$406,0),3),"00000"),TEXT(INDEX(男子エントリー!$J$7:$AF$406,MATCH(LEFT($B19,FIND("(",$B19)-1)&amp;RIGHT(O$1,1),男子エントリー!$AF$7:$AF$406,0),3),"0000000")),"")</f>
        <v/>
      </c>
    </row>
    <row r="20" spans="1:15">
      <c r="A20" s="92" t="str">
        <f>男子エントリー!D79</f>
        <v/>
      </c>
      <c r="B20" s="1" t="str">
        <f>男子エントリー!E79&amp;"("&amp;男子エントリー!G79&amp;")"</f>
        <v>()</v>
      </c>
      <c r="C20" s="92" t="str">
        <f>男子エントリー!F79</f>
        <v/>
      </c>
      <c r="D20" s="92" t="str">
        <f>男子エントリー!E81</f>
        <v/>
      </c>
      <c r="E20" s="92" t="str">
        <f>男子エントリー!G81</f>
        <v/>
      </c>
      <c r="F20" s="1" t="str">
        <f t="shared" si="0"/>
        <v/>
      </c>
      <c r="G20" s="92" t="str">
        <f>_xlfn.IFNA(VLOOKUP(男子エントリー!G80,競技会設定!$D$3:$E$49,2,0),"")</f>
        <v/>
      </c>
      <c r="H20" s="92" t="str">
        <f>_xlfn.IFNA(INDEX(競技会設定!$J$3:$O$47,MATCH(男子エントリー!H79,競技会設定!$N$3:$N$47,0),2),"")</f>
        <v/>
      </c>
      <c r="K20" s="92">
        <f>男子エントリー!C79</f>
        <v>0</v>
      </c>
      <c r="L20" s="1" t="str">
        <f>_xlfn.IFNA(TEXT(VLOOKUP(INDEX(男子エントリー!$J$7:$AF$406,MATCH(LEFT($B20,FIND("(",$B20)-1)&amp;RIGHT(L$1,1),男子エントリー!$AF$7:$AF$406,0),1),競技会設定!$P$2:$S$22,4,0),"000")&amp;"00 "&amp;IF(VLOOKUP(INDEX(男子エントリー!$J$7:$AF$406,MATCH(LEFT($B20,FIND("(",$B20)-1)&amp;RIGHT(L$1,1),男子エントリー!$AF$7:$AF$406,0),1),競技会設定!$P$2:$S$22,4,0)&gt;70,TEXT(INDEX(男子エントリー!$J$7:$AF$406,MATCH(LEFT($B20,FIND("(",$B20)-1)&amp;RIGHT(L$1,1),男子エントリー!$AF$7:$AF$406,0),3),"00000"),TEXT(INDEX(男子エントリー!$J$7:$AF$406,MATCH(LEFT($B20,FIND("(",$B20)-1)&amp;RIGHT(L$1,1),男子エントリー!$AF$7:$AF$406,0),3),"0000000")),"")</f>
        <v/>
      </c>
      <c r="M20" s="1" t="str">
        <f>_xlfn.IFNA(TEXT(VLOOKUP(INDEX(男子エントリー!$J$7:$AF$406,MATCH(LEFT($B20,FIND("(",$B20)-1)&amp;RIGHT(M$1,1),男子エントリー!$AF$7:$AF$406,0),1),競技会設定!$P$2:$S$22,4,0),"000")&amp;"00 "&amp;IF(VLOOKUP(INDEX(男子エントリー!$J$7:$AF$406,MATCH(LEFT($B20,FIND("(",$B20)-1)&amp;RIGHT(M$1,1),男子エントリー!$AF$7:$AF$406,0),1),競技会設定!$P$2:$S$22,4,0)&gt;70,TEXT(INDEX(男子エントリー!$J$7:$AF$406,MATCH(LEFT($B20,FIND("(",$B20)-1)&amp;RIGHT(M$1,1),男子エントリー!$AF$7:$AF$406,0),3),"00000"),TEXT(INDEX(男子エントリー!$J$7:$AF$406,MATCH(LEFT($B20,FIND("(",$B20)-1)&amp;RIGHT(M$1,1),男子エントリー!$AF$7:$AF$406,0),3),"0000000")),"")</f>
        <v/>
      </c>
      <c r="N20" s="1" t="str">
        <f>_xlfn.IFNA(TEXT(VLOOKUP(INDEX(男子エントリー!$J$7:$AF$406,MATCH(LEFT($B20,FIND("(",$B20)-1)&amp;RIGHT(N$1,1),男子エントリー!$AF$7:$AF$406,0),1),競技会設定!$P$2:$S$22,4,0),"000")&amp;"00 "&amp;IF(VLOOKUP(INDEX(男子エントリー!$J$7:$AF$406,MATCH(LEFT($B20,FIND("(",$B20)-1)&amp;RIGHT(N$1,1),男子エントリー!$AF$7:$AF$406,0),1),競技会設定!$P$2:$S$22,4,0)&gt;70,TEXT(INDEX(男子エントリー!$J$7:$AF$406,MATCH(LEFT($B20,FIND("(",$B20)-1)&amp;RIGHT(N$1,1),男子エントリー!$AF$7:$AF$406,0),3),"00000"),TEXT(INDEX(男子エントリー!$J$7:$AF$406,MATCH(LEFT($B20,FIND("(",$B20)-1)&amp;RIGHT(N$1,1),男子エントリー!$AF$7:$AF$406,0),3),"0000000")),"")</f>
        <v/>
      </c>
      <c r="O20" s="1" t="str">
        <f>_xlfn.IFNA(TEXT(VLOOKUP(INDEX(男子エントリー!$J$7:$AF$406,MATCH(LEFT($B20,FIND("(",$B20)-1)&amp;RIGHT(O$1,1),男子エントリー!$AF$7:$AF$406,0),1),競技会設定!$P$2:$S$22,4,0),"000")&amp;"00 "&amp;IF(VLOOKUP(INDEX(男子エントリー!$J$7:$AF$406,MATCH(LEFT($B20,FIND("(",$B20)-1)&amp;RIGHT(O$1,1),男子エントリー!$AF$7:$AF$406,0),1),競技会設定!$P$2:$S$22,4,0)&gt;70,TEXT(INDEX(男子エントリー!$J$7:$AF$406,MATCH(LEFT($B20,FIND("(",$B20)-1)&amp;RIGHT(O$1,1),男子エントリー!$AF$7:$AF$406,0),3),"00000"),TEXT(INDEX(男子エントリー!$J$7:$AF$406,MATCH(LEFT($B20,FIND("(",$B20)-1)&amp;RIGHT(O$1,1),男子エントリー!$AF$7:$AF$406,0),3),"0000000")),"")</f>
        <v/>
      </c>
    </row>
    <row r="21" spans="1:15">
      <c r="A21" s="92" t="str">
        <f>男子エントリー!D83</f>
        <v/>
      </c>
      <c r="B21" s="1" t="str">
        <f>男子エントリー!E83&amp;"("&amp;男子エントリー!G83&amp;")"</f>
        <v>()</v>
      </c>
      <c r="C21" s="92" t="str">
        <f>男子エントリー!F83</f>
        <v/>
      </c>
      <c r="D21" s="92" t="str">
        <f>男子エントリー!E85</f>
        <v/>
      </c>
      <c r="E21" s="92" t="str">
        <f>男子エントリー!G85</f>
        <v/>
      </c>
      <c r="F21" s="1" t="str">
        <f t="shared" si="0"/>
        <v/>
      </c>
      <c r="G21" s="92" t="str">
        <f>_xlfn.IFNA(VLOOKUP(男子エントリー!G84,競技会設定!$D$3:$E$49,2,0),"")</f>
        <v/>
      </c>
      <c r="H21" s="92" t="str">
        <f>_xlfn.IFNA(INDEX(競技会設定!$J$3:$O$47,MATCH(男子エントリー!H83,競技会設定!$N$3:$N$47,0),2),"")</f>
        <v/>
      </c>
      <c r="K21" s="92">
        <f>男子エントリー!C83</f>
        <v>0</v>
      </c>
      <c r="L21" s="1" t="str">
        <f>_xlfn.IFNA(TEXT(VLOOKUP(INDEX(男子エントリー!$J$7:$AF$406,MATCH(LEFT($B21,FIND("(",$B21)-1)&amp;RIGHT(L$1,1),男子エントリー!$AF$7:$AF$406,0),1),競技会設定!$P$2:$S$22,4,0),"000")&amp;"00 "&amp;IF(VLOOKUP(INDEX(男子エントリー!$J$7:$AF$406,MATCH(LEFT($B21,FIND("(",$B21)-1)&amp;RIGHT(L$1,1),男子エントリー!$AF$7:$AF$406,0),1),競技会設定!$P$2:$S$22,4,0)&gt;70,TEXT(INDEX(男子エントリー!$J$7:$AF$406,MATCH(LEFT($B21,FIND("(",$B21)-1)&amp;RIGHT(L$1,1),男子エントリー!$AF$7:$AF$406,0),3),"00000"),TEXT(INDEX(男子エントリー!$J$7:$AF$406,MATCH(LEFT($B21,FIND("(",$B21)-1)&amp;RIGHT(L$1,1),男子エントリー!$AF$7:$AF$406,0),3),"0000000")),"")</f>
        <v/>
      </c>
      <c r="M21" s="1" t="str">
        <f>_xlfn.IFNA(TEXT(VLOOKUP(INDEX(男子エントリー!$J$7:$AF$406,MATCH(LEFT($B21,FIND("(",$B21)-1)&amp;RIGHT(M$1,1),男子エントリー!$AF$7:$AF$406,0),1),競技会設定!$P$2:$S$22,4,0),"000")&amp;"00 "&amp;IF(VLOOKUP(INDEX(男子エントリー!$J$7:$AF$406,MATCH(LEFT($B21,FIND("(",$B21)-1)&amp;RIGHT(M$1,1),男子エントリー!$AF$7:$AF$406,0),1),競技会設定!$P$2:$S$22,4,0)&gt;70,TEXT(INDEX(男子エントリー!$J$7:$AF$406,MATCH(LEFT($B21,FIND("(",$B21)-1)&amp;RIGHT(M$1,1),男子エントリー!$AF$7:$AF$406,0),3),"00000"),TEXT(INDEX(男子エントリー!$J$7:$AF$406,MATCH(LEFT($B21,FIND("(",$B21)-1)&amp;RIGHT(M$1,1),男子エントリー!$AF$7:$AF$406,0),3),"0000000")),"")</f>
        <v/>
      </c>
      <c r="N21" s="1" t="str">
        <f>_xlfn.IFNA(TEXT(VLOOKUP(INDEX(男子エントリー!$J$7:$AF$406,MATCH(LEFT($B21,FIND("(",$B21)-1)&amp;RIGHT(N$1,1),男子エントリー!$AF$7:$AF$406,0),1),競技会設定!$P$2:$S$22,4,0),"000")&amp;"00 "&amp;IF(VLOOKUP(INDEX(男子エントリー!$J$7:$AF$406,MATCH(LEFT($B21,FIND("(",$B21)-1)&amp;RIGHT(N$1,1),男子エントリー!$AF$7:$AF$406,0),1),競技会設定!$P$2:$S$22,4,0)&gt;70,TEXT(INDEX(男子エントリー!$J$7:$AF$406,MATCH(LEFT($B21,FIND("(",$B21)-1)&amp;RIGHT(N$1,1),男子エントリー!$AF$7:$AF$406,0),3),"00000"),TEXT(INDEX(男子エントリー!$J$7:$AF$406,MATCH(LEFT($B21,FIND("(",$B21)-1)&amp;RIGHT(N$1,1),男子エントリー!$AF$7:$AF$406,0),3),"0000000")),"")</f>
        <v/>
      </c>
      <c r="O21" s="1" t="str">
        <f>_xlfn.IFNA(TEXT(VLOOKUP(INDEX(男子エントリー!$J$7:$AF$406,MATCH(LEFT($B21,FIND("(",$B21)-1)&amp;RIGHT(O$1,1),男子エントリー!$AF$7:$AF$406,0),1),競技会設定!$P$2:$S$22,4,0),"000")&amp;"00 "&amp;IF(VLOOKUP(INDEX(男子エントリー!$J$7:$AF$406,MATCH(LEFT($B21,FIND("(",$B21)-1)&amp;RIGHT(O$1,1),男子エントリー!$AF$7:$AF$406,0),1),競技会設定!$P$2:$S$22,4,0)&gt;70,TEXT(INDEX(男子エントリー!$J$7:$AF$406,MATCH(LEFT($B21,FIND("(",$B21)-1)&amp;RIGHT(O$1,1),男子エントリー!$AF$7:$AF$406,0),3),"00000"),TEXT(INDEX(男子エントリー!$J$7:$AF$406,MATCH(LEFT($B21,FIND("(",$B21)-1)&amp;RIGHT(O$1,1),男子エントリー!$AF$7:$AF$406,0),3),"0000000")),"")</f>
        <v/>
      </c>
    </row>
    <row r="22" spans="1:15">
      <c r="A22" s="92" t="str">
        <f>男子エントリー!D87</f>
        <v/>
      </c>
      <c r="B22" s="1" t="str">
        <f>男子エントリー!E87&amp;"("&amp;男子エントリー!G87&amp;")"</f>
        <v>()</v>
      </c>
      <c r="C22" s="92" t="str">
        <f>男子エントリー!F87</f>
        <v/>
      </c>
      <c r="D22" s="92" t="str">
        <f>男子エントリー!E89</f>
        <v/>
      </c>
      <c r="E22" s="92" t="str">
        <f>男子エントリー!G89</f>
        <v/>
      </c>
      <c r="F22" s="1" t="str">
        <f t="shared" si="0"/>
        <v/>
      </c>
      <c r="G22" s="92" t="str">
        <f>_xlfn.IFNA(VLOOKUP(男子エントリー!G88,競技会設定!$D$3:$E$49,2,0),"")</f>
        <v/>
      </c>
      <c r="H22" s="92" t="str">
        <f>_xlfn.IFNA(INDEX(競技会設定!$J$3:$O$47,MATCH(男子エントリー!H87,競技会設定!$N$3:$N$47,0),2),"")</f>
        <v/>
      </c>
      <c r="K22" s="92">
        <f>男子エントリー!C87</f>
        <v>0</v>
      </c>
      <c r="L22" s="1" t="str">
        <f>_xlfn.IFNA(TEXT(VLOOKUP(INDEX(男子エントリー!$J$7:$AF$406,MATCH(LEFT($B22,FIND("(",$B22)-1)&amp;RIGHT(L$1,1),男子エントリー!$AF$7:$AF$406,0),1),競技会設定!$P$2:$S$22,4,0),"000")&amp;"00 "&amp;IF(VLOOKUP(INDEX(男子エントリー!$J$7:$AF$406,MATCH(LEFT($B22,FIND("(",$B22)-1)&amp;RIGHT(L$1,1),男子エントリー!$AF$7:$AF$406,0),1),競技会設定!$P$2:$S$22,4,0)&gt;70,TEXT(INDEX(男子エントリー!$J$7:$AF$406,MATCH(LEFT($B22,FIND("(",$B22)-1)&amp;RIGHT(L$1,1),男子エントリー!$AF$7:$AF$406,0),3),"00000"),TEXT(INDEX(男子エントリー!$J$7:$AF$406,MATCH(LEFT($B22,FIND("(",$B22)-1)&amp;RIGHT(L$1,1),男子エントリー!$AF$7:$AF$406,0),3),"0000000")),"")</f>
        <v/>
      </c>
      <c r="M22" s="1" t="str">
        <f>_xlfn.IFNA(TEXT(VLOOKUP(INDEX(男子エントリー!$J$7:$AF$406,MATCH(LEFT($B22,FIND("(",$B22)-1)&amp;RIGHT(M$1,1),男子エントリー!$AF$7:$AF$406,0),1),競技会設定!$P$2:$S$22,4,0),"000")&amp;"00 "&amp;IF(VLOOKUP(INDEX(男子エントリー!$J$7:$AF$406,MATCH(LEFT($B22,FIND("(",$B22)-1)&amp;RIGHT(M$1,1),男子エントリー!$AF$7:$AF$406,0),1),競技会設定!$P$2:$S$22,4,0)&gt;70,TEXT(INDEX(男子エントリー!$J$7:$AF$406,MATCH(LEFT($B22,FIND("(",$B22)-1)&amp;RIGHT(M$1,1),男子エントリー!$AF$7:$AF$406,0),3),"00000"),TEXT(INDEX(男子エントリー!$J$7:$AF$406,MATCH(LEFT($B22,FIND("(",$B22)-1)&amp;RIGHT(M$1,1),男子エントリー!$AF$7:$AF$406,0),3),"0000000")),"")</f>
        <v/>
      </c>
      <c r="N22" s="1" t="str">
        <f>_xlfn.IFNA(TEXT(VLOOKUP(INDEX(男子エントリー!$J$7:$AF$406,MATCH(LEFT($B22,FIND("(",$B22)-1)&amp;RIGHT(N$1,1),男子エントリー!$AF$7:$AF$406,0),1),競技会設定!$P$2:$S$22,4,0),"000")&amp;"00 "&amp;IF(VLOOKUP(INDEX(男子エントリー!$J$7:$AF$406,MATCH(LEFT($B22,FIND("(",$B22)-1)&amp;RIGHT(N$1,1),男子エントリー!$AF$7:$AF$406,0),1),競技会設定!$P$2:$S$22,4,0)&gt;70,TEXT(INDEX(男子エントリー!$J$7:$AF$406,MATCH(LEFT($B22,FIND("(",$B22)-1)&amp;RIGHT(N$1,1),男子エントリー!$AF$7:$AF$406,0),3),"00000"),TEXT(INDEX(男子エントリー!$J$7:$AF$406,MATCH(LEFT($B22,FIND("(",$B22)-1)&amp;RIGHT(N$1,1),男子エントリー!$AF$7:$AF$406,0),3),"0000000")),"")</f>
        <v/>
      </c>
      <c r="O22" s="1" t="str">
        <f>_xlfn.IFNA(TEXT(VLOOKUP(INDEX(男子エントリー!$J$7:$AF$406,MATCH(LEFT($B22,FIND("(",$B22)-1)&amp;RIGHT(O$1,1),男子エントリー!$AF$7:$AF$406,0),1),競技会設定!$P$2:$S$22,4,0),"000")&amp;"00 "&amp;IF(VLOOKUP(INDEX(男子エントリー!$J$7:$AF$406,MATCH(LEFT($B22,FIND("(",$B22)-1)&amp;RIGHT(O$1,1),男子エントリー!$AF$7:$AF$406,0),1),競技会設定!$P$2:$S$22,4,0)&gt;70,TEXT(INDEX(男子エントリー!$J$7:$AF$406,MATCH(LEFT($B22,FIND("(",$B22)-1)&amp;RIGHT(O$1,1),男子エントリー!$AF$7:$AF$406,0),3),"00000"),TEXT(INDEX(男子エントリー!$J$7:$AF$406,MATCH(LEFT($B22,FIND("(",$B22)-1)&amp;RIGHT(O$1,1),男子エントリー!$AF$7:$AF$406,0),3),"0000000")),"")</f>
        <v/>
      </c>
    </row>
    <row r="23" spans="1:15">
      <c r="A23" s="92" t="str">
        <f>男子エントリー!D91</f>
        <v/>
      </c>
      <c r="B23" s="1" t="str">
        <f>男子エントリー!E91&amp;"("&amp;男子エントリー!G91&amp;")"</f>
        <v>()</v>
      </c>
      <c r="C23" s="92" t="str">
        <f>男子エントリー!F91</f>
        <v/>
      </c>
      <c r="D23" s="92" t="str">
        <f>男子エントリー!E93</f>
        <v/>
      </c>
      <c r="E23" s="92" t="str">
        <f>男子エントリー!G93</f>
        <v/>
      </c>
      <c r="F23" s="1" t="str">
        <f t="shared" si="0"/>
        <v/>
      </c>
      <c r="G23" s="92" t="str">
        <f>_xlfn.IFNA(VLOOKUP(男子エントリー!G92,競技会設定!$D$3:$E$49,2,0),"")</f>
        <v/>
      </c>
      <c r="H23" s="92" t="str">
        <f>_xlfn.IFNA(INDEX(競技会設定!$J$3:$O$47,MATCH(男子エントリー!H91,競技会設定!$N$3:$N$47,0),2),"")</f>
        <v/>
      </c>
      <c r="K23" s="92">
        <f>男子エントリー!C91</f>
        <v>0</v>
      </c>
      <c r="L23" s="1" t="str">
        <f>_xlfn.IFNA(TEXT(VLOOKUP(INDEX(男子エントリー!$J$7:$AF$406,MATCH(LEFT($B23,FIND("(",$B23)-1)&amp;RIGHT(L$1,1),男子エントリー!$AF$7:$AF$406,0),1),競技会設定!$P$2:$S$22,4,0),"000")&amp;"00 "&amp;IF(VLOOKUP(INDEX(男子エントリー!$J$7:$AF$406,MATCH(LEFT($B23,FIND("(",$B23)-1)&amp;RIGHT(L$1,1),男子エントリー!$AF$7:$AF$406,0),1),競技会設定!$P$2:$S$22,4,0)&gt;70,TEXT(INDEX(男子エントリー!$J$7:$AF$406,MATCH(LEFT($B23,FIND("(",$B23)-1)&amp;RIGHT(L$1,1),男子エントリー!$AF$7:$AF$406,0),3),"00000"),TEXT(INDEX(男子エントリー!$J$7:$AF$406,MATCH(LEFT($B23,FIND("(",$B23)-1)&amp;RIGHT(L$1,1),男子エントリー!$AF$7:$AF$406,0),3),"0000000")),"")</f>
        <v/>
      </c>
      <c r="M23" s="1" t="str">
        <f>_xlfn.IFNA(TEXT(VLOOKUP(INDEX(男子エントリー!$J$7:$AF$406,MATCH(LEFT($B23,FIND("(",$B23)-1)&amp;RIGHT(M$1,1),男子エントリー!$AF$7:$AF$406,0),1),競技会設定!$P$2:$S$22,4,0),"000")&amp;"00 "&amp;IF(VLOOKUP(INDEX(男子エントリー!$J$7:$AF$406,MATCH(LEFT($B23,FIND("(",$B23)-1)&amp;RIGHT(M$1,1),男子エントリー!$AF$7:$AF$406,0),1),競技会設定!$P$2:$S$22,4,0)&gt;70,TEXT(INDEX(男子エントリー!$J$7:$AF$406,MATCH(LEFT($B23,FIND("(",$B23)-1)&amp;RIGHT(M$1,1),男子エントリー!$AF$7:$AF$406,0),3),"00000"),TEXT(INDEX(男子エントリー!$J$7:$AF$406,MATCH(LEFT($B23,FIND("(",$B23)-1)&amp;RIGHT(M$1,1),男子エントリー!$AF$7:$AF$406,0),3),"0000000")),"")</f>
        <v/>
      </c>
      <c r="N23" s="1" t="str">
        <f>_xlfn.IFNA(TEXT(VLOOKUP(INDEX(男子エントリー!$J$7:$AF$406,MATCH(LEFT($B23,FIND("(",$B23)-1)&amp;RIGHT(N$1,1),男子エントリー!$AF$7:$AF$406,0),1),競技会設定!$P$2:$S$22,4,0),"000")&amp;"00 "&amp;IF(VLOOKUP(INDEX(男子エントリー!$J$7:$AF$406,MATCH(LEFT($B23,FIND("(",$B23)-1)&amp;RIGHT(N$1,1),男子エントリー!$AF$7:$AF$406,0),1),競技会設定!$P$2:$S$22,4,0)&gt;70,TEXT(INDEX(男子エントリー!$J$7:$AF$406,MATCH(LEFT($B23,FIND("(",$B23)-1)&amp;RIGHT(N$1,1),男子エントリー!$AF$7:$AF$406,0),3),"00000"),TEXT(INDEX(男子エントリー!$J$7:$AF$406,MATCH(LEFT($B23,FIND("(",$B23)-1)&amp;RIGHT(N$1,1),男子エントリー!$AF$7:$AF$406,0),3),"0000000")),"")</f>
        <v/>
      </c>
      <c r="O23" s="1" t="str">
        <f>_xlfn.IFNA(TEXT(VLOOKUP(INDEX(男子エントリー!$J$7:$AF$406,MATCH(LEFT($B23,FIND("(",$B23)-1)&amp;RIGHT(O$1,1),男子エントリー!$AF$7:$AF$406,0),1),競技会設定!$P$2:$S$22,4,0),"000")&amp;"00 "&amp;IF(VLOOKUP(INDEX(男子エントリー!$J$7:$AF$406,MATCH(LEFT($B23,FIND("(",$B23)-1)&amp;RIGHT(O$1,1),男子エントリー!$AF$7:$AF$406,0),1),競技会設定!$P$2:$S$22,4,0)&gt;70,TEXT(INDEX(男子エントリー!$J$7:$AF$406,MATCH(LEFT($B23,FIND("(",$B23)-1)&amp;RIGHT(O$1,1),男子エントリー!$AF$7:$AF$406,0),3),"00000"),TEXT(INDEX(男子エントリー!$J$7:$AF$406,MATCH(LEFT($B23,FIND("(",$B23)-1)&amp;RIGHT(O$1,1),男子エントリー!$AF$7:$AF$406,0),3),"0000000")),"")</f>
        <v/>
      </c>
    </row>
    <row r="24" spans="1:15">
      <c r="A24" s="92" t="str">
        <f>男子エントリー!D95</f>
        <v/>
      </c>
      <c r="B24" s="1" t="str">
        <f>男子エントリー!E95&amp;"("&amp;男子エントリー!G95&amp;")"</f>
        <v>()</v>
      </c>
      <c r="C24" s="92" t="str">
        <f>男子エントリー!F95</f>
        <v/>
      </c>
      <c r="D24" s="92" t="str">
        <f>男子エントリー!E97</f>
        <v/>
      </c>
      <c r="E24" s="92" t="str">
        <f>男子エントリー!G97</f>
        <v/>
      </c>
      <c r="F24" s="1" t="str">
        <f t="shared" si="0"/>
        <v/>
      </c>
      <c r="G24" s="92" t="str">
        <f>_xlfn.IFNA(VLOOKUP(男子エントリー!G96,競技会設定!$D$3:$E$49,2,0),"")</f>
        <v/>
      </c>
      <c r="H24" s="92" t="str">
        <f>_xlfn.IFNA(INDEX(競技会設定!$J$3:$O$47,MATCH(男子エントリー!H95,競技会設定!$N$3:$N$47,0),2),"")</f>
        <v/>
      </c>
      <c r="K24" s="92">
        <f>男子エントリー!C95</f>
        <v>0</v>
      </c>
      <c r="L24" s="1" t="str">
        <f>_xlfn.IFNA(TEXT(VLOOKUP(INDEX(男子エントリー!$J$7:$AF$406,MATCH(LEFT($B24,FIND("(",$B24)-1)&amp;RIGHT(L$1,1),男子エントリー!$AF$7:$AF$406,0),1),競技会設定!$P$2:$S$22,4,0),"000")&amp;"00 "&amp;IF(VLOOKUP(INDEX(男子エントリー!$J$7:$AF$406,MATCH(LEFT($B24,FIND("(",$B24)-1)&amp;RIGHT(L$1,1),男子エントリー!$AF$7:$AF$406,0),1),競技会設定!$P$2:$S$22,4,0)&gt;70,TEXT(INDEX(男子エントリー!$J$7:$AF$406,MATCH(LEFT($B24,FIND("(",$B24)-1)&amp;RIGHT(L$1,1),男子エントリー!$AF$7:$AF$406,0),3),"00000"),TEXT(INDEX(男子エントリー!$J$7:$AF$406,MATCH(LEFT($B24,FIND("(",$B24)-1)&amp;RIGHT(L$1,1),男子エントリー!$AF$7:$AF$406,0),3),"0000000")),"")</f>
        <v/>
      </c>
      <c r="M24" s="1" t="str">
        <f>_xlfn.IFNA(TEXT(VLOOKUP(INDEX(男子エントリー!$J$7:$AF$406,MATCH(LEFT($B24,FIND("(",$B24)-1)&amp;RIGHT(M$1,1),男子エントリー!$AF$7:$AF$406,0),1),競技会設定!$P$2:$S$22,4,0),"000")&amp;"00 "&amp;IF(VLOOKUP(INDEX(男子エントリー!$J$7:$AF$406,MATCH(LEFT($B24,FIND("(",$B24)-1)&amp;RIGHT(M$1,1),男子エントリー!$AF$7:$AF$406,0),1),競技会設定!$P$2:$S$22,4,0)&gt;70,TEXT(INDEX(男子エントリー!$J$7:$AF$406,MATCH(LEFT($B24,FIND("(",$B24)-1)&amp;RIGHT(M$1,1),男子エントリー!$AF$7:$AF$406,0),3),"00000"),TEXT(INDEX(男子エントリー!$J$7:$AF$406,MATCH(LEFT($B24,FIND("(",$B24)-1)&amp;RIGHT(M$1,1),男子エントリー!$AF$7:$AF$406,0),3),"0000000")),"")</f>
        <v/>
      </c>
      <c r="N24" s="1" t="str">
        <f>_xlfn.IFNA(TEXT(VLOOKUP(INDEX(男子エントリー!$J$7:$AF$406,MATCH(LEFT($B24,FIND("(",$B24)-1)&amp;RIGHT(N$1,1),男子エントリー!$AF$7:$AF$406,0),1),競技会設定!$P$2:$S$22,4,0),"000")&amp;"00 "&amp;IF(VLOOKUP(INDEX(男子エントリー!$J$7:$AF$406,MATCH(LEFT($B24,FIND("(",$B24)-1)&amp;RIGHT(N$1,1),男子エントリー!$AF$7:$AF$406,0),1),競技会設定!$P$2:$S$22,4,0)&gt;70,TEXT(INDEX(男子エントリー!$J$7:$AF$406,MATCH(LEFT($B24,FIND("(",$B24)-1)&amp;RIGHT(N$1,1),男子エントリー!$AF$7:$AF$406,0),3),"00000"),TEXT(INDEX(男子エントリー!$J$7:$AF$406,MATCH(LEFT($B24,FIND("(",$B24)-1)&amp;RIGHT(N$1,1),男子エントリー!$AF$7:$AF$406,0),3),"0000000")),"")</f>
        <v/>
      </c>
      <c r="O24" s="1" t="str">
        <f>_xlfn.IFNA(TEXT(VLOOKUP(INDEX(男子エントリー!$J$7:$AF$406,MATCH(LEFT($B24,FIND("(",$B24)-1)&amp;RIGHT(O$1,1),男子エントリー!$AF$7:$AF$406,0),1),競技会設定!$P$2:$S$22,4,0),"000")&amp;"00 "&amp;IF(VLOOKUP(INDEX(男子エントリー!$J$7:$AF$406,MATCH(LEFT($B24,FIND("(",$B24)-1)&amp;RIGHT(O$1,1),男子エントリー!$AF$7:$AF$406,0),1),競技会設定!$P$2:$S$22,4,0)&gt;70,TEXT(INDEX(男子エントリー!$J$7:$AF$406,MATCH(LEFT($B24,FIND("(",$B24)-1)&amp;RIGHT(O$1,1),男子エントリー!$AF$7:$AF$406,0),3),"00000"),TEXT(INDEX(男子エントリー!$J$7:$AF$406,MATCH(LEFT($B24,FIND("(",$B24)-1)&amp;RIGHT(O$1,1),男子エントリー!$AF$7:$AF$406,0),3),"0000000")),"")</f>
        <v/>
      </c>
    </row>
    <row r="25" spans="1:15">
      <c r="A25" s="92" t="str">
        <f>男子エントリー!D99</f>
        <v/>
      </c>
      <c r="B25" s="1" t="str">
        <f>男子エントリー!E99&amp;"("&amp;男子エントリー!G99&amp;")"</f>
        <v>()</v>
      </c>
      <c r="C25" s="92" t="str">
        <f>男子エントリー!F99</f>
        <v/>
      </c>
      <c r="D25" s="92" t="str">
        <f>男子エントリー!E101</f>
        <v/>
      </c>
      <c r="E25" s="92" t="str">
        <f>男子エントリー!G101</f>
        <v/>
      </c>
      <c r="F25" s="1" t="str">
        <f t="shared" si="0"/>
        <v/>
      </c>
      <c r="G25" s="92" t="str">
        <f>_xlfn.IFNA(VLOOKUP(男子エントリー!G100,競技会設定!$D$3:$E$49,2,0),"")</f>
        <v/>
      </c>
      <c r="H25" s="92" t="str">
        <f>_xlfn.IFNA(INDEX(競技会設定!$J$3:$O$47,MATCH(男子エントリー!H99,競技会設定!$N$3:$N$47,0),2),"")</f>
        <v/>
      </c>
      <c r="K25" s="92">
        <f>男子エントリー!C99</f>
        <v>0</v>
      </c>
      <c r="L25" s="1" t="str">
        <f>_xlfn.IFNA(TEXT(VLOOKUP(INDEX(男子エントリー!$J$7:$AF$406,MATCH(LEFT($B25,FIND("(",$B25)-1)&amp;RIGHT(L$1,1),男子エントリー!$AF$7:$AF$406,0),1),競技会設定!$P$2:$S$22,4,0),"000")&amp;"00 "&amp;IF(VLOOKUP(INDEX(男子エントリー!$J$7:$AF$406,MATCH(LEFT($B25,FIND("(",$B25)-1)&amp;RIGHT(L$1,1),男子エントリー!$AF$7:$AF$406,0),1),競技会設定!$P$2:$S$22,4,0)&gt;70,TEXT(INDEX(男子エントリー!$J$7:$AF$406,MATCH(LEFT($B25,FIND("(",$B25)-1)&amp;RIGHT(L$1,1),男子エントリー!$AF$7:$AF$406,0),3),"00000"),TEXT(INDEX(男子エントリー!$J$7:$AF$406,MATCH(LEFT($B25,FIND("(",$B25)-1)&amp;RIGHT(L$1,1),男子エントリー!$AF$7:$AF$406,0),3),"0000000")),"")</f>
        <v/>
      </c>
      <c r="M25" s="1" t="str">
        <f>_xlfn.IFNA(TEXT(VLOOKUP(INDEX(男子エントリー!$J$7:$AF$406,MATCH(LEFT($B25,FIND("(",$B25)-1)&amp;RIGHT(M$1,1),男子エントリー!$AF$7:$AF$406,0),1),競技会設定!$P$2:$S$22,4,0),"000")&amp;"00 "&amp;IF(VLOOKUP(INDEX(男子エントリー!$J$7:$AF$406,MATCH(LEFT($B25,FIND("(",$B25)-1)&amp;RIGHT(M$1,1),男子エントリー!$AF$7:$AF$406,0),1),競技会設定!$P$2:$S$22,4,0)&gt;70,TEXT(INDEX(男子エントリー!$J$7:$AF$406,MATCH(LEFT($B25,FIND("(",$B25)-1)&amp;RIGHT(M$1,1),男子エントリー!$AF$7:$AF$406,0),3),"00000"),TEXT(INDEX(男子エントリー!$J$7:$AF$406,MATCH(LEFT($B25,FIND("(",$B25)-1)&amp;RIGHT(M$1,1),男子エントリー!$AF$7:$AF$406,0),3),"0000000")),"")</f>
        <v/>
      </c>
      <c r="N25" s="1" t="str">
        <f>_xlfn.IFNA(TEXT(VLOOKUP(INDEX(男子エントリー!$J$7:$AF$406,MATCH(LEFT($B25,FIND("(",$B25)-1)&amp;RIGHT(N$1,1),男子エントリー!$AF$7:$AF$406,0),1),競技会設定!$P$2:$S$22,4,0),"000")&amp;"00 "&amp;IF(VLOOKUP(INDEX(男子エントリー!$J$7:$AF$406,MATCH(LEFT($B25,FIND("(",$B25)-1)&amp;RIGHT(N$1,1),男子エントリー!$AF$7:$AF$406,0),1),競技会設定!$P$2:$S$22,4,0)&gt;70,TEXT(INDEX(男子エントリー!$J$7:$AF$406,MATCH(LEFT($B25,FIND("(",$B25)-1)&amp;RIGHT(N$1,1),男子エントリー!$AF$7:$AF$406,0),3),"00000"),TEXT(INDEX(男子エントリー!$J$7:$AF$406,MATCH(LEFT($B25,FIND("(",$B25)-1)&amp;RIGHT(N$1,1),男子エントリー!$AF$7:$AF$406,0),3),"0000000")),"")</f>
        <v/>
      </c>
      <c r="O25" s="1" t="str">
        <f>_xlfn.IFNA(TEXT(VLOOKUP(INDEX(男子エントリー!$J$7:$AF$406,MATCH(LEFT($B25,FIND("(",$B25)-1)&amp;RIGHT(O$1,1),男子エントリー!$AF$7:$AF$406,0),1),競技会設定!$P$2:$S$22,4,0),"000")&amp;"00 "&amp;IF(VLOOKUP(INDEX(男子エントリー!$J$7:$AF$406,MATCH(LEFT($B25,FIND("(",$B25)-1)&amp;RIGHT(O$1,1),男子エントリー!$AF$7:$AF$406,0),1),競技会設定!$P$2:$S$22,4,0)&gt;70,TEXT(INDEX(男子エントリー!$J$7:$AF$406,MATCH(LEFT($B25,FIND("(",$B25)-1)&amp;RIGHT(O$1,1),男子エントリー!$AF$7:$AF$406,0),3),"00000"),TEXT(INDEX(男子エントリー!$J$7:$AF$406,MATCH(LEFT($B25,FIND("(",$B25)-1)&amp;RIGHT(O$1,1),男子エントリー!$AF$7:$AF$406,0),3),"0000000")),"")</f>
        <v/>
      </c>
    </row>
    <row r="26" spans="1:15">
      <c r="A26" s="92" t="str">
        <f>男子エントリー!D103</f>
        <v/>
      </c>
      <c r="B26" s="1" t="str">
        <f>男子エントリー!E103&amp;"("&amp;男子エントリー!G103&amp;")"</f>
        <v>()</v>
      </c>
      <c r="C26" s="92" t="str">
        <f>男子エントリー!F103</f>
        <v/>
      </c>
      <c r="D26" s="92" t="str">
        <f>男子エントリー!E105</f>
        <v/>
      </c>
      <c r="E26" s="92" t="str">
        <f>男子エントリー!G105</f>
        <v/>
      </c>
      <c r="F26" s="1" t="str">
        <f t="shared" si="0"/>
        <v/>
      </c>
      <c r="G26" s="92" t="str">
        <f>_xlfn.IFNA(VLOOKUP(男子エントリー!G104,競技会設定!$D$3:$E$49,2,0),"")</f>
        <v/>
      </c>
      <c r="H26" s="92" t="str">
        <f>_xlfn.IFNA(INDEX(競技会設定!$J$3:$O$47,MATCH(男子エントリー!H103,競技会設定!$N$3:$N$47,0),2),"")</f>
        <v/>
      </c>
      <c r="K26" s="92">
        <f>男子エントリー!C103</f>
        <v>0</v>
      </c>
      <c r="L26" s="1" t="str">
        <f>_xlfn.IFNA(TEXT(VLOOKUP(INDEX(男子エントリー!$J$7:$AF$406,MATCH(LEFT($B26,FIND("(",$B26)-1)&amp;RIGHT(L$1,1),男子エントリー!$AF$7:$AF$406,0),1),競技会設定!$P$2:$S$22,4,0),"000")&amp;"00 "&amp;IF(VLOOKUP(INDEX(男子エントリー!$J$7:$AF$406,MATCH(LEFT($B26,FIND("(",$B26)-1)&amp;RIGHT(L$1,1),男子エントリー!$AF$7:$AF$406,0),1),競技会設定!$P$2:$S$22,4,0)&gt;70,TEXT(INDEX(男子エントリー!$J$7:$AF$406,MATCH(LEFT($B26,FIND("(",$B26)-1)&amp;RIGHT(L$1,1),男子エントリー!$AF$7:$AF$406,0),3),"00000"),TEXT(INDEX(男子エントリー!$J$7:$AF$406,MATCH(LEFT($B26,FIND("(",$B26)-1)&amp;RIGHT(L$1,1),男子エントリー!$AF$7:$AF$406,0),3),"0000000")),"")</f>
        <v/>
      </c>
      <c r="M26" s="1" t="str">
        <f>_xlfn.IFNA(TEXT(VLOOKUP(INDEX(男子エントリー!$J$7:$AF$406,MATCH(LEFT($B26,FIND("(",$B26)-1)&amp;RIGHT(M$1,1),男子エントリー!$AF$7:$AF$406,0),1),競技会設定!$P$2:$S$22,4,0),"000")&amp;"00 "&amp;IF(VLOOKUP(INDEX(男子エントリー!$J$7:$AF$406,MATCH(LEFT($B26,FIND("(",$B26)-1)&amp;RIGHT(M$1,1),男子エントリー!$AF$7:$AF$406,0),1),競技会設定!$P$2:$S$22,4,0)&gt;70,TEXT(INDEX(男子エントリー!$J$7:$AF$406,MATCH(LEFT($B26,FIND("(",$B26)-1)&amp;RIGHT(M$1,1),男子エントリー!$AF$7:$AF$406,0),3),"00000"),TEXT(INDEX(男子エントリー!$J$7:$AF$406,MATCH(LEFT($B26,FIND("(",$B26)-1)&amp;RIGHT(M$1,1),男子エントリー!$AF$7:$AF$406,0),3),"0000000")),"")</f>
        <v/>
      </c>
      <c r="N26" s="1" t="str">
        <f>_xlfn.IFNA(TEXT(VLOOKUP(INDEX(男子エントリー!$J$7:$AF$406,MATCH(LEFT($B26,FIND("(",$B26)-1)&amp;RIGHT(N$1,1),男子エントリー!$AF$7:$AF$406,0),1),競技会設定!$P$2:$S$22,4,0),"000")&amp;"00 "&amp;IF(VLOOKUP(INDEX(男子エントリー!$J$7:$AF$406,MATCH(LEFT($B26,FIND("(",$B26)-1)&amp;RIGHT(N$1,1),男子エントリー!$AF$7:$AF$406,0),1),競技会設定!$P$2:$S$22,4,0)&gt;70,TEXT(INDEX(男子エントリー!$J$7:$AF$406,MATCH(LEFT($B26,FIND("(",$B26)-1)&amp;RIGHT(N$1,1),男子エントリー!$AF$7:$AF$406,0),3),"00000"),TEXT(INDEX(男子エントリー!$J$7:$AF$406,MATCH(LEFT($B26,FIND("(",$B26)-1)&amp;RIGHT(N$1,1),男子エントリー!$AF$7:$AF$406,0),3),"0000000")),"")</f>
        <v/>
      </c>
      <c r="O26" s="1" t="str">
        <f>_xlfn.IFNA(TEXT(VLOOKUP(INDEX(男子エントリー!$J$7:$AF$406,MATCH(LEFT($B26,FIND("(",$B26)-1)&amp;RIGHT(O$1,1),男子エントリー!$AF$7:$AF$406,0),1),競技会設定!$P$2:$S$22,4,0),"000")&amp;"00 "&amp;IF(VLOOKUP(INDEX(男子エントリー!$J$7:$AF$406,MATCH(LEFT($B26,FIND("(",$B26)-1)&amp;RIGHT(O$1,1),男子エントリー!$AF$7:$AF$406,0),1),競技会設定!$P$2:$S$22,4,0)&gt;70,TEXT(INDEX(男子エントリー!$J$7:$AF$406,MATCH(LEFT($B26,FIND("(",$B26)-1)&amp;RIGHT(O$1,1),男子エントリー!$AF$7:$AF$406,0),3),"00000"),TEXT(INDEX(男子エントリー!$J$7:$AF$406,MATCH(LEFT($B26,FIND("(",$B26)-1)&amp;RIGHT(O$1,1),男子エントリー!$AF$7:$AF$406,0),3),"0000000")),"")</f>
        <v/>
      </c>
    </row>
    <row r="27" spans="1:15">
      <c r="A27" s="92" t="str">
        <f>男子エントリー!D107</f>
        <v/>
      </c>
      <c r="B27" s="1" t="str">
        <f>男子エントリー!E107&amp;"("&amp;男子エントリー!G107&amp;")"</f>
        <v>()</v>
      </c>
      <c r="C27" s="92" t="str">
        <f>男子エントリー!F107</f>
        <v/>
      </c>
      <c r="D27" s="92" t="str">
        <f>男子エントリー!E109</f>
        <v/>
      </c>
      <c r="E27" s="92" t="str">
        <f>男子エントリー!G109</f>
        <v/>
      </c>
      <c r="F27" s="1" t="str">
        <f t="shared" si="0"/>
        <v/>
      </c>
      <c r="G27" s="92" t="str">
        <f>_xlfn.IFNA(VLOOKUP(男子エントリー!G108,競技会設定!$D$3:$E$49,2,0),"")</f>
        <v/>
      </c>
      <c r="H27" s="92" t="str">
        <f>_xlfn.IFNA(INDEX(競技会設定!$J$3:$O$47,MATCH(男子エントリー!H107,競技会設定!$N$3:$N$47,0),2),"")</f>
        <v/>
      </c>
      <c r="K27" s="92">
        <f>男子エントリー!C107</f>
        <v>0</v>
      </c>
      <c r="L27" s="1" t="str">
        <f>_xlfn.IFNA(TEXT(VLOOKUP(INDEX(男子エントリー!$J$7:$AF$406,MATCH(LEFT($B27,FIND("(",$B27)-1)&amp;RIGHT(L$1,1),男子エントリー!$AF$7:$AF$406,0),1),競技会設定!$P$2:$S$22,4,0),"000")&amp;"00 "&amp;IF(VLOOKUP(INDEX(男子エントリー!$J$7:$AF$406,MATCH(LEFT($B27,FIND("(",$B27)-1)&amp;RIGHT(L$1,1),男子エントリー!$AF$7:$AF$406,0),1),競技会設定!$P$2:$S$22,4,0)&gt;70,TEXT(INDEX(男子エントリー!$J$7:$AF$406,MATCH(LEFT($B27,FIND("(",$B27)-1)&amp;RIGHT(L$1,1),男子エントリー!$AF$7:$AF$406,0),3),"00000"),TEXT(INDEX(男子エントリー!$J$7:$AF$406,MATCH(LEFT($B27,FIND("(",$B27)-1)&amp;RIGHT(L$1,1),男子エントリー!$AF$7:$AF$406,0),3),"0000000")),"")</f>
        <v/>
      </c>
      <c r="M27" s="1" t="str">
        <f>_xlfn.IFNA(TEXT(VLOOKUP(INDEX(男子エントリー!$J$7:$AF$406,MATCH(LEFT($B27,FIND("(",$B27)-1)&amp;RIGHT(M$1,1),男子エントリー!$AF$7:$AF$406,0),1),競技会設定!$P$2:$S$22,4,0),"000")&amp;"00 "&amp;IF(VLOOKUP(INDEX(男子エントリー!$J$7:$AF$406,MATCH(LEFT($B27,FIND("(",$B27)-1)&amp;RIGHT(M$1,1),男子エントリー!$AF$7:$AF$406,0),1),競技会設定!$P$2:$S$22,4,0)&gt;70,TEXT(INDEX(男子エントリー!$J$7:$AF$406,MATCH(LEFT($B27,FIND("(",$B27)-1)&amp;RIGHT(M$1,1),男子エントリー!$AF$7:$AF$406,0),3),"00000"),TEXT(INDEX(男子エントリー!$J$7:$AF$406,MATCH(LEFT($B27,FIND("(",$B27)-1)&amp;RIGHT(M$1,1),男子エントリー!$AF$7:$AF$406,0),3),"0000000")),"")</f>
        <v/>
      </c>
      <c r="N27" s="1" t="str">
        <f>_xlfn.IFNA(TEXT(VLOOKUP(INDEX(男子エントリー!$J$7:$AF$406,MATCH(LEFT($B27,FIND("(",$B27)-1)&amp;RIGHT(N$1,1),男子エントリー!$AF$7:$AF$406,0),1),競技会設定!$P$2:$S$22,4,0),"000")&amp;"00 "&amp;IF(VLOOKUP(INDEX(男子エントリー!$J$7:$AF$406,MATCH(LEFT($B27,FIND("(",$B27)-1)&amp;RIGHT(N$1,1),男子エントリー!$AF$7:$AF$406,0),1),競技会設定!$P$2:$S$22,4,0)&gt;70,TEXT(INDEX(男子エントリー!$J$7:$AF$406,MATCH(LEFT($B27,FIND("(",$B27)-1)&amp;RIGHT(N$1,1),男子エントリー!$AF$7:$AF$406,0),3),"00000"),TEXT(INDEX(男子エントリー!$J$7:$AF$406,MATCH(LEFT($B27,FIND("(",$B27)-1)&amp;RIGHT(N$1,1),男子エントリー!$AF$7:$AF$406,0),3),"0000000")),"")</f>
        <v/>
      </c>
      <c r="O27" s="1" t="str">
        <f>_xlfn.IFNA(TEXT(VLOOKUP(INDEX(男子エントリー!$J$7:$AF$406,MATCH(LEFT($B27,FIND("(",$B27)-1)&amp;RIGHT(O$1,1),男子エントリー!$AF$7:$AF$406,0),1),競技会設定!$P$2:$S$22,4,0),"000")&amp;"00 "&amp;IF(VLOOKUP(INDEX(男子エントリー!$J$7:$AF$406,MATCH(LEFT($B27,FIND("(",$B27)-1)&amp;RIGHT(O$1,1),男子エントリー!$AF$7:$AF$406,0),1),競技会設定!$P$2:$S$22,4,0)&gt;70,TEXT(INDEX(男子エントリー!$J$7:$AF$406,MATCH(LEFT($B27,FIND("(",$B27)-1)&amp;RIGHT(O$1,1),男子エントリー!$AF$7:$AF$406,0),3),"00000"),TEXT(INDEX(男子エントリー!$J$7:$AF$406,MATCH(LEFT($B27,FIND("(",$B27)-1)&amp;RIGHT(O$1,1),男子エントリー!$AF$7:$AF$406,0),3),"0000000")),"")</f>
        <v/>
      </c>
    </row>
    <row r="28" spans="1:15">
      <c r="A28" s="92" t="str">
        <f>男子エントリー!D111</f>
        <v/>
      </c>
      <c r="B28" s="1" t="str">
        <f>男子エントリー!E111&amp;"("&amp;男子エントリー!G111&amp;")"</f>
        <v>()</v>
      </c>
      <c r="C28" s="92" t="str">
        <f>男子エントリー!F111</f>
        <v/>
      </c>
      <c r="D28" s="92" t="str">
        <f>男子エントリー!E113</f>
        <v/>
      </c>
      <c r="E28" s="92" t="str">
        <f>男子エントリー!G113</f>
        <v/>
      </c>
      <c r="F28" s="1" t="str">
        <f t="shared" si="0"/>
        <v/>
      </c>
      <c r="G28" s="92" t="str">
        <f>_xlfn.IFNA(VLOOKUP(男子エントリー!G112,競技会設定!$D$3:$E$49,2,0),"")</f>
        <v/>
      </c>
      <c r="H28" s="92" t="str">
        <f>_xlfn.IFNA(INDEX(競技会設定!$J$3:$O$47,MATCH(男子エントリー!H111,競技会設定!$N$3:$N$47,0),2),"")</f>
        <v/>
      </c>
      <c r="K28" s="92">
        <f>男子エントリー!C111</f>
        <v>0</v>
      </c>
      <c r="L28" s="1" t="str">
        <f>_xlfn.IFNA(TEXT(VLOOKUP(INDEX(男子エントリー!$J$7:$AF$406,MATCH(LEFT($B28,FIND("(",$B28)-1)&amp;RIGHT(L$1,1),男子エントリー!$AF$7:$AF$406,0),1),競技会設定!$P$2:$S$22,4,0),"000")&amp;"00 "&amp;IF(VLOOKUP(INDEX(男子エントリー!$J$7:$AF$406,MATCH(LEFT($B28,FIND("(",$B28)-1)&amp;RIGHT(L$1,1),男子エントリー!$AF$7:$AF$406,0),1),競技会設定!$P$2:$S$22,4,0)&gt;70,TEXT(INDEX(男子エントリー!$J$7:$AF$406,MATCH(LEFT($B28,FIND("(",$B28)-1)&amp;RIGHT(L$1,1),男子エントリー!$AF$7:$AF$406,0),3),"00000"),TEXT(INDEX(男子エントリー!$J$7:$AF$406,MATCH(LEFT($B28,FIND("(",$B28)-1)&amp;RIGHT(L$1,1),男子エントリー!$AF$7:$AF$406,0),3),"0000000")),"")</f>
        <v/>
      </c>
      <c r="M28" s="1" t="str">
        <f>_xlfn.IFNA(TEXT(VLOOKUP(INDEX(男子エントリー!$J$7:$AF$406,MATCH(LEFT($B28,FIND("(",$B28)-1)&amp;RIGHT(M$1,1),男子エントリー!$AF$7:$AF$406,0),1),競技会設定!$P$2:$S$22,4,0),"000")&amp;"00 "&amp;IF(VLOOKUP(INDEX(男子エントリー!$J$7:$AF$406,MATCH(LEFT($B28,FIND("(",$B28)-1)&amp;RIGHT(M$1,1),男子エントリー!$AF$7:$AF$406,0),1),競技会設定!$P$2:$S$22,4,0)&gt;70,TEXT(INDEX(男子エントリー!$J$7:$AF$406,MATCH(LEFT($B28,FIND("(",$B28)-1)&amp;RIGHT(M$1,1),男子エントリー!$AF$7:$AF$406,0),3),"00000"),TEXT(INDEX(男子エントリー!$J$7:$AF$406,MATCH(LEFT($B28,FIND("(",$B28)-1)&amp;RIGHT(M$1,1),男子エントリー!$AF$7:$AF$406,0),3),"0000000")),"")</f>
        <v/>
      </c>
      <c r="N28" s="1" t="str">
        <f>_xlfn.IFNA(TEXT(VLOOKUP(INDEX(男子エントリー!$J$7:$AF$406,MATCH(LEFT($B28,FIND("(",$B28)-1)&amp;RIGHT(N$1,1),男子エントリー!$AF$7:$AF$406,0),1),競技会設定!$P$2:$S$22,4,0),"000")&amp;"00 "&amp;IF(VLOOKUP(INDEX(男子エントリー!$J$7:$AF$406,MATCH(LEFT($B28,FIND("(",$B28)-1)&amp;RIGHT(N$1,1),男子エントリー!$AF$7:$AF$406,0),1),競技会設定!$P$2:$S$22,4,0)&gt;70,TEXT(INDEX(男子エントリー!$J$7:$AF$406,MATCH(LEFT($B28,FIND("(",$B28)-1)&amp;RIGHT(N$1,1),男子エントリー!$AF$7:$AF$406,0),3),"00000"),TEXT(INDEX(男子エントリー!$J$7:$AF$406,MATCH(LEFT($B28,FIND("(",$B28)-1)&amp;RIGHT(N$1,1),男子エントリー!$AF$7:$AF$406,0),3),"0000000")),"")</f>
        <v/>
      </c>
      <c r="O28" s="1" t="str">
        <f>_xlfn.IFNA(TEXT(VLOOKUP(INDEX(男子エントリー!$J$7:$AF$406,MATCH(LEFT($B28,FIND("(",$B28)-1)&amp;RIGHT(O$1,1),男子エントリー!$AF$7:$AF$406,0),1),競技会設定!$P$2:$S$22,4,0),"000")&amp;"00 "&amp;IF(VLOOKUP(INDEX(男子エントリー!$J$7:$AF$406,MATCH(LEFT($B28,FIND("(",$B28)-1)&amp;RIGHT(O$1,1),男子エントリー!$AF$7:$AF$406,0),1),競技会設定!$P$2:$S$22,4,0)&gt;70,TEXT(INDEX(男子エントリー!$J$7:$AF$406,MATCH(LEFT($B28,FIND("(",$B28)-1)&amp;RIGHT(O$1,1),男子エントリー!$AF$7:$AF$406,0),3),"00000"),TEXT(INDEX(男子エントリー!$J$7:$AF$406,MATCH(LEFT($B28,FIND("(",$B28)-1)&amp;RIGHT(O$1,1),男子エントリー!$AF$7:$AF$406,0),3),"0000000")),"")</f>
        <v/>
      </c>
    </row>
    <row r="29" spans="1:15">
      <c r="A29" s="92" t="str">
        <f>男子エントリー!D115</f>
        <v/>
      </c>
      <c r="B29" s="1" t="str">
        <f>男子エントリー!E115&amp;"("&amp;男子エントリー!G115&amp;")"</f>
        <v>()</v>
      </c>
      <c r="C29" s="92" t="str">
        <f>男子エントリー!F115</f>
        <v/>
      </c>
      <c r="D29" s="92" t="str">
        <f>男子エントリー!E117</f>
        <v/>
      </c>
      <c r="E29" s="92" t="str">
        <f>男子エントリー!G117</f>
        <v/>
      </c>
      <c r="F29" s="1" t="str">
        <f t="shared" si="0"/>
        <v/>
      </c>
      <c r="G29" s="92" t="str">
        <f>_xlfn.IFNA(VLOOKUP(男子エントリー!G116,競技会設定!$D$3:$E$49,2,0),"")</f>
        <v/>
      </c>
      <c r="H29" s="92" t="str">
        <f>_xlfn.IFNA(INDEX(競技会設定!$J$3:$O$47,MATCH(男子エントリー!H115,競技会設定!$N$3:$N$47,0),2),"")</f>
        <v/>
      </c>
      <c r="K29" s="92">
        <f>男子エントリー!C115</f>
        <v>0</v>
      </c>
      <c r="L29" s="1" t="str">
        <f>_xlfn.IFNA(TEXT(VLOOKUP(INDEX(男子エントリー!$J$7:$AF$406,MATCH(LEFT($B29,FIND("(",$B29)-1)&amp;RIGHT(L$1,1),男子エントリー!$AF$7:$AF$406,0),1),競技会設定!$P$2:$S$22,4,0),"000")&amp;"00 "&amp;IF(VLOOKUP(INDEX(男子エントリー!$J$7:$AF$406,MATCH(LEFT($B29,FIND("(",$B29)-1)&amp;RIGHT(L$1,1),男子エントリー!$AF$7:$AF$406,0),1),競技会設定!$P$2:$S$22,4,0)&gt;70,TEXT(INDEX(男子エントリー!$J$7:$AF$406,MATCH(LEFT($B29,FIND("(",$B29)-1)&amp;RIGHT(L$1,1),男子エントリー!$AF$7:$AF$406,0),3),"00000"),TEXT(INDEX(男子エントリー!$J$7:$AF$406,MATCH(LEFT($B29,FIND("(",$B29)-1)&amp;RIGHT(L$1,1),男子エントリー!$AF$7:$AF$406,0),3),"0000000")),"")</f>
        <v/>
      </c>
      <c r="M29" s="1" t="str">
        <f>_xlfn.IFNA(TEXT(VLOOKUP(INDEX(男子エントリー!$J$7:$AF$406,MATCH(LEFT($B29,FIND("(",$B29)-1)&amp;RIGHT(M$1,1),男子エントリー!$AF$7:$AF$406,0),1),競技会設定!$P$2:$S$22,4,0),"000")&amp;"00 "&amp;IF(VLOOKUP(INDEX(男子エントリー!$J$7:$AF$406,MATCH(LEFT($B29,FIND("(",$B29)-1)&amp;RIGHT(M$1,1),男子エントリー!$AF$7:$AF$406,0),1),競技会設定!$P$2:$S$22,4,0)&gt;70,TEXT(INDEX(男子エントリー!$J$7:$AF$406,MATCH(LEFT($B29,FIND("(",$B29)-1)&amp;RIGHT(M$1,1),男子エントリー!$AF$7:$AF$406,0),3),"00000"),TEXT(INDEX(男子エントリー!$J$7:$AF$406,MATCH(LEFT($B29,FIND("(",$B29)-1)&amp;RIGHT(M$1,1),男子エントリー!$AF$7:$AF$406,0),3),"0000000")),"")</f>
        <v/>
      </c>
      <c r="N29" s="1" t="str">
        <f>_xlfn.IFNA(TEXT(VLOOKUP(INDEX(男子エントリー!$J$7:$AF$406,MATCH(LEFT($B29,FIND("(",$B29)-1)&amp;RIGHT(N$1,1),男子エントリー!$AF$7:$AF$406,0),1),競技会設定!$P$2:$S$22,4,0),"000")&amp;"00 "&amp;IF(VLOOKUP(INDEX(男子エントリー!$J$7:$AF$406,MATCH(LEFT($B29,FIND("(",$B29)-1)&amp;RIGHT(N$1,1),男子エントリー!$AF$7:$AF$406,0),1),競技会設定!$P$2:$S$22,4,0)&gt;70,TEXT(INDEX(男子エントリー!$J$7:$AF$406,MATCH(LEFT($B29,FIND("(",$B29)-1)&amp;RIGHT(N$1,1),男子エントリー!$AF$7:$AF$406,0),3),"00000"),TEXT(INDEX(男子エントリー!$J$7:$AF$406,MATCH(LEFT($B29,FIND("(",$B29)-1)&amp;RIGHT(N$1,1),男子エントリー!$AF$7:$AF$406,0),3),"0000000")),"")</f>
        <v/>
      </c>
      <c r="O29" s="1" t="str">
        <f>_xlfn.IFNA(TEXT(VLOOKUP(INDEX(男子エントリー!$J$7:$AF$406,MATCH(LEFT($B29,FIND("(",$B29)-1)&amp;RIGHT(O$1,1),男子エントリー!$AF$7:$AF$406,0),1),競技会設定!$P$2:$S$22,4,0),"000")&amp;"00 "&amp;IF(VLOOKUP(INDEX(男子エントリー!$J$7:$AF$406,MATCH(LEFT($B29,FIND("(",$B29)-1)&amp;RIGHT(O$1,1),男子エントリー!$AF$7:$AF$406,0),1),競技会設定!$P$2:$S$22,4,0)&gt;70,TEXT(INDEX(男子エントリー!$J$7:$AF$406,MATCH(LEFT($B29,FIND("(",$B29)-1)&amp;RIGHT(O$1,1),男子エントリー!$AF$7:$AF$406,0),3),"00000"),TEXT(INDEX(男子エントリー!$J$7:$AF$406,MATCH(LEFT($B29,FIND("(",$B29)-1)&amp;RIGHT(O$1,1),男子エントリー!$AF$7:$AF$406,0),3),"0000000")),"")</f>
        <v/>
      </c>
    </row>
    <row r="30" spans="1:15">
      <c r="A30" s="92" t="str">
        <f>男子エントリー!D119</f>
        <v/>
      </c>
      <c r="B30" s="1" t="str">
        <f>男子エントリー!E119&amp;"("&amp;男子エントリー!G119&amp;")"</f>
        <v>()</v>
      </c>
      <c r="C30" s="92" t="str">
        <f>男子エントリー!F119</f>
        <v/>
      </c>
      <c r="D30" s="92" t="str">
        <f>男子エントリー!E121</f>
        <v/>
      </c>
      <c r="E30" s="92" t="str">
        <f>男子エントリー!G121</f>
        <v/>
      </c>
      <c r="F30" s="1" t="str">
        <f t="shared" si="0"/>
        <v/>
      </c>
      <c r="G30" s="92" t="str">
        <f>_xlfn.IFNA(VLOOKUP(男子エントリー!G120,競技会設定!$D$3:$E$49,2,0),"")</f>
        <v/>
      </c>
      <c r="H30" s="92" t="str">
        <f>_xlfn.IFNA(INDEX(競技会設定!$J$3:$O$47,MATCH(男子エントリー!H119,競技会設定!$N$3:$N$47,0),2),"")</f>
        <v/>
      </c>
      <c r="K30" s="92">
        <f>男子エントリー!C119</f>
        <v>0</v>
      </c>
      <c r="L30" s="1" t="str">
        <f>_xlfn.IFNA(TEXT(VLOOKUP(INDEX(男子エントリー!$J$7:$AF$406,MATCH(LEFT($B30,FIND("(",$B30)-1)&amp;RIGHT(L$1,1),男子エントリー!$AF$7:$AF$406,0),1),競技会設定!$P$2:$S$22,4,0),"000")&amp;"00 "&amp;IF(VLOOKUP(INDEX(男子エントリー!$J$7:$AF$406,MATCH(LEFT($B30,FIND("(",$B30)-1)&amp;RIGHT(L$1,1),男子エントリー!$AF$7:$AF$406,0),1),競技会設定!$P$2:$S$22,4,0)&gt;70,TEXT(INDEX(男子エントリー!$J$7:$AF$406,MATCH(LEFT($B30,FIND("(",$B30)-1)&amp;RIGHT(L$1,1),男子エントリー!$AF$7:$AF$406,0),3),"00000"),TEXT(INDEX(男子エントリー!$J$7:$AF$406,MATCH(LEFT($B30,FIND("(",$B30)-1)&amp;RIGHT(L$1,1),男子エントリー!$AF$7:$AF$406,0),3),"0000000")),"")</f>
        <v/>
      </c>
      <c r="M30" s="1" t="str">
        <f>_xlfn.IFNA(TEXT(VLOOKUP(INDEX(男子エントリー!$J$7:$AF$406,MATCH(LEFT($B30,FIND("(",$B30)-1)&amp;RIGHT(M$1,1),男子エントリー!$AF$7:$AF$406,0),1),競技会設定!$P$2:$S$22,4,0),"000")&amp;"00 "&amp;IF(VLOOKUP(INDEX(男子エントリー!$J$7:$AF$406,MATCH(LEFT($B30,FIND("(",$B30)-1)&amp;RIGHT(M$1,1),男子エントリー!$AF$7:$AF$406,0),1),競技会設定!$P$2:$S$22,4,0)&gt;70,TEXT(INDEX(男子エントリー!$J$7:$AF$406,MATCH(LEFT($B30,FIND("(",$B30)-1)&amp;RIGHT(M$1,1),男子エントリー!$AF$7:$AF$406,0),3),"00000"),TEXT(INDEX(男子エントリー!$J$7:$AF$406,MATCH(LEFT($B30,FIND("(",$B30)-1)&amp;RIGHT(M$1,1),男子エントリー!$AF$7:$AF$406,0),3),"0000000")),"")</f>
        <v/>
      </c>
      <c r="N30" s="1" t="str">
        <f>_xlfn.IFNA(TEXT(VLOOKUP(INDEX(男子エントリー!$J$7:$AF$406,MATCH(LEFT($B30,FIND("(",$B30)-1)&amp;RIGHT(N$1,1),男子エントリー!$AF$7:$AF$406,0),1),競技会設定!$P$2:$S$22,4,0),"000")&amp;"00 "&amp;IF(VLOOKUP(INDEX(男子エントリー!$J$7:$AF$406,MATCH(LEFT($B30,FIND("(",$B30)-1)&amp;RIGHT(N$1,1),男子エントリー!$AF$7:$AF$406,0),1),競技会設定!$P$2:$S$22,4,0)&gt;70,TEXT(INDEX(男子エントリー!$J$7:$AF$406,MATCH(LEFT($B30,FIND("(",$B30)-1)&amp;RIGHT(N$1,1),男子エントリー!$AF$7:$AF$406,0),3),"00000"),TEXT(INDEX(男子エントリー!$J$7:$AF$406,MATCH(LEFT($B30,FIND("(",$B30)-1)&amp;RIGHT(N$1,1),男子エントリー!$AF$7:$AF$406,0),3),"0000000")),"")</f>
        <v/>
      </c>
      <c r="O30" s="1" t="str">
        <f>_xlfn.IFNA(TEXT(VLOOKUP(INDEX(男子エントリー!$J$7:$AF$406,MATCH(LEFT($B30,FIND("(",$B30)-1)&amp;RIGHT(O$1,1),男子エントリー!$AF$7:$AF$406,0),1),競技会設定!$P$2:$S$22,4,0),"000")&amp;"00 "&amp;IF(VLOOKUP(INDEX(男子エントリー!$J$7:$AF$406,MATCH(LEFT($B30,FIND("(",$B30)-1)&amp;RIGHT(O$1,1),男子エントリー!$AF$7:$AF$406,0),1),競技会設定!$P$2:$S$22,4,0)&gt;70,TEXT(INDEX(男子エントリー!$J$7:$AF$406,MATCH(LEFT($B30,FIND("(",$B30)-1)&amp;RIGHT(O$1,1),男子エントリー!$AF$7:$AF$406,0),3),"00000"),TEXT(INDEX(男子エントリー!$J$7:$AF$406,MATCH(LEFT($B30,FIND("(",$B30)-1)&amp;RIGHT(O$1,1),男子エントリー!$AF$7:$AF$406,0),3),"0000000")),"")</f>
        <v/>
      </c>
    </row>
    <row r="31" spans="1:15">
      <c r="A31" s="92" t="str">
        <f>男子エントリー!D123</f>
        <v/>
      </c>
      <c r="B31" s="1" t="str">
        <f>男子エントリー!E123&amp;"("&amp;男子エントリー!G123&amp;")"</f>
        <v>()</v>
      </c>
      <c r="C31" s="92" t="str">
        <f>男子エントリー!F123</f>
        <v/>
      </c>
      <c r="D31" s="92" t="str">
        <f>男子エントリー!E125</f>
        <v/>
      </c>
      <c r="E31" s="92" t="str">
        <f>男子エントリー!G125</f>
        <v/>
      </c>
      <c r="F31" s="1" t="str">
        <f t="shared" si="0"/>
        <v/>
      </c>
      <c r="G31" s="92" t="str">
        <f>_xlfn.IFNA(VLOOKUP(男子エントリー!G124,競技会設定!$D$3:$E$49,2,0),"")</f>
        <v/>
      </c>
      <c r="H31" s="92" t="str">
        <f>_xlfn.IFNA(INDEX(競技会設定!$J$3:$O$47,MATCH(男子エントリー!H123,競技会設定!$N$3:$N$47,0),2),"")</f>
        <v/>
      </c>
      <c r="K31" s="92">
        <f>男子エントリー!C123</f>
        <v>0</v>
      </c>
      <c r="L31" s="1" t="str">
        <f>_xlfn.IFNA(TEXT(VLOOKUP(INDEX(男子エントリー!$J$7:$AF$406,MATCH(LEFT($B31,FIND("(",$B31)-1)&amp;RIGHT(L$1,1),男子エントリー!$AF$7:$AF$406,0),1),競技会設定!$P$2:$S$22,4,0),"000")&amp;"00 "&amp;IF(VLOOKUP(INDEX(男子エントリー!$J$7:$AF$406,MATCH(LEFT($B31,FIND("(",$B31)-1)&amp;RIGHT(L$1,1),男子エントリー!$AF$7:$AF$406,0),1),競技会設定!$P$2:$S$22,4,0)&gt;70,TEXT(INDEX(男子エントリー!$J$7:$AF$406,MATCH(LEFT($B31,FIND("(",$B31)-1)&amp;RIGHT(L$1,1),男子エントリー!$AF$7:$AF$406,0),3),"00000"),TEXT(INDEX(男子エントリー!$J$7:$AF$406,MATCH(LEFT($B31,FIND("(",$B31)-1)&amp;RIGHT(L$1,1),男子エントリー!$AF$7:$AF$406,0),3),"0000000")),"")</f>
        <v/>
      </c>
      <c r="M31" s="1" t="str">
        <f>_xlfn.IFNA(TEXT(VLOOKUP(INDEX(男子エントリー!$J$7:$AF$406,MATCH(LEFT($B31,FIND("(",$B31)-1)&amp;RIGHT(M$1,1),男子エントリー!$AF$7:$AF$406,0),1),競技会設定!$P$2:$S$22,4,0),"000")&amp;"00 "&amp;IF(VLOOKUP(INDEX(男子エントリー!$J$7:$AF$406,MATCH(LEFT($B31,FIND("(",$B31)-1)&amp;RIGHT(M$1,1),男子エントリー!$AF$7:$AF$406,0),1),競技会設定!$P$2:$S$22,4,0)&gt;70,TEXT(INDEX(男子エントリー!$J$7:$AF$406,MATCH(LEFT($B31,FIND("(",$B31)-1)&amp;RIGHT(M$1,1),男子エントリー!$AF$7:$AF$406,0),3),"00000"),TEXT(INDEX(男子エントリー!$J$7:$AF$406,MATCH(LEFT($B31,FIND("(",$B31)-1)&amp;RIGHT(M$1,1),男子エントリー!$AF$7:$AF$406,0),3),"0000000")),"")</f>
        <v/>
      </c>
      <c r="N31" s="1" t="str">
        <f>_xlfn.IFNA(TEXT(VLOOKUP(INDEX(男子エントリー!$J$7:$AF$406,MATCH(LEFT($B31,FIND("(",$B31)-1)&amp;RIGHT(N$1,1),男子エントリー!$AF$7:$AF$406,0),1),競技会設定!$P$2:$S$22,4,0),"000")&amp;"00 "&amp;IF(VLOOKUP(INDEX(男子エントリー!$J$7:$AF$406,MATCH(LEFT($B31,FIND("(",$B31)-1)&amp;RIGHT(N$1,1),男子エントリー!$AF$7:$AF$406,0),1),競技会設定!$P$2:$S$22,4,0)&gt;70,TEXT(INDEX(男子エントリー!$J$7:$AF$406,MATCH(LEFT($B31,FIND("(",$B31)-1)&amp;RIGHT(N$1,1),男子エントリー!$AF$7:$AF$406,0),3),"00000"),TEXT(INDEX(男子エントリー!$J$7:$AF$406,MATCH(LEFT($B31,FIND("(",$B31)-1)&amp;RIGHT(N$1,1),男子エントリー!$AF$7:$AF$406,0),3),"0000000")),"")</f>
        <v/>
      </c>
      <c r="O31" s="1" t="str">
        <f>_xlfn.IFNA(TEXT(VLOOKUP(INDEX(男子エントリー!$J$7:$AF$406,MATCH(LEFT($B31,FIND("(",$B31)-1)&amp;RIGHT(O$1,1),男子エントリー!$AF$7:$AF$406,0),1),競技会設定!$P$2:$S$22,4,0),"000")&amp;"00 "&amp;IF(VLOOKUP(INDEX(男子エントリー!$J$7:$AF$406,MATCH(LEFT($B31,FIND("(",$B31)-1)&amp;RIGHT(O$1,1),男子エントリー!$AF$7:$AF$406,0),1),競技会設定!$P$2:$S$22,4,0)&gt;70,TEXT(INDEX(男子エントリー!$J$7:$AF$406,MATCH(LEFT($B31,FIND("(",$B31)-1)&amp;RIGHT(O$1,1),男子エントリー!$AF$7:$AF$406,0),3),"00000"),TEXT(INDEX(男子エントリー!$J$7:$AF$406,MATCH(LEFT($B31,FIND("(",$B31)-1)&amp;RIGHT(O$1,1),男子エントリー!$AF$7:$AF$406,0),3),"0000000")),"")</f>
        <v/>
      </c>
    </row>
    <row r="32" spans="1:15">
      <c r="A32" s="92" t="str">
        <f>男子エントリー!D127</f>
        <v/>
      </c>
      <c r="B32" s="1" t="str">
        <f>男子エントリー!E127&amp;"("&amp;男子エントリー!G127&amp;")"</f>
        <v>()</v>
      </c>
      <c r="C32" s="92" t="str">
        <f>男子エントリー!F127</f>
        <v/>
      </c>
      <c r="D32" s="92" t="str">
        <f>男子エントリー!E129</f>
        <v/>
      </c>
      <c r="E32" s="92" t="str">
        <f>男子エントリー!G129</f>
        <v/>
      </c>
      <c r="F32" s="1" t="str">
        <f t="shared" si="0"/>
        <v/>
      </c>
      <c r="G32" s="92" t="str">
        <f>_xlfn.IFNA(VLOOKUP(男子エントリー!G128,競技会設定!$D$3:$E$49,2,0),"")</f>
        <v/>
      </c>
      <c r="H32" s="92" t="str">
        <f>_xlfn.IFNA(INDEX(競技会設定!$J$3:$O$47,MATCH(男子エントリー!H127,競技会設定!$N$3:$N$47,0),2),"")</f>
        <v/>
      </c>
      <c r="K32" s="92">
        <f>男子エントリー!C127</f>
        <v>0</v>
      </c>
      <c r="L32" s="1" t="str">
        <f>_xlfn.IFNA(TEXT(VLOOKUP(INDEX(男子エントリー!$J$7:$AF$406,MATCH(LEFT($B32,FIND("(",$B32)-1)&amp;RIGHT(L$1,1),男子エントリー!$AF$7:$AF$406,0),1),競技会設定!$P$2:$S$22,4,0),"000")&amp;"00 "&amp;IF(VLOOKUP(INDEX(男子エントリー!$J$7:$AF$406,MATCH(LEFT($B32,FIND("(",$B32)-1)&amp;RIGHT(L$1,1),男子エントリー!$AF$7:$AF$406,0),1),競技会設定!$P$2:$S$22,4,0)&gt;70,TEXT(INDEX(男子エントリー!$J$7:$AF$406,MATCH(LEFT($B32,FIND("(",$B32)-1)&amp;RIGHT(L$1,1),男子エントリー!$AF$7:$AF$406,0),3),"00000"),TEXT(INDEX(男子エントリー!$J$7:$AF$406,MATCH(LEFT($B32,FIND("(",$B32)-1)&amp;RIGHT(L$1,1),男子エントリー!$AF$7:$AF$406,0),3),"0000000")),"")</f>
        <v/>
      </c>
      <c r="M32" s="1" t="str">
        <f>_xlfn.IFNA(TEXT(VLOOKUP(INDEX(男子エントリー!$J$7:$AF$406,MATCH(LEFT($B32,FIND("(",$B32)-1)&amp;RIGHT(M$1,1),男子エントリー!$AF$7:$AF$406,0),1),競技会設定!$P$2:$S$22,4,0),"000")&amp;"00 "&amp;IF(VLOOKUP(INDEX(男子エントリー!$J$7:$AF$406,MATCH(LEFT($B32,FIND("(",$B32)-1)&amp;RIGHT(M$1,1),男子エントリー!$AF$7:$AF$406,0),1),競技会設定!$P$2:$S$22,4,0)&gt;70,TEXT(INDEX(男子エントリー!$J$7:$AF$406,MATCH(LEFT($B32,FIND("(",$B32)-1)&amp;RIGHT(M$1,1),男子エントリー!$AF$7:$AF$406,0),3),"00000"),TEXT(INDEX(男子エントリー!$J$7:$AF$406,MATCH(LEFT($B32,FIND("(",$B32)-1)&amp;RIGHT(M$1,1),男子エントリー!$AF$7:$AF$406,0),3),"0000000")),"")</f>
        <v/>
      </c>
      <c r="N32" s="1" t="str">
        <f>_xlfn.IFNA(TEXT(VLOOKUP(INDEX(男子エントリー!$J$7:$AF$406,MATCH(LEFT($B32,FIND("(",$B32)-1)&amp;RIGHT(N$1,1),男子エントリー!$AF$7:$AF$406,0),1),競技会設定!$P$2:$S$22,4,0),"000")&amp;"00 "&amp;IF(VLOOKUP(INDEX(男子エントリー!$J$7:$AF$406,MATCH(LEFT($B32,FIND("(",$B32)-1)&amp;RIGHT(N$1,1),男子エントリー!$AF$7:$AF$406,0),1),競技会設定!$P$2:$S$22,4,0)&gt;70,TEXT(INDEX(男子エントリー!$J$7:$AF$406,MATCH(LEFT($B32,FIND("(",$B32)-1)&amp;RIGHT(N$1,1),男子エントリー!$AF$7:$AF$406,0),3),"00000"),TEXT(INDEX(男子エントリー!$J$7:$AF$406,MATCH(LEFT($B32,FIND("(",$B32)-1)&amp;RIGHT(N$1,1),男子エントリー!$AF$7:$AF$406,0),3),"0000000")),"")</f>
        <v/>
      </c>
      <c r="O32" s="1" t="str">
        <f>_xlfn.IFNA(TEXT(VLOOKUP(INDEX(男子エントリー!$J$7:$AF$406,MATCH(LEFT($B32,FIND("(",$B32)-1)&amp;RIGHT(O$1,1),男子エントリー!$AF$7:$AF$406,0),1),競技会設定!$P$2:$S$22,4,0),"000")&amp;"00 "&amp;IF(VLOOKUP(INDEX(男子エントリー!$J$7:$AF$406,MATCH(LEFT($B32,FIND("(",$B32)-1)&amp;RIGHT(O$1,1),男子エントリー!$AF$7:$AF$406,0),1),競技会設定!$P$2:$S$22,4,0)&gt;70,TEXT(INDEX(男子エントリー!$J$7:$AF$406,MATCH(LEFT($B32,FIND("(",$B32)-1)&amp;RIGHT(O$1,1),男子エントリー!$AF$7:$AF$406,0),3),"00000"),TEXT(INDEX(男子エントリー!$J$7:$AF$406,MATCH(LEFT($B32,FIND("(",$B32)-1)&amp;RIGHT(O$1,1),男子エントリー!$AF$7:$AF$406,0),3),"0000000")),"")</f>
        <v/>
      </c>
    </row>
    <row r="33" spans="1:15">
      <c r="A33" s="92" t="str">
        <f>男子エントリー!D131</f>
        <v/>
      </c>
      <c r="B33" s="1" t="str">
        <f>男子エントリー!E131&amp;"("&amp;男子エントリー!G131&amp;")"</f>
        <v>()</v>
      </c>
      <c r="C33" s="92" t="str">
        <f>男子エントリー!F131</f>
        <v/>
      </c>
      <c r="D33" s="92" t="str">
        <f>男子エントリー!E133</f>
        <v/>
      </c>
      <c r="E33" s="92" t="str">
        <f>男子エントリー!G133</f>
        <v/>
      </c>
      <c r="F33" s="1" t="str">
        <f t="shared" si="0"/>
        <v/>
      </c>
      <c r="G33" s="92" t="str">
        <f>_xlfn.IFNA(VLOOKUP(男子エントリー!G132,競技会設定!$D$3:$E$49,2,0),"")</f>
        <v/>
      </c>
      <c r="H33" s="92" t="str">
        <f>_xlfn.IFNA(INDEX(競技会設定!$J$3:$O$47,MATCH(男子エントリー!H131,競技会設定!$N$3:$N$47,0),2),"")</f>
        <v/>
      </c>
      <c r="K33" s="92">
        <f>男子エントリー!C131</f>
        <v>0</v>
      </c>
      <c r="L33" s="1" t="str">
        <f>_xlfn.IFNA(TEXT(VLOOKUP(INDEX(男子エントリー!$J$7:$AF$406,MATCH(LEFT($B33,FIND("(",$B33)-1)&amp;RIGHT(L$1,1),男子エントリー!$AF$7:$AF$406,0),1),競技会設定!$P$2:$S$22,4,0),"000")&amp;"00 "&amp;IF(VLOOKUP(INDEX(男子エントリー!$J$7:$AF$406,MATCH(LEFT($B33,FIND("(",$B33)-1)&amp;RIGHT(L$1,1),男子エントリー!$AF$7:$AF$406,0),1),競技会設定!$P$2:$S$22,4,0)&gt;70,TEXT(INDEX(男子エントリー!$J$7:$AF$406,MATCH(LEFT($B33,FIND("(",$B33)-1)&amp;RIGHT(L$1,1),男子エントリー!$AF$7:$AF$406,0),3),"00000"),TEXT(INDEX(男子エントリー!$J$7:$AF$406,MATCH(LEFT($B33,FIND("(",$B33)-1)&amp;RIGHT(L$1,1),男子エントリー!$AF$7:$AF$406,0),3),"0000000")),"")</f>
        <v/>
      </c>
      <c r="M33" s="1" t="str">
        <f>_xlfn.IFNA(TEXT(VLOOKUP(INDEX(男子エントリー!$J$7:$AF$406,MATCH(LEFT($B33,FIND("(",$B33)-1)&amp;RIGHT(M$1,1),男子エントリー!$AF$7:$AF$406,0),1),競技会設定!$P$2:$S$22,4,0),"000")&amp;"00 "&amp;IF(VLOOKUP(INDEX(男子エントリー!$J$7:$AF$406,MATCH(LEFT($B33,FIND("(",$B33)-1)&amp;RIGHT(M$1,1),男子エントリー!$AF$7:$AF$406,0),1),競技会設定!$P$2:$S$22,4,0)&gt;70,TEXT(INDEX(男子エントリー!$J$7:$AF$406,MATCH(LEFT($B33,FIND("(",$B33)-1)&amp;RIGHT(M$1,1),男子エントリー!$AF$7:$AF$406,0),3),"00000"),TEXT(INDEX(男子エントリー!$J$7:$AF$406,MATCH(LEFT($B33,FIND("(",$B33)-1)&amp;RIGHT(M$1,1),男子エントリー!$AF$7:$AF$406,0),3),"0000000")),"")</f>
        <v/>
      </c>
      <c r="N33" s="1" t="str">
        <f>_xlfn.IFNA(TEXT(VLOOKUP(INDEX(男子エントリー!$J$7:$AF$406,MATCH(LEFT($B33,FIND("(",$B33)-1)&amp;RIGHT(N$1,1),男子エントリー!$AF$7:$AF$406,0),1),競技会設定!$P$2:$S$22,4,0),"000")&amp;"00 "&amp;IF(VLOOKUP(INDEX(男子エントリー!$J$7:$AF$406,MATCH(LEFT($B33,FIND("(",$B33)-1)&amp;RIGHT(N$1,1),男子エントリー!$AF$7:$AF$406,0),1),競技会設定!$P$2:$S$22,4,0)&gt;70,TEXT(INDEX(男子エントリー!$J$7:$AF$406,MATCH(LEFT($B33,FIND("(",$B33)-1)&amp;RIGHT(N$1,1),男子エントリー!$AF$7:$AF$406,0),3),"00000"),TEXT(INDEX(男子エントリー!$J$7:$AF$406,MATCH(LEFT($B33,FIND("(",$B33)-1)&amp;RIGHT(N$1,1),男子エントリー!$AF$7:$AF$406,0),3),"0000000")),"")</f>
        <v/>
      </c>
      <c r="O33" s="1" t="str">
        <f>_xlfn.IFNA(TEXT(VLOOKUP(INDEX(男子エントリー!$J$7:$AF$406,MATCH(LEFT($B33,FIND("(",$B33)-1)&amp;RIGHT(O$1,1),男子エントリー!$AF$7:$AF$406,0),1),競技会設定!$P$2:$S$22,4,0),"000")&amp;"00 "&amp;IF(VLOOKUP(INDEX(男子エントリー!$J$7:$AF$406,MATCH(LEFT($B33,FIND("(",$B33)-1)&amp;RIGHT(O$1,1),男子エントリー!$AF$7:$AF$406,0),1),競技会設定!$P$2:$S$22,4,0)&gt;70,TEXT(INDEX(男子エントリー!$J$7:$AF$406,MATCH(LEFT($B33,FIND("(",$B33)-1)&amp;RIGHT(O$1,1),男子エントリー!$AF$7:$AF$406,0),3),"00000"),TEXT(INDEX(男子エントリー!$J$7:$AF$406,MATCH(LEFT($B33,FIND("(",$B33)-1)&amp;RIGHT(O$1,1),男子エントリー!$AF$7:$AF$406,0),3),"0000000")),"")</f>
        <v/>
      </c>
    </row>
    <row r="34" spans="1:15">
      <c r="A34" s="92" t="str">
        <f>男子エントリー!D135</f>
        <v/>
      </c>
      <c r="B34" s="1" t="str">
        <f>男子エントリー!E135&amp;"("&amp;男子エントリー!G135&amp;")"</f>
        <v>()</v>
      </c>
      <c r="C34" s="92" t="str">
        <f>男子エントリー!F135</f>
        <v/>
      </c>
      <c r="D34" s="92" t="str">
        <f>男子エントリー!E137</f>
        <v/>
      </c>
      <c r="E34" s="92" t="str">
        <f>男子エントリー!G137</f>
        <v/>
      </c>
      <c r="F34" s="1" t="str">
        <f t="shared" si="0"/>
        <v/>
      </c>
      <c r="G34" s="92" t="str">
        <f>_xlfn.IFNA(VLOOKUP(男子エントリー!G136,競技会設定!$D$3:$E$49,2,0),"")</f>
        <v/>
      </c>
      <c r="H34" s="92" t="str">
        <f>_xlfn.IFNA(INDEX(競技会設定!$J$3:$O$47,MATCH(男子エントリー!H135,競技会設定!$N$3:$N$47,0),2),"")</f>
        <v/>
      </c>
      <c r="K34" s="92">
        <f>男子エントリー!C135</f>
        <v>0</v>
      </c>
      <c r="L34" s="1" t="str">
        <f>_xlfn.IFNA(TEXT(VLOOKUP(INDEX(男子エントリー!$J$7:$AF$406,MATCH(LEFT($B34,FIND("(",$B34)-1)&amp;RIGHT(L$1,1),男子エントリー!$AF$7:$AF$406,0),1),競技会設定!$P$2:$S$22,4,0),"000")&amp;"00 "&amp;IF(VLOOKUP(INDEX(男子エントリー!$J$7:$AF$406,MATCH(LEFT($B34,FIND("(",$B34)-1)&amp;RIGHT(L$1,1),男子エントリー!$AF$7:$AF$406,0),1),競技会設定!$P$2:$S$22,4,0)&gt;70,TEXT(INDEX(男子エントリー!$J$7:$AF$406,MATCH(LEFT($B34,FIND("(",$B34)-1)&amp;RIGHT(L$1,1),男子エントリー!$AF$7:$AF$406,0),3),"00000"),TEXT(INDEX(男子エントリー!$J$7:$AF$406,MATCH(LEFT($B34,FIND("(",$B34)-1)&amp;RIGHT(L$1,1),男子エントリー!$AF$7:$AF$406,0),3),"0000000")),"")</f>
        <v/>
      </c>
      <c r="M34" s="1" t="str">
        <f>_xlfn.IFNA(TEXT(VLOOKUP(INDEX(男子エントリー!$J$7:$AF$406,MATCH(LEFT($B34,FIND("(",$B34)-1)&amp;RIGHT(M$1,1),男子エントリー!$AF$7:$AF$406,0),1),競技会設定!$P$2:$S$22,4,0),"000")&amp;"00 "&amp;IF(VLOOKUP(INDEX(男子エントリー!$J$7:$AF$406,MATCH(LEFT($B34,FIND("(",$B34)-1)&amp;RIGHT(M$1,1),男子エントリー!$AF$7:$AF$406,0),1),競技会設定!$P$2:$S$22,4,0)&gt;70,TEXT(INDEX(男子エントリー!$J$7:$AF$406,MATCH(LEFT($B34,FIND("(",$B34)-1)&amp;RIGHT(M$1,1),男子エントリー!$AF$7:$AF$406,0),3),"00000"),TEXT(INDEX(男子エントリー!$J$7:$AF$406,MATCH(LEFT($B34,FIND("(",$B34)-1)&amp;RIGHT(M$1,1),男子エントリー!$AF$7:$AF$406,0),3),"0000000")),"")</f>
        <v/>
      </c>
      <c r="N34" s="1" t="str">
        <f>_xlfn.IFNA(TEXT(VLOOKUP(INDEX(男子エントリー!$J$7:$AF$406,MATCH(LEFT($B34,FIND("(",$B34)-1)&amp;RIGHT(N$1,1),男子エントリー!$AF$7:$AF$406,0),1),競技会設定!$P$2:$S$22,4,0),"000")&amp;"00 "&amp;IF(VLOOKUP(INDEX(男子エントリー!$J$7:$AF$406,MATCH(LEFT($B34,FIND("(",$B34)-1)&amp;RIGHT(N$1,1),男子エントリー!$AF$7:$AF$406,0),1),競技会設定!$P$2:$S$22,4,0)&gt;70,TEXT(INDEX(男子エントリー!$J$7:$AF$406,MATCH(LEFT($B34,FIND("(",$B34)-1)&amp;RIGHT(N$1,1),男子エントリー!$AF$7:$AF$406,0),3),"00000"),TEXT(INDEX(男子エントリー!$J$7:$AF$406,MATCH(LEFT($B34,FIND("(",$B34)-1)&amp;RIGHT(N$1,1),男子エントリー!$AF$7:$AF$406,0),3),"0000000")),"")</f>
        <v/>
      </c>
      <c r="O34" s="1" t="str">
        <f>_xlfn.IFNA(TEXT(VLOOKUP(INDEX(男子エントリー!$J$7:$AF$406,MATCH(LEFT($B34,FIND("(",$B34)-1)&amp;RIGHT(O$1,1),男子エントリー!$AF$7:$AF$406,0),1),競技会設定!$P$2:$S$22,4,0),"000")&amp;"00 "&amp;IF(VLOOKUP(INDEX(男子エントリー!$J$7:$AF$406,MATCH(LEFT($B34,FIND("(",$B34)-1)&amp;RIGHT(O$1,1),男子エントリー!$AF$7:$AF$406,0),1),競技会設定!$P$2:$S$22,4,0)&gt;70,TEXT(INDEX(男子エントリー!$J$7:$AF$406,MATCH(LEFT($B34,FIND("(",$B34)-1)&amp;RIGHT(O$1,1),男子エントリー!$AF$7:$AF$406,0),3),"00000"),TEXT(INDEX(男子エントリー!$J$7:$AF$406,MATCH(LEFT($B34,FIND("(",$B34)-1)&amp;RIGHT(O$1,1),男子エントリー!$AF$7:$AF$406,0),3),"0000000")),"")</f>
        <v/>
      </c>
    </row>
    <row r="35" spans="1:15">
      <c r="A35" s="92" t="str">
        <f>男子エントリー!D139</f>
        <v/>
      </c>
      <c r="B35" s="1" t="str">
        <f>男子エントリー!E139&amp;"("&amp;男子エントリー!G139&amp;")"</f>
        <v>()</v>
      </c>
      <c r="C35" s="92" t="str">
        <f>男子エントリー!F139</f>
        <v/>
      </c>
      <c r="D35" s="92" t="str">
        <f>男子エントリー!E141</f>
        <v/>
      </c>
      <c r="E35" s="92" t="str">
        <f>男子エントリー!G141</f>
        <v/>
      </c>
      <c r="F35" s="1" t="str">
        <f t="shared" si="0"/>
        <v/>
      </c>
      <c r="G35" s="92" t="str">
        <f>_xlfn.IFNA(VLOOKUP(男子エントリー!G140,競技会設定!$D$3:$E$49,2,0),"")</f>
        <v/>
      </c>
      <c r="H35" s="92" t="str">
        <f>_xlfn.IFNA(INDEX(競技会設定!$J$3:$O$47,MATCH(男子エントリー!H139,競技会設定!$N$3:$N$47,0),2),"")</f>
        <v/>
      </c>
      <c r="K35" s="92">
        <f>男子エントリー!C139</f>
        <v>0</v>
      </c>
      <c r="L35" s="1" t="str">
        <f>_xlfn.IFNA(TEXT(VLOOKUP(INDEX(男子エントリー!$J$7:$AF$406,MATCH(LEFT($B35,FIND("(",$B35)-1)&amp;RIGHT(L$1,1),男子エントリー!$AF$7:$AF$406,0),1),競技会設定!$P$2:$S$22,4,0),"000")&amp;"00 "&amp;IF(VLOOKUP(INDEX(男子エントリー!$J$7:$AF$406,MATCH(LEFT($B35,FIND("(",$B35)-1)&amp;RIGHT(L$1,1),男子エントリー!$AF$7:$AF$406,0),1),競技会設定!$P$2:$S$22,4,0)&gt;70,TEXT(INDEX(男子エントリー!$J$7:$AF$406,MATCH(LEFT($B35,FIND("(",$B35)-1)&amp;RIGHT(L$1,1),男子エントリー!$AF$7:$AF$406,0),3),"00000"),TEXT(INDEX(男子エントリー!$J$7:$AF$406,MATCH(LEFT($B35,FIND("(",$B35)-1)&amp;RIGHT(L$1,1),男子エントリー!$AF$7:$AF$406,0),3),"0000000")),"")</f>
        <v/>
      </c>
      <c r="M35" s="1" t="str">
        <f>_xlfn.IFNA(TEXT(VLOOKUP(INDEX(男子エントリー!$J$7:$AF$406,MATCH(LEFT($B35,FIND("(",$B35)-1)&amp;RIGHT(M$1,1),男子エントリー!$AF$7:$AF$406,0),1),競技会設定!$P$2:$S$22,4,0),"000")&amp;"00 "&amp;IF(VLOOKUP(INDEX(男子エントリー!$J$7:$AF$406,MATCH(LEFT($B35,FIND("(",$B35)-1)&amp;RIGHT(M$1,1),男子エントリー!$AF$7:$AF$406,0),1),競技会設定!$P$2:$S$22,4,0)&gt;70,TEXT(INDEX(男子エントリー!$J$7:$AF$406,MATCH(LEFT($B35,FIND("(",$B35)-1)&amp;RIGHT(M$1,1),男子エントリー!$AF$7:$AF$406,0),3),"00000"),TEXT(INDEX(男子エントリー!$J$7:$AF$406,MATCH(LEFT($B35,FIND("(",$B35)-1)&amp;RIGHT(M$1,1),男子エントリー!$AF$7:$AF$406,0),3),"0000000")),"")</f>
        <v/>
      </c>
      <c r="N35" s="1" t="str">
        <f>_xlfn.IFNA(TEXT(VLOOKUP(INDEX(男子エントリー!$J$7:$AF$406,MATCH(LEFT($B35,FIND("(",$B35)-1)&amp;RIGHT(N$1,1),男子エントリー!$AF$7:$AF$406,0),1),競技会設定!$P$2:$S$22,4,0),"000")&amp;"00 "&amp;IF(VLOOKUP(INDEX(男子エントリー!$J$7:$AF$406,MATCH(LEFT($B35,FIND("(",$B35)-1)&amp;RIGHT(N$1,1),男子エントリー!$AF$7:$AF$406,0),1),競技会設定!$P$2:$S$22,4,0)&gt;70,TEXT(INDEX(男子エントリー!$J$7:$AF$406,MATCH(LEFT($B35,FIND("(",$B35)-1)&amp;RIGHT(N$1,1),男子エントリー!$AF$7:$AF$406,0),3),"00000"),TEXT(INDEX(男子エントリー!$J$7:$AF$406,MATCH(LEFT($B35,FIND("(",$B35)-1)&amp;RIGHT(N$1,1),男子エントリー!$AF$7:$AF$406,0),3),"0000000")),"")</f>
        <v/>
      </c>
      <c r="O35" s="1" t="str">
        <f>_xlfn.IFNA(TEXT(VLOOKUP(INDEX(男子エントリー!$J$7:$AF$406,MATCH(LEFT($B35,FIND("(",$B35)-1)&amp;RIGHT(O$1,1),男子エントリー!$AF$7:$AF$406,0),1),競技会設定!$P$2:$S$22,4,0),"000")&amp;"00 "&amp;IF(VLOOKUP(INDEX(男子エントリー!$J$7:$AF$406,MATCH(LEFT($B35,FIND("(",$B35)-1)&amp;RIGHT(O$1,1),男子エントリー!$AF$7:$AF$406,0),1),競技会設定!$P$2:$S$22,4,0)&gt;70,TEXT(INDEX(男子エントリー!$J$7:$AF$406,MATCH(LEFT($B35,FIND("(",$B35)-1)&amp;RIGHT(O$1,1),男子エントリー!$AF$7:$AF$406,0),3),"00000"),TEXT(INDEX(男子エントリー!$J$7:$AF$406,MATCH(LEFT($B35,FIND("(",$B35)-1)&amp;RIGHT(O$1,1),男子エントリー!$AF$7:$AF$406,0),3),"0000000")),"")</f>
        <v/>
      </c>
    </row>
    <row r="36" spans="1:15">
      <c r="A36" s="92" t="str">
        <f>男子エントリー!D143</f>
        <v/>
      </c>
      <c r="B36" s="1" t="str">
        <f>男子エントリー!E143&amp;"("&amp;男子エントリー!G143&amp;")"</f>
        <v>()</v>
      </c>
      <c r="C36" s="92" t="str">
        <f>男子エントリー!F143</f>
        <v/>
      </c>
      <c r="D36" s="92" t="str">
        <f>男子エントリー!E145</f>
        <v/>
      </c>
      <c r="E36" s="92" t="str">
        <f>男子エントリー!G145</f>
        <v/>
      </c>
      <c r="F36" s="1" t="str">
        <f t="shared" si="0"/>
        <v/>
      </c>
      <c r="G36" s="92" t="str">
        <f>_xlfn.IFNA(VLOOKUP(男子エントリー!G144,競技会設定!$D$3:$E$49,2,0),"")</f>
        <v/>
      </c>
      <c r="H36" s="92" t="str">
        <f>_xlfn.IFNA(INDEX(競技会設定!$J$3:$O$47,MATCH(男子エントリー!H143,競技会設定!$N$3:$N$47,0),2),"")</f>
        <v/>
      </c>
      <c r="K36" s="92">
        <f>男子エントリー!C143</f>
        <v>0</v>
      </c>
      <c r="L36" s="1" t="str">
        <f>_xlfn.IFNA(TEXT(VLOOKUP(INDEX(男子エントリー!$J$7:$AF$406,MATCH(LEFT($B36,FIND("(",$B36)-1)&amp;RIGHT(L$1,1),男子エントリー!$AF$7:$AF$406,0),1),競技会設定!$P$2:$S$22,4,0),"000")&amp;"00 "&amp;IF(VLOOKUP(INDEX(男子エントリー!$J$7:$AF$406,MATCH(LEFT($B36,FIND("(",$B36)-1)&amp;RIGHT(L$1,1),男子エントリー!$AF$7:$AF$406,0),1),競技会設定!$P$2:$S$22,4,0)&gt;70,TEXT(INDEX(男子エントリー!$J$7:$AF$406,MATCH(LEFT($B36,FIND("(",$B36)-1)&amp;RIGHT(L$1,1),男子エントリー!$AF$7:$AF$406,0),3),"00000"),TEXT(INDEX(男子エントリー!$J$7:$AF$406,MATCH(LEFT($B36,FIND("(",$B36)-1)&amp;RIGHT(L$1,1),男子エントリー!$AF$7:$AF$406,0),3),"0000000")),"")</f>
        <v/>
      </c>
      <c r="M36" s="1" t="str">
        <f>_xlfn.IFNA(TEXT(VLOOKUP(INDEX(男子エントリー!$J$7:$AF$406,MATCH(LEFT($B36,FIND("(",$B36)-1)&amp;RIGHT(M$1,1),男子エントリー!$AF$7:$AF$406,0),1),競技会設定!$P$2:$S$22,4,0),"000")&amp;"00 "&amp;IF(VLOOKUP(INDEX(男子エントリー!$J$7:$AF$406,MATCH(LEFT($B36,FIND("(",$B36)-1)&amp;RIGHT(M$1,1),男子エントリー!$AF$7:$AF$406,0),1),競技会設定!$P$2:$S$22,4,0)&gt;70,TEXT(INDEX(男子エントリー!$J$7:$AF$406,MATCH(LEFT($B36,FIND("(",$B36)-1)&amp;RIGHT(M$1,1),男子エントリー!$AF$7:$AF$406,0),3),"00000"),TEXT(INDEX(男子エントリー!$J$7:$AF$406,MATCH(LEFT($B36,FIND("(",$B36)-1)&amp;RIGHT(M$1,1),男子エントリー!$AF$7:$AF$406,0),3),"0000000")),"")</f>
        <v/>
      </c>
      <c r="N36" s="1" t="str">
        <f>_xlfn.IFNA(TEXT(VLOOKUP(INDEX(男子エントリー!$J$7:$AF$406,MATCH(LEFT($B36,FIND("(",$B36)-1)&amp;RIGHT(N$1,1),男子エントリー!$AF$7:$AF$406,0),1),競技会設定!$P$2:$S$22,4,0),"000")&amp;"00 "&amp;IF(VLOOKUP(INDEX(男子エントリー!$J$7:$AF$406,MATCH(LEFT($B36,FIND("(",$B36)-1)&amp;RIGHT(N$1,1),男子エントリー!$AF$7:$AF$406,0),1),競技会設定!$P$2:$S$22,4,0)&gt;70,TEXT(INDEX(男子エントリー!$J$7:$AF$406,MATCH(LEFT($B36,FIND("(",$B36)-1)&amp;RIGHT(N$1,1),男子エントリー!$AF$7:$AF$406,0),3),"00000"),TEXT(INDEX(男子エントリー!$J$7:$AF$406,MATCH(LEFT($B36,FIND("(",$B36)-1)&amp;RIGHT(N$1,1),男子エントリー!$AF$7:$AF$406,0),3),"0000000")),"")</f>
        <v/>
      </c>
      <c r="O36" s="1" t="str">
        <f>_xlfn.IFNA(TEXT(VLOOKUP(INDEX(男子エントリー!$J$7:$AF$406,MATCH(LEFT($B36,FIND("(",$B36)-1)&amp;RIGHT(O$1,1),男子エントリー!$AF$7:$AF$406,0),1),競技会設定!$P$2:$S$22,4,0),"000")&amp;"00 "&amp;IF(VLOOKUP(INDEX(男子エントリー!$J$7:$AF$406,MATCH(LEFT($B36,FIND("(",$B36)-1)&amp;RIGHT(O$1,1),男子エントリー!$AF$7:$AF$406,0),1),競技会設定!$P$2:$S$22,4,0)&gt;70,TEXT(INDEX(男子エントリー!$J$7:$AF$406,MATCH(LEFT($B36,FIND("(",$B36)-1)&amp;RIGHT(O$1,1),男子エントリー!$AF$7:$AF$406,0),3),"00000"),TEXT(INDEX(男子エントリー!$J$7:$AF$406,MATCH(LEFT($B36,FIND("(",$B36)-1)&amp;RIGHT(O$1,1),男子エントリー!$AF$7:$AF$406,0),3),"0000000")),"")</f>
        <v/>
      </c>
    </row>
    <row r="37" spans="1:15">
      <c r="A37" s="92" t="str">
        <f>男子エントリー!D147</f>
        <v/>
      </c>
      <c r="B37" s="1" t="str">
        <f>男子エントリー!E147&amp;"("&amp;男子エントリー!G147&amp;")"</f>
        <v>()</v>
      </c>
      <c r="C37" s="92" t="str">
        <f>男子エントリー!F147</f>
        <v/>
      </c>
      <c r="D37" s="92" t="str">
        <f>男子エントリー!E149</f>
        <v/>
      </c>
      <c r="E37" s="92" t="str">
        <f>男子エントリー!G149</f>
        <v/>
      </c>
      <c r="F37" s="1" t="str">
        <f t="shared" si="0"/>
        <v/>
      </c>
      <c r="G37" s="92" t="str">
        <f>_xlfn.IFNA(VLOOKUP(男子エントリー!G148,競技会設定!$D$3:$E$49,2,0),"")</f>
        <v/>
      </c>
      <c r="H37" s="92" t="str">
        <f>_xlfn.IFNA(INDEX(競技会設定!$J$3:$O$47,MATCH(男子エントリー!H147,競技会設定!$N$3:$N$47,0),2),"")</f>
        <v/>
      </c>
      <c r="K37" s="92">
        <f>男子エントリー!C147</f>
        <v>0</v>
      </c>
      <c r="L37" s="1" t="str">
        <f>_xlfn.IFNA(TEXT(VLOOKUP(INDEX(男子エントリー!$J$7:$AF$406,MATCH(LEFT($B37,FIND("(",$B37)-1)&amp;RIGHT(L$1,1),男子エントリー!$AF$7:$AF$406,0),1),競技会設定!$P$2:$S$22,4,0),"000")&amp;"00 "&amp;IF(VLOOKUP(INDEX(男子エントリー!$J$7:$AF$406,MATCH(LEFT($B37,FIND("(",$B37)-1)&amp;RIGHT(L$1,1),男子エントリー!$AF$7:$AF$406,0),1),競技会設定!$P$2:$S$22,4,0)&gt;70,TEXT(INDEX(男子エントリー!$J$7:$AF$406,MATCH(LEFT($B37,FIND("(",$B37)-1)&amp;RIGHT(L$1,1),男子エントリー!$AF$7:$AF$406,0),3),"00000"),TEXT(INDEX(男子エントリー!$J$7:$AF$406,MATCH(LEFT($B37,FIND("(",$B37)-1)&amp;RIGHT(L$1,1),男子エントリー!$AF$7:$AF$406,0),3),"0000000")),"")</f>
        <v/>
      </c>
      <c r="M37" s="1" t="str">
        <f>_xlfn.IFNA(TEXT(VLOOKUP(INDEX(男子エントリー!$J$7:$AF$406,MATCH(LEFT($B37,FIND("(",$B37)-1)&amp;RIGHT(M$1,1),男子エントリー!$AF$7:$AF$406,0),1),競技会設定!$P$2:$S$22,4,0),"000")&amp;"00 "&amp;IF(VLOOKUP(INDEX(男子エントリー!$J$7:$AF$406,MATCH(LEFT($B37,FIND("(",$B37)-1)&amp;RIGHT(M$1,1),男子エントリー!$AF$7:$AF$406,0),1),競技会設定!$P$2:$S$22,4,0)&gt;70,TEXT(INDEX(男子エントリー!$J$7:$AF$406,MATCH(LEFT($B37,FIND("(",$B37)-1)&amp;RIGHT(M$1,1),男子エントリー!$AF$7:$AF$406,0),3),"00000"),TEXT(INDEX(男子エントリー!$J$7:$AF$406,MATCH(LEFT($B37,FIND("(",$B37)-1)&amp;RIGHT(M$1,1),男子エントリー!$AF$7:$AF$406,0),3),"0000000")),"")</f>
        <v/>
      </c>
      <c r="N37" s="1" t="str">
        <f>_xlfn.IFNA(TEXT(VLOOKUP(INDEX(男子エントリー!$J$7:$AF$406,MATCH(LEFT($B37,FIND("(",$B37)-1)&amp;RIGHT(N$1,1),男子エントリー!$AF$7:$AF$406,0),1),競技会設定!$P$2:$S$22,4,0),"000")&amp;"00 "&amp;IF(VLOOKUP(INDEX(男子エントリー!$J$7:$AF$406,MATCH(LEFT($B37,FIND("(",$B37)-1)&amp;RIGHT(N$1,1),男子エントリー!$AF$7:$AF$406,0),1),競技会設定!$P$2:$S$22,4,0)&gt;70,TEXT(INDEX(男子エントリー!$J$7:$AF$406,MATCH(LEFT($B37,FIND("(",$B37)-1)&amp;RIGHT(N$1,1),男子エントリー!$AF$7:$AF$406,0),3),"00000"),TEXT(INDEX(男子エントリー!$J$7:$AF$406,MATCH(LEFT($B37,FIND("(",$B37)-1)&amp;RIGHT(N$1,1),男子エントリー!$AF$7:$AF$406,0),3),"0000000")),"")</f>
        <v/>
      </c>
      <c r="O37" s="1" t="str">
        <f>_xlfn.IFNA(TEXT(VLOOKUP(INDEX(男子エントリー!$J$7:$AF$406,MATCH(LEFT($B37,FIND("(",$B37)-1)&amp;RIGHT(O$1,1),男子エントリー!$AF$7:$AF$406,0),1),競技会設定!$P$2:$S$22,4,0),"000")&amp;"00 "&amp;IF(VLOOKUP(INDEX(男子エントリー!$J$7:$AF$406,MATCH(LEFT($B37,FIND("(",$B37)-1)&amp;RIGHT(O$1,1),男子エントリー!$AF$7:$AF$406,0),1),競技会設定!$P$2:$S$22,4,0)&gt;70,TEXT(INDEX(男子エントリー!$J$7:$AF$406,MATCH(LEFT($B37,FIND("(",$B37)-1)&amp;RIGHT(O$1,1),男子エントリー!$AF$7:$AF$406,0),3),"00000"),TEXT(INDEX(男子エントリー!$J$7:$AF$406,MATCH(LEFT($B37,FIND("(",$B37)-1)&amp;RIGHT(O$1,1),男子エントリー!$AF$7:$AF$406,0),3),"0000000")),"")</f>
        <v/>
      </c>
    </row>
    <row r="38" spans="1:15">
      <c r="A38" s="92" t="str">
        <f>男子エントリー!D151</f>
        <v/>
      </c>
      <c r="B38" s="1" t="str">
        <f>男子エントリー!E151&amp;"("&amp;男子エントリー!G151&amp;")"</f>
        <v>()</v>
      </c>
      <c r="C38" s="92" t="str">
        <f>男子エントリー!F151</f>
        <v/>
      </c>
      <c r="D38" s="92" t="str">
        <f>男子エントリー!E153</f>
        <v/>
      </c>
      <c r="E38" s="92" t="str">
        <f>男子エントリー!G153</f>
        <v/>
      </c>
      <c r="F38" s="1" t="str">
        <f t="shared" si="0"/>
        <v/>
      </c>
      <c r="G38" s="92" t="str">
        <f>_xlfn.IFNA(VLOOKUP(男子エントリー!G152,競技会設定!$D$3:$E$49,2,0),"")</f>
        <v/>
      </c>
      <c r="H38" s="92" t="str">
        <f>_xlfn.IFNA(INDEX(競技会設定!$J$3:$O$47,MATCH(男子エントリー!H151,競技会設定!$N$3:$N$47,0),2),"")</f>
        <v/>
      </c>
      <c r="K38" s="92">
        <f>男子エントリー!C151</f>
        <v>0</v>
      </c>
      <c r="L38" s="1" t="str">
        <f>_xlfn.IFNA(TEXT(VLOOKUP(INDEX(男子エントリー!$J$7:$AF$406,MATCH(LEFT($B38,FIND("(",$B38)-1)&amp;RIGHT(L$1,1),男子エントリー!$AF$7:$AF$406,0),1),競技会設定!$P$2:$S$22,4,0),"000")&amp;"00 "&amp;IF(VLOOKUP(INDEX(男子エントリー!$J$7:$AF$406,MATCH(LEFT($B38,FIND("(",$B38)-1)&amp;RIGHT(L$1,1),男子エントリー!$AF$7:$AF$406,0),1),競技会設定!$P$2:$S$22,4,0)&gt;70,TEXT(INDEX(男子エントリー!$J$7:$AF$406,MATCH(LEFT($B38,FIND("(",$B38)-1)&amp;RIGHT(L$1,1),男子エントリー!$AF$7:$AF$406,0),3),"00000"),TEXT(INDEX(男子エントリー!$J$7:$AF$406,MATCH(LEFT($B38,FIND("(",$B38)-1)&amp;RIGHT(L$1,1),男子エントリー!$AF$7:$AF$406,0),3),"0000000")),"")</f>
        <v/>
      </c>
      <c r="M38" s="1" t="str">
        <f>_xlfn.IFNA(TEXT(VLOOKUP(INDEX(男子エントリー!$J$7:$AF$406,MATCH(LEFT($B38,FIND("(",$B38)-1)&amp;RIGHT(M$1,1),男子エントリー!$AF$7:$AF$406,0),1),競技会設定!$P$2:$S$22,4,0),"000")&amp;"00 "&amp;IF(VLOOKUP(INDEX(男子エントリー!$J$7:$AF$406,MATCH(LEFT($B38,FIND("(",$B38)-1)&amp;RIGHT(M$1,1),男子エントリー!$AF$7:$AF$406,0),1),競技会設定!$P$2:$S$22,4,0)&gt;70,TEXT(INDEX(男子エントリー!$J$7:$AF$406,MATCH(LEFT($B38,FIND("(",$B38)-1)&amp;RIGHT(M$1,1),男子エントリー!$AF$7:$AF$406,0),3),"00000"),TEXT(INDEX(男子エントリー!$J$7:$AF$406,MATCH(LEFT($B38,FIND("(",$B38)-1)&amp;RIGHT(M$1,1),男子エントリー!$AF$7:$AF$406,0),3),"0000000")),"")</f>
        <v/>
      </c>
      <c r="N38" s="1" t="str">
        <f>_xlfn.IFNA(TEXT(VLOOKUP(INDEX(男子エントリー!$J$7:$AF$406,MATCH(LEFT($B38,FIND("(",$B38)-1)&amp;RIGHT(N$1,1),男子エントリー!$AF$7:$AF$406,0),1),競技会設定!$P$2:$S$22,4,0),"000")&amp;"00 "&amp;IF(VLOOKUP(INDEX(男子エントリー!$J$7:$AF$406,MATCH(LEFT($B38,FIND("(",$B38)-1)&amp;RIGHT(N$1,1),男子エントリー!$AF$7:$AF$406,0),1),競技会設定!$P$2:$S$22,4,0)&gt;70,TEXT(INDEX(男子エントリー!$J$7:$AF$406,MATCH(LEFT($B38,FIND("(",$B38)-1)&amp;RIGHT(N$1,1),男子エントリー!$AF$7:$AF$406,0),3),"00000"),TEXT(INDEX(男子エントリー!$J$7:$AF$406,MATCH(LEFT($B38,FIND("(",$B38)-1)&amp;RIGHT(N$1,1),男子エントリー!$AF$7:$AF$406,0),3),"0000000")),"")</f>
        <v/>
      </c>
      <c r="O38" s="1" t="str">
        <f>_xlfn.IFNA(TEXT(VLOOKUP(INDEX(男子エントリー!$J$7:$AF$406,MATCH(LEFT($B38,FIND("(",$B38)-1)&amp;RIGHT(O$1,1),男子エントリー!$AF$7:$AF$406,0),1),競技会設定!$P$2:$S$22,4,0),"000")&amp;"00 "&amp;IF(VLOOKUP(INDEX(男子エントリー!$J$7:$AF$406,MATCH(LEFT($B38,FIND("(",$B38)-1)&amp;RIGHT(O$1,1),男子エントリー!$AF$7:$AF$406,0),1),競技会設定!$P$2:$S$22,4,0)&gt;70,TEXT(INDEX(男子エントリー!$J$7:$AF$406,MATCH(LEFT($B38,FIND("(",$B38)-1)&amp;RIGHT(O$1,1),男子エントリー!$AF$7:$AF$406,0),3),"00000"),TEXT(INDEX(男子エントリー!$J$7:$AF$406,MATCH(LEFT($B38,FIND("(",$B38)-1)&amp;RIGHT(O$1,1),男子エントリー!$AF$7:$AF$406,0),3),"0000000")),"")</f>
        <v/>
      </c>
    </row>
    <row r="39" spans="1:15">
      <c r="A39" s="92" t="str">
        <f>男子エントリー!D155</f>
        <v/>
      </c>
      <c r="B39" s="1" t="str">
        <f>男子エントリー!E155&amp;"("&amp;男子エントリー!G155&amp;")"</f>
        <v>()</v>
      </c>
      <c r="C39" s="92" t="str">
        <f>男子エントリー!F155</f>
        <v/>
      </c>
      <c r="D39" s="92" t="str">
        <f>男子エントリー!E157</f>
        <v/>
      </c>
      <c r="E39" s="92" t="str">
        <f>男子エントリー!G157</f>
        <v/>
      </c>
      <c r="F39" s="1" t="str">
        <f t="shared" si="0"/>
        <v/>
      </c>
      <c r="G39" s="92" t="str">
        <f>_xlfn.IFNA(VLOOKUP(男子エントリー!G156,競技会設定!$D$3:$E$49,2,0),"")</f>
        <v/>
      </c>
      <c r="H39" s="92" t="str">
        <f>_xlfn.IFNA(INDEX(競技会設定!$J$3:$O$47,MATCH(男子エントリー!H155,競技会設定!$N$3:$N$47,0),2),"")</f>
        <v/>
      </c>
      <c r="K39" s="92">
        <f>男子エントリー!C155</f>
        <v>0</v>
      </c>
      <c r="L39" s="1" t="str">
        <f>_xlfn.IFNA(TEXT(VLOOKUP(INDEX(男子エントリー!$J$7:$AF$406,MATCH(LEFT($B39,FIND("(",$B39)-1)&amp;RIGHT(L$1,1),男子エントリー!$AF$7:$AF$406,0),1),競技会設定!$P$2:$S$22,4,0),"000")&amp;"00 "&amp;IF(VLOOKUP(INDEX(男子エントリー!$J$7:$AF$406,MATCH(LEFT($B39,FIND("(",$B39)-1)&amp;RIGHT(L$1,1),男子エントリー!$AF$7:$AF$406,0),1),競技会設定!$P$2:$S$22,4,0)&gt;70,TEXT(INDEX(男子エントリー!$J$7:$AF$406,MATCH(LEFT($B39,FIND("(",$B39)-1)&amp;RIGHT(L$1,1),男子エントリー!$AF$7:$AF$406,0),3),"00000"),TEXT(INDEX(男子エントリー!$J$7:$AF$406,MATCH(LEFT($B39,FIND("(",$B39)-1)&amp;RIGHT(L$1,1),男子エントリー!$AF$7:$AF$406,0),3),"0000000")),"")</f>
        <v/>
      </c>
      <c r="M39" s="1" t="str">
        <f>_xlfn.IFNA(TEXT(VLOOKUP(INDEX(男子エントリー!$J$7:$AF$406,MATCH(LEFT($B39,FIND("(",$B39)-1)&amp;RIGHT(M$1,1),男子エントリー!$AF$7:$AF$406,0),1),競技会設定!$P$2:$S$22,4,0),"000")&amp;"00 "&amp;IF(VLOOKUP(INDEX(男子エントリー!$J$7:$AF$406,MATCH(LEFT($B39,FIND("(",$B39)-1)&amp;RIGHT(M$1,1),男子エントリー!$AF$7:$AF$406,0),1),競技会設定!$P$2:$S$22,4,0)&gt;70,TEXT(INDEX(男子エントリー!$J$7:$AF$406,MATCH(LEFT($B39,FIND("(",$B39)-1)&amp;RIGHT(M$1,1),男子エントリー!$AF$7:$AF$406,0),3),"00000"),TEXT(INDEX(男子エントリー!$J$7:$AF$406,MATCH(LEFT($B39,FIND("(",$B39)-1)&amp;RIGHT(M$1,1),男子エントリー!$AF$7:$AF$406,0),3),"0000000")),"")</f>
        <v/>
      </c>
      <c r="N39" s="1" t="str">
        <f>_xlfn.IFNA(TEXT(VLOOKUP(INDEX(男子エントリー!$J$7:$AF$406,MATCH(LEFT($B39,FIND("(",$B39)-1)&amp;RIGHT(N$1,1),男子エントリー!$AF$7:$AF$406,0),1),競技会設定!$P$2:$S$22,4,0),"000")&amp;"00 "&amp;IF(VLOOKUP(INDEX(男子エントリー!$J$7:$AF$406,MATCH(LEFT($B39,FIND("(",$B39)-1)&amp;RIGHT(N$1,1),男子エントリー!$AF$7:$AF$406,0),1),競技会設定!$P$2:$S$22,4,0)&gt;70,TEXT(INDEX(男子エントリー!$J$7:$AF$406,MATCH(LEFT($B39,FIND("(",$B39)-1)&amp;RIGHT(N$1,1),男子エントリー!$AF$7:$AF$406,0),3),"00000"),TEXT(INDEX(男子エントリー!$J$7:$AF$406,MATCH(LEFT($B39,FIND("(",$B39)-1)&amp;RIGHT(N$1,1),男子エントリー!$AF$7:$AF$406,0),3),"0000000")),"")</f>
        <v/>
      </c>
      <c r="O39" s="1" t="str">
        <f>_xlfn.IFNA(TEXT(VLOOKUP(INDEX(男子エントリー!$J$7:$AF$406,MATCH(LEFT($B39,FIND("(",$B39)-1)&amp;RIGHT(O$1,1),男子エントリー!$AF$7:$AF$406,0),1),競技会設定!$P$2:$S$22,4,0),"000")&amp;"00 "&amp;IF(VLOOKUP(INDEX(男子エントリー!$J$7:$AF$406,MATCH(LEFT($B39,FIND("(",$B39)-1)&amp;RIGHT(O$1,1),男子エントリー!$AF$7:$AF$406,0),1),競技会設定!$P$2:$S$22,4,0)&gt;70,TEXT(INDEX(男子エントリー!$J$7:$AF$406,MATCH(LEFT($B39,FIND("(",$B39)-1)&amp;RIGHT(O$1,1),男子エントリー!$AF$7:$AF$406,0),3),"00000"),TEXT(INDEX(男子エントリー!$J$7:$AF$406,MATCH(LEFT($B39,FIND("(",$B39)-1)&amp;RIGHT(O$1,1),男子エントリー!$AF$7:$AF$406,0),3),"0000000")),"")</f>
        <v/>
      </c>
    </row>
    <row r="40" spans="1:15">
      <c r="A40" s="92" t="str">
        <f>男子エントリー!D159</f>
        <v/>
      </c>
      <c r="B40" s="1" t="str">
        <f>男子エントリー!E159&amp;"("&amp;男子エントリー!G159&amp;")"</f>
        <v>()</v>
      </c>
      <c r="C40" s="92" t="str">
        <f>男子エントリー!F159</f>
        <v/>
      </c>
      <c r="D40" s="92" t="str">
        <f>男子エントリー!E161</f>
        <v/>
      </c>
      <c r="E40" s="92" t="str">
        <f>男子エントリー!G161</f>
        <v/>
      </c>
      <c r="F40" s="1" t="str">
        <f t="shared" si="0"/>
        <v/>
      </c>
      <c r="G40" s="92" t="str">
        <f>_xlfn.IFNA(VLOOKUP(男子エントリー!G160,競技会設定!$D$3:$E$49,2,0),"")</f>
        <v/>
      </c>
      <c r="H40" s="92" t="str">
        <f>_xlfn.IFNA(INDEX(競技会設定!$J$3:$O$47,MATCH(男子エントリー!H159,競技会設定!$N$3:$N$47,0),2),"")</f>
        <v/>
      </c>
      <c r="K40" s="92">
        <f>男子エントリー!C159</f>
        <v>0</v>
      </c>
      <c r="L40" s="1" t="str">
        <f>_xlfn.IFNA(TEXT(VLOOKUP(INDEX(男子エントリー!$J$7:$AF$406,MATCH(LEFT($B40,FIND("(",$B40)-1)&amp;RIGHT(L$1,1),男子エントリー!$AF$7:$AF$406,0),1),競技会設定!$P$2:$S$22,4,0),"000")&amp;"00 "&amp;IF(VLOOKUP(INDEX(男子エントリー!$J$7:$AF$406,MATCH(LEFT($B40,FIND("(",$B40)-1)&amp;RIGHT(L$1,1),男子エントリー!$AF$7:$AF$406,0),1),競技会設定!$P$2:$S$22,4,0)&gt;70,TEXT(INDEX(男子エントリー!$J$7:$AF$406,MATCH(LEFT($B40,FIND("(",$B40)-1)&amp;RIGHT(L$1,1),男子エントリー!$AF$7:$AF$406,0),3),"00000"),TEXT(INDEX(男子エントリー!$J$7:$AF$406,MATCH(LEFT($B40,FIND("(",$B40)-1)&amp;RIGHT(L$1,1),男子エントリー!$AF$7:$AF$406,0),3),"0000000")),"")</f>
        <v/>
      </c>
      <c r="M40" s="1" t="str">
        <f>_xlfn.IFNA(TEXT(VLOOKUP(INDEX(男子エントリー!$J$7:$AF$406,MATCH(LEFT($B40,FIND("(",$B40)-1)&amp;RIGHT(M$1,1),男子エントリー!$AF$7:$AF$406,0),1),競技会設定!$P$2:$S$22,4,0),"000")&amp;"00 "&amp;IF(VLOOKUP(INDEX(男子エントリー!$J$7:$AF$406,MATCH(LEFT($B40,FIND("(",$B40)-1)&amp;RIGHT(M$1,1),男子エントリー!$AF$7:$AF$406,0),1),競技会設定!$P$2:$S$22,4,0)&gt;70,TEXT(INDEX(男子エントリー!$J$7:$AF$406,MATCH(LEFT($B40,FIND("(",$B40)-1)&amp;RIGHT(M$1,1),男子エントリー!$AF$7:$AF$406,0),3),"00000"),TEXT(INDEX(男子エントリー!$J$7:$AF$406,MATCH(LEFT($B40,FIND("(",$B40)-1)&amp;RIGHT(M$1,1),男子エントリー!$AF$7:$AF$406,0),3),"0000000")),"")</f>
        <v/>
      </c>
      <c r="N40" s="1" t="str">
        <f>_xlfn.IFNA(TEXT(VLOOKUP(INDEX(男子エントリー!$J$7:$AF$406,MATCH(LEFT($B40,FIND("(",$B40)-1)&amp;RIGHT(N$1,1),男子エントリー!$AF$7:$AF$406,0),1),競技会設定!$P$2:$S$22,4,0),"000")&amp;"00 "&amp;IF(VLOOKUP(INDEX(男子エントリー!$J$7:$AF$406,MATCH(LEFT($B40,FIND("(",$B40)-1)&amp;RIGHT(N$1,1),男子エントリー!$AF$7:$AF$406,0),1),競技会設定!$P$2:$S$22,4,0)&gt;70,TEXT(INDEX(男子エントリー!$J$7:$AF$406,MATCH(LEFT($B40,FIND("(",$B40)-1)&amp;RIGHT(N$1,1),男子エントリー!$AF$7:$AF$406,0),3),"00000"),TEXT(INDEX(男子エントリー!$J$7:$AF$406,MATCH(LEFT($B40,FIND("(",$B40)-1)&amp;RIGHT(N$1,1),男子エントリー!$AF$7:$AF$406,0),3),"0000000")),"")</f>
        <v/>
      </c>
      <c r="O40" s="1" t="str">
        <f>_xlfn.IFNA(TEXT(VLOOKUP(INDEX(男子エントリー!$J$7:$AF$406,MATCH(LEFT($B40,FIND("(",$B40)-1)&amp;RIGHT(O$1,1),男子エントリー!$AF$7:$AF$406,0),1),競技会設定!$P$2:$S$22,4,0),"000")&amp;"00 "&amp;IF(VLOOKUP(INDEX(男子エントリー!$J$7:$AF$406,MATCH(LEFT($B40,FIND("(",$B40)-1)&amp;RIGHT(O$1,1),男子エントリー!$AF$7:$AF$406,0),1),競技会設定!$P$2:$S$22,4,0)&gt;70,TEXT(INDEX(男子エントリー!$J$7:$AF$406,MATCH(LEFT($B40,FIND("(",$B40)-1)&amp;RIGHT(O$1,1),男子エントリー!$AF$7:$AF$406,0),3),"00000"),TEXT(INDEX(男子エントリー!$J$7:$AF$406,MATCH(LEFT($B40,FIND("(",$B40)-1)&amp;RIGHT(O$1,1),男子エントリー!$AF$7:$AF$406,0),3),"0000000")),"")</f>
        <v/>
      </c>
    </row>
    <row r="41" spans="1:15">
      <c r="A41" s="92" t="str">
        <f>男子エントリー!D163</f>
        <v/>
      </c>
      <c r="B41" s="1" t="str">
        <f>男子エントリー!E163&amp;"("&amp;男子エントリー!G163&amp;")"</f>
        <v>()</v>
      </c>
      <c r="C41" s="92" t="str">
        <f>男子エントリー!F163</f>
        <v/>
      </c>
      <c r="D41" s="92" t="str">
        <f>男子エントリー!E165</f>
        <v/>
      </c>
      <c r="E41" s="92" t="str">
        <f>男子エントリー!G165</f>
        <v/>
      </c>
      <c r="F41" s="1" t="str">
        <f t="shared" si="0"/>
        <v/>
      </c>
      <c r="G41" s="92" t="str">
        <f>_xlfn.IFNA(VLOOKUP(男子エントリー!G164,競技会設定!$D$3:$E$49,2,0),"")</f>
        <v/>
      </c>
      <c r="H41" s="92" t="str">
        <f>_xlfn.IFNA(INDEX(競技会設定!$J$3:$O$47,MATCH(男子エントリー!H163,競技会設定!$N$3:$N$47,0),2),"")</f>
        <v/>
      </c>
      <c r="K41" s="92">
        <f>男子エントリー!C163</f>
        <v>0</v>
      </c>
      <c r="L41" s="1" t="str">
        <f>_xlfn.IFNA(TEXT(VLOOKUP(INDEX(男子エントリー!$J$7:$AF$406,MATCH(LEFT($B41,FIND("(",$B41)-1)&amp;RIGHT(L$1,1),男子エントリー!$AF$7:$AF$406,0),1),競技会設定!$P$2:$S$22,4,0),"000")&amp;"00 "&amp;IF(VLOOKUP(INDEX(男子エントリー!$J$7:$AF$406,MATCH(LEFT($B41,FIND("(",$B41)-1)&amp;RIGHT(L$1,1),男子エントリー!$AF$7:$AF$406,0),1),競技会設定!$P$2:$S$22,4,0)&gt;70,TEXT(INDEX(男子エントリー!$J$7:$AF$406,MATCH(LEFT($B41,FIND("(",$B41)-1)&amp;RIGHT(L$1,1),男子エントリー!$AF$7:$AF$406,0),3),"00000"),TEXT(INDEX(男子エントリー!$J$7:$AF$406,MATCH(LEFT($B41,FIND("(",$B41)-1)&amp;RIGHT(L$1,1),男子エントリー!$AF$7:$AF$406,0),3),"0000000")),"")</f>
        <v/>
      </c>
      <c r="M41" s="1" t="str">
        <f>_xlfn.IFNA(TEXT(VLOOKUP(INDEX(男子エントリー!$J$7:$AF$406,MATCH(LEFT($B41,FIND("(",$B41)-1)&amp;RIGHT(M$1,1),男子エントリー!$AF$7:$AF$406,0),1),競技会設定!$P$2:$S$22,4,0),"000")&amp;"00 "&amp;IF(VLOOKUP(INDEX(男子エントリー!$J$7:$AF$406,MATCH(LEFT($B41,FIND("(",$B41)-1)&amp;RIGHT(M$1,1),男子エントリー!$AF$7:$AF$406,0),1),競技会設定!$P$2:$S$22,4,0)&gt;70,TEXT(INDEX(男子エントリー!$J$7:$AF$406,MATCH(LEFT($B41,FIND("(",$B41)-1)&amp;RIGHT(M$1,1),男子エントリー!$AF$7:$AF$406,0),3),"00000"),TEXT(INDEX(男子エントリー!$J$7:$AF$406,MATCH(LEFT($B41,FIND("(",$B41)-1)&amp;RIGHT(M$1,1),男子エントリー!$AF$7:$AF$406,0),3),"0000000")),"")</f>
        <v/>
      </c>
      <c r="N41" s="1" t="str">
        <f>_xlfn.IFNA(TEXT(VLOOKUP(INDEX(男子エントリー!$J$7:$AF$406,MATCH(LEFT($B41,FIND("(",$B41)-1)&amp;RIGHT(N$1,1),男子エントリー!$AF$7:$AF$406,0),1),競技会設定!$P$2:$S$22,4,0),"000")&amp;"00 "&amp;IF(VLOOKUP(INDEX(男子エントリー!$J$7:$AF$406,MATCH(LEFT($B41,FIND("(",$B41)-1)&amp;RIGHT(N$1,1),男子エントリー!$AF$7:$AF$406,0),1),競技会設定!$P$2:$S$22,4,0)&gt;70,TEXT(INDEX(男子エントリー!$J$7:$AF$406,MATCH(LEFT($B41,FIND("(",$B41)-1)&amp;RIGHT(N$1,1),男子エントリー!$AF$7:$AF$406,0),3),"00000"),TEXT(INDEX(男子エントリー!$J$7:$AF$406,MATCH(LEFT($B41,FIND("(",$B41)-1)&amp;RIGHT(N$1,1),男子エントリー!$AF$7:$AF$406,0),3),"0000000")),"")</f>
        <v/>
      </c>
      <c r="O41" s="1" t="str">
        <f>_xlfn.IFNA(TEXT(VLOOKUP(INDEX(男子エントリー!$J$7:$AF$406,MATCH(LEFT($B41,FIND("(",$B41)-1)&amp;RIGHT(O$1,1),男子エントリー!$AF$7:$AF$406,0),1),競技会設定!$P$2:$S$22,4,0),"000")&amp;"00 "&amp;IF(VLOOKUP(INDEX(男子エントリー!$J$7:$AF$406,MATCH(LEFT($B41,FIND("(",$B41)-1)&amp;RIGHT(O$1,1),男子エントリー!$AF$7:$AF$406,0),1),競技会設定!$P$2:$S$22,4,0)&gt;70,TEXT(INDEX(男子エントリー!$J$7:$AF$406,MATCH(LEFT($B41,FIND("(",$B41)-1)&amp;RIGHT(O$1,1),男子エントリー!$AF$7:$AF$406,0),3),"00000"),TEXT(INDEX(男子エントリー!$J$7:$AF$406,MATCH(LEFT($B41,FIND("(",$B41)-1)&amp;RIGHT(O$1,1),男子エントリー!$AF$7:$AF$406,0),3),"0000000")),"")</f>
        <v/>
      </c>
    </row>
    <row r="42" spans="1:15">
      <c r="A42" s="92" t="str">
        <f>男子エントリー!D167</f>
        <v/>
      </c>
      <c r="B42" s="1" t="str">
        <f>男子エントリー!E167&amp;"("&amp;男子エントリー!G167&amp;")"</f>
        <v>()</v>
      </c>
      <c r="C42" s="92" t="str">
        <f>男子エントリー!F167</f>
        <v/>
      </c>
      <c r="D42" s="92" t="str">
        <f>男子エントリー!E169</f>
        <v/>
      </c>
      <c r="E42" s="92" t="str">
        <f>男子エントリー!G169</f>
        <v/>
      </c>
      <c r="F42" s="1" t="str">
        <f t="shared" si="0"/>
        <v/>
      </c>
      <c r="G42" s="92" t="str">
        <f>_xlfn.IFNA(VLOOKUP(男子エントリー!G168,競技会設定!$D$3:$E$49,2,0),"")</f>
        <v/>
      </c>
      <c r="H42" s="92" t="str">
        <f>_xlfn.IFNA(INDEX(競技会設定!$J$3:$O$47,MATCH(男子エントリー!H167,競技会設定!$N$3:$N$47,0),2),"")</f>
        <v/>
      </c>
      <c r="K42" s="92">
        <f>男子エントリー!C167</f>
        <v>0</v>
      </c>
      <c r="L42" s="1" t="str">
        <f>_xlfn.IFNA(TEXT(VLOOKUP(INDEX(男子エントリー!$J$7:$AF$406,MATCH(LEFT($B42,FIND("(",$B42)-1)&amp;RIGHT(L$1,1),男子エントリー!$AF$7:$AF$406,0),1),競技会設定!$P$2:$S$22,4,0),"000")&amp;"00 "&amp;IF(VLOOKUP(INDEX(男子エントリー!$J$7:$AF$406,MATCH(LEFT($B42,FIND("(",$B42)-1)&amp;RIGHT(L$1,1),男子エントリー!$AF$7:$AF$406,0),1),競技会設定!$P$2:$S$22,4,0)&gt;70,TEXT(INDEX(男子エントリー!$J$7:$AF$406,MATCH(LEFT($B42,FIND("(",$B42)-1)&amp;RIGHT(L$1,1),男子エントリー!$AF$7:$AF$406,0),3),"00000"),TEXT(INDEX(男子エントリー!$J$7:$AF$406,MATCH(LEFT($B42,FIND("(",$B42)-1)&amp;RIGHT(L$1,1),男子エントリー!$AF$7:$AF$406,0),3),"0000000")),"")</f>
        <v/>
      </c>
      <c r="M42" s="1" t="str">
        <f>_xlfn.IFNA(TEXT(VLOOKUP(INDEX(男子エントリー!$J$7:$AF$406,MATCH(LEFT($B42,FIND("(",$B42)-1)&amp;RIGHT(M$1,1),男子エントリー!$AF$7:$AF$406,0),1),競技会設定!$P$2:$S$22,4,0),"000")&amp;"00 "&amp;IF(VLOOKUP(INDEX(男子エントリー!$J$7:$AF$406,MATCH(LEFT($B42,FIND("(",$B42)-1)&amp;RIGHT(M$1,1),男子エントリー!$AF$7:$AF$406,0),1),競技会設定!$P$2:$S$22,4,0)&gt;70,TEXT(INDEX(男子エントリー!$J$7:$AF$406,MATCH(LEFT($B42,FIND("(",$B42)-1)&amp;RIGHT(M$1,1),男子エントリー!$AF$7:$AF$406,0),3),"00000"),TEXT(INDEX(男子エントリー!$J$7:$AF$406,MATCH(LEFT($B42,FIND("(",$B42)-1)&amp;RIGHT(M$1,1),男子エントリー!$AF$7:$AF$406,0),3),"0000000")),"")</f>
        <v/>
      </c>
      <c r="N42" s="1" t="str">
        <f>_xlfn.IFNA(TEXT(VLOOKUP(INDEX(男子エントリー!$J$7:$AF$406,MATCH(LEFT($B42,FIND("(",$B42)-1)&amp;RIGHT(N$1,1),男子エントリー!$AF$7:$AF$406,0),1),競技会設定!$P$2:$S$22,4,0),"000")&amp;"00 "&amp;IF(VLOOKUP(INDEX(男子エントリー!$J$7:$AF$406,MATCH(LEFT($B42,FIND("(",$B42)-1)&amp;RIGHT(N$1,1),男子エントリー!$AF$7:$AF$406,0),1),競技会設定!$P$2:$S$22,4,0)&gt;70,TEXT(INDEX(男子エントリー!$J$7:$AF$406,MATCH(LEFT($B42,FIND("(",$B42)-1)&amp;RIGHT(N$1,1),男子エントリー!$AF$7:$AF$406,0),3),"00000"),TEXT(INDEX(男子エントリー!$J$7:$AF$406,MATCH(LEFT($B42,FIND("(",$B42)-1)&amp;RIGHT(N$1,1),男子エントリー!$AF$7:$AF$406,0),3),"0000000")),"")</f>
        <v/>
      </c>
      <c r="O42" s="1" t="str">
        <f>_xlfn.IFNA(TEXT(VLOOKUP(INDEX(男子エントリー!$J$7:$AF$406,MATCH(LEFT($B42,FIND("(",$B42)-1)&amp;RIGHT(O$1,1),男子エントリー!$AF$7:$AF$406,0),1),競技会設定!$P$2:$S$22,4,0),"000")&amp;"00 "&amp;IF(VLOOKUP(INDEX(男子エントリー!$J$7:$AF$406,MATCH(LEFT($B42,FIND("(",$B42)-1)&amp;RIGHT(O$1,1),男子エントリー!$AF$7:$AF$406,0),1),競技会設定!$P$2:$S$22,4,0)&gt;70,TEXT(INDEX(男子エントリー!$J$7:$AF$406,MATCH(LEFT($B42,FIND("(",$B42)-1)&amp;RIGHT(O$1,1),男子エントリー!$AF$7:$AF$406,0),3),"00000"),TEXT(INDEX(男子エントリー!$J$7:$AF$406,MATCH(LEFT($B42,FIND("(",$B42)-1)&amp;RIGHT(O$1,1),男子エントリー!$AF$7:$AF$406,0),3),"0000000")),"")</f>
        <v/>
      </c>
    </row>
    <row r="43" spans="1:15">
      <c r="A43" s="92" t="str">
        <f>男子エントリー!D171</f>
        <v/>
      </c>
      <c r="B43" s="1" t="str">
        <f>男子エントリー!E171&amp;"("&amp;男子エントリー!G171&amp;")"</f>
        <v>()</v>
      </c>
      <c r="C43" s="92" t="str">
        <f>男子エントリー!F171</f>
        <v/>
      </c>
      <c r="D43" s="92" t="str">
        <f>男子エントリー!E173</f>
        <v/>
      </c>
      <c r="E43" s="92" t="str">
        <f>男子エントリー!G173</f>
        <v/>
      </c>
      <c r="F43" s="1" t="str">
        <f t="shared" si="0"/>
        <v/>
      </c>
      <c r="G43" s="92" t="str">
        <f>_xlfn.IFNA(VLOOKUP(男子エントリー!G172,競技会設定!$D$3:$E$49,2,0),"")</f>
        <v/>
      </c>
      <c r="H43" s="92" t="str">
        <f>_xlfn.IFNA(INDEX(競技会設定!$J$3:$O$47,MATCH(男子エントリー!H171,競技会設定!$N$3:$N$47,0),2),"")</f>
        <v/>
      </c>
      <c r="K43" s="92">
        <f>男子エントリー!C171</f>
        <v>0</v>
      </c>
      <c r="L43" s="1" t="str">
        <f>_xlfn.IFNA(TEXT(VLOOKUP(INDEX(男子エントリー!$J$7:$AF$406,MATCH(LEFT($B43,FIND("(",$B43)-1)&amp;RIGHT(L$1,1),男子エントリー!$AF$7:$AF$406,0),1),競技会設定!$P$2:$S$22,4,0),"000")&amp;"00 "&amp;IF(VLOOKUP(INDEX(男子エントリー!$J$7:$AF$406,MATCH(LEFT($B43,FIND("(",$B43)-1)&amp;RIGHT(L$1,1),男子エントリー!$AF$7:$AF$406,0),1),競技会設定!$P$2:$S$22,4,0)&gt;70,TEXT(INDEX(男子エントリー!$J$7:$AF$406,MATCH(LEFT($B43,FIND("(",$B43)-1)&amp;RIGHT(L$1,1),男子エントリー!$AF$7:$AF$406,0),3),"00000"),TEXT(INDEX(男子エントリー!$J$7:$AF$406,MATCH(LEFT($B43,FIND("(",$B43)-1)&amp;RIGHT(L$1,1),男子エントリー!$AF$7:$AF$406,0),3),"0000000")),"")</f>
        <v/>
      </c>
      <c r="M43" s="1" t="str">
        <f>_xlfn.IFNA(TEXT(VLOOKUP(INDEX(男子エントリー!$J$7:$AF$406,MATCH(LEFT($B43,FIND("(",$B43)-1)&amp;RIGHT(M$1,1),男子エントリー!$AF$7:$AF$406,0),1),競技会設定!$P$2:$S$22,4,0),"000")&amp;"00 "&amp;IF(VLOOKUP(INDEX(男子エントリー!$J$7:$AF$406,MATCH(LEFT($B43,FIND("(",$B43)-1)&amp;RIGHT(M$1,1),男子エントリー!$AF$7:$AF$406,0),1),競技会設定!$P$2:$S$22,4,0)&gt;70,TEXT(INDEX(男子エントリー!$J$7:$AF$406,MATCH(LEFT($B43,FIND("(",$B43)-1)&amp;RIGHT(M$1,1),男子エントリー!$AF$7:$AF$406,0),3),"00000"),TEXT(INDEX(男子エントリー!$J$7:$AF$406,MATCH(LEFT($B43,FIND("(",$B43)-1)&amp;RIGHT(M$1,1),男子エントリー!$AF$7:$AF$406,0),3),"0000000")),"")</f>
        <v/>
      </c>
      <c r="N43" s="1" t="str">
        <f>_xlfn.IFNA(TEXT(VLOOKUP(INDEX(男子エントリー!$J$7:$AF$406,MATCH(LEFT($B43,FIND("(",$B43)-1)&amp;RIGHT(N$1,1),男子エントリー!$AF$7:$AF$406,0),1),競技会設定!$P$2:$S$22,4,0),"000")&amp;"00 "&amp;IF(VLOOKUP(INDEX(男子エントリー!$J$7:$AF$406,MATCH(LEFT($B43,FIND("(",$B43)-1)&amp;RIGHT(N$1,1),男子エントリー!$AF$7:$AF$406,0),1),競技会設定!$P$2:$S$22,4,0)&gt;70,TEXT(INDEX(男子エントリー!$J$7:$AF$406,MATCH(LEFT($B43,FIND("(",$B43)-1)&amp;RIGHT(N$1,1),男子エントリー!$AF$7:$AF$406,0),3),"00000"),TEXT(INDEX(男子エントリー!$J$7:$AF$406,MATCH(LEFT($B43,FIND("(",$B43)-1)&amp;RIGHT(N$1,1),男子エントリー!$AF$7:$AF$406,0),3),"0000000")),"")</f>
        <v/>
      </c>
      <c r="O43" s="1" t="str">
        <f>_xlfn.IFNA(TEXT(VLOOKUP(INDEX(男子エントリー!$J$7:$AF$406,MATCH(LEFT($B43,FIND("(",$B43)-1)&amp;RIGHT(O$1,1),男子エントリー!$AF$7:$AF$406,0),1),競技会設定!$P$2:$S$22,4,0),"000")&amp;"00 "&amp;IF(VLOOKUP(INDEX(男子エントリー!$J$7:$AF$406,MATCH(LEFT($B43,FIND("(",$B43)-1)&amp;RIGHT(O$1,1),男子エントリー!$AF$7:$AF$406,0),1),競技会設定!$P$2:$S$22,4,0)&gt;70,TEXT(INDEX(男子エントリー!$J$7:$AF$406,MATCH(LEFT($B43,FIND("(",$B43)-1)&amp;RIGHT(O$1,1),男子エントリー!$AF$7:$AF$406,0),3),"00000"),TEXT(INDEX(男子エントリー!$J$7:$AF$406,MATCH(LEFT($B43,FIND("(",$B43)-1)&amp;RIGHT(O$1,1),男子エントリー!$AF$7:$AF$406,0),3),"0000000")),"")</f>
        <v/>
      </c>
    </row>
    <row r="44" spans="1:15">
      <c r="A44" s="92" t="str">
        <f>男子エントリー!D175</f>
        <v/>
      </c>
      <c r="B44" s="1" t="str">
        <f>男子エントリー!E175&amp;"("&amp;男子エントリー!G175&amp;")"</f>
        <v>()</v>
      </c>
      <c r="C44" s="92" t="str">
        <f>男子エントリー!F175</f>
        <v/>
      </c>
      <c r="D44" s="92" t="str">
        <f>男子エントリー!E177</f>
        <v/>
      </c>
      <c r="E44" s="92" t="str">
        <f>男子エントリー!G177</f>
        <v/>
      </c>
      <c r="F44" s="1" t="str">
        <f t="shared" si="0"/>
        <v/>
      </c>
      <c r="G44" s="92" t="str">
        <f>_xlfn.IFNA(VLOOKUP(男子エントリー!G176,競技会設定!$D$3:$E$49,2,0),"")</f>
        <v/>
      </c>
      <c r="H44" s="92" t="str">
        <f>_xlfn.IFNA(INDEX(競技会設定!$J$3:$O$47,MATCH(男子エントリー!H175,競技会設定!$N$3:$N$47,0),2),"")</f>
        <v/>
      </c>
      <c r="K44" s="92">
        <f>男子エントリー!C175</f>
        <v>0</v>
      </c>
      <c r="L44" s="1" t="str">
        <f>_xlfn.IFNA(TEXT(VLOOKUP(INDEX(男子エントリー!$J$7:$AF$406,MATCH(LEFT($B44,FIND("(",$B44)-1)&amp;RIGHT(L$1,1),男子エントリー!$AF$7:$AF$406,0),1),競技会設定!$P$2:$S$22,4,0),"000")&amp;"00 "&amp;IF(VLOOKUP(INDEX(男子エントリー!$J$7:$AF$406,MATCH(LEFT($B44,FIND("(",$B44)-1)&amp;RIGHT(L$1,1),男子エントリー!$AF$7:$AF$406,0),1),競技会設定!$P$2:$S$22,4,0)&gt;70,TEXT(INDEX(男子エントリー!$J$7:$AF$406,MATCH(LEFT($B44,FIND("(",$B44)-1)&amp;RIGHT(L$1,1),男子エントリー!$AF$7:$AF$406,0),3),"00000"),TEXT(INDEX(男子エントリー!$J$7:$AF$406,MATCH(LEFT($B44,FIND("(",$B44)-1)&amp;RIGHT(L$1,1),男子エントリー!$AF$7:$AF$406,0),3),"0000000")),"")</f>
        <v/>
      </c>
      <c r="M44" s="1" t="str">
        <f>_xlfn.IFNA(TEXT(VLOOKUP(INDEX(男子エントリー!$J$7:$AF$406,MATCH(LEFT($B44,FIND("(",$B44)-1)&amp;RIGHT(M$1,1),男子エントリー!$AF$7:$AF$406,0),1),競技会設定!$P$2:$S$22,4,0),"000")&amp;"00 "&amp;IF(VLOOKUP(INDEX(男子エントリー!$J$7:$AF$406,MATCH(LEFT($B44,FIND("(",$B44)-1)&amp;RIGHT(M$1,1),男子エントリー!$AF$7:$AF$406,0),1),競技会設定!$P$2:$S$22,4,0)&gt;70,TEXT(INDEX(男子エントリー!$J$7:$AF$406,MATCH(LEFT($B44,FIND("(",$B44)-1)&amp;RIGHT(M$1,1),男子エントリー!$AF$7:$AF$406,0),3),"00000"),TEXT(INDEX(男子エントリー!$J$7:$AF$406,MATCH(LEFT($B44,FIND("(",$B44)-1)&amp;RIGHT(M$1,1),男子エントリー!$AF$7:$AF$406,0),3),"0000000")),"")</f>
        <v/>
      </c>
      <c r="N44" s="1" t="str">
        <f>_xlfn.IFNA(TEXT(VLOOKUP(INDEX(男子エントリー!$J$7:$AF$406,MATCH(LEFT($B44,FIND("(",$B44)-1)&amp;RIGHT(N$1,1),男子エントリー!$AF$7:$AF$406,0),1),競技会設定!$P$2:$S$22,4,0),"000")&amp;"00 "&amp;IF(VLOOKUP(INDEX(男子エントリー!$J$7:$AF$406,MATCH(LEFT($B44,FIND("(",$B44)-1)&amp;RIGHT(N$1,1),男子エントリー!$AF$7:$AF$406,0),1),競技会設定!$P$2:$S$22,4,0)&gt;70,TEXT(INDEX(男子エントリー!$J$7:$AF$406,MATCH(LEFT($B44,FIND("(",$B44)-1)&amp;RIGHT(N$1,1),男子エントリー!$AF$7:$AF$406,0),3),"00000"),TEXT(INDEX(男子エントリー!$J$7:$AF$406,MATCH(LEFT($B44,FIND("(",$B44)-1)&amp;RIGHT(N$1,1),男子エントリー!$AF$7:$AF$406,0),3),"0000000")),"")</f>
        <v/>
      </c>
      <c r="O44" s="1" t="str">
        <f>_xlfn.IFNA(TEXT(VLOOKUP(INDEX(男子エントリー!$J$7:$AF$406,MATCH(LEFT($B44,FIND("(",$B44)-1)&amp;RIGHT(O$1,1),男子エントリー!$AF$7:$AF$406,0),1),競技会設定!$P$2:$S$22,4,0),"000")&amp;"00 "&amp;IF(VLOOKUP(INDEX(男子エントリー!$J$7:$AF$406,MATCH(LEFT($B44,FIND("(",$B44)-1)&amp;RIGHT(O$1,1),男子エントリー!$AF$7:$AF$406,0),1),競技会設定!$P$2:$S$22,4,0)&gt;70,TEXT(INDEX(男子エントリー!$J$7:$AF$406,MATCH(LEFT($B44,FIND("(",$B44)-1)&amp;RIGHT(O$1,1),男子エントリー!$AF$7:$AF$406,0),3),"00000"),TEXT(INDEX(男子エントリー!$J$7:$AF$406,MATCH(LEFT($B44,FIND("(",$B44)-1)&amp;RIGHT(O$1,1),男子エントリー!$AF$7:$AF$406,0),3),"0000000")),"")</f>
        <v/>
      </c>
    </row>
    <row r="45" spans="1:15">
      <c r="A45" s="92" t="str">
        <f>男子エントリー!D179</f>
        <v/>
      </c>
      <c r="B45" s="1" t="str">
        <f>男子エントリー!E179&amp;"("&amp;男子エントリー!G179&amp;")"</f>
        <v>()</v>
      </c>
      <c r="C45" s="92" t="str">
        <f>男子エントリー!F179</f>
        <v/>
      </c>
      <c r="D45" s="92" t="str">
        <f>男子エントリー!E181</f>
        <v/>
      </c>
      <c r="E45" s="92" t="str">
        <f>男子エントリー!G181</f>
        <v/>
      </c>
      <c r="F45" s="1" t="str">
        <f t="shared" si="0"/>
        <v/>
      </c>
      <c r="G45" s="92" t="str">
        <f>_xlfn.IFNA(VLOOKUP(男子エントリー!G180,競技会設定!$D$3:$E$49,2,0),"")</f>
        <v/>
      </c>
      <c r="H45" s="92" t="str">
        <f>_xlfn.IFNA(INDEX(競技会設定!$J$3:$O$47,MATCH(男子エントリー!H179,競技会設定!$N$3:$N$47,0),2),"")</f>
        <v/>
      </c>
      <c r="K45" s="92">
        <f>男子エントリー!C179</f>
        <v>0</v>
      </c>
      <c r="L45" s="1" t="str">
        <f>_xlfn.IFNA(TEXT(VLOOKUP(INDEX(男子エントリー!$J$7:$AF$406,MATCH(LEFT($B45,FIND("(",$B45)-1)&amp;RIGHT(L$1,1),男子エントリー!$AF$7:$AF$406,0),1),競技会設定!$P$2:$S$22,4,0),"000")&amp;"00 "&amp;IF(VLOOKUP(INDEX(男子エントリー!$J$7:$AF$406,MATCH(LEFT($B45,FIND("(",$B45)-1)&amp;RIGHT(L$1,1),男子エントリー!$AF$7:$AF$406,0),1),競技会設定!$P$2:$S$22,4,0)&gt;70,TEXT(INDEX(男子エントリー!$J$7:$AF$406,MATCH(LEFT($B45,FIND("(",$B45)-1)&amp;RIGHT(L$1,1),男子エントリー!$AF$7:$AF$406,0),3),"00000"),TEXT(INDEX(男子エントリー!$J$7:$AF$406,MATCH(LEFT($B45,FIND("(",$B45)-1)&amp;RIGHT(L$1,1),男子エントリー!$AF$7:$AF$406,0),3),"0000000")),"")</f>
        <v/>
      </c>
      <c r="M45" s="1" t="str">
        <f>_xlfn.IFNA(TEXT(VLOOKUP(INDEX(男子エントリー!$J$7:$AF$406,MATCH(LEFT($B45,FIND("(",$B45)-1)&amp;RIGHT(M$1,1),男子エントリー!$AF$7:$AF$406,0),1),競技会設定!$P$2:$S$22,4,0),"000")&amp;"00 "&amp;IF(VLOOKUP(INDEX(男子エントリー!$J$7:$AF$406,MATCH(LEFT($B45,FIND("(",$B45)-1)&amp;RIGHT(M$1,1),男子エントリー!$AF$7:$AF$406,0),1),競技会設定!$P$2:$S$22,4,0)&gt;70,TEXT(INDEX(男子エントリー!$J$7:$AF$406,MATCH(LEFT($B45,FIND("(",$B45)-1)&amp;RIGHT(M$1,1),男子エントリー!$AF$7:$AF$406,0),3),"00000"),TEXT(INDEX(男子エントリー!$J$7:$AF$406,MATCH(LEFT($B45,FIND("(",$B45)-1)&amp;RIGHT(M$1,1),男子エントリー!$AF$7:$AF$406,0),3),"0000000")),"")</f>
        <v/>
      </c>
      <c r="N45" s="1" t="str">
        <f>_xlfn.IFNA(TEXT(VLOOKUP(INDEX(男子エントリー!$J$7:$AF$406,MATCH(LEFT($B45,FIND("(",$B45)-1)&amp;RIGHT(N$1,1),男子エントリー!$AF$7:$AF$406,0),1),競技会設定!$P$2:$S$22,4,0),"000")&amp;"00 "&amp;IF(VLOOKUP(INDEX(男子エントリー!$J$7:$AF$406,MATCH(LEFT($B45,FIND("(",$B45)-1)&amp;RIGHT(N$1,1),男子エントリー!$AF$7:$AF$406,0),1),競技会設定!$P$2:$S$22,4,0)&gt;70,TEXT(INDEX(男子エントリー!$J$7:$AF$406,MATCH(LEFT($B45,FIND("(",$B45)-1)&amp;RIGHT(N$1,1),男子エントリー!$AF$7:$AF$406,0),3),"00000"),TEXT(INDEX(男子エントリー!$J$7:$AF$406,MATCH(LEFT($B45,FIND("(",$B45)-1)&amp;RIGHT(N$1,1),男子エントリー!$AF$7:$AF$406,0),3),"0000000")),"")</f>
        <v/>
      </c>
      <c r="O45" s="1" t="str">
        <f>_xlfn.IFNA(TEXT(VLOOKUP(INDEX(男子エントリー!$J$7:$AF$406,MATCH(LEFT($B45,FIND("(",$B45)-1)&amp;RIGHT(O$1,1),男子エントリー!$AF$7:$AF$406,0),1),競技会設定!$P$2:$S$22,4,0),"000")&amp;"00 "&amp;IF(VLOOKUP(INDEX(男子エントリー!$J$7:$AF$406,MATCH(LEFT($B45,FIND("(",$B45)-1)&amp;RIGHT(O$1,1),男子エントリー!$AF$7:$AF$406,0),1),競技会設定!$P$2:$S$22,4,0)&gt;70,TEXT(INDEX(男子エントリー!$J$7:$AF$406,MATCH(LEFT($B45,FIND("(",$B45)-1)&amp;RIGHT(O$1,1),男子エントリー!$AF$7:$AF$406,0),3),"00000"),TEXT(INDEX(男子エントリー!$J$7:$AF$406,MATCH(LEFT($B45,FIND("(",$B45)-1)&amp;RIGHT(O$1,1),男子エントリー!$AF$7:$AF$406,0),3),"0000000")),"")</f>
        <v/>
      </c>
    </row>
    <row r="46" spans="1:15">
      <c r="A46" s="92" t="str">
        <f>男子エントリー!D183</f>
        <v/>
      </c>
      <c r="B46" s="1" t="str">
        <f>男子エントリー!E183&amp;"("&amp;男子エントリー!G183&amp;")"</f>
        <v>()</v>
      </c>
      <c r="C46" s="92" t="str">
        <f>男子エントリー!F183</f>
        <v/>
      </c>
      <c r="D46" s="92" t="str">
        <f>男子エントリー!E185</f>
        <v/>
      </c>
      <c r="E46" s="92" t="str">
        <f>男子エントリー!G185</f>
        <v/>
      </c>
      <c r="F46" s="1" t="str">
        <f t="shared" si="0"/>
        <v/>
      </c>
      <c r="G46" s="92" t="str">
        <f>_xlfn.IFNA(VLOOKUP(男子エントリー!G184,競技会設定!$D$3:$E$49,2,0),"")</f>
        <v/>
      </c>
      <c r="H46" s="92" t="str">
        <f>_xlfn.IFNA(INDEX(競技会設定!$J$3:$O$47,MATCH(男子エントリー!H183,競技会設定!$N$3:$N$47,0),2),"")</f>
        <v/>
      </c>
      <c r="K46" s="92">
        <f>男子エントリー!C183</f>
        <v>0</v>
      </c>
      <c r="L46" s="1" t="str">
        <f>_xlfn.IFNA(TEXT(VLOOKUP(INDEX(男子エントリー!$J$7:$AF$406,MATCH(LEFT($B46,FIND("(",$B46)-1)&amp;RIGHT(L$1,1),男子エントリー!$AF$7:$AF$406,0),1),競技会設定!$P$2:$S$22,4,0),"000")&amp;"00 "&amp;IF(VLOOKUP(INDEX(男子エントリー!$J$7:$AF$406,MATCH(LEFT($B46,FIND("(",$B46)-1)&amp;RIGHT(L$1,1),男子エントリー!$AF$7:$AF$406,0),1),競技会設定!$P$2:$S$22,4,0)&gt;70,TEXT(INDEX(男子エントリー!$J$7:$AF$406,MATCH(LEFT($B46,FIND("(",$B46)-1)&amp;RIGHT(L$1,1),男子エントリー!$AF$7:$AF$406,0),3),"00000"),TEXT(INDEX(男子エントリー!$J$7:$AF$406,MATCH(LEFT($B46,FIND("(",$B46)-1)&amp;RIGHT(L$1,1),男子エントリー!$AF$7:$AF$406,0),3),"0000000")),"")</f>
        <v/>
      </c>
      <c r="M46" s="1" t="str">
        <f>_xlfn.IFNA(TEXT(VLOOKUP(INDEX(男子エントリー!$J$7:$AF$406,MATCH(LEFT($B46,FIND("(",$B46)-1)&amp;RIGHT(M$1,1),男子エントリー!$AF$7:$AF$406,0),1),競技会設定!$P$2:$S$22,4,0),"000")&amp;"00 "&amp;IF(VLOOKUP(INDEX(男子エントリー!$J$7:$AF$406,MATCH(LEFT($B46,FIND("(",$B46)-1)&amp;RIGHT(M$1,1),男子エントリー!$AF$7:$AF$406,0),1),競技会設定!$P$2:$S$22,4,0)&gt;70,TEXT(INDEX(男子エントリー!$J$7:$AF$406,MATCH(LEFT($B46,FIND("(",$B46)-1)&amp;RIGHT(M$1,1),男子エントリー!$AF$7:$AF$406,0),3),"00000"),TEXT(INDEX(男子エントリー!$J$7:$AF$406,MATCH(LEFT($B46,FIND("(",$B46)-1)&amp;RIGHT(M$1,1),男子エントリー!$AF$7:$AF$406,0),3),"0000000")),"")</f>
        <v/>
      </c>
      <c r="N46" s="1" t="str">
        <f>_xlfn.IFNA(TEXT(VLOOKUP(INDEX(男子エントリー!$J$7:$AF$406,MATCH(LEFT($B46,FIND("(",$B46)-1)&amp;RIGHT(N$1,1),男子エントリー!$AF$7:$AF$406,0),1),競技会設定!$P$2:$S$22,4,0),"000")&amp;"00 "&amp;IF(VLOOKUP(INDEX(男子エントリー!$J$7:$AF$406,MATCH(LEFT($B46,FIND("(",$B46)-1)&amp;RIGHT(N$1,1),男子エントリー!$AF$7:$AF$406,0),1),競技会設定!$P$2:$S$22,4,0)&gt;70,TEXT(INDEX(男子エントリー!$J$7:$AF$406,MATCH(LEFT($B46,FIND("(",$B46)-1)&amp;RIGHT(N$1,1),男子エントリー!$AF$7:$AF$406,0),3),"00000"),TEXT(INDEX(男子エントリー!$J$7:$AF$406,MATCH(LEFT($B46,FIND("(",$B46)-1)&amp;RIGHT(N$1,1),男子エントリー!$AF$7:$AF$406,0),3),"0000000")),"")</f>
        <v/>
      </c>
      <c r="O46" s="1" t="str">
        <f>_xlfn.IFNA(TEXT(VLOOKUP(INDEX(男子エントリー!$J$7:$AF$406,MATCH(LEFT($B46,FIND("(",$B46)-1)&amp;RIGHT(O$1,1),男子エントリー!$AF$7:$AF$406,0),1),競技会設定!$P$2:$S$22,4,0),"000")&amp;"00 "&amp;IF(VLOOKUP(INDEX(男子エントリー!$J$7:$AF$406,MATCH(LEFT($B46,FIND("(",$B46)-1)&amp;RIGHT(O$1,1),男子エントリー!$AF$7:$AF$406,0),1),競技会設定!$P$2:$S$22,4,0)&gt;70,TEXT(INDEX(男子エントリー!$J$7:$AF$406,MATCH(LEFT($B46,FIND("(",$B46)-1)&amp;RIGHT(O$1,1),男子エントリー!$AF$7:$AF$406,0),3),"00000"),TEXT(INDEX(男子エントリー!$J$7:$AF$406,MATCH(LEFT($B46,FIND("(",$B46)-1)&amp;RIGHT(O$1,1),男子エントリー!$AF$7:$AF$406,0),3),"0000000")),"")</f>
        <v/>
      </c>
    </row>
    <row r="47" spans="1:15">
      <c r="A47" s="92" t="str">
        <f>男子エントリー!D187</f>
        <v/>
      </c>
      <c r="B47" s="1" t="str">
        <f>男子エントリー!E187&amp;"("&amp;男子エントリー!G187&amp;")"</f>
        <v>()</v>
      </c>
      <c r="C47" s="92" t="str">
        <f>男子エントリー!F187</f>
        <v/>
      </c>
      <c r="D47" s="92" t="str">
        <f>男子エントリー!E189</f>
        <v/>
      </c>
      <c r="E47" s="92" t="str">
        <f>男子エントリー!G189</f>
        <v/>
      </c>
      <c r="F47" s="1" t="str">
        <f t="shared" si="0"/>
        <v/>
      </c>
      <c r="G47" s="92" t="str">
        <f>_xlfn.IFNA(VLOOKUP(男子エントリー!G188,競技会設定!$D$3:$E$49,2,0),"")</f>
        <v/>
      </c>
      <c r="H47" s="92" t="str">
        <f>_xlfn.IFNA(INDEX(競技会設定!$J$3:$O$47,MATCH(男子エントリー!H187,競技会設定!$N$3:$N$47,0),2),"")</f>
        <v/>
      </c>
      <c r="K47" s="92">
        <f>男子エントリー!C187</f>
        <v>0</v>
      </c>
      <c r="L47" s="1" t="str">
        <f>_xlfn.IFNA(TEXT(VLOOKUP(INDEX(男子エントリー!$J$7:$AF$406,MATCH(LEFT($B47,FIND("(",$B47)-1)&amp;RIGHT(L$1,1),男子エントリー!$AF$7:$AF$406,0),1),競技会設定!$P$2:$S$22,4,0),"000")&amp;"00 "&amp;IF(VLOOKUP(INDEX(男子エントリー!$J$7:$AF$406,MATCH(LEFT($B47,FIND("(",$B47)-1)&amp;RIGHT(L$1,1),男子エントリー!$AF$7:$AF$406,0),1),競技会設定!$P$2:$S$22,4,0)&gt;70,TEXT(INDEX(男子エントリー!$J$7:$AF$406,MATCH(LEFT($B47,FIND("(",$B47)-1)&amp;RIGHT(L$1,1),男子エントリー!$AF$7:$AF$406,0),3),"00000"),TEXT(INDEX(男子エントリー!$J$7:$AF$406,MATCH(LEFT($B47,FIND("(",$B47)-1)&amp;RIGHT(L$1,1),男子エントリー!$AF$7:$AF$406,0),3),"0000000")),"")</f>
        <v/>
      </c>
      <c r="M47" s="1" t="str">
        <f>_xlfn.IFNA(TEXT(VLOOKUP(INDEX(男子エントリー!$J$7:$AF$406,MATCH(LEFT($B47,FIND("(",$B47)-1)&amp;RIGHT(M$1,1),男子エントリー!$AF$7:$AF$406,0),1),競技会設定!$P$2:$S$22,4,0),"000")&amp;"00 "&amp;IF(VLOOKUP(INDEX(男子エントリー!$J$7:$AF$406,MATCH(LEFT($B47,FIND("(",$B47)-1)&amp;RIGHT(M$1,1),男子エントリー!$AF$7:$AF$406,0),1),競技会設定!$P$2:$S$22,4,0)&gt;70,TEXT(INDEX(男子エントリー!$J$7:$AF$406,MATCH(LEFT($B47,FIND("(",$B47)-1)&amp;RIGHT(M$1,1),男子エントリー!$AF$7:$AF$406,0),3),"00000"),TEXT(INDEX(男子エントリー!$J$7:$AF$406,MATCH(LEFT($B47,FIND("(",$B47)-1)&amp;RIGHT(M$1,1),男子エントリー!$AF$7:$AF$406,0),3),"0000000")),"")</f>
        <v/>
      </c>
      <c r="N47" s="1" t="str">
        <f>_xlfn.IFNA(TEXT(VLOOKUP(INDEX(男子エントリー!$J$7:$AF$406,MATCH(LEFT($B47,FIND("(",$B47)-1)&amp;RIGHT(N$1,1),男子エントリー!$AF$7:$AF$406,0),1),競技会設定!$P$2:$S$22,4,0),"000")&amp;"00 "&amp;IF(VLOOKUP(INDEX(男子エントリー!$J$7:$AF$406,MATCH(LEFT($B47,FIND("(",$B47)-1)&amp;RIGHT(N$1,1),男子エントリー!$AF$7:$AF$406,0),1),競技会設定!$P$2:$S$22,4,0)&gt;70,TEXT(INDEX(男子エントリー!$J$7:$AF$406,MATCH(LEFT($B47,FIND("(",$B47)-1)&amp;RIGHT(N$1,1),男子エントリー!$AF$7:$AF$406,0),3),"00000"),TEXT(INDEX(男子エントリー!$J$7:$AF$406,MATCH(LEFT($B47,FIND("(",$B47)-1)&amp;RIGHT(N$1,1),男子エントリー!$AF$7:$AF$406,0),3),"0000000")),"")</f>
        <v/>
      </c>
      <c r="O47" s="1" t="str">
        <f>_xlfn.IFNA(TEXT(VLOOKUP(INDEX(男子エントリー!$J$7:$AF$406,MATCH(LEFT($B47,FIND("(",$B47)-1)&amp;RIGHT(O$1,1),男子エントリー!$AF$7:$AF$406,0),1),競技会設定!$P$2:$S$22,4,0),"000")&amp;"00 "&amp;IF(VLOOKUP(INDEX(男子エントリー!$J$7:$AF$406,MATCH(LEFT($B47,FIND("(",$B47)-1)&amp;RIGHT(O$1,1),男子エントリー!$AF$7:$AF$406,0),1),競技会設定!$P$2:$S$22,4,0)&gt;70,TEXT(INDEX(男子エントリー!$J$7:$AF$406,MATCH(LEFT($B47,FIND("(",$B47)-1)&amp;RIGHT(O$1,1),男子エントリー!$AF$7:$AF$406,0),3),"00000"),TEXT(INDEX(男子エントリー!$J$7:$AF$406,MATCH(LEFT($B47,FIND("(",$B47)-1)&amp;RIGHT(O$1,1),男子エントリー!$AF$7:$AF$406,0),3),"0000000")),"")</f>
        <v/>
      </c>
    </row>
    <row r="48" spans="1:15">
      <c r="A48" s="92" t="str">
        <f>男子エントリー!D191</f>
        <v/>
      </c>
      <c r="B48" s="1" t="str">
        <f>男子エントリー!E191&amp;"("&amp;男子エントリー!G191&amp;")"</f>
        <v>()</v>
      </c>
      <c r="C48" s="92" t="str">
        <f>男子エントリー!F191</f>
        <v/>
      </c>
      <c r="D48" s="92" t="str">
        <f>男子エントリー!E193</f>
        <v/>
      </c>
      <c r="E48" s="92" t="str">
        <f>男子エントリー!G193</f>
        <v/>
      </c>
      <c r="F48" s="1" t="str">
        <f t="shared" si="0"/>
        <v/>
      </c>
      <c r="G48" s="92" t="str">
        <f>_xlfn.IFNA(VLOOKUP(男子エントリー!G192,競技会設定!$D$3:$E$49,2,0),"")</f>
        <v/>
      </c>
      <c r="H48" s="92" t="str">
        <f>_xlfn.IFNA(INDEX(競技会設定!$J$3:$O$47,MATCH(男子エントリー!H191,競技会設定!$N$3:$N$47,0),2),"")</f>
        <v/>
      </c>
      <c r="K48" s="92">
        <f>男子エントリー!C191</f>
        <v>0</v>
      </c>
      <c r="L48" s="1" t="str">
        <f>_xlfn.IFNA(TEXT(VLOOKUP(INDEX(男子エントリー!$J$7:$AF$406,MATCH(LEFT($B48,FIND("(",$B48)-1)&amp;RIGHT(L$1,1),男子エントリー!$AF$7:$AF$406,0),1),競技会設定!$P$2:$S$22,4,0),"000")&amp;"00 "&amp;IF(VLOOKUP(INDEX(男子エントリー!$J$7:$AF$406,MATCH(LEFT($B48,FIND("(",$B48)-1)&amp;RIGHT(L$1,1),男子エントリー!$AF$7:$AF$406,0),1),競技会設定!$P$2:$S$22,4,0)&gt;70,TEXT(INDEX(男子エントリー!$J$7:$AF$406,MATCH(LEFT($B48,FIND("(",$B48)-1)&amp;RIGHT(L$1,1),男子エントリー!$AF$7:$AF$406,0),3),"00000"),TEXT(INDEX(男子エントリー!$J$7:$AF$406,MATCH(LEFT($B48,FIND("(",$B48)-1)&amp;RIGHT(L$1,1),男子エントリー!$AF$7:$AF$406,0),3),"0000000")),"")</f>
        <v/>
      </c>
      <c r="M48" s="1" t="str">
        <f>_xlfn.IFNA(TEXT(VLOOKUP(INDEX(男子エントリー!$J$7:$AF$406,MATCH(LEFT($B48,FIND("(",$B48)-1)&amp;RIGHT(M$1,1),男子エントリー!$AF$7:$AF$406,0),1),競技会設定!$P$2:$S$22,4,0),"000")&amp;"00 "&amp;IF(VLOOKUP(INDEX(男子エントリー!$J$7:$AF$406,MATCH(LEFT($B48,FIND("(",$B48)-1)&amp;RIGHT(M$1,1),男子エントリー!$AF$7:$AF$406,0),1),競技会設定!$P$2:$S$22,4,0)&gt;70,TEXT(INDEX(男子エントリー!$J$7:$AF$406,MATCH(LEFT($B48,FIND("(",$B48)-1)&amp;RIGHT(M$1,1),男子エントリー!$AF$7:$AF$406,0),3),"00000"),TEXT(INDEX(男子エントリー!$J$7:$AF$406,MATCH(LEFT($B48,FIND("(",$B48)-1)&amp;RIGHT(M$1,1),男子エントリー!$AF$7:$AF$406,0),3),"0000000")),"")</f>
        <v/>
      </c>
      <c r="N48" s="1" t="str">
        <f>_xlfn.IFNA(TEXT(VLOOKUP(INDEX(男子エントリー!$J$7:$AF$406,MATCH(LEFT($B48,FIND("(",$B48)-1)&amp;RIGHT(N$1,1),男子エントリー!$AF$7:$AF$406,0),1),競技会設定!$P$2:$S$22,4,0),"000")&amp;"00 "&amp;IF(VLOOKUP(INDEX(男子エントリー!$J$7:$AF$406,MATCH(LEFT($B48,FIND("(",$B48)-1)&amp;RIGHT(N$1,1),男子エントリー!$AF$7:$AF$406,0),1),競技会設定!$P$2:$S$22,4,0)&gt;70,TEXT(INDEX(男子エントリー!$J$7:$AF$406,MATCH(LEFT($B48,FIND("(",$B48)-1)&amp;RIGHT(N$1,1),男子エントリー!$AF$7:$AF$406,0),3),"00000"),TEXT(INDEX(男子エントリー!$J$7:$AF$406,MATCH(LEFT($B48,FIND("(",$B48)-1)&amp;RIGHT(N$1,1),男子エントリー!$AF$7:$AF$406,0),3),"0000000")),"")</f>
        <v/>
      </c>
      <c r="O48" s="1" t="str">
        <f>_xlfn.IFNA(TEXT(VLOOKUP(INDEX(男子エントリー!$J$7:$AF$406,MATCH(LEFT($B48,FIND("(",$B48)-1)&amp;RIGHT(O$1,1),男子エントリー!$AF$7:$AF$406,0),1),競技会設定!$P$2:$S$22,4,0),"000")&amp;"00 "&amp;IF(VLOOKUP(INDEX(男子エントリー!$J$7:$AF$406,MATCH(LEFT($B48,FIND("(",$B48)-1)&amp;RIGHT(O$1,1),男子エントリー!$AF$7:$AF$406,0),1),競技会設定!$P$2:$S$22,4,0)&gt;70,TEXT(INDEX(男子エントリー!$J$7:$AF$406,MATCH(LEFT($B48,FIND("(",$B48)-1)&amp;RIGHT(O$1,1),男子エントリー!$AF$7:$AF$406,0),3),"00000"),TEXT(INDEX(男子エントリー!$J$7:$AF$406,MATCH(LEFT($B48,FIND("(",$B48)-1)&amp;RIGHT(O$1,1),男子エントリー!$AF$7:$AF$406,0),3),"0000000")),"")</f>
        <v/>
      </c>
    </row>
    <row r="49" spans="1:15">
      <c r="A49" s="92" t="str">
        <f>男子エントリー!D195</f>
        <v/>
      </c>
      <c r="B49" s="1" t="str">
        <f>男子エントリー!E195&amp;"("&amp;男子エントリー!G195&amp;")"</f>
        <v>()</v>
      </c>
      <c r="C49" s="92" t="str">
        <f>男子エントリー!F195</f>
        <v/>
      </c>
      <c r="D49" s="92" t="str">
        <f>男子エントリー!E197</f>
        <v/>
      </c>
      <c r="E49" s="92" t="str">
        <f>男子エントリー!G197</f>
        <v/>
      </c>
      <c r="F49" s="1" t="str">
        <f t="shared" si="0"/>
        <v/>
      </c>
      <c r="G49" s="92" t="str">
        <f>_xlfn.IFNA(VLOOKUP(男子エントリー!G196,競技会設定!$D$3:$E$49,2,0),"")</f>
        <v/>
      </c>
      <c r="H49" s="92" t="str">
        <f>_xlfn.IFNA(INDEX(競技会設定!$J$3:$O$47,MATCH(男子エントリー!H195,競技会設定!$N$3:$N$47,0),2),"")</f>
        <v/>
      </c>
      <c r="K49" s="92">
        <f>男子エントリー!C195</f>
        <v>0</v>
      </c>
      <c r="L49" s="1" t="str">
        <f>_xlfn.IFNA(TEXT(VLOOKUP(INDEX(男子エントリー!$J$7:$AF$406,MATCH(LEFT($B49,FIND("(",$B49)-1)&amp;RIGHT(L$1,1),男子エントリー!$AF$7:$AF$406,0),1),競技会設定!$P$2:$S$22,4,0),"000")&amp;"00 "&amp;IF(VLOOKUP(INDEX(男子エントリー!$J$7:$AF$406,MATCH(LEFT($B49,FIND("(",$B49)-1)&amp;RIGHT(L$1,1),男子エントリー!$AF$7:$AF$406,0),1),競技会設定!$P$2:$S$22,4,0)&gt;70,TEXT(INDEX(男子エントリー!$J$7:$AF$406,MATCH(LEFT($B49,FIND("(",$B49)-1)&amp;RIGHT(L$1,1),男子エントリー!$AF$7:$AF$406,0),3),"00000"),TEXT(INDEX(男子エントリー!$J$7:$AF$406,MATCH(LEFT($B49,FIND("(",$B49)-1)&amp;RIGHT(L$1,1),男子エントリー!$AF$7:$AF$406,0),3),"0000000")),"")</f>
        <v/>
      </c>
      <c r="M49" s="1" t="str">
        <f>_xlfn.IFNA(TEXT(VLOOKUP(INDEX(男子エントリー!$J$7:$AF$406,MATCH(LEFT($B49,FIND("(",$B49)-1)&amp;RIGHT(M$1,1),男子エントリー!$AF$7:$AF$406,0),1),競技会設定!$P$2:$S$22,4,0),"000")&amp;"00 "&amp;IF(VLOOKUP(INDEX(男子エントリー!$J$7:$AF$406,MATCH(LEFT($B49,FIND("(",$B49)-1)&amp;RIGHT(M$1,1),男子エントリー!$AF$7:$AF$406,0),1),競技会設定!$P$2:$S$22,4,0)&gt;70,TEXT(INDEX(男子エントリー!$J$7:$AF$406,MATCH(LEFT($B49,FIND("(",$B49)-1)&amp;RIGHT(M$1,1),男子エントリー!$AF$7:$AF$406,0),3),"00000"),TEXT(INDEX(男子エントリー!$J$7:$AF$406,MATCH(LEFT($B49,FIND("(",$B49)-1)&amp;RIGHT(M$1,1),男子エントリー!$AF$7:$AF$406,0),3),"0000000")),"")</f>
        <v/>
      </c>
      <c r="N49" s="1" t="str">
        <f>_xlfn.IFNA(TEXT(VLOOKUP(INDEX(男子エントリー!$J$7:$AF$406,MATCH(LEFT($B49,FIND("(",$B49)-1)&amp;RIGHT(N$1,1),男子エントリー!$AF$7:$AF$406,0),1),競技会設定!$P$2:$S$22,4,0),"000")&amp;"00 "&amp;IF(VLOOKUP(INDEX(男子エントリー!$J$7:$AF$406,MATCH(LEFT($B49,FIND("(",$B49)-1)&amp;RIGHT(N$1,1),男子エントリー!$AF$7:$AF$406,0),1),競技会設定!$P$2:$S$22,4,0)&gt;70,TEXT(INDEX(男子エントリー!$J$7:$AF$406,MATCH(LEFT($B49,FIND("(",$B49)-1)&amp;RIGHT(N$1,1),男子エントリー!$AF$7:$AF$406,0),3),"00000"),TEXT(INDEX(男子エントリー!$J$7:$AF$406,MATCH(LEFT($B49,FIND("(",$B49)-1)&amp;RIGHT(N$1,1),男子エントリー!$AF$7:$AF$406,0),3),"0000000")),"")</f>
        <v/>
      </c>
      <c r="O49" s="1" t="str">
        <f>_xlfn.IFNA(TEXT(VLOOKUP(INDEX(男子エントリー!$J$7:$AF$406,MATCH(LEFT($B49,FIND("(",$B49)-1)&amp;RIGHT(O$1,1),男子エントリー!$AF$7:$AF$406,0),1),競技会設定!$P$2:$S$22,4,0),"000")&amp;"00 "&amp;IF(VLOOKUP(INDEX(男子エントリー!$J$7:$AF$406,MATCH(LEFT($B49,FIND("(",$B49)-1)&amp;RIGHT(O$1,1),男子エントリー!$AF$7:$AF$406,0),1),競技会設定!$P$2:$S$22,4,0)&gt;70,TEXT(INDEX(男子エントリー!$J$7:$AF$406,MATCH(LEFT($B49,FIND("(",$B49)-1)&amp;RIGHT(O$1,1),男子エントリー!$AF$7:$AF$406,0),3),"00000"),TEXT(INDEX(男子エントリー!$J$7:$AF$406,MATCH(LEFT($B49,FIND("(",$B49)-1)&amp;RIGHT(O$1,1),男子エントリー!$AF$7:$AF$406,0),3),"0000000")),"")</f>
        <v/>
      </c>
    </row>
    <row r="50" spans="1:15">
      <c r="A50" s="92" t="str">
        <f>男子エントリー!D199</f>
        <v/>
      </c>
      <c r="B50" s="1" t="str">
        <f>男子エントリー!E199&amp;"("&amp;男子エントリー!G199&amp;")"</f>
        <v>()</v>
      </c>
      <c r="C50" s="92" t="str">
        <f>男子エントリー!F199</f>
        <v/>
      </c>
      <c r="D50" s="92" t="str">
        <f>男子エントリー!E201</f>
        <v/>
      </c>
      <c r="E50" s="92" t="str">
        <f>男子エントリー!G201</f>
        <v/>
      </c>
      <c r="F50" s="1" t="str">
        <f t="shared" si="0"/>
        <v/>
      </c>
      <c r="G50" s="92" t="str">
        <f>_xlfn.IFNA(VLOOKUP(男子エントリー!G200,競技会設定!$D$3:$E$49,2,0),"")</f>
        <v/>
      </c>
      <c r="H50" s="92" t="str">
        <f>_xlfn.IFNA(INDEX(競技会設定!$J$3:$O$47,MATCH(男子エントリー!H199,競技会設定!$N$3:$N$47,0),2),"")</f>
        <v/>
      </c>
      <c r="K50" s="92">
        <f>男子エントリー!C199</f>
        <v>0</v>
      </c>
      <c r="L50" s="1" t="str">
        <f>_xlfn.IFNA(TEXT(VLOOKUP(INDEX(男子エントリー!$J$7:$AF$406,MATCH(LEFT($B50,FIND("(",$B50)-1)&amp;RIGHT(L$1,1),男子エントリー!$AF$7:$AF$406,0),1),競技会設定!$P$2:$S$22,4,0),"000")&amp;"00 "&amp;IF(VLOOKUP(INDEX(男子エントリー!$J$7:$AF$406,MATCH(LEFT($B50,FIND("(",$B50)-1)&amp;RIGHT(L$1,1),男子エントリー!$AF$7:$AF$406,0),1),競技会設定!$P$2:$S$22,4,0)&gt;70,TEXT(INDEX(男子エントリー!$J$7:$AF$406,MATCH(LEFT($B50,FIND("(",$B50)-1)&amp;RIGHT(L$1,1),男子エントリー!$AF$7:$AF$406,0),3),"00000"),TEXT(INDEX(男子エントリー!$J$7:$AF$406,MATCH(LEFT($B50,FIND("(",$B50)-1)&amp;RIGHT(L$1,1),男子エントリー!$AF$7:$AF$406,0),3),"0000000")),"")</f>
        <v/>
      </c>
      <c r="M50" s="1" t="str">
        <f>_xlfn.IFNA(TEXT(VLOOKUP(INDEX(男子エントリー!$J$7:$AF$406,MATCH(LEFT($B50,FIND("(",$B50)-1)&amp;RIGHT(M$1,1),男子エントリー!$AF$7:$AF$406,0),1),競技会設定!$P$2:$S$22,4,0),"000")&amp;"00 "&amp;IF(VLOOKUP(INDEX(男子エントリー!$J$7:$AF$406,MATCH(LEFT($B50,FIND("(",$B50)-1)&amp;RIGHT(M$1,1),男子エントリー!$AF$7:$AF$406,0),1),競技会設定!$P$2:$S$22,4,0)&gt;70,TEXT(INDEX(男子エントリー!$J$7:$AF$406,MATCH(LEFT($B50,FIND("(",$B50)-1)&amp;RIGHT(M$1,1),男子エントリー!$AF$7:$AF$406,0),3),"00000"),TEXT(INDEX(男子エントリー!$J$7:$AF$406,MATCH(LEFT($B50,FIND("(",$B50)-1)&amp;RIGHT(M$1,1),男子エントリー!$AF$7:$AF$406,0),3),"0000000")),"")</f>
        <v/>
      </c>
      <c r="N50" s="1" t="str">
        <f>_xlfn.IFNA(TEXT(VLOOKUP(INDEX(男子エントリー!$J$7:$AF$406,MATCH(LEFT($B50,FIND("(",$B50)-1)&amp;RIGHT(N$1,1),男子エントリー!$AF$7:$AF$406,0),1),競技会設定!$P$2:$S$22,4,0),"000")&amp;"00 "&amp;IF(VLOOKUP(INDEX(男子エントリー!$J$7:$AF$406,MATCH(LEFT($B50,FIND("(",$B50)-1)&amp;RIGHT(N$1,1),男子エントリー!$AF$7:$AF$406,0),1),競技会設定!$P$2:$S$22,4,0)&gt;70,TEXT(INDEX(男子エントリー!$J$7:$AF$406,MATCH(LEFT($B50,FIND("(",$B50)-1)&amp;RIGHT(N$1,1),男子エントリー!$AF$7:$AF$406,0),3),"00000"),TEXT(INDEX(男子エントリー!$J$7:$AF$406,MATCH(LEFT($B50,FIND("(",$B50)-1)&amp;RIGHT(N$1,1),男子エントリー!$AF$7:$AF$406,0),3),"0000000")),"")</f>
        <v/>
      </c>
      <c r="O50" s="1" t="str">
        <f>_xlfn.IFNA(TEXT(VLOOKUP(INDEX(男子エントリー!$J$7:$AF$406,MATCH(LEFT($B50,FIND("(",$B50)-1)&amp;RIGHT(O$1,1),男子エントリー!$AF$7:$AF$406,0),1),競技会設定!$P$2:$S$22,4,0),"000")&amp;"00 "&amp;IF(VLOOKUP(INDEX(男子エントリー!$J$7:$AF$406,MATCH(LEFT($B50,FIND("(",$B50)-1)&amp;RIGHT(O$1,1),男子エントリー!$AF$7:$AF$406,0),1),競技会設定!$P$2:$S$22,4,0)&gt;70,TEXT(INDEX(男子エントリー!$J$7:$AF$406,MATCH(LEFT($B50,FIND("(",$B50)-1)&amp;RIGHT(O$1,1),男子エントリー!$AF$7:$AF$406,0),3),"00000"),TEXT(INDEX(男子エントリー!$J$7:$AF$406,MATCH(LEFT($B50,FIND("(",$B50)-1)&amp;RIGHT(O$1,1),男子エントリー!$AF$7:$AF$406,0),3),"0000000")),"")</f>
        <v/>
      </c>
    </row>
    <row r="51" spans="1:15">
      <c r="A51" s="92" t="str">
        <f>男子エントリー!D203</f>
        <v/>
      </c>
      <c r="B51" s="1" t="str">
        <f>男子エントリー!E203&amp;"("&amp;男子エントリー!G203&amp;")"</f>
        <v>()</v>
      </c>
      <c r="C51" s="92" t="str">
        <f>男子エントリー!F203</f>
        <v/>
      </c>
      <c r="D51" s="92" t="str">
        <f>男子エントリー!E205</f>
        <v/>
      </c>
      <c r="E51" s="92" t="str">
        <f>男子エントリー!G205</f>
        <v/>
      </c>
      <c r="F51" s="1" t="str">
        <f t="shared" si="0"/>
        <v/>
      </c>
      <c r="G51" s="92" t="str">
        <f>_xlfn.IFNA(VLOOKUP(男子エントリー!G204,競技会設定!$D$3:$E$49,2,0),"")</f>
        <v/>
      </c>
      <c r="H51" s="92" t="str">
        <f>_xlfn.IFNA(INDEX(競技会設定!$J$3:$O$47,MATCH(男子エントリー!H203,競技会設定!$N$3:$N$47,0),2),"")</f>
        <v/>
      </c>
      <c r="K51" s="92">
        <f>男子エントリー!C203</f>
        <v>0</v>
      </c>
      <c r="L51" s="1" t="str">
        <f>_xlfn.IFNA(TEXT(VLOOKUP(INDEX(男子エントリー!$J$7:$AF$406,MATCH(LEFT($B51,FIND("(",$B51)-1)&amp;RIGHT(L$1,1),男子エントリー!$AF$7:$AF$406,0),1),競技会設定!$P$2:$S$22,4,0),"000")&amp;"00 "&amp;IF(VLOOKUP(INDEX(男子エントリー!$J$7:$AF$406,MATCH(LEFT($B51,FIND("(",$B51)-1)&amp;RIGHT(L$1,1),男子エントリー!$AF$7:$AF$406,0),1),競技会設定!$P$2:$S$22,4,0)&gt;70,TEXT(INDEX(男子エントリー!$J$7:$AF$406,MATCH(LEFT($B51,FIND("(",$B51)-1)&amp;RIGHT(L$1,1),男子エントリー!$AF$7:$AF$406,0),3),"00000"),TEXT(INDEX(男子エントリー!$J$7:$AF$406,MATCH(LEFT($B51,FIND("(",$B51)-1)&amp;RIGHT(L$1,1),男子エントリー!$AF$7:$AF$406,0),3),"0000000")),"")</f>
        <v/>
      </c>
      <c r="M51" s="1" t="str">
        <f>_xlfn.IFNA(TEXT(VLOOKUP(INDEX(男子エントリー!$J$7:$AF$406,MATCH(LEFT($B51,FIND("(",$B51)-1)&amp;RIGHT(M$1,1),男子エントリー!$AF$7:$AF$406,0),1),競技会設定!$P$2:$S$22,4,0),"000")&amp;"00 "&amp;IF(VLOOKUP(INDEX(男子エントリー!$J$7:$AF$406,MATCH(LEFT($B51,FIND("(",$B51)-1)&amp;RIGHT(M$1,1),男子エントリー!$AF$7:$AF$406,0),1),競技会設定!$P$2:$S$22,4,0)&gt;70,TEXT(INDEX(男子エントリー!$J$7:$AF$406,MATCH(LEFT($B51,FIND("(",$B51)-1)&amp;RIGHT(M$1,1),男子エントリー!$AF$7:$AF$406,0),3),"00000"),TEXT(INDEX(男子エントリー!$J$7:$AF$406,MATCH(LEFT($B51,FIND("(",$B51)-1)&amp;RIGHT(M$1,1),男子エントリー!$AF$7:$AF$406,0),3),"0000000")),"")</f>
        <v/>
      </c>
      <c r="N51" s="1" t="str">
        <f>_xlfn.IFNA(TEXT(VLOOKUP(INDEX(男子エントリー!$J$7:$AF$406,MATCH(LEFT($B51,FIND("(",$B51)-1)&amp;RIGHT(N$1,1),男子エントリー!$AF$7:$AF$406,0),1),競技会設定!$P$2:$S$22,4,0),"000")&amp;"00 "&amp;IF(VLOOKUP(INDEX(男子エントリー!$J$7:$AF$406,MATCH(LEFT($B51,FIND("(",$B51)-1)&amp;RIGHT(N$1,1),男子エントリー!$AF$7:$AF$406,0),1),競技会設定!$P$2:$S$22,4,0)&gt;70,TEXT(INDEX(男子エントリー!$J$7:$AF$406,MATCH(LEFT($B51,FIND("(",$B51)-1)&amp;RIGHT(N$1,1),男子エントリー!$AF$7:$AF$406,0),3),"00000"),TEXT(INDEX(男子エントリー!$J$7:$AF$406,MATCH(LEFT($B51,FIND("(",$B51)-1)&amp;RIGHT(N$1,1),男子エントリー!$AF$7:$AF$406,0),3),"0000000")),"")</f>
        <v/>
      </c>
      <c r="O51" s="1" t="str">
        <f>_xlfn.IFNA(TEXT(VLOOKUP(INDEX(男子エントリー!$J$7:$AF$406,MATCH(LEFT($B51,FIND("(",$B51)-1)&amp;RIGHT(O$1,1),男子エントリー!$AF$7:$AF$406,0),1),競技会設定!$P$2:$S$22,4,0),"000")&amp;"00 "&amp;IF(VLOOKUP(INDEX(男子エントリー!$J$7:$AF$406,MATCH(LEFT($B51,FIND("(",$B51)-1)&amp;RIGHT(O$1,1),男子エントリー!$AF$7:$AF$406,0),1),競技会設定!$P$2:$S$22,4,0)&gt;70,TEXT(INDEX(男子エントリー!$J$7:$AF$406,MATCH(LEFT($B51,FIND("(",$B51)-1)&amp;RIGHT(O$1,1),男子エントリー!$AF$7:$AF$406,0),3),"00000"),TEXT(INDEX(男子エントリー!$J$7:$AF$406,MATCH(LEFT($B51,FIND("(",$B51)-1)&amp;RIGHT(O$1,1),男子エントリー!$AF$7:$AF$406,0),3),"0000000")),"")</f>
        <v/>
      </c>
    </row>
    <row r="52" spans="1:15">
      <c r="A52" s="92" t="str">
        <f>男子エントリー!D207</f>
        <v/>
      </c>
      <c r="B52" s="1" t="str">
        <f>男子エントリー!E207&amp;"("&amp;男子エントリー!G207&amp;")"</f>
        <v>()</v>
      </c>
      <c r="C52" s="92" t="str">
        <f>男子エントリー!F207</f>
        <v/>
      </c>
      <c r="D52" s="92" t="str">
        <f>男子エントリー!E209</f>
        <v/>
      </c>
      <c r="E52" s="92" t="str">
        <f>男子エントリー!G209</f>
        <v/>
      </c>
      <c r="F52" s="1" t="str">
        <f t="shared" si="0"/>
        <v/>
      </c>
      <c r="G52" s="92" t="str">
        <f>_xlfn.IFNA(VLOOKUP(男子エントリー!G208,競技会設定!$D$3:$E$49,2,0),"")</f>
        <v/>
      </c>
      <c r="H52" s="92" t="str">
        <f>_xlfn.IFNA(INDEX(競技会設定!$J$3:$O$47,MATCH(男子エントリー!H207,競技会設定!$N$3:$N$47,0),2),"")</f>
        <v/>
      </c>
      <c r="K52" s="92">
        <f>男子エントリー!C207</f>
        <v>0</v>
      </c>
      <c r="L52" s="1" t="str">
        <f>_xlfn.IFNA(TEXT(VLOOKUP(INDEX(男子エントリー!$J$7:$AF$406,MATCH(LEFT($B52,FIND("(",$B52)-1)&amp;RIGHT(L$1,1),男子エントリー!$AF$7:$AF$406,0),1),競技会設定!$P$2:$S$22,4,0),"000")&amp;"00 "&amp;IF(VLOOKUP(INDEX(男子エントリー!$J$7:$AF$406,MATCH(LEFT($B52,FIND("(",$B52)-1)&amp;RIGHT(L$1,1),男子エントリー!$AF$7:$AF$406,0),1),競技会設定!$P$2:$S$22,4,0)&gt;70,TEXT(INDEX(男子エントリー!$J$7:$AF$406,MATCH(LEFT($B52,FIND("(",$B52)-1)&amp;RIGHT(L$1,1),男子エントリー!$AF$7:$AF$406,0),3),"00000"),TEXT(INDEX(男子エントリー!$J$7:$AF$406,MATCH(LEFT($B52,FIND("(",$B52)-1)&amp;RIGHT(L$1,1),男子エントリー!$AF$7:$AF$406,0),3),"0000000")),"")</f>
        <v/>
      </c>
      <c r="M52" s="1" t="str">
        <f>_xlfn.IFNA(TEXT(VLOOKUP(INDEX(男子エントリー!$J$7:$AF$406,MATCH(LEFT($B52,FIND("(",$B52)-1)&amp;RIGHT(M$1,1),男子エントリー!$AF$7:$AF$406,0),1),競技会設定!$P$2:$S$22,4,0),"000")&amp;"00 "&amp;IF(VLOOKUP(INDEX(男子エントリー!$J$7:$AF$406,MATCH(LEFT($B52,FIND("(",$B52)-1)&amp;RIGHT(M$1,1),男子エントリー!$AF$7:$AF$406,0),1),競技会設定!$P$2:$S$22,4,0)&gt;70,TEXT(INDEX(男子エントリー!$J$7:$AF$406,MATCH(LEFT($B52,FIND("(",$B52)-1)&amp;RIGHT(M$1,1),男子エントリー!$AF$7:$AF$406,0),3),"00000"),TEXT(INDEX(男子エントリー!$J$7:$AF$406,MATCH(LEFT($B52,FIND("(",$B52)-1)&amp;RIGHT(M$1,1),男子エントリー!$AF$7:$AF$406,0),3),"0000000")),"")</f>
        <v/>
      </c>
      <c r="N52" s="1" t="str">
        <f>_xlfn.IFNA(TEXT(VLOOKUP(INDEX(男子エントリー!$J$7:$AF$406,MATCH(LEFT($B52,FIND("(",$B52)-1)&amp;RIGHT(N$1,1),男子エントリー!$AF$7:$AF$406,0),1),競技会設定!$P$2:$S$22,4,0),"000")&amp;"00 "&amp;IF(VLOOKUP(INDEX(男子エントリー!$J$7:$AF$406,MATCH(LEFT($B52,FIND("(",$B52)-1)&amp;RIGHT(N$1,1),男子エントリー!$AF$7:$AF$406,0),1),競技会設定!$P$2:$S$22,4,0)&gt;70,TEXT(INDEX(男子エントリー!$J$7:$AF$406,MATCH(LEFT($B52,FIND("(",$B52)-1)&amp;RIGHT(N$1,1),男子エントリー!$AF$7:$AF$406,0),3),"00000"),TEXT(INDEX(男子エントリー!$J$7:$AF$406,MATCH(LEFT($B52,FIND("(",$B52)-1)&amp;RIGHT(N$1,1),男子エントリー!$AF$7:$AF$406,0),3),"0000000")),"")</f>
        <v/>
      </c>
      <c r="O52" s="1" t="str">
        <f>_xlfn.IFNA(TEXT(VLOOKUP(INDEX(男子エントリー!$J$7:$AF$406,MATCH(LEFT($B52,FIND("(",$B52)-1)&amp;RIGHT(O$1,1),男子エントリー!$AF$7:$AF$406,0),1),競技会設定!$P$2:$S$22,4,0),"000")&amp;"00 "&amp;IF(VLOOKUP(INDEX(男子エントリー!$J$7:$AF$406,MATCH(LEFT($B52,FIND("(",$B52)-1)&amp;RIGHT(O$1,1),男子エントリー!$AF$7:$AF$406,0),1),競技会設定!$P$2:$S$22,4,0)&gt;70,TEXT(INDEX(男子エントリー!$J$7:$AF$406,MATCH(LEFT($B52,FIND("(",$B52)-1)&amp;RIGHT(O$1,1),男子エントリー!$AF$7:$AF$406,0),3),"00000"),TEXT(INDEX(男子エントリー!$J$7:$AF$406,MATCH(LEFT($B52,FIND("(",$B52)-1)&amp;RIGHT(O$1,1),男子エントリー!$AF$7:$AF$406,0),3),"0000000")),"")</f>
        <v/>
      </c>
    </row>
    <row r="53" spans="1:15">
      <c r="A53" s="92" t="str">
        <f>男子エントリー!D211</f>
        <v/>
      </c>
      <c r="B53" s="1" t="str">
        <f>男子エントリー!E211&amp;"("&amp;男子エントリー!G211&amp;")"</f>
        <v>()</v>
      </c>
      <c r="C53" s="92" t="str">
        <f>男子エントリー!F211</f>
        <v/>
      </c>
      <c r="D53" s="92" t="str">
        <f>男子エントリー!E213</f>
        <v/>
      </c>
      <c r="E53" s="92" t="str">
        <f>男子エントリー!G213</f>
        <v/>
      </c>
      <c r="F53" s="1" t="str">
        <f t="shared" si="0"/>
        <v/>
      </c>
      <c r="G53" s="92" t="str">
        <f>_xlfn.IFNA(VLOOKUP(男子エントリー!G212,競技会設定!$D$3:$E$49,2,0),"")</f>
        <v/>
      </c>
      <c r="H53" s="92" t="str">
        <f>_xlfn.IFNA(INDEX(競技会設定!$J$3:$O$47,MATCH(男子エントリー!H211,競技会設定!$N$3:$N$47,0),2),"")</f>
        <v/>
      </c>
      <c r="K53" s="92">
        <f>男子エントリー!C211</f>
        <v>0</v>
      </c>
      <c r="L53" s="1" t="str">
        <f>_xlfn.IFNA(TEXT(VLOOKUP(INDEX(男子エントリー!$J$7:$AF$406,MATCH(LEFT($B53,FIND("(",$B53)-1)&amp;RIGHT(L$1,1),男子エントリー!$AF$7:$AF$406,0),1),競技会設定!$P$2:$S$22,4,0),"000")&amp;"00 "&amp;IF(VLOOKUP(INDEX(男子エントリー!$J$7:$AF$406,MATCH(LEFT($B53,FIND("(",$B53)-1)&amp;RIGHT(L$1,1),男子エントリー!$AF$7:$AF$406,0),1),競技会設定!$P$2:$S$22,4,0)&gt;70,TEXT(INDEX(男子エントリー!$J$7:$AF$406,MATCH(LEFT($B53,FIND("(",$B53)-1)&amp;RIGHT(L$1,1),男子エントリー!$AF$7:$AF$406,0),3),"00000"),TEXT(INDEX(男子エントリー!$J$7:$AF$406,MATCH(LEFT($B53,FIND("(",$B53)-1)&amp;RIGHT(L$1,1),男子エントリー!$AF$7:$AF$406,0),3),"0000000")),"")</f>
        <v/>
      </c>
      <c r="M53" s="1" t="str">
        <f>_xlfn.IFNA(TEXT(VLOOKUP(INDEX(男子エントリー!$J$7:$AF$406,MATCH(LEFT($B53,FIND("(",$B53)-1)&amp;RIGHT(M$1,1),男子エントリー!$AF$7:$AF$406,0),1),競技会設定!$P$2:$S$22,4,0),"000")&amp;"00 "&amp;IF(VLOOKUP(INDEX(男子エントリー!$J$7:$AF$406,MATCH(LEFT($B53,FIND("(",$B53)-1)&amp;RIGHT(M$1,1),男子エントリー!$AF$7:$AF$406,0),1),競技会設定!$P$2:$S$22,4,0)&gt;70,TEXT(INDEX(男子エントリー!$J$7:$AF$406,MATCH(LEFT($B53,FIND("(",$B53)-1)&amp;RIGHT(M$1,1),男子エントリー!$AF$7:$AF$406,0),3),"00000"),TEXT(INDEX(男子エントリー!$J$7:$AF$406,MATCH(LEFT($B53,FIND("(",$B53)-1)&amp;RIGHT(M$1,1),男子エントリー!$AF$7:$AF$406,0),3),"0000000")),"")</f>
        <v/>
      </c>
      <c r="N53" s="1" t="str">
        <f>_xlfn.IFNA(TEXT(VLOOKUP(INDEX(男子エントリー!$J$7:$AF$406,MATCH(LEFT($B53,FIND("(",$B53)-1)&amp;RIGHT(N$1,1),男子エントリー!$AF$7:$AF$406,0),1),競技会設定!$P$2:$S$22,4,0),"000")&amp;"00 "&amp;IF(VLOOKUP(INDEX(男子エントリー!$J$7:$AF$406,MATCH(LEFT($B53,FIND("(",$B53)-1)&amp;RIGHT(N$1,1),男子エントリー!$AF$7:$AF$406,0),1),競技会設定!$P$2:$S$22,4,0)&gt;70,TEXT(INDEX(男子エントリー!$J$7:$AF$406,MATCH(LEFT($B53,FIND("(",$B53)-1)&amp;RIGHT(N$1,1),男子エントリー!$AF$7:$AF$406,0),3),"00000"),TEXT(INDEX(男子エントリー!$J$7:$AF$406,MATCH(LEFT($B53,FIND("(",$B53)-1)&amp;RIGHT(N$1,1),男子エントリー!$AF$7:$AF$406,0),3),"0000000")),"")</f>
        <v/>
      </c>
      <c r="O53" s="1" t="str">
        <f>_xlfn.IFNA(TEXT(VLOOKUP(INDEX(男子エントリー!$J$7:$AF$406,MATCH(LEFT($B53,FIND("(",$B53)-1)&amp;RIGHT(O$1,1),男子エントリー!$AF$7:$AF$406,0),1),競技会設定!$P$2:$S$22,4,0),"000")&amp;"00 "&amp;IF(VLOOKUP(INDEX(男子エントリー!$J$7:$AF$406,MATCH(LEFT($B53,FIND("(",$B53)-1)&amp;RIGHT(O$1,1),男子エントリー!$AF$7:$AF$406,0),1),競技会設定!$P$2:$S$22,4,0)&gt;70,TEXT(INDEX(男子エントリー!$J$7:$AF$406,MATCH(LEFT($B53,FIND("(",$B53)-1)&amp;RIGHT(O$1,1),男子エントリー!$AF$7:$AF$406,0),3),"00000"),TEXT(INDEX(男子エントリー!$J$7:$AF$406,MATCH(LEFT($B53,FIND("(",$B53)-1)&amp;RIGHT(O$1,1),男子エントリー!$AF$7:$AF$406,0),3),"0000000")),"")</f>
        <v/>
      </c>
    </row>
    <row r="54" spans="1:15">
      <c r="A54" s="92" t="str">
        <f>男子エントリー!D215</f>
        <v/>
      </c>
      <c r="B54" s="1" t="str">
        <f>男子エントリー!E215&amp;"("&amp;男子エントリー!G215&amp;")"</f>
        <v>()</v>
      </c>
      <c r="C54" s="92" t="str">
        <f>男子エントリー!F215</f>
        <v/>
      </c>
      <c r="D54" s="92" t="str">
        <f>男子エントリー!E217</f>
        <v/>
      </c>
      <c r="E54" s="92" t="str">
        <f>男子エントリー!G217</f>
        <v/>
      </c>
      <c r="F54" s="1" t="str">
        <f t="shared" si="0"/>
        <v/>
      </c>
      <c r="G54" s="92" t="str">
        <f>_xlfn.IFNA(VLOOKUP(男子エントリー!G216,競技会設定!$D$3:$E$49,2,0),"")</f>
        <v/>
      </c>
      <c r="H54" s="92" t="str">
        <f>_xlfn.IFNA(INDEX(競技会設定!$J$3:$O$47,MATCH(男子エントリー!H215,競技会設定!$N$3:$N$47,0),2),"")</f>
        <v/>
      </c>
      <c r="K54" s="92">
        <f>男子エントリー!C215</f>
        <v>0</v>
      </c>
      <c r="L54" s="1" t="str">
        <f>_xlfn.IFNA(TEXT(VLOOKUP(INDEX(男子エントリー!$J$7:$AF$406,MATCH(LEFT($B54,FIND("(",$B54)-1)&amp;RIGHT(L$1,1),男子エントリー!$AF$7:$AF$406,0),1),競技会設定!$P$2:$S$22,4,0),"000")&amp;"00 "&amp;IF(VLOOKUP(INDEX(男子エントリー!$J$7:$AF$406,MATCH(LEFT($B54,FIND("(",$B54)-1)&amp;RIGHT(L$1,1),男子エントリー!$AF$7:$AF$406,0),1),競技会設定!$P$2:$S$22,4,0)&gt;70,TEXT(INDEX(男子エントリー!$J$7:$AF$406,MATCH(LEFT($B54,FIND("(",$B54)-1)&amp;RIGHT(L$1,1),男子エントリー!$AF$7:$AF$406,0),3),"00000"),TEXT(INDEX(男子エントリー!$J$7:$AF$406,MATCH(LEFT($B54,FIND("(",$B54)-1)&amp;RIGHT(L$1,1),男子エントリー!$AF$7:$AF$406,0),3),"0000000")),"")</f>
        <v/>
      </c>
      <c r="M54" s="1" t="str">
        <f>_xlfn.IFNA(TEXT(VLOOKUP(INDEX(男子エントリー!$J$7:$AF$406,MATCH(LEFT($B54,FIND("(",$B54)-1)&amp;RIGHT(M$1,1),男子エントリー!$AF$7:$AF$406,0),1),競技会設定!$P$2:$S$22,4,0),"000")&amp;"00 "&amp;IF(VLOOKUP(INDEX(男子エントリー!$J$7:$AF$406,MATCH(LEFT($B54,FIND("(",$B54)-1)&amp;RIGHT(M$1,1),男子エントリー!$AF$7:$AF$406,0),1),競技会設定!$P$2:$S$22,4,0)&gt;70,TEXT(INDEX(男子エントリー!$J$7:$AF$406,MATCH(LEFT($B54,FIND("(",$B54)-1)&amp;RIGHT(M$1,1),男子エントリー!$AF$7:$AF$406,0),3),"00000"),TEXT(INDEX(男子エントリー!$J$7:$AF$406,MATCH(LEFT($B54,FIND("(",$B54)-1)&amp;RIGHT(M$1,1),男子エントリー!$AF$7:$AF$406,0),3),"0000000")),"")</f>
        <v/>
      </c>
      <c r="N54" s="1" t="str">
        <f>_xlfn.IFNA(TEXT(VLOOKUP(INDEX(男子エントリー!$J$7:$AF$406,MATCH(LEFT($B54,FIND("(",$B54)-1)&amp;RIGHT(N$1,1),男子エントリー!$AF$7:$AF$406,0),1),競技会設定!$P$2:$S$22,4,0),"000")&amp;"00 "&amp;IF(VLOOKUP(INDEX(男子エントリー!$J$7:$AF$406,MATCH(LEFT($B54,FIND("(",$B54)-1)&amp;RIGHT(N$1,1),男子エントリー!$AF$7:$AF$406,0),1),競技会設定!$P$2:$S$22,4,0)&gt;70,TEXT(INDEX(男子エントリー!$J$7:$AF$406,MATCH(LEFT($B54,FIND("(",$B54)-1)&amp;RIGHT(N$1,1),男子エントリー!$AF$7:$AF$406,0),3),"00000"),TEXT(INDEX(男子エントリー!$J$7:$AF$406,MATCH(LEFT($B54,FIND("(",$B54)-1)&amp;RIGHT(N$1,1),男子エントリー!$AF$7:$AF$406,0),3),"0000000")),"")</f>
        <v/>
      </c>
      <c r="O54" s="1" t="str">
        <f>_xlfn.IFNA(TEXT(VLOOKUP(INDEX(男子エントリー!$J$7:$AF$406,MATCH(LEFT($B54,FIND("(",$B54)-1)&amp;RIGHT(O$1,1),男子エントリー!$AF$7:$AF$406,0),1),競技会設定!$P$2:$S$22,4,0),"000")&amp;"00 "&amp;IF(VLOOKUP(INDEX(男子エントリー!$J$7:$AF$406,MATCH(LEFT($B54,FIND("(",$B54)-1)&amp;RIGHT(O$1,1),男子エントリー!$AF$7:$AF$406,0),1),競技会設定!$P$2:$S$22,4,0)&gt;70,TEXT(INDEX(男子エントリー!$J$7:$AF$406,MATCH(LEFT($B54,FIND("(",$B54)-1)&amp;RIGHT(O$1,1),男子エントリー!$AF$7:$AF$406,0),3),"00000"),TEXT(INDEX(男子エントリー!$J$7:$AF$406,MATCH(LEFT($B54,FIND("(",$B54)-1)&amp;RIGHT(O$1,1),男子エントリー!$AF$7:$AF$406,0),3),"0000000")),"")</f>
        <v/>
      </c>
    </row>
    <row r="55" spans="1:15">
      <c r="A55" s="92" t="str">
        <f>男子エントリー!D219</f>
        <v/>
      </c>
      <c r="B55" s="1" t="str">
        <f>男子エントリー!E219&amp;"("&amp;男子エントリー!G219&amp;")"</f>
        <v>()</v>
      </c>
      <c r="C55" s="92" t="str">
        <f>男子エントリー!F219</f>
        <v/>
      </c>
      <c r="D55" s="92" t="str">
        <f>男子エントリー!E221</f>
        <v/>
      </c>
      <c r="E55" s="92" t="str">
        <f>男子エントリー!G221</f>
        <v/>
      </c>
      <c r="F55" s="1" t="str">
        <f t="shared" si="0"/>
        <v/>
      </c>
      <c r="G55" s="92" t="str">
        <f>_xlfn.IFNA(VLOOKUP(男子エントリー!G220,競技会設定!$D$3:$E$49,2,0),"")</f>
        <v/>
      </c>
      <c r="H55" s="92" t="str">
        <f>_xlfn.IFNA(INDEX(競技会設定!$J$3:$O$47,MATCH(男子エントリー!H219,競技会設定!$N$3:$N$47,0),2),"")</f>
        <v/>
      </c>
      <c r="K55" s="92">
        <f>男子エントリー!C219</f>
        <v>0</v>
      </c>
      <c r="L55" s="1" t="str">
        <f>_xlfn.IFNA(TEXT(VLOOKUP(INDEX(男子エントリー!$J$7:$AF$406,MATCH(LEFT($B55,FIND("(",$B55)-1)&amp;RIGHT(L$1,1),男子エントリー!$AF$7:$AF$406,0),1),競技会設定!$P$2:$S$22,4,0),"000")&amp;"00 "&amp;IF(VLOOKUP(INDEX(男子エントリー!$J$7:$AF$406,MATCH(LEFT($B55,FIND("(",$B55)-1)&amp;RIGHT(L$1,1),男子エントリー!$AF$7:$AF$406,0),1),競技会設定!$P$2:$S$22,4,0)&gt;70,TEXT(INDEX(男子エントリー!$J$7:$AF$406,MATCH(LEFT($B55,FIND("(",$B55)-1)&amp;RIGHT(L$1,1),男子エントリー!$AF$7:$AF$406,0),3),"00000"),TEXT(INDEX(男子エントリー!$J$7:$AF$406,MATCH(LEFT($B55,FIND("(",$B55)-1)&amp;RIGHT(L$1,1),男子エントリー!$AF$7:$AF$406,0),3),"0000000")),"")</f>
        <v/>
      </c>
      <c r="M55" s="1" t="str">
        <f>_xlfn.IFNA(TEXT(VLOOKUP(INDEX(男子エントリー!$J$7:$AF$406,MATCH(LEFT($B55,FIND("(",$B55)-1)&amp;RIGHT(M$1,1),男子エントリー!$AF$7:$AF$406,0),1),競技会設定!$P$2:$S$22,4,0),"000")&amp;"00 "&amp;IF(VLOOKUP(INDEX(男子エントリー!$J$7:$AF$406,MATCH(LEFT($B55,FIND("(",$B55)-1)&amp;RIGHT(M$1,1),男子エントリー!$AF$7:$AF$406,0),1),競技会設定!$P$2:$S$22,4,0)&gt;70,TEXT(INDEX(男子エントリー!$J$7:$AF$406,MATCH(LEFT($B55,FIND("(",$B55)-1)&amp;RIGHT(M$1,1),男子エントリー!$AF$7:$AF$406,0),3),"00000"),TEXT(INDEX(男子エントリー!$J$7:$AF$406,MATCH(LEFT($B55,FIND("(",$B55)-1)&amp;RIGHT(M$1,1),男子エントリー!$AF$7:$AF$406,0),3),"0000000")),"")</f>
        <v/>
      </c>
      <c r="N55" s="1" t="str">
        <f>_xlfn.IFNA(TEXT(VLOOKUP(INDEX(男子エントリー!$J$7:$AF$406,MATCH(LEFT($B55,FIND("(",$B55)-1)&amp;RIGHT(N$1,1),男子エントリー!$AF$7:$AF$406,0),1),競技会設定!$P$2:$S$22,4,0),"000")&amp;"00 "&amp;IF(VLOOKUP(INDEX(男子エントリー!$J$7:$AF$406,MATCH(LEFT($B55,FIND("(",$B55)-1)&amp;RIGHT(N$1,1),男子エントリー!$AF$7:$AF$406,0),1),競技会設定!$P$2:$S$22,4,0)&gt;70,TEXT(INDEX(男子エントリー!$J$7:$AF$406,MATCH(LEFT($B55,FIND("(",$B55)-1)&amp;RIGHT(N$1,1),男子エントリー!$AF$7:$AF$406,0),3),"00000"),TEXT(INDEX(男子エントリー!$J$7:$AF$406,MATCH(LEFT($B55,FIND("(",$B55)-1)&amp;RIGHT(N$1,1),男子エントリー!$AF$7:$AF$406,0),3),"0000000")),"")</f>
        <v/>
      </c>
      <c r="O55" s="1" t="str">
        <f>_xlfn.IFNA(TEXT(VLOOKUP(INDEX(男子エントリー!$J$7:$AF$406,MATCH(LEFT($B55,FIND("(",$B55)-1)&amp;RIGHT(O$1,1),男子エントリー!$AF$7:$AF$406,0),1),競技会設定!$P$2:$S$22,4,0),"000")&amp;"00 "&amp;IF(VLOOKUP(INDEX(男子エントリー!$J$7:$AF$406,MATCH(LEFT($B55,FIND("(",$B55)-1)&amp;RIGHT(O$1,1),男子エントリー!$AF$7:$AF$406,0),1),競技会設定!$P$2:$S$22,4,0)&gt;70,TEXT(INDEX(男子エントリー!$J$7:$AF$406,MATCH(LEFT($B55,FIND("(",$B55)-1)&amp;RIGHT(O$1,1),男子エントリー!$AF$7:$AF$406,0),3),"00000"),TEXT(INDEX(男子エントリー!$J$7:$AF$406,MATCH(LEFT($B55,FIND("(",$B55)-1)&amp;RIGHT(O$1,1),男子エントリー!$AF$7:$AF$406,0),3),"0000000")),"")</f>
        <v/>
      </c>
    </row>
    <row r="56" spans="1:15">
      <c r="A56" s="92" t="str">
        <f>男子エントリー!D223</f>
        <v/>
      </c>
      <c r="B56" s="1" t="str">
        <f>男子エントリー!E223&amp;"("&amp;男子エントリー!G223&amp;")"</f>
        <v>()</v>
      </c>
      <c r="C56" s="92" t="str">
        <f>男子エントリー!F223</f>
        <v/>
      </c>
      <c r="D56" s="92" t="str">
        <f>男子エントリー!E225</f>
        <v/>
      </c>
      <c r="E56" s="92" t="str">
        <f>男子エントリー!G225</f>
        <v/>
      </c>
      <c r="F56" s="1" t="str">
        <f t="shared" si="0"/>
        <v/>
      </c>
      <c r="G56" s="92" t="str">
        <f>_xlfn.IFNA(VLOOKUP(男子エントリー!G224,競技会設定!$D$3:$E$49,2,0),"")</f>
        <v/>
      </c>
      <c r="H56" s="92" t="str">
        <f>_xlfn.IFNA(INDEX(競技会設定!$J$3:$O$47,MATCH(男子エントリー!H223,競技会設定!$N$3:$N$47,0),2),"")</f>
        <v/>
      </c>
      <c r="K56" s="92">
        <f>男子エントリー!C223</f>
        <v>0</v>
      </c>
      <c r="L56" s="1" t="str">
        <f>_xlfn.IFNA(TEXT(VLOOKUP(INDEX(男子エントリー!$J$7:$AF$406,MATCH(LEFT($B56,FIND("(",$B56)-1)&amp;RIGHT(L$1,1),男子エントリー!$AF$7:$AF$406,0),1),競技会設定!$P$2:$S$22,4,0),"000")&amp;"00 "&amp;IF(VLOOKUP(INDEX(男子エントリー!$J$7:$AF$406,MATCH(LEFT($B56,FIND("(",$B56)-1)&amp;RIGHT(L$1,1),男子エントリー!$AF$7:$AF$406,0),1),競技会設定!$P$2:$S$22,4,0)&gt;70,TEXT(INDEX(男子エントリー!$J$7:$AF$406,MATCH(LEFT($B56,FIND("(",$B56)-1)&amp;RIGHT(L$1,1),男子エントリー!$AF$7:$AF$406,0),3),"00000"),TEXT(INDEX(男子エントリー!$J$7:$AF$406,MATCH(LEFT($B56,FIND("(",$B56)-1)&amp;RIGHT(L$1,1),男子エントリー!$AF$7:$AF$406,0),3),"0000000")),"")</f>
        <v/>
      </c>
      <c r="M56" s="1" t="str">
        <f>_xlfn.IFNA(TEXT(VLOOKUP(INDEX(男子エントリー!$J$7:$AF$406,MATCH(LEFT($B56,FIND("(",$B56)-1)&amp;RIGHT(M$1,1),男子エントリー!$AF$7:$AF$406,0),1),競技会設定!$P$2:$S$22,4,0),"000")&amp;"00 "&amp;IF(VLOOKUP(INDEX(男子エントリー!$J$7:$AF$406,MATCH(LEFT($B56,FIND("(",$B56)-1)&amp;RIGHT(M$1,1),男子エントリー!$AF$7:$AF$406,0),1),競技会設定!$P$2:$S$22,4,0)&gt;70,TEXT(INDEX(男子エントリー!$J$7:$AF$406,MATCH(LEFT($B56,FIND("(",$B56)-1)&amp;RIGHT(M$1,1),男子エントリー!$AF$7:$AF$406,0),3),"00000"),TEXT(INDEX(男子エントリー!$J$7:$AF$406,MATCH(LEFT($B56,FIND("(",$B56)-1)&amp;RIGHT(M$1,1),男子エントリー!$AF$7:$AF$406,0),3),"0000000")),"")</f>
        <v/>
      </c>
      <c r="N56" s="1" t="str">
        <f>_xlfn.IFNA(TEXT(VLOOKUP(INDEX(男子エントリー!$J$7:$AF$406,MATCH(LEFT($B56,FIND("(",$B56)-1)&amp;RIGHT(N$1,1),男子エントリー!$AF$7:$AF$406,0),1),競技会設定!$P$2:$S$22,4,0),"000")&amp;"00 "&amp;IF(VLOOKUP(INDEX(男子エントリー!$J$7:$AF$406,MATCH(LEFT($B56,FIND("(",$B56)-1)&amp;RIGHT(N$1,1),男子エントリー!$AF$7:$AF$406,0),1),競技会設定!$P$2:$S$22,4,0)&gt;70,TEXT(INDEX(男子エントリー!$J$7:$AF$406,MATCH(LEFT($B56,FIND("(",$B56)-1)&amp;RIGHT(N$1,1),男子エントリー!$AF$7:$AF$406,0),3),"00000"),TEXT(INDEX(男子エントリー!$J$7:$AF$406,MATCH(LEFT($B56,FIND("(",$B56)-1)&amp;RIGHT(N$1,1),男子エントリー!$AF$7:$AF$406,0),3),"0000000")),"")</f>
        <v/>
      </c>
      <c r="O56" s="1" t="str">
        <f>_xlfn.IFNA(TEXT(VLOOKUP(INDEX(男子エントリー!$J$7:$AF$406,MATCH(LEFT($B56,FIND("(",$B56)-1)&amp;RIGHT(O$1,1),男子エントリー!$AF$7:$AF$406,0),1),競技会設定!$P$2:$S$22,4,0),"000")&amp;"00 "&amp;IF(VLOOKUP(INDEX(男子エントリー!$J$7:$AF$406,MATCH(LEFT($B56,FIND("(",$B56)-1)&amp;RIGHT(O$1,1),男子エントリー!$AF$7:$AF$406,0),1),競技会設定!$P$2:$S$22,4,0)&gt;70,TEXT(INDEX(男子エントリー!$J$7:$AF$406,MATCH(LEFT($B56,FIND("(",$B56)-1)&amp;RIGHT(O$1,1),男子エントリー!$AF$7:$AF$406,0),3),"00000"),TEXT(INDEX(男子エントリー!$J$7:$AF$406,MATCH(LEFT($B56,FIND("(",$B56)-1)&amp;RIGHT(O$1,1),男子エントリー!$AF$7:$AF$406,0),3),"0000000")),"")</f>
        <v/>
      </c>
    </row>
    <row r="57" spans="1:15">
      <c r="A57" s="92" t="str">
        <f>男子エントリー!D227</f>
        <v/>
      </c>
      <c r="B57" s="1" t="str">
        <f>男子エントリー!E227&amp;"("&amp;男子エントリー!G227&amp;")"</f>
        <v>()</v>
      </c>
      <c r="C57" s="92" t="str">
        <f>男子エントリー!F227</f>
        <v/>
      </c>
      <c r="D57" s="92" t="str">
        <f>男子エントリー!E229</f>
        <v/>
      </c>
      <c r="E57" s="92" t="str">
        <f>男子エントリー!G229</f>
        <v/>
      </c>
      <c r="F57" s="1" t="str">
        <f t="shared" si="0"/>
        <v/>
      </c>
      <c r="G57" s="92" t="str">
        <f>_xlfn.IFNA(VLOOKUP(男子エントリー!G228,競技会設定!$D$3:$E$49,2,0),"")</f>
        <v/>
      </c>
      <c r="H57" s="92" t="str">
        <f>_xlfn.IFNA(INDEX(競技会設定!$J$3:$O$47,MATCH(男子エントリー!H227,競技会設定!$N$3:$N$47,0),2),"")</f>
        <v/>
      </c>
      <c r="K57" s="92">
        <f>男子エントリー!C227</f>
        <v>0</v>
      </c>
      <c r="L57" s="1" t="str">
        <f>_xlfn.IFNA(TEXT(VLOOKUP(INDEX(男子エントリー!$J$7:$AF$406,MATCH(LEFT($B57,FIND("(",$B57)-1)&amp;RIGHT(L$1,1),男子エントリー!$AF$7:$AF$406,0),1),競技会設定!$P$2:$S$22,4,0),"000")&amp;"00 "&amp;IF(VLOOKUP(INDEX(男子エントリー!$J$7:$AF$406,MATCH(LEFT($B57,FIND("(",$B57)-1)&amp;RIGHT(L$1,1),男子エントリー!$AF$7:$AF$406,0),1),競技会設定!$P$2:$S$22,4,0)&gt;70,TEXT(INDEX(男子エントリー!$J$7:$AF$406,MATCH(LEFT($B57,FIND("(",$B57)-1)&amp;RIGHT(L$1,1),男子エントリー!$AF$7:$AF$406,0),3),"00000"),TEXT(INDEX(男子エントリー!$J$7:$AF$406,MATCH(LEFT($B57,FIND("(",$B57)-1)&amp;RIGHT(L$1,1),男子エントリー!$AF$7:$AF$406,0),3),"0000000")),"")</f>
        <v/>
      </c>
      <c r="M57" s="1" t="str">
        <f>_xlfn.IFNA(TEXT(VLOOKUP(INDEX(男子エントリー!$J$7:$AF$406,MATCH(LEFT($B57,FIND("(",$B57)-1)&amp;RIGHT(M$1,1),男子エントリー!$AF$7:$AF$406,0),1),競技会設定!$P$2:$S$22,4,0),"000")&amp;"00 "&amp;IF(VLOOKUP(INDEX(男子エントリー!$J$7:$AF$406,MATCH(LEFT($B57,FIND("(",$B57)-1)&amp;RIGHT(M$1,1),男子エントリー!$AF$7:$AF$406,0),1),競技会設定!$P$2:$S$22,4,0)&gt;70,TEXT(INDEX(男子エントリー!$J$7:$AF$406,MATCH(LEFT($B57,FIND("(",$B57)-1)&amp;RIGHT(M$1,1),男子エントリー!$AF$7:$AF$406,0),3),"00000"),TEXT(INDEX(男子エントリー!$J$7:$AF$406,MATCH(LEFT($B57,FIND("(",$B57)-1)&amp;RIGHT(M$1,1),男子エントリー!$AF$7:$AF$406,0),3),"0000000")),"")</f>
        <v/>
      </c>
      <c r="N57" s="1" t="str">
        <f>_xlfn.IFNA(TEXT(VLOOKUP(INDEX(男子エントリー!$J$7:$AF$406,MATCH(LEFT($B57,FIND("(",$B57)-1)&amp;RIGHT(N$1,1),男子エントリー!$AF$7:$AF$406,0),1),競技会設定!$P$2:$S$22,4,0),"000")&amp;"00 "&amp;IF(VLOOKUP(INDEX(男子エントリー!$J$7:$AF$406,MATCH(LEFT($B57,FIND("(",$B57)-1)&amp;RIGHT(N$1,1),男子エントリー!$AF$7:$AF$406,0),1),競技会設定!$P$2:$S$22,4,0)&gt;70,TEXT(INDEX(男子エントリー!$J$7:$AF$406,MATCH(LEFT($B57,FIND("(",$B57)-1)&amp;RIGHT(N$1,1),男子エントリー!$AF$7:$AF$406,0),3),"00000"),TEXT(INDEX(男子エントリー!$J$7:$AF$406,MATCH(LEFT($B57,FIND("(",$B57)-1)&amp;RIGHT(N$1,1),男子エントリー!$AF$7:$AF$406,0),3),"0000000")),"")</f>
        <v/>
      </c>
      <c r="O57" s="1" t="str">
        <f>_xlfn.IFNA(TEXT(VLOOKUP(INDEX(男子エントリー!$J$7:$AF$406,MATCH(LEFT($B57,FIND("(",$B57)-1)&amp;RIGHT(O$1,1),男子エントリー!$AF$7:$AF$406,0),1),競技会設定!$P$2:$S$22,4,0),"000")&amp;"00 "&amp;IF(VLOOKUP(INDEX(男子エントリー!$J$7:$AF$406,MATCH(LEFT($B57,FIND("(",$B57)-1)&amp;RIGHT(O$1,1),男子エントリー!$AF$7:$AF$406,0),1),競技会設定!$P$2:$S$22,4,0)&gt;70,TEXT(INDEX(男子エントリー!$J$7:$AF$406,MATCH(LEFT($B57,FIND("(",$B57)-1)&amp;RIGHT(O$1,1),男子エントリー!$AF$7:$AF$406,0),3),"00000"),TEXT(INDEX(男子エントリー!$J$7:$AF$406,MATCH(LEFT($B57,FIND("(",$B57)-1)&amp;RIGHT(O$1,1),男子エントリー!$AF$7:$AF$406,0),3),"0000000")),"")</f>
        <v/>
      </c>
    </row>
    <row r="58" spans="1:15">
      <c r="A58" s="92" t="str">
        <f>男子エントリー!D231</f>
        <v/>
      </c>
      <c r="B58" s="1" t="str">
        <f>男子エントリー!E231&amp;"("&amp;男子エントリー!G231&amp;")"</f>
        <v>()</v>
      </c>
      <c r="C58" s="92" t="str">
        <f>男子エントリー!F231</f>
        <v/>
      </c>
      <c r="D58" s="92" t="str">
        <f>男子エントリー!E233</f>
        <v/>
      </c>
      <c r="E58" s="92" t="str">
        <f>男子エントリー!G233</f>
        <v/>
      </c>
      <c r="F58" s="1" t="str">
        <f t="shared" si="0"/>
        <v/>
      </c>
      <c r="G58" s="92" t="str">
        <f>_xlfn.IFNA(VLOOKUP(男子エントリー!G232,競技会設定!$D$3:$E$49,2,0),"")</f>
        <v/>
      </c>
      <c r="H58" s="92" t="str">
        <f>_xlfn.IFNA(INDEX(競技会設定!$J$3:$O$47,MATCH(男子エントリー!H231,競技会設定!$N$3:$N$47,0),2),"")</f>
        <v/>
      </c>
      <c r="K58" s="92">
        <f>男子エントリー!C231</f>
        <v>0</v>
      </c>
      <c r="L58" s="1" t="str">
        <f>_xlfn.IFNA(TEXT(VLOOKUP(INDEX(男子エントリー!$J$7:$AF$406,MATCH(LEFT($B58,FIND("(",$B58)-1)&amp;RIGHT(L$1,1),男子エントリー!$AF$7:$AF$406,0),1),競技会設定!$P$2:$S$22,4,0),"000")&amp;"00 "&amp;IF(VLOOKUP(INDEX(男子エントリー!$J$7:$AF$406,MATCH(LEFT($B58,FIND("(",$B58)-1)&amp;RIGHT(L$1,1),男子エントリー!$AF$7:$AF$406,0),1),競技会設定!$P$2:$S$22,4,0)&gt;70,TEXT(INDEX(男子エントリー!$J$7:$AF$406,MATCH(LEFT($B58,FIND("(",$B58)-1)&amp;RIGHT(L$1,1),男子エントリー!$AF$7:$AF$406,0),3),"00000"),TEXT(INDEX(男子エントリー!$J$7:$AF$406,MATCH(LEFT($B58,FIND("(",$B58)-1)&amp;RIGHT(L$1,1),男子エントリー!$AF$7:$AF$406,0),3),"0000000")),"")</f>
        <v/>
      </c>
      <c r="M58" s="1" t="str">
        <f>_xlfn.IFNA(TEXT(VLOOKUP(INDEX(男子エントリー!$J$7:$AF$406,MATCH(LEFT($B58,FIND("(",$B58)-1)&amp;RIGHT(M$1,1),男子エントリー!$AF$7:$AF$406,0),1),競技会設定!$P$2:$S$22,4,0),"000")&amp;"00 "&amp;IF(VLOOKUP(INDEX(男子エントリー!$J$7:$AF$406,MATCH(LEFT($B58,FIND("(",$B58)-1)&amp;RIGHT(M$1,1),男子エントリー!$AF$7:$AF$406,0),1),競技会設定!$P$2:$S$22,4,0)&gt;70,TEXT(INDEX(男子エントリー!$J$7:$AF$406,MATCH(LEFT($B58,FIND("(",$B58)-1)&amp;RIGHT(M$1,1),男子エントリー!$AF$7:$AF$406,0),3),"00000"),TEXT(INDEX(男子エントリー!$J$7:$AF$406,MATCH(LEFT($B58,FIND("(",$B58)-1)&amp;RIGHT(M$1,1),男子エントリー!$AF$7:$AF$406,0),3),"0000000")),"")</f>
        <v/>
      </c>
      <c r="N58" s="1" t="str">
        <f>_xlfn.IFNA(TEXT(VLOOKUP(INDEX(男子エントリー!$J$7:$AF$406,MATCH(LEFT($B58,FIND("(",$B58)-1)&amp;RIGHT(N$1,1),男子エントリー!$AF$7:$AF$406,0),1),競技会設定!$P$2:$S$22,4,0),"000")&amp;"00 "&amp;IF(VLOOKUP(INDEX(男子エントリー!$J$7:$AF$406,MATCH(LEFT($B58,FIND("(",$B58)-1)&amp;RIGHT(N$1,1),男子エントリー!$AF$7:$AF$406,0),1),競技会設定!$P$2:$S$22,4,0)&gt;70,TEXT(INDEX(男子エントリー!$J$7:$AF$406,MATCH(LEFT($B58,FIND("(",$B58)-1)&amp;RIGHT(N$1,1),男子エントリー!$AF$7:$AF$406,0),3),"00000"),TEXT(INDEX(男子エントリー!$J$7:$AF$406,MATCH(LEFT($B58,FIND("(",$B58)-1)&amp;RIGHT(N$1,1),男子エントリー!$AF$7:$AF$406,0),3),"0000000")),"")</f>
        <v/>
      </c>
      <c r="O58" s="1" t="str">
        <f>_xlfn.IFNA(TEXT(VLOOKUP(INDEX(男子エントリー!$J$7:$AF$406,MATCH(LEFT($B58,FIND("(",$B58)-1)&amp;RIGHT(O$1,1),男子エントリー!$AF$7:$AF$406,0),1),競技会設定!$P$2:$S$22,4,0),"000")&amp;"00 "&amp;IF(VLOOKUP(INDEX(男子エントリー!$J$7:$AF$406,MATCH(LEFT($B58,FIND("(",$B58)-1)&amp;RIGHT(O$1,1),男子エントリー!$AF$7:$AF$406,0),1),競技会設定!$P$2:$S$22,4,0)&gt;70,TEXT(INDEX(男子エントリー!$J$7:$AF$406,MATCH(LEFT($B58,FIND("(",$B58)-1)&amp;RIGHT(O$1,1),男子エントリー!$AF$7:$AF$406,0),3),"00000"),TEXT(INDEX(男子エントリー!$J$7:$AF$406,MATCH(LEFT($B58,FIND("(",$B58)-1)&amp;RIGHT(O$1,1),男子エントリー!$AF$7:$AF$406,0),3),"0000000")),"")</f>
        <v/>
      </c>
    </row>
    <row r="59" spans="1:15">
      <c r="A59" s="92" t="str">
        <f>男子エントリー!D235</f>
        <v/>
      </c>
      <c r="B59" s="1" t="str">
        <f>男子エントリー!E235&amp;"("&amp;男子エントリー!G235&amp;")"</f>
        <v>()</v>
      </c>
      <c r="C59" s="92" t="str">
        <f>男子エントリー!F235</f>
        <v/>
      </c>
      <c r="D59" s="92" t="str">
        <f>男子エントリー!E237</f>
        <v/>
      </c>
      <c r="E59" s="92" t="str">
        <f>男子エントリー!G237</f>
        <v/>
      </c>
      <c r="F59" s="1" t="str">
        <f t="shared" si="0"/>
        <v/>
      </c>
      <c r="G59" s="92" t="str">
        <f>_xlfn.IFNA(VLOOKUP(男子エントリー!G236,競技会設定!$D$3:$E$49,2,0),"")</f>
        <v/>
      </c>
      <c r="H59" s="92" t="str">
        <f>_xlfn.IFNA(INDEX(競技会設定!$J$3:$O$47,MATCH(男子エントリー!H235,競技会設定!$N$3:$N$47,0),2),"")</f>
        <v/>
      </c>
      <c r="K59" s="92">
        <f>男子エントリー!C235</f>
        <v>0</v>
      </c>
      <c r="L59" s="1" t="str">
        <f>_xlfn.IFNA(TEXT(VLOOKUP(INDEX(男子エントリー!$J$7:$AF$406,MATCH(LEFT($B59,FIND("(",$B59)-1)&amp;RIGHT(L$1,1),男子エントリー!$AF$7:$AF$406,0),1),競技会設定!$P$2:$S$22,4,0),"000")&amp;"00 "&amp;IF(VLOOKUP(INDEX(男子エントリー!$J$7:$AF$406,MATCH(LEFT($B59,FIND("(",$B59)-1)&amp;RIGHT(L$1,1),男子エントリー!$AF$7:$AF$406,0),1),競技会設定!$P$2:$S$22,4,0)&gt;70,TEXT(INDEX(男子エントリー!$J$7:$AF$406,MATCH(LEFT($B59,FIND("(",$B59)-1)&amp;RIGHT(L$1,1),男子エントリー!$AF$7:$AF$406,0),3),"00000"),TEXT(INDEX(男子エントリー!$J$7:$AF$406,MATCH(LEFT($B59,FIND("(",$B59)-1)&amp;RIGHT(L$1,1),男子エントリー!$AF$7:$AF$406,0),3),"0000000")),"")</f>
        <v/>
      </c>
      <c r="M59" s="1" t="str">
        <f>_xlfn.IFNA(TEXT(VLOOKUP(INDEX(男子エントリー!$J$7:$AF$406,MATCH(LEFT($B59,FIND("(",$B59)-1)&amp;RIGHT(M$1,1),男子エントリー!$AF$7:$AF$406,0),1),競技会設定!$P$2:$S$22,4,0),"000")&amp;"00 "&amp;IF(VLOOKUP(INDEX(男子エントリー!$J$7:$AF$406,MATCH(LEFT($B59,FIND("(",$B59)-1)&amp;RIGHT(M$1,1),男子エントリー!$AF$7:$AF$406,0),1),競技会設定!$P$2:$S$22,4,0)&gt;70,TEXT(INDEX(男子エントリー!$J$7:$AF$406,MATCH(LEFT($B59,FIND("(",$B59)-1)&amp;RIGHT(M$1,1),男子エントリー!$AF$7:$AF$406,0),3),"00000"),TEXT(INDEX(男子エントリー!$J$7:$AF$406,MATCH(LEFT($B59,FIND("(",$B59)-1)&amp;RIGHT(M$1,1),男子エントリー!$AF$7:$AF$406,0),3),"0000000")),"")</f>
        <v/>
      </c>
      <c r="N59" s="1" t="str">
        <f>_xlfn.IFNA(TEXT(VLOOKUP(INDEX(男子エントリー!$J$7:$AF$406,MATCH(LEFT($B59,FIND("(",$B59)-1)&amp;RIGHT(N$1,1),男子エントリー!$AF$7:$AF$406,0),1),競技会設定!$P$2:$S$22,4,0),"000")&amp;"00 "&amp;IF(VLOOKUP(INDEX(男子エントリー!$J$7:$AF$406,MATCH(LEFT($B59,FIND("(",$B59)-1)&amp;RIGHT(N$1,1),男子エントリー!$AF$7:$AF$406,0),1),競技会設定!$P$2:$S$22,4,0)&gt;70,TEXT(INDEX(男子エントリー!$J$7:$AF$406,MATCH(LEFT($B59,FIND("(",$B59)-1)&amp;RIGHT(N$1,1),男子エントリー!$AF$7:$AF$406,0),3),"00000"),TEXT(INDEX(男子エントリー!$J$7:$AF$406,MATCH(LEFT($B59,FIND("(",$B59)-1)&amp;RIGHT(N$1,1),男子エントリー!$AF$7:$AF$406,0),3),"0000000")),"")</f>
        <v/>
      </c>
      <c r="O59" s="1" t="str">
        <f>_xlfn.IFNA(TEXT(VLOOKUP(INDEX(男子エントリー!$J$7:$AF$406,MATCH(LEFT($B59,FIND("(",$B59)-1)&amp;RIGHT(O$1,1),男子エントリー!$AF$7:$AF$406,0),1),競技会設定!$P$2:$S$22,4,0),"000")&amp;"00 "&amp;IF(VLOOKUP(INDEX(男子エントリー!$J$7:$AF$406,MATCH(LEFT($B59,FIND("(",$B59)-1)&amp;RIGHT(O$1,1),男子エントリー!$AF$7:$AF$406,0),1),競技会設定!$P$2:$S$22,4,0)&gt;70,TEXT(INDEX(男子エントリー!$J$7:$AF$406,MATCH(LEFT($B59,FIND("(",$B59)-1)&amp;RIGHT(O$1,1),男子エントリー!$AF$7:$AF$406,0),3),"00000"),TEXT(INDEX(男子エントリー!$J$7:$AF$406,MATCH(LEFT($B59,FIND("(",$B59)-1)&amp;RIGHT(O$1,1),男子エントリー!$AF$7:$AF$406,0),3),"0000000")),"")</f>
        <v/>
      </c>
    </row>
    <row r="60" spans="1:15">
      <c r="A60" s="92" t="str">
        <f>男子エントリー!D239</f>
        <v/>
      </c>
      <c r="B60" s="1" t="str">
        <f>男子エントリー!E239&amp;"("&amp;男子エントリー!G239&amp;")"</f>
        <v>()</v>
      </c>
      <c r="C60" s="92" t="str">
        <f>男子エントリー!F239</f>
        <v/>
      </c>
      <c r="D60" s="92" t="str">
        <f>男子エントリー!E241</f>
        <v/>
      </c>
      <c r="E60" s="92" t="str">
        <f>男子エントリー!G241</f>
        <v/>
      </c>
      <c r="F60" s="1" t="str">
        <f t="shared" si="0"/>
        <v/>
      </c>
      <c r="G60" s="92" t="str">
        <f>_xlfn.IFNA(VLOOKUP(男子エントリー!G240,競技会設定!$D$3:$E$49,2,0),"")</f>
        <v/>
      </c>
      <c r="H60" s="92" t="str">
        <f>_xlfn.IFNA(INDEX(競技会設定!$J$3:$O$47,MATCH(男子エントリー!H239,競技会設定!$N$3:$N$47,0),2),"")</f>
        <v/>
      </c>
      <c r="K60" s="92">
        <f>男子エントリー!C239</f>
        <v>0</v>
      </c>
      <c r="L60" s="1" t="str">
        <f>_xlfn.IFNA(TEXT(VLOOKUP(INDEX(男子エントリー!$J$7:$AF$406,MATCH(LEFT($B60,FIND("(",$B60)-1)&amp;RIGHT(L$1,1),男子エントリー!$AF$7:$AF$406,0),1),競技会設定!$P$2:$S$22,4,0),"000")&amp;"00 "&amp;IF(VLOOKUP(INDEX(男子エントリー!$J$7:$AF$406,MATCH(LEFT($B60,FIND("(",$B60)-1)&amp;RIGHT(L$1,1),男子エントリー!$AF$7:$AF$406,0),1),競技会設定!$P$2:$S$22,4,0)&gt;70,TEXT(INDEX(男子エントリー!$J$7:$AF$406,MATCH(LEFT($B60,FIND("(",$B60)-1)&amp;RIGHT(L$1,1),男子エントリー!$AF$7:$AF$406,0),3),"00000"),TEXT(INDEX(男子エントリー!$J$7:$AF$406,MATCH(LEFT($B60,FIND("(",$B60)-1)&amp;RIGHT(L$1,1),男子エントリー!$AF$7:$AF$406,0),3),"0000000")),"")</f>
        <v/>
      </c>
      <c r="M60" s="1" t="str">
        <f>_xlfn.IFNA(TEXT(VLOOKUP(INDEX(男子エントリー!$J$7:$AF$406,MATCH(LEFT($B60,FIND("(",$B60)-1)&amp;RIGHT(M$1,1),男子エントリー!$AF$7:$AF$406,0),1),競技会設定!$P$2:$S$22,4,0),"000")&amp;"00 "&amp;IF(VLOOKUP(INDEX(男子エントリー!$J$7:$AF$406,MATCH(LEFT($B60,FIND("(",$B60)-1)&amp;RIGHT(M$1,1),男子エントリー!$AF$7:$AF$406,0),1),競技会設定!$P$2:$S$22,4,0)&gt;70,TEXT(INDEX(男子エントリー!$J$7:$AF$406,MATCH(LEFT($B60,FIND("(",$B60)-1)&amp;RIGHT(M$1,1),男子エントリー!$AF$7:$AF$406,0),3),"00000"),TEXT(INDEX(男子エントリー!$J$7:$AF$406,MATCH(LEFT($B60,FIND("(",$B60)-1)&amp;RIGHT(M$1,1),男子エントリー!$AF$7:$AF$406,0),3),"0000000")),"")</f>
        <v/>
      </c>
      <c r="N60" s="1" t="str">
        <f>_xlfn.IFNA(TEXT(VLOOKUP(INDEX(男子エントリー!$J$7:$AF$406,MATCH(LEFT($B60,FIND("(",$B60)-1)&amp;RIGHT(N$1,1),男子エントリー!$AF$7:$AF$406,0),1),競技会設定!$P$2:$S$22,4,0),"000")&amp;"00 "&amp;IF(VLOOKUP(INDEX(男子エントリー!$J$7:$AF$406,MATCH(LEFT($B60,FIND("(",$B60)-1)&amp;RIGHT(N$1,1),男子エントリー!$AF$7:$AF$406,0),1),競技会設定!$P$2:$S$22,4,0)&gt;70,TEXT(INDEX(男子エントリー!$J$7:$AF$406,MATCH(LEFT($B60,FIND("(",$B60)-1)&amp;RIGHT(N$1,1),男子エントリー!$AF$7:$AF$406,0),3),"00000"),TEXT(INDEX(男子エントリー!$J$7:$AF$406,MATCH(LEFT($B60,FIND("(",$B60)-1)&amp;RIGHT(N$1,1),男子エントリー!$AF$7:$AF$406,0),3),"0000000")),"")</f>
        <v/>
      </c>
      <c r="O60" s="1" t="str">
        <f>_xlfn.IFNA(TEXT(VLOOKUP(INDEX(男子エントリー!$J$7:$AF$406,MATCH(LEFT($B60,FIND("(",$B60)-1)&amp;RIGHT(O$1,1),男子エントリー!$AF$7:$AF$406,0),1),競技会設定!$P$2:$S$22,4,0),"000")&amp;"00 "&amp;IF(VLOOKUP(INDEX(男子エントリー!$J$7:$AF$406,MATCH(LEFT($B60,FIND("(",$B60)-1)&amp;RIGHT(O$1,1),男子エントリー!$AF$7:$AF$406,0),1),競技会設定!$P$2:$S$22,4,0)&gt;70,TEXT(INDEX(男子エントリー!$J$7:$AF$406,MATCH(LEFT($B60,FIND("(",$B60)-1)&amp;RIGHT(O$1,1),男子エントリー!$AF$7:$AF$406,0),3),"00000"),TEXT(INDEX(男子エントリー!$J$7:$AF$406,MATCH(LEFT($B60,FIND("(",$B60)-1)&amp;RIGHT(O$1,1),男子エントリー!$AF$7:$AF$406,0),3),"0000000")),"")</f>
        <v/>
      </c>
    </row>
    <row r="61" spans="1:15">
      <c r="A61" s="92" t="str">
        <f>男子エントリー!D243</f>
        <v/>
      </c>
      <c r="B61" s="1" t="str">
        <f>男子エントリー!E243&amp;"("&amp;男子エントリー!G243&amp;")"</f>
        <v>()</v>
      </c>
      <c r="C61" s="92" t="str">
        <f>男子エントリー!F243</f>
        <v/>
      </c>
      <c r="D61" s="92" t="str">
        <f>男子エントリー!E245</f>
        <v/>
      </c>
      <c r="E61" s="92" t="str">
        <f>男子エントリー!G245</f>
        <v/>
      </c>
      <c r="F61" s="1" t="str">
        <f t="shared" si="0"/>
        <v/>
      </c>
      <c r="G61" s="92" t="str">
        <f>_xlfn.IFNA(VLOOKUP(男子エントリー!G244,競技会設定!$D$3:$E$49,2,0),"")</f>
        <v/>
      </c>
      <c r="H61" s="92" t="str">
        <f>_xlfn.IFNA(INDEX(競技会設定!$J$3:$O$47,MATCH(男子エントリー!H243,競技会設定!$N$3:$N$47,0),2),"")</f>
        <v/>
      </c>
      <c r="K61" s="92">
        <f>男子エントリー!C243</f>
        <v>0</v>
      </c>
      <c r="L61" s="1" t="str">
        <f>_xlfn.IFNA(TEXT(VLOOKUP(INDEX(男子エントリー!$J$7:$AF$406,MATCH(LEFT($B61,FIND("(",$B61)-1)&amp;RIGHT(L$1,1),男子エントリー!$AF$7:$AF$406,0),1),競技会設定!$P$2:$S$22,4,0),"000")&amp;"00 "&amp;IF(VLOOKUP(INDEX(男子エントリー!$J$7:$AF$406,MATCH(LEFT($B61,FIND("(",$B61)-1)&amp;RIGHT(L$1,1),男子エントリー!$AF$7:$AF$406,0),1),競技会設定!$P$2:$S$22,4,0)&gt;70,TEXT(INDEX(男子エントリー!$J$7:$AF$406,MATCH(LEFT($B61,FIND("(",$B61)-1)&amp;RIGHT(L$1,1),男子エントリー!$AF$7:$AF$406,0),3),"00000"),TEXT(INDEX(男子エントリー!$J$7:$AF$406,MATCH(LEFT($B61,FIND("(",$B61)-1)&amp;RIGHT(L$1,1),男子エントリー!$AF$7:$AF$406,0),3),"0000000")),"")</f>
        <v/>
      </c>
      <c r="M61" s="1" t="str">
        <f>_xlfn.IFNA(TEXT(VLOOKUP(INDEX(男子エントリー!$J$7:$AF$406,MATCH(LEFT($B61,FIND("(",$B61)-1)&amp;RIGHT(M$1,1),男子エントリー!$AF$7:$AF$406,0),1),競技会設定!$P$2:$S$22,4,0),"000")&amp;"00 "&amp;IF(VLOOKUP(INDEX(男子エントリー!$J$7:$AF$406,MATCH(LEFT($B61,FIND("(",$B61)-1)&amp;RIGHT(M$1,1),男子エントリー!$AF$7:$AF$406,0),1),競技会設定!$P$2:$S$22,4,0)&gt;70,TEXT(INDEX(男子エントリー!$J$7:$AF$406,MATCH(LEFT($B61,FIND("(",$B61)-1)&amp;RIGHT(M$1,1),男子エントリー!$AF$7:$AF$406,0),3),"00000"),TEXT(INDEX(男子エントリー!$J$7:$AF$406,MATCH(LEFT($B61,FIND("(",$B61)-1)&amp;RIGHT(M$1,1),男子エントリー!$AF$7:$AF$406,0),3),"0000000")),"")</f>
        <v/>
      </c>
      <c r="N61" s="1" t="str">
        <f>_xlfn.IFNA(TEXT(VLOOKUP(INDEX(男子エントリー!$J$7:$AF$406,MATCH(LEFT($B61,FIND("(",$B61)-1)&amp;RIGHT(N$1,1),男子エントリー!$AF$7:$AF$406,0),1),競技会設定!$P$2:$S$22,4,0),"000")&amp;"00 "&amp;IF(VLOOKUP(INDEX(男子エントリー!$J$7:$AF$406,MATCH(LEFT($B61,FIND("(",$B61)-1)&amp;RIGHT(N$1,1),男子エントリー!$AF$7:$AF$406,0),1),競技会設定!$P$2:$S$22,4,0)&gt;70,TEXT(INDEX(男子エントリー!$J$7:$AF$406,MATCH(LEFT($B61,FIND("(",$B61)-1)&amp;RIGHT(N$1,1),男子エントリー!$AF$7:$AF$406,0),3),"00000"),TEXT(INDEX(男子エントリー!$J$7:$AF$406,MATCH(LEFT($B61,FIND("(",$B61)-1)&amp;RIGHT(N$1,1),男子エントリー!$AF$7:$AF$406,0),3),"0000000")),"")</f>
        <v/>
      </c>
      <c r="O61" s="1" t="str">
        <f>_xlfn.IFNA(TEXT(VLOOKUP(INDEX(男子エントリー!$J$7:$AF$406,MATCH(LEFT($B61,FIND("(",$B61)-1)&amp;RIGHT(O$1,1),男子エントリー!$AF$7:$AF$406,0),1),競技会設定!$P$2:$S$22,4,0),"000")&amp;"00 "&amp;IF(VLOOKUP(INDEX(男子エントリー!$J$7:$AF$406,MATCH(LEFT($B61,FIND("(",$B61)-1)&amp;RIGHT(O$1,1),男子エントリー!$AF$7:$AF$406,0),1),競技会設定!$P$2:$S$22,4,0)&gt;70,TEXT(INDEX(男子エントリー!$J$7:$AF$406,MATCH(LEFT($B61,FIND("(",$B61)-1)&amp;RIGHT(O$1,1),男子エントリー!$AF$7:$AF$406,0),3),"00000"),TEXT(INDEX(男子エントリー!$J$7:$AF$406,MATCH(LEFT($B61,FIND("(",$B61)-1)&amp;RIGHT(O$1,1),男子エントリー!$AF$7:$AF$406,0),3),"0000000")),"")</f>
        <v/>
      </c>
    </row>
    <row r="62" spans="1:15">
      <c r="A62" s="92" t="str">
        <f>男子エントリー!D247</f>
        <v/>
      </c>
      <c r="B62" s="1" t="str">
        <f>男子エントリー!E247&amp;"("&amp;男子エントリー!G247&amp;")"</f>
        <v>()</v>
      </c>
      <c r="C62" s="92" t="str">
        <f>男子エントリー!F247</f>
        <v/>
      </c>
      <c r="D62" s="92" t="str">
        <f>男子エントリー!E249</f>
        <v/>
      </c>
      <c r="E62" s="92" t="str">
        <f>男子エントリー!G249</f>
        <v/>
      </c>
      <c r="F62" s="1" t="str">
        <f t="shared" si="0"/>
        <v/>
      </c>
      <c r="G62" s="92" t="str">
        <f>_xlfn.IFNA(VLOOKUP(男子エントリー!G248,競技会設定!$D$3:$E$49,2,0),"")</f>
        <v/>
      </c>
      <c r="H62" s="92" t="str">
        <f>_xlfn.IFNA(INDEX(競技会設定!$J$3:$O$47,MATCH(男子エントリー!H247,競技会設定!$N$3:$N$47,0),2),"")</f>
        <v/>
      </c>
      <c r="K62" s="92">
        <f>男子エントリー!C247</f>
        <v>0</v>
      </c>
      <c r="L62" s="1" t="str">
        <f>_xlfn.IFNA(TEXT(VLOOKUP(INDEX(男子エントリー!$J$7:$AF$406,MATCH(LEFT($B62,FIND("(",$B62)-1)&amp;RIGHT(L$1,1),男子エントリー!$AF$7:$AF$406,0),1),競技会設定!$P$2:$S$22,4,0),"000")&amp;"00 "&amp;IF(VLOOKUP(INDEX(男子エントリー!$J$7:$AF$406,MATCH(LEFT($B62,FIND("(",$B62)-1)&amp;RIGHT(L$1,1),男子エントリー!$AF$7:$AF$406,0),1),競技会設定!$P$2:$S$22,4,0)&gt;70,TEXT(INDEX(男子エントリー!$J$7:$AF$406,MATCH(LEFT($B62,FIND("(",$B62)-1)&amp;RIGHT(L$1,1),男子エントリー!$AF$7:$AF$406,0),3),"00000"),TEXT(INDEX(男子エントリー!$J$7:$AF$406,MATCH(LEFT($B62,FIND("(",$B62)-1)&amp;RIGHT(L$1,1),男子エントリー!$AF$7:$AF$406,0),3),"0000000")),"")</f>
        <v/>
      </c>
      <c r="M62" s="1" t="str">
        <f>_xlfn.IFNA(TEXT(VLOOKUP(INDEX(男子エントリー!$J$7:$AF$406,MATCH(LEFT($B62,FIND("(",$B62)-1)&amp;RIGHT(M$1,1),男子エントリー!$AF$7:$AF$406,0),1),競技会設定!$P$2:$S$22,4,0),"000")&amp;"00 "&amp;IF(VLOOKUP(INDEX(男子エントリー!$J$7:$AF$406,MATCH(LEFT($B62,FIND("(",$B62)-1)&amp;RIGHT(M$1,1),男子エントリー!$AF$7:$AF$406,0),1),競技会設定!$P$2:$S$22,4,0)&gt;70,TEXT(INDEX(男子エントリー!$J$7:$AF$406,MATCH(LEFT($B62,FIND("(",$B62)-1)&amp;RIGHT(M$1,1),男子エントリー!$AF$7:$AF$406,0),3),"00000"),TEXT(INDEX(男子エントリー!$J$7:$AF$406,MATCH(LEFT($B62,FIND("(",$B62)-1)&amp;RIGHT(M$1,1),男子エントリー!$AF$7:$AF$406,0),3),"0000000")),"")</f>
        <v/>
      </c>
      <c r="N62" s="1" t="str">
        <f>_xlfn.IFNA(TEXT(VLOOKUP(INDEX(男子エントリー!$J$7:$AF$406,MATCH(LEFT($B62,FIND("(",$B62)-1)&amp;RIGHT(N$1,1),男子エントリー!$AF$7:$AF$406,0),1),競技会設定!$P$2:$S$22,4,0),"000")&amp;"00 "&amp;IF(VLOOKUP(INDEX(男子エントリー!$J$7:$AF$406,MATCH(LEFT($B62,FIND("(",$B62)-1)&amp;RIGHT(N$1,1),男子エントリー!$AF$7:$AF$406,0),1),競技会設定!$P$2:$S$22,4,0)&gt;70,TEXT(INDEX(男子エントリー!$J$7:$AF$406,MATCH(LEFT($B62,FIND("(",$B62)-1)&amp;RIGHT(N$1,1),男子エントリー!$AF$7:$AF$406,0),3),"00000"),TEXT(INDEX(男子エントリー!$J$7:$AF$406,MATCH(LEFT($B62,FIND("(",$B62)-1)&amp;RIGHT(N$1,1),男子エントリー!$AF$7:$AF$406,0),3),"0000000")),"")</f>
        <v/>
      </c>
      <c r="O62" s="1" t="str">
        <f>_xlfn.IFNA(TEXT(VLOOKUP(INDEX(男子エントリー!$J$7:$AF$406,MATCH(LEFT($B62,FIND("(",$B62)-1)&amp;RIGHT(O$1,1),男子エントリー!$AF$7:$AF$406,0),1),競技会設定!$P$2:$S$22,4,0),"000")&amp;"00 "&amp;IF(VLOOKUP(INDEX(男子エントリー!$J$7:$AF$406,MATCH(LEFT($B62,FIND("(",$B62)-1)&amp;RIGHT(O$1,1),男子エントリー!$AF$7:$AF$406,0),1),競技会設定!$P$2:$S$22,4,0)&gt;70,TEXT(INDEX(男子エントリー!$J$7:$AF$406,MATCH(LEFT($B62,FIND("(",$B62)-1)&amp;RIGHT(O$1,1),男子エントリー!$AF$7:$AF$406,0),3),"00000"),TEXT(INDEX(男子エントリー!$J$7:$AF$406,MATCH(LEFT($B62,FIND("(",$B62)-1)&amp;RIGHT(O$1,1),男子エントリー!$AF$7:$AF$406,0),3),"0000000")),"")</f>
        <v/>
      </c>
    </row>
    <row r="63" spans="1:15">
      <c r="A63" s="92" t="str">
        <f>男子エントリー!D251</f>
        <v/>
      </c>
      <c r="B63" s="1" t="str">
        <f>男子エントリー!E251&amp;"("&amp;男子エントリー!G251&amp;")"</f>
        <v>()</v>
      </c>
      <c r="C63" s="92" t="str">
        <f>男子エントリー!F251</f>
        <v/>
      </c>
      <c r="D63" s="92" t="str">
        <f>男子エントリー!E253</f>
        <v/>
      </c>
      <c r="E63" s="92" t="str">
        <f>男子エントリー!G253</f>
        <v/>
      </c>
      <c r="F63" s="1" t="str">
        <f t="shared" si="0"/>
        <v/>
      </c>
      <c r="G63" s="92" t="str">
        <f>_xlfn.IFNA(VLOOKUP(男子エントリー!G252,競技会設定!$D$3:$E$49,2,0),"")</f>
        <v/>
      </c>
      <c r="H63" s="92" t="str">
        <f>_xlfn.IFNA(INDEX(競技会設定!$J$3:$O$47,MATCH(男子エントリー!H251,競技会設定!$N$3:$N$47,0),2),"")</f>
        <v/>
      </c>
      <c r="K63" s="92">
        <f>男子エントリー!C251</f>
        <v>0</v>
      </c>
      <c r="L63" s="1" t="str">
        <f>_xlfn.IFNA(TEXT(VLOOKUP(INDEX(男子エントリー!$J$7:$AF$406,MATCH(LEFT($B63,FIND("(",$B63)-1)&amp;RIGHT(L$1,1),男子エントリー!$AF$7:$AF$406,0),1),競技会設定!$P$2:$S$22,4,0),"000")&amp;"00 "&amp;IF(VLOOKUP(INDEX(男子エントリー!$J$7:$AF$406,MATCH(LEFT($B63,FIND("(",$B63)-1)&amp;RIGHT(L$1,1),男子エントリー!$AF$7:$AF$406,0),1),競技会設定!$P$2:$S$22,4,0)&gt;70,TEXT(INDEX(男子エントリー!$J$7:$AF$406,MATCH(LEFT($B63,FIND("(",$B63)-1)&amp;RIGHT(L$1,1),男子エントリー!$AF$7:$AF$406,0),3),"00000"),TEXT(INDEX(男子エントリー!$J$7:$AF$406,MATCH(LEFT($B63,FIND("(",$B63)-1)&amp;RIGHT(L$1,1),男子エントリー!$AF$7:$AF$406,0),3),"0000000")),"")</f>
        <v/>
      </c>
      <c r="M63" s="1" t="str">
        <f>_xlfn.IFNA(TEXT(VLOOKUP(INDEX(男子エントリー!$J$7:$AF$406,MATCH(LEFT($B63,FIND("(",$B63)-1)&amp;RIGHT(M$1,1),男子エントリー!$AF$7:$AF$406,0),1),競技会設定!$P$2:$S$22,4,0),"000")&amp;"00 "&amp;IF(VLOOKUP(INDEX(男子エントリー!$J$7:$AF$406,MATCH(LEFT($B63,FIND("(",$B63)-1)&amp;RIGHT(M$1,1),男子エントリー!$AF$7:$AF$406,0),1),競技会設定!$P$2:$S$22,4,0)&gt;70,TEXT(INDEX(男子エントリー!$J$7:$AF$406,MATCH(LEFT($B63,FIND("(",$B63)-1)&amp;RIGHT(M$1,1),男子エントリー!$AF$7:$AF$406,0),3),"00000"),TEXT(INDEX(男子エントリー!$J$7:$AF$406,MATCH(LEFT($B63,FIND("(",$B63)-1)&amp;RIGHT(M$1,1),男子エントリー!$AF$7:$AF$406,0),3),"0000000")),"")</f>
        <v/>
      </c>
      <c r="N63" s="1" t="str">
        <f>_xlfn.IFNA(TEXT(VLOOKUP(INDEX(男子エントリー!$J$7:$AF$406,MATCH(LEFT($B63,FIND("(",$B63)-1)&amp;RIGHT(N$1,1),男子エントリー!$AF$7:$AF$406,0),1),競技会設定!$P$2:$S$22,4,0),"000")&amp;"00 "&amp;IF(VLOOKUP(INDEX(男子エントリー!$J$7:$AF$406,MATCH(LEFT($B63,FIND("(",$B63)-1)&amp;RIGHT(N$1,1),男子エントリー!$AF$7:$AF$406,0),1),競技会設定!$P$2:$S$22,4,0)&gt;70,TEXT(INDEX(男子エントリー!$J$7:$AF$406,MATCH(LEFT($B63,FIND("(",$B63)-1)&amp;RIGHT(N$1,1),男子エントリー!$AF$7:$AF$406,0),3),"00000"),TEXT(INDEX(男子エントリー!$J$7:$AF$406,MATCH(LEFT($B63,FIND("(",$B63)-1)&amp;RIGHT(N$1,1),男子エントリー!$AF$7:$AF$406,0),3),"0000000")),"")</f>
        <v/>
      </c>
      <c r="O63" s="1" t="str">
        <f>_xlfn.IFNA(TEXT(VLOOKUP(INDEX(男子エントリー!$J$7:$AF$406,MATCH(LEFT($B63,FIND("(",$B63)-1)&amp;RIGHT(O$1,1),男子エントリー!$AF$7:$AF$406,0),1),競技会設定!$P$2:$S$22,4,0),"000")&amp;"00 "&amp;IF(VLOOKUP(INDEX(男子エントリー!$J$7:$AF$406,MATCH(LEFT($B63,FIND("(",$B63)-1)&amp;RIGHT(O$1,1),男子エントリー!$AF$7:$AF$406,0),1),競技会設定!$P$2:$S$22,4,0)&gt;70,TEXT(INDEX(男子エントリー!$J$7:$AF$406,MATCH(LEFT($B63,FIND("(",$B63)-1)&amp;RIGHT(O$1,1),男子エントリー!$AF$7:$AF$406,0),3),"00000"),TEXT(INDEX(男子エントリー!$J$7:$AF$406,MATCH(LEFT($B63,FIND("(",$B63)-1)&amp;RIGHT(O$1,1),男子エントリー!$AF$7:$AF$406,0),3),"0000000")),"")</f>
        <v/>
      </c>
    </row>
    <row r="64" spans="1:15">
      <c r="A64" s="92" t="str">
        <f>男子エントリー!D255</f>
        <v/>
      </c>
      <c r="B64" s="1" t="str">
        <f>男子エントリー!E255&amp;"("&amp;男子エントリー!G255&amp;")"</f>
        <v>()</v>
      </c>
      <c r="C64" s="92" t="str">
        <f>男子エントリー!F255</f>
        <v/>
      </c>
      <c r="D64" s="92" t="str">
        <f>男子エントリー!E257</f>
        <v/>
      </c>
      <c r="E64" s="92" t="str">
        <f>男子エントリー!G257</f>
        <v/>
      </c>
      <c r="F64" s="1" t="str">
        <f t="shared" si="0"/>
        <v/>
      </c>
      <c r="G64" s="92" t="str">
        <f>_xlfn.IFNA(VLOOKUP(男子エントリー!G256,競技会設定!$D$3:$E$49,2,0),"")</f>
        <v/>
      </c>
      <c r="H64" s="92" t="str">
        <f>_xlfn.IFNA(INDEX(競技会設定!$J$3:$O$47,MATCH(男子エントリー!H255,競技会設定!$N$3:$N$47,0),2),"")</f>
        <v/>
      </c>
      <c r="K64" s="92">
        <f>男子エントリー!C255</f>
        <v>0</v>
      </c>
      <c r="L64" s="1" t="str">
        <f>_xlfn.IFNA(TEXT(VLOOKUP(INDEX(男子エントリー!$J$7:$AF$406,MATCH(LEFT($B64,FIND("(",$B64)-1)&amp;RIGHT(L$1,1),男子エントリー!$AF$7:$AF$406,0),1),競技会設定!$P$2:$S$22,4,0),"000")&amp;"00 "&amp;IF(VLOOKUP(INDEX(男子エントリー!$J$7:$AF$406,MATCH(LEFT($B64,FIND("(",$B64)-1)&amp;RIGHT(L$1,1),男子エントリー!$AF$7:$AF$406,0),1),競技会設定!$P$2:$S$22,4,0)&gt;70,TEXT(INDEX(男子エントリー!$J$7:$AF$406,MATCH(LEFT($B64,FIND("(",$B64)-1)&amp;RIGHT(L$1,1),男子エントリー!$AF$7:$AF$406,0),3),"00000"),TEXT(INDEX(男子エントリー!$J$7:$AF$406,MATCH(LEFT($B64,FIND("(",$B64)-1)&amp;RIGHT(L$1,1),男子エントリー!$AF$7:$AF$406,0),3),"0000000")),"")</f>
        <v/>
      </c>
      <c r="M64" s="1" t="str">
        <f>_xlfn.IFNA(TEXT(VLOOKUP(INDEX(男子エントリー!$J$7:$AF$406,MATCH(LEFT($B64,FIND("(",$B64)-1)&amp;RIGHT(M$1,1),男子エントリー!$AF$7:$AF$406,0),1),競技会設定!$P$2:$S$22,4,0),"000")&amp;"00 "&amp;IF(VLOOKUP(INDEX(男子エントリー!$J$7:$AF$406,MATCH(LEFT($B64,FIND("(",$B64)-1)&amp;RIGHT(M$1,1),男子エントリー!$AF$7:$AF$406,0),1),競技会設定!$P$2:$S$22,4,0)&gt;70,TEXT(INDEX(男子エントリー!$J$7:$AF$406,MATCH(LEFT($B64,FIND("(",$B64)-1)&amp;RIGHT(M$1,1),男子エントリー!$AF$7:$AF$406,0),3),"00000"),TEXT(INDEX(男子エントリー!$J$7:$AF$406,MATCH(LEFT($B64,FIND("(",$B64)-1)&amp;RIGHT(M$1,1),男子エントリー!$AF$7:$AF$406,0),3),"0000000")),"")</f>
        <v/>
      </c>
      <c r="N64" s="1" t="str">
        <f>_xlfn.IFNA(TEXT(VLOOKUP(INDEX(男子エントリー!$J$7:$AF$406,MATCH(LEFT($B64,FIND("(",$B64)-1)&amp;RIGHT(N$1,1),男子エントリー!$AF$7:$AF$406,0),1),競技会設定!$P$2:$S$22,4,0),"000")&amp;"00 "&amp;IF(VLOOKUP(INDEX(男子エントリー!$J$7:$AF$406,MATCH(LEFT($B64,FIND("(",$B64)-1)&amp;RIGHT(N$1,1),男子エントリー!$AF$7:$AF$406,0),1),競技会設定!$P$2:$S$22,4,0)&gt;70,TEXT(INDEX(男子エントリー!$J$7:$AF$406,MATCH(LEFT($B64,FIND("(",$B64)-1)&amp;RIGHT(N$1,1),男子エントリー!$AF$7:$AF$406,0),3),"00000"),TEXT(INDEX(男子エントリー!$J$7:$AF$406,MATCH(LEFT($B64,FIND("(",$B64)-1)&amp;RIGHT(N$1,1),男子エントリー!$AF$7:$AF$406,0),3),"0000000")),"")</f>
        <v/>
      </c>
      <c r="O64" s="1" t="str">
        <f>_xlfn.IFNA(TEXT(VLOOKUP(INDEX(男子エントリー!$J$7:$AF$406,MATCH(LEFT($B64,FIND("(",$B64)-1)&amp;RIGHT(O$1,1),男子エントリー!$AF$7:$AF$406,0),1),競技会設定!$P$2:$S$22,4,0),"000")&amp;"00 "&amp;IF(VLOOKUP(INDEX(男子エントリー!$J$7:$AF$406,MATCH(LEFT($B64,FIND("(",$B64)-1)&amp;RIGHT(O$1,1),男子エントリー!$AF$7:$AF$406,0),1),競技会設定!$P$2:$S$22,4,0)&gt;70,TEXT(INDEX(男子エントリー!$J$7:$AF$406,MATCH(LEFT($B64,FIND("(",$B64)-1)&amp;RIGHT(O$1,1),男子エントリー!$AF$7:$AF$406,0),3),"00000"),TEXT(INDEX(男子エントリー!$J$7:$AF$406,MATCH(LEFT($B64,FIND("(",$B64)-1)&amp;RIGHT(O$1,1),男子エントリー!$AF$7:$AF$406,0),3),"0000000")),"")</f>
        <v/>
      </c>
    </row>
    <row r="65" spans="1:15">
      <c r="A65" s="92" t="str">
        <f>男子エントリー!D259</f>
        <v/>
      </c>
      <c r="B65" s="1" t="str">
        <f>男子エントリー!E259&amp;"("&amp;男子エントリー!G259&amp;")"</f>
        <v>()</v>
      </c>
      <c r="C65" s="92" t="str">
        <f>男子エントリー!F259</f>
        <v/>
      </c>
      <c r="D65" s="92" t="str">
        <f>男子エントリー!E261</f>
        <v/>
      </c>
      <c r="E65" s="92" t="str">
        <f>男子エントリー!G261</f>
        <v/>
      </c>
      <c r="F65" s="1" t="str">
        <f t="shared" si="0"/>
        <v/>
      </c>
      <c r="G65" s="92" t="str">
        <f>_xlfn.IFNA(VLOOKUP(男子エントリー!G260,競技会設定!$D$3:$E$49,2,0),"")</f>
        <v/>
      </c>
      <c r="H65" s="92" t="str">
        <f>_xlfn.IFNA(INDEX(競技会設定!$J$3:$O$47,MATCH(男子エントリー!H259,競技会設定!$N$3:$N$47,0),2),"")</f>
        <v/>
      </c>
      <c r="K65" s="92">
        <f>男子エントリー!C259</f>
        <v>0</v>
      </c>
      <c r="L65" s="1" t="str">
        <f>_xlfn.IFNA(TEXT(VLOOKUP(INDEX(男子エントリー!$J$7:$AF$406,MATCH(LEFT($B65,FIND("(",$B65)-1)&amp;RIGHT(L$1,1),男子エントリー!$AF$7:$AF$406,0),1),競技会設定!$P$2:$S$22,4,0),"000")&amp;"00 "&amp;IF(VLOOKUP(INDEX(男子エントリー!$J$7:$AF$406,MATCH(LEFT($B65,FIND("(",$B65)-1)&amp;RIGHT(L$1,1),男子エントリー!$AF$7:$AF$406,0),1),競技会設定!$P$2:$S$22,4,0)&gt;70,TEXT(INDEX(男子エントリー!$J$7:$AF$406,MATCH(LEFT($B65,FIND("(",$B65)-1)&amp;RIGHT(L$1,1),男子エントリー!$AF$7:$AF$406,0),3),"00000"),TEXT(INDEX(男子エントリー!$J$7:$AF$406,MATCH(LEFT($B65,FIND("(",$B65)-1)&amp;RIGHT(L$1,1),男子エントリー!$AF$7:$AF$406,0),3),"0000000")),"")</f>
        <v/>
      </c>
      <c r="M65" s="1" t="str">
        <f>_xlfn.IFNA(TEXT(VLOOKUP(INDEX(男子エントリー!$J$7:$AF$406,MATCH(LEFT($B65,FIND("(",$B65)-1)&amp;RIGHT(M$1,1),男子エントリー!$AF$7:$AF$406,0),1),競技会設定!$P$2:$S$22,4,0),"000")&amp;"00 "&amp;IF(VLOOKUP(INDEX(男子エントリー!$J$7:$AF$406,MATCH(LEFT($B65,FIND("(",$B65)-1)&amp;RIGHT(M$1,1),男子エントリー!$AF$7:$AF$406,0),1),競技会設定!$P$2:$S$22,4,0)&gt;70,TEXT(INDEX(男子エントリー!$J$7:$AF$406,MATCH(LEFT($B65,FIND("(",$B65)-1)&amp;RIGHT(M$1,1),男子エントリー!$AF$7:$AF$406,0),3),"00000"),TEXT(INDEX(男子エントリー!$J$7:$AF$406,MATCH(LEFT($B65,FIND("(",$B65)-1)&amp;RIGHT(M$1,1),男子エントリー!$AF$7:$AF$406,0),3),"0000000")),"")</f>
        <v/>
      </c>
      <c r="N65" s="1" t="str">
        <f>_xlfn.IFNA(TEXT(VLOOKUP(INDEX(男子エントリー!$J$7:$AF$406,MATCH(LEFT($B65,FIND("(",$B65)-1)&amp;RIGHT(N$1,1),男子エントリー!$AF$7:$AF$406,0),1),競技会設定!$P$2:$S$22,4,0),"000")&amp;"00 "&amp;IF(VLOOKUP(INDEX(男子エントリー!$J$7:$AF$406,MATCH(LEFT($B65,FIND("(",$B65)-1)&amp;RIGHT(N$1,1),男子エントリー!$AF$7:$AF$406,0),1),競技会設定!$P$2:$S$22,4,0)&gt;70,TEXT(INDEX(男子エントリー!$J$7:$AF$406,MATCH(LEFT($B65,FIND("(",$B65)-1)&amp;RIGHT(N$1,1),男子エントリー!$AF$7:$AF$406,0),3),"00000"),TEXT(INDEX(男子エントリー!$J$7:$AF$406,MATCH(LEFT($B65,FIND("(",$B65)-1)&amp;RIGHT(N$1,1),男子エントリー!$AF$7:$AF$406,0),3),"0000000")),"")</f>
        <v/>
      </c>
      <c r="O65" s="1" t="str">
        <f>_xlfn.IFNA(TEXT(VLOOKUP(INDEX(男子エントリー!$J$7:$AF$406,MATCH(LEFT($B65,FIND("(",$B65)-1)&amp;RIGHT(O$1,1),男子エントリー!$AF$7:$AF$406,0),1),競技会設定!$P$2:$S$22,4,0),"000")&amp;"00 "&amp;IF(VLOOKUP(INDEX(男子エントリー!$J$7:$AF$406,MATCH(LEFT($B65,FIND("(",$B65)-1)&amp;RIGHT(O$1,1),男子エントリー!$AF$7:$AF$406,0),1),競技会設定!$P$2:$S$22,4,0)&gt;70,TEXT(INDEX(男子エントリー!$J$7:$AF$406,MATCH(LEFT($B65,FIND("(",$B65)-1)&amp;RIGHT(O$1,1),男子エントリー!$AF$7:$AF$406,0),3),"00000"),TEXT(INDEX(男子エントリー!$J$7:$AF$406,MATCH(LEFT($B65,FIND("(",$B65)-1)&amp;RIGHT(O$1,1),男子エントリー!$AF$7:$AF$406,0),3),"0000000")),"")</f>
        <v/>
      </c>
    </row>
    <row r="66" spans="1:15">
      <c r="A66" s="92" t="str">
        <f>男子エントリー!D263</f>
        <v/>
      </c>
      <c r="B66" s="1" t="str">
        <f>男子エントリー!E263&amp;"("&amp;男子エントリー!G263&amp;")"</f>
        <v>()</v>
      </c>
      <c r="C66" s="92" t="str">
        <f>男子エントリー!F263</f>
        <v/>
      </c>
      <c r="D66" s="92" t="str">
        <f>男子エントリー!E265</f>
        <v/>
      </c>
      <c r="E66" s="92" t="str">
        <f>男子エントリー!G265</f>
        <v/>
      </c>
      <c r="F66" s="1" t="str">
        <f t="shared" si="0"/>
        <v/>
      </c>
      <c r="G66" s="92" t="str">
        <f>_xlfn.IFNA(VLOOKUP(男子エントリー!G264,競技会設定!$D$3:$E$49,2,0),"")</f>
        <v/>
      </c>
      <c r="H66" s="92" t="str">
        <f>_xlfn.IFNA(INDEX(競技会設定!$J$3:$O$47,MATCH(男子エントリー!H263,競技会設定!$N$3:$N$47,0),2),"")</f>
        <v/>
      </c>
      <c r="K66" s="92">
        <f>男子エントリー!C263</f>
        <v>0</v>
      </c>
      <c r="L66" s="1" t="str">
        <f>_xlfn.IFNA(TEXT(VLOOKUP(INDEX(男子エントリー!$J$7:$AF$406,MATCH(LEFT($B66,FIND("(",$B66)-1)&amp;RIGHT(L$1,1),男子エントリー!$AF$7:$AF$406,0),1),競技会設定!$P$2:$S$22,4,0),"000")&amp;"00 "&amp;IF(VLOOKUP(INDEX(男子エントリー!$J$7:$AF$406,MATCH(LEFT($B66,FIND("(",$B66)-1)&amp;RIGHT(L$1,1),男子エントリー!$AF$7:$AF$406,0),1),競技会設定!$P$2:$S$22,4,0)&gt;70,TEXT(INDEX(男子エントリー!$J$7:$AF$406,MATCH(LEFT($B66,FIND("(",$B66)-1)&amp;RIGHT(L$1,1),男子エントリー!$AF$7:$AF$406,0),3),"00000"),TEXT(INDEX(男子エントリー!$J$7:$AF$406,MATCH(LEFT($B66,FIND("(",$B66)-1)&amp;RIGHT(L$1,1),男子エントリー!$AF$7:$AF$406,0),3),"0000000")),"")</f>
        <v/>
      </c>
      <c r="M66" s="1" t="str">
        <f>_xlfn.IFNA(TEXT(VLOOKUP(INDEX(男子エントリー!$J$7:$AF$406,MATCH(LEFT($B66,FIND("(",$B66)-1)&amp;RIGHT(M$1,1),男子エントリー!$AF$7:$AF$406,0),1),競技会設定!$P$2:$S$22,4,0),"000")&amp;"00 "&amp;IF(VLOOKUP(INDEX(男子エントリー!$J$7:$AF$406,MATCH(LEFT($B66,FIND("(",$B66)-1)&amp;RIGHT(M$1,1),男子エントリー!$AF$7:$AF$406,0),1),競技会設定!$P$2:$S$22,4,0)&gt;70,TEXT(INDEX(男子エントリー!$J$7:$AF$406,MATCH(LEFT($B66,FIND("(",$B66)-1)&amp;RIGHT(M$1,1),男子エントリー!$AF$7:$AF$406,0),3),"00000"),TEXT(INDEX(男子エントリー!$J$7:$AF$406,MATCH(LEFT($B66,FIND("(",$B66)-1)&amp;RIGHT(M$1,1),男子エントリー!$AF$7:$AF$406,0),3),"0000000")),"")</f>
        <v/>
      </c>
      <c r="N66" s="1" t="str">
        <f>_xlfn.IFNA(TEXT(VLOOKUP(INDEX(男子エントリー!$J$7:$AF$406,MATCH(LEFT($B66,FIND("(",$B66)-1)&amp;RIGHT(N$1,1),男子エントリー!$AF$7:$AF$406,0),1),競技会設定!$P$2:$S$22,4,0),"000")&amp;"00 "&amp;IF(VLOOKUP(INDEX(男子エントリー!$J$7:$AF$406,MATCH(LEFT($B66,FIND("(",$B66)-1)&amp;RIGHT(N$1,1),男子エントリー!$AF$7:$AF$406,0),1),競技会設定!$P$2:$S$22,4,0)&gt;70,TEXT(INDEX(男子エントリー!$J$7:$AF$406,MATCH(LEFT($B66,FIND("(",$B66)-1)&amp;RIGHT(N$1,1),男子エントリー!$AF$7:$AF$406,0),3),"00000"),TEXT(INDEX(男子エントリー!$J$7:$AF$406,MATCH(LEFT($B66,FIND("(",$B66)-1)&amp;RIGHT(N$1,1),男子エントリー!$AF$7:$AF$406,0),3),"0000000")),"")</f>
        <v/>
      </c>
      <c r="O66" s="1" t="str">
        <f>_xlfn.IFNA(TEXT(VLOOKUP(INDEX(男子エントリー!$J$7:$AF$406,MATCH(LEFT($B66,FIND("(",$B66)-1)&amp;RIGHT(O$1,1),男子エントリー!$AF$7:$AF$406,0),1),競技会設定!$P$2:$S$22,4,0),"000")&amp;"00 "&amp;IF(VLOOKUP(INDEX(男子エントリー!$J$7:$AF$406,MATCH(LEFT($B66,FIND("(",$B66)-1)&amp;RIGHT(O$1,1),男子エントリー!$AF$7:$AF$406,0),1),競技会設定!$P$2:$S$22,4,0)&gt;70,TEXT(INDEX(男子エントリー!$J$7:$AF$406,MATCH(LEFT($B66,FIND("(",$B66)-1)&amp;RIGHT(O$1,1),男子エントリー!$AF$7:$AF$406,0),3),"00000"),TEXT(INDEX(男子エントリー!$J$7:$AF$406,MATCH(LEFT($B66,FIND("(",$B66)-1)&amp;RIGHT(O$1,1),男子エントリー!$AF$7:$AF$406,0),3),"0000000")),"")</f>
        <v/>
      </c>
    </row>
    <row r="67" spans="1:15">
      <c r="A67" s="92" t="str">
        <f>男子エントリー!D267</f>
        <v/>
      </c>
      <c r="B67" s="1" t="str">
        <f>男子エントリー!E267&amp;"("&amp;男子エントリー!G267&amp;")"</f>
        <v>()</v>
      </c>
      <c r="C67" s="92" t="str">
        <f>男子エントリー!F267</f>
        <v/>
      </c>
      <c r="D67" s="92" t="str">
        <f>男子エントリー!E269</f>
        <v/>
      </c>
      <c r="E67" s="92" t="str">
        <f>男子エントリー!G269</f>
        <v/>
      </c>
      <c r="F67" s="1" t="str">
        <f t="shared" ref="F67:F101" si="1">IF(C67="","",1)</f>
        <v/>
      </c>
      <c r="G67" s="92" t="str">
        <f>_xlfn.IFNA(VLOOKUP(男子エントリー!G268,競技会設定!$D$3:$E$49,2,0),"")</f>
        <v/>
      </c>
      <c r="H67" s="92" t="str">
        <f>_xlfn.IFNA(INDEX(競技会設定!$J$3:$O$47,MATCH(男子エントリー!H267,競技会設定!$N$3:$N$47,0),2),"")</f>
        <v/>
      </c>
      <c r="K67" s="92">
        <f>男子エントリー!C267</f>
        <v>0</v>
      </c>
      <c r="L67" s="1" t="str">
        <f>_xlfn.IFNA(TEXT(VLOOKUP(INDEX(男子エントリー!$J$7:$AF$406,MATCH(LEFT($B67,FIND("(",$B67)-1)&amp;RIGHT(L$1,1),男子エントリー!$AF$7:$AF$406,0),1),競技会設定!$P$2:$S$22,4,0),"000")&amp;"00 "&amp;IF(VLOOKUP(INDEX(男子エントリー!$J$7:$AF$406,MATCH(LEFT($B67,FIND("(",$B67)-1)&amp;RIGHT(L$1,1),男子エントリー!$AF$7:$AF$406,0),1),競技会設定!$P$2:$S$22,4,0)&gt;70,TEXT(INDEX(男子エントリー!$J$7:$AF$406,MATCH(LEFT($B67,FIND("(",$B67)-1)&amp;RIGHT(L$1,1),男子エントリー!$AF$7:$AF$406,0),3),"00000"),TEXT(INDEX(男子エントリー!$J$7:$AF$406,MATCH(LEFT($B67,FIND("(",$B67)-1)&amp;RIGHT(L$1,1),男子エントリー!$AF$7:$AF$406,0),3),"0000000")),"")</f>
        <v/>
      </c>
      <c r="M67" s="1" t="str">
        <f>_xlfn.IFNA(TEXT(VLOOKUP(INDEX(男子エントリー!$J$7:$AF$406,MATCH(LEFT($B67,FIND("(",$B67)-1)&amp;RIGHT(M$1,1),男子エントリー!$AF$7:$AF$406,0),1),競技会設定!$P$2:$S$22,4,0),"000")&amp;"00 "&amp;IF(VLOOKUP(INDEX(男子エントリー!$J$7:$AF$406,MATCH(LEFT($B67,FIND("(",$B67)-1)&amp;RIGHT(M$1,1),男子エントリー!$AF$7:$AF$406,0),1),競技会設定!$P$2:$S$22,4,0)&gt;70,TEXT(INDEX(男子エントリー!$J$7:$AF$406,MATCH(LEFT($B67,FIND("(",$B67)-1)&amp;RIGHT(M$1,1),男子エントリー!$AF$7:$AF$406,0),3),"00000"),TEXT(INDEX(男子エントリー!$J$7:$AF$406,MATCH(LEFT($B67,FIND("(",$B67)-1)&amp;RIGHT(M$1,1),男子エントリー!$AF$7:$AF$406,0),3),"0000000")),"")</f>
        <v/>
      </c>
      <c r="N67" s="1" t="str">
        <f>_xlfn.IFNA(TEXT(VLOOKUP(INDEX(男子エントリー!$J$7:$AF$406,MATCH(LEFT($B67,FIND("(",$B67)-1)&amp;RIGHT(N$1,1),男子エントリー!$AF$7:$AF$406,0),1),競技会設定!$P$2:$S$22,4,0),"000")&amp;"00 "&amp;IF(VLOOKUP(INDEX(男子エントリー!$J$7:$AF$406,MATCH(LEFT($B67,FIND("(",$B67)-1)&amp;RIGHT(N$1,1),男子エントリー!$AF$7:$AF$406,0),1),競技会設定!$P$2:$S$22,4,0)&gt;70,TEXT(INDEX(男子エントリー!$J$7:$AF$406,MATCH(LEFT($B67,FIND("(",$B67)-1)&amp;RIGHT(N$1,1),男子エントリー!$AF$7:$AF$406,0),3),"00000"),TEXT(INDEX(男子エントリー!$J$7:$AF$406,MATCH(LEFT($B67,FIND("(",$B67)-1)&amp;RIGHT(N$1,1),男子エントリー!$AF$7:$AF$406,0),3),"0000000")),"")</f>
        <v/>
      </c>
      <c r="O67" s="1" t="str">
        <f>_xlfn.IFNA(TEXT(VLOOKUP(INDEX(男子エントリー!$J$7:$AF$406,MATCH(LEFT($B67,FIND("(",$B67)-1)&amp;RIGHT(O$1,1),男子エントリー!$AF$7:$AF$406,0),1),競技会設定!$P$2:$S$22,4,0),"000")&amp;"00 "&amp;IF(VLOOKUP(INDEX(男子エントリー!$J$7:$AF$406,MATCH(LEFT($B67,FIND("(",$B67)-1)&amp;RIGHT(O$1,1),男子エントリー!$AF$7:$AF$406,0),1),競技会設定!$P$2:$S$22,4,0)&gt;70,TEXT(INDEX(男子エントリー!$J$7:$AF$406,MATCH(LEFT($B67,FIND("(",$B67)-1)&amp;RIGHT(O$1,1),男子エントリー!$AF$7:$AF$406,0),3),"00000"),TEXT(INDEX(男子エントリー!$J$7:$AF$406,MATCH(LEFT($B67,FIND("(",$B67)-1)&amp;RIGHT(O$1,1),男子エントリー!$AF$7:$AF$406,0),3),"0000000")),"")</f>
        <v/>
      </c>
    </row>
    <row r="68" spans="1:15">
      <c r="A68" s="92" t="str">
        <f>男子エントリー!D271</f>
        <v/>
      </c>
      <c r="B68" s="1" t="str">
        <f>男子エントリー!E271&amp;"("&amp;男子エントリー!G271&amp;")"</f>
        <v>()</v>
      </c>
      <c r="C68" s="92" t="str">
        <f>男子エントリー!F271</f>
        <v/>
      </c>
      <c r="D68" s="92" t="str">
        <f>男子エントリー!E273</f>
        <v/>
      </c>
      <c r="E68" s="92" t="str">
        <f>男子エントリー!G273</f>
        <v/>
      </c>
      <c r="F68" s="1" t="str">
        <f t="shared" si="1"/>
        <v/>
      </c>
      <c r="G68" s="92" t="str">
        <f>_xlfn.IFNA(VLOOKUP(男子エントリー!G272,競技会設定!$D$3:$E$49,2,0),"")</f>
        <v/>
      </c>
      <c r="H68" s="92" t="str">
        <f>_xlfn.IFNA(INDEX(競技会設定!$J$3:$O$47,MATCH(男子エントリー!H271,競技会設定!$N$3:$N$47,0),2),"")</f>
        <v/>
      </c>
      <c r="K68" s="92">
        <f>男子エントリー!C271</f>
        <v>0</v>
      </c>
      <c r="L68" s="1" t="str">
        <f>_xlfn.IFNA(TEXT(VLOOKUP(INDEX(男子エントリー!$J$7:$AF$406,MATCH(LEFT($B68,FIND("(",$B68)-1)&amp;RIGHT(L$1,1),男子エントリー!$AF$7:$AF$406,0),1),競技会設定!$P$2:$S$22,4,0),"000")&amp;"00 "&amp;IF(VLOOKUP(INDEX(男子エントリー!$J$7:$AF$406,MATCH(LEFT($B68,FIND("(",$B68)-1)&amp;RIGHT(L$1,1),男子エントリー!$AF$7:$AF$406,0),1),競技会設定!$P$2:$S$22,4,0)&gt;70,TEXT(INDEX(男子エントリー!$J$7:$AF$406,MATCH(LEFT($B68,FIND("(",$B68)-1)&amp;RIGHT(L$1,1),男子エントリー!$AF$7:$AF$406,0),3),"00000"),TEXT(INDEX(男子エントリー!$J$7:$AF$406,MATCH(LEFT($B68,FIND("(",$B68)-1)&amp;RIGHT(L$1,1),男子エントリー!$AF$7:$AF$406,0),3),"0000000")),"")</f>
        <v/>
      </c>
      <c r="M68" s="1" t="str">
        <f>_xlfn.IFNA(TEXT(VLOOKUP(INDEX(男子エントリー!$J$7:$AF$406,MATCH(LEFT($B68,FIND("(",$B68)-1)&amp;RIGHT(M$1,1),男子エントリー!$AF$7:$AF$406,0),1),競技会設定!$P$2:$S$22,4,0),"000")&amp;"00 "&amp;IF(VLOOKUP(INDEX(男子エントリー!$J$7:$AF$406,MATCH(LEFT($B68,FIND("(",$B68)-1)&amp;RIGHT(M$1,1),男子エントリー!$AF$7:$AF$406,0),1),競技会設定!$P$2:$S$22,4,0)&gt;70,TEXT(INDEX(男子エントリー!$J$7:$AF$406,MATCH(LEFT($B68,FIND("(",$B68)-1)&amp;RIGHT(M$1,1),男子エントリー!$AF$7:$AF$406,0),3),"00000"),TEXT(INDEX(男子エントリー!$J$7:$AF$406,MATCH(LEFT($B68,FIND("(",$B68)-1)&amp;RIGHT(M$1,1),男子エントリー!$AF$7:$AF$406,0),3),"0000000")),"")</f>
        <v/>
      </c>
      <c r="N68" s="1" t="str">
        <f>_xlfn.IFNA(TEXT(VLOOKUP(INDEX(男子エントリー!$J$7:$AF$406,MATCH(LEFT($B68,FIND("(",$B68)-1)&amp;RIGHT(N$1,1),男子エントリー!$AF$7:$AF$406,0),1),競技会設定!$P$2:$S$22,4,0),"000")&amp;"00 "&amp;IF(VLOOKUP(INDEX(男子エントリー!$J$7:$AF$406,MATCH(LEFT($B68,FIND("(",$B68)-1)&amp;RIGHT(N$1,1),男子エントリー!$AF$7:$AF$406,0),1),競技会設定!$P$2:$S$22,4,0)&gt;70,TEXT(INDEX(男子エントリー!$J$7:$AF$406,MATCH(LEFT($B68,FIND("(",$B68)-1)&amp;RIGHT(N$1,1),男子エントリー!$AF$7:$AF$406,0),3),"00000"),TEXT(INDEX(男子エントリー!$J$7:$AF$406,MATCH(LEFT($B68,FIND("(",$B68)-1)&amp;RIGHT(N$1,1),男子エントリー!$AF$7:$AF$406,0),3),"0000000")),"")</f>
        <v/>
      </c>
      <c r="O68" s="1" t="str">
        <f>_xlfn.IFNA(TEXT(VLOOKUP(INDEX(男子エントリー!$J$7:$AF$406,MATCH(LEFT($B68,FIND("(",$B68)-1)&amp;RIGHT(O$1,1),男子エントリー!$AF$7:$AF$406,0),1),競技会設定!$P$2:$S$22,4,0),"000")&amp;"00 "&amp;IF(VLOOKUP(INDEX(男子エントリー!$J$7:$AF$406,MATCH(LEFT($B68,FIND("(",$B68)-1)&amp;RIGHT(O$1,1),男子エントリー!$AF$7:$AF$406,0),1),競技会設定!$P$2:$S$22,4,0)&gt;70,TEXT(INDEX(男子エントリー!$J$7:$AF$406,MATCH(LEFT($B68,FIND("(",$B68)-1)&amp;RIGHT(O$1,1),男子エントリー!$AF$7:$AF$406,0),3),"00000"),TEXT(INDEX(男子エントリー!$J$7:$AF$406,MATCH(LEFT($B68,FIND("(",$B68)-1)&amp;RIGHT(O$1,1),男子エントリー!$AF$7:$AF$406,0),3),"0000000")),"")</f>
        <v/>
      </c>
    </row>
    <row r="69" spans="1:15">
      <c r="A69" s="92" t="str">
        <f>男子エントリー!D275</f>
        <v/>
      </c>
      <c r="B69" s="1" t="str">
        <f>男子エントリー!E275&amp;"("&amp;男子エントリー!G275&amp;")"</f>
        <v>()</v>
      </c>
      <c r="C69" s="92" t="str">
        <f>男子エントリー!F275</f>
        <v/>
      </c>
      <c r="D69" s="92" t="str">
        <f>男子エントリー!E277</f>
        <v/>
      </c>
      <c r="E69" s="92" t="str">
        <f>男子エントリー!G277</f>
        <v/>
      </c>
      <c r="F69" s="1" t="str">
        <f t="shared" si="1"/>
        <v/>
      </c>
      <c r="G69" s="92" t="str">
        <f>_xlfn.IFNA(VLOOKUP(男子エントリー!G276,競技会設定!$D$3:$E$49,2,0),"")</f>
        <v/>
      </c>
      <c r="H69" s="92" t="str">
        <f>_xlfn.IFNA(INDEX(競技会設定!$J$3:$O$47,MATCH(男子エントリー!H275,競技会設定!$N$3:$N$47,0),2),"")</f>
        <v/>
      </c>
      <c r="K69" s="92">
        <f>男子エントリー!C275</f>
        <v>0</v>
      </c>
      <c r="L69" s="1" t="str">
        <f>_xlfn.IFNA(TEXT(VLOOKUP(INDEX(男子エントリー!$J$7:$AF$406,MATCH(LEFT($B69,FIND("(",$B69)-1)&amp;RIGHT(L$1,1),男子エントリー!$AF$7:$AF$406,0),1),競技会設定!$P$2:$S$22,4,0),"000")&amp;"00 "&amp;IF(VLOOKUP(INDEX(男子エントリー!$J$7:$AF$406,MATCH(LEFT($B69,FIND("(",$B69)-1)&amp;RIGHT(L$1,1),男子エントリー!$AF$7:$AF$406,0),1),競技会設定!$P$2:$S$22,4,0)&gt;70,TEXT(INDEX(男子エントリー!$J$7:$AF$406,MATCH(LEFT($B69,FIND("(",$B69)-1)&amp;RIGHT(L$1,1),男子エントリー!$AF$7:$AF$406,0),3),"00000"),TEXT(INDEX(男子エントリー!$J$7:$AF$406,MATCH(LEFT($B69,FIND("(",$B69)-1)&amp;RIGHT(L$1,1),男子エントリー!$AF$7:$AF$406,0),3),"0000000")),"")</f>
        <v/>
      </c>
      <c r="M69" s="1" t="str">
        <f>_xlfn.IFNA(TEXT(VLOOKUP(INDEX(男子エントリー!$J$7:$AF$406,MATCH(LEFT($B69,FIND("(",$B69)-1)&amp;RIGHT(M$1,1),男子エントリー!$AF$7:$AF$406,0),1),競技会設定!$P$2:$S$22,4,0),"000")&amp;"00 "&amp;IF(VLOOKUP(INDEX(男子エントリー!$J$7:$AF$406,MATCH(LEFT($B69,FIND("(",$B69)-1)&amp;RIGHT(M$1,1),男子エントリー!$AF$7:$AF$406,0),1),競技会設定!$P$2:$S$22,4,0)&gt;70,TEXT(INDEX(男子エントリー!$J$7:$AF$406,MATCH(LEFT($B69,FIND("(",$B69)-1)&amp;RIGHT(M$1,1),男子エントリー!$AF$7:$AF$406,0),3),"00000"),TEXT(INDEX(男子エントリー!$J$7:$AF$406,MATCH(LEFT($B69,FIND("(",$B69)-1)&amp;RIGHT(M$1,1),男子エントリー!$AF$7:$AF$406,0),3),"0000000")),"")</f>
        <v/>
      </c>
      <c r="N69" s="1" t="str">
        <f>_xlfn.IFNA(TEXT(VLOOKUP(INDEX(男子エントリー!$J$7:$AF$406,MATCH(LEFT($B69,FIND("(",$B69)-1)&amp;RIGHT(N$1,1),男子エントリー!$AF$7:$AF$406,0),1),競技会設定!$P$2:$S$22,4,0),"000")&amp;"00 "&amp;IF(VLOOKUP(INDEX(男子エントリー!$J$7:$AF$406,MATCH(LEFT($B69,FIND("(",$B69)-1)&amp;RIGHT(N$1,1),男子エントリー!$AF$7:$AF$406,0),1),競技会設定!$P$2:$S$22,4,0)&gt;70,TEXT(INDEX(男子エントリー!$J$7:$AF$406,MATCH(LEFT($B69,FIND("(",$B69)-1)&amp;RIGHT(N$1,1),男子エントリー!$AF$7:$AF$406,0),3),"00000"),TEXT(INDEX(男子エントリー!$J$7:$AF$406,MATCH(LEFT($B69,FIND("(",$B69)-1)&amp;RIGHT(N$1,1),男子エントリー!$AF$7:$AF$406,0),3),"0000000")),"")</f>
        <v/>
      </c>
      <c r="O69" s="1" t="str">
        <f>_xlfn.IFNA(TEXT(VLOOKUP(INDEX(男子エントリー!$J$7:$AF$406,MATCH(LEFT($B69,FIND("(",$B69)-1)&amp;RIGHT(O$1,1),男子エントリー!$AF$7:$AF$406,0),1),競技会設定!$P$2:$S$22,4,0),"000")&amp;"00 "&amp;IF(VLOOKUP(INDEX(男子エントリー!$J$7:$AF$406,MATCH(LEFT($B69,FIND("(",$B69)-1)&amp;RIGHT(O$1,1),男子エントリー!$AF$7:$AF$406,0),1),競技会設定!$P$2:$S$22,4,0)&gt;70,TEXT(INDEX(男子エントリー!$J$7:$AF$406,MATCH(LEFT($B69,FIND("(",$B69)-1)&amp;RIGHT(O$1,1),男子エントリー!$AF$7:$AF$406,0),3),"00000"),TEXT(INDEX(男子エントリー!$J$7:$AF$406,MATCH(LEFT($B69,FIND("(",$B69)-1)&amp;RIGHT(O$1,1),男子エントリー!$AF$7:$AF$406,0),3),"0000000")),"")</f>
        <v/>
      </c>
    </row>
    <row r="70" spans="1:15">
      <c r="A70" s="92" t="str">
        <f>男子エントリー!D279</f>
        <v/>
      </c>
      <c r="B70" s="1" t="str">
        <f>男子エントリー!E279&amp;"("&amp;男子エントリー!G279&amp;")"</f>
        <v>()</v>
      </c>
      <c r="C70" s="92" t="str">
        <f>男子エントリー!F279</f>
        <v/>
      </c>
      <c r="D70" s="92" t="str">
        <f>男子エントリー!E281</f>
        <v/>
      </c>
      <c r="E70" s="92" t="str">
        <f>男子エントリー!G281</f>
        <v/>
      </c>
      <c r="F70" s="1" t="str">
        <f t="shared" si="1"/>
        <v/>
      </c>
      <c r="G70" s="92" t="str">
        <f>_xlfn.IFNA(VLOOKUP(男子エントリー!G280,競技会設定!$D$3:$E$49,2,0),"")</f>
        <v/>
      </c>
      <c r="H70" s="92" t="str">
        <f>_xlfn.IFNA(INDEX(競技会設定!$J$3:$O$47,MATCH(男子エントリー!H279,競技会設定!$N$3:$N$47,0),2),"")</f>
        <v/>
      </c>
      <c r="K70" s="92">
        <f>男子エントリー!C279</f>
        <v>0</v>
      </c>
      <c r="L70" s="1" t="str">
        <f>_xlfn.IFNA(TEXT(VLOOKUP(INDEX(男子エントリー!$J$7:$AF$406,MATCH(LEFT($B70,FIND("(",$B70)-1)&amp;RIGHT(L$1,1),男子エントリー!$AF$7:$AF$406,0),1),競技会設定!$P$2:$S$22,4,0),"000")&amp;"00 "&amp;IF(VLOOKUP(INDEX(男子エントリー!$J$7:$AF$406,MATCH(LEFT($B70,FIND("(",$B70)-1)&amp;RIGHT(L$1,1),男子エントリー!$AF$7:$AF$406,0),1),競技会設定!$P$2:$S$22,4,0)&gt;70,TEXT(INDEX(男子エントリー!$J$7:$AF$406,MATCH(LEFT($B70,FIND("(",$B70)-1)&amp;RIGHT(L$1,1),男子エントリー!$AF$7:$AF$406,0),3),"00000"),TEXT(INDEX(男子エントリー!$J$7:$AF$406,MATCH(LEFT($B70,FIND("(",$B70)-1)&amp;RIGHT(L$1,1),男子エントリー!$AF$7:$AF$406,0),3),"0000000")),"")</f>
        <v/>
      </c>
      <c r="M70" s="1" t="str">
        <f>_xlfn.IFNA(TEXT(VLOOKUP(INDEX(男子エントリー!$J$7:$AF$406,MATCH(LEFT($B70,FIND("(",$B70)-1)&amp;RIGHT(M$1,1),男子エントリー!$AF$7:$AF$406,0),1),競技会設定!$P$2:$S$22,4,0),"000")&amp;"00 "&amp;IF(VLOOKUP(INDEX(男子エントリー!$J$7:$AF$406,MATCH(LEFT($B70,FIND("(",$B70)-1)&amp;RIGHT(M$1,1),男子エントリー!$AF$7:$AF$406,0),1),競技会設定!$P$2:$S$22,4,0)&gt;70,TEXT(INDEX(男子エントリー!$J$7:$AF$406,MATCH(LEFT($B70,FIND("(",$B70)-1)&amp;RIGHT(M$1,1),男子エントリー!$AF$7:$AF$406,0),3),"00000"),TEXT(INDEX(男子エントリー!$J$7:$AF$406,MATCH(LEFT($B70,FIND("(",$B70)-1)&amp;RIGHT(M$1,1),男子エントリー!$AF$7:$AF$406,0),3),"0000000")),"")</f>
        <v/>
      </c>
      <c r="N70" s="1" t="str">
        <f>_xlfn.IFNA(TEXT(VLOOKUP(INDEX(男子エントリー!$J$7:$AF$406,MATCH(LEFT($B70,FIND("(",$B70)-1)&amp;RIGHT(N$1,1),男子エントリー!$AF$7:$AF$406,0),1),競技会設定!$P$2:$S$22,4,0),"000")&amp;"00 "&amp;IF(VLOOKUP(INDEX(男子エントリー!$J$7:$AF$406,MATCH(LEFT($B70,FIND("(",$B70)-1)&amp;RIGHT(N$1,1),男子エントリー!$AF$7:$AF$406,0),1),競技会設定!$P$2:$S$22,4,0)&gt;70,TEXT(INDEX(男子エントリー!$J$7:$AF$406,MATCH(LEFT($B70,FIND("(",$B70)-1)&amp;RIGHT(N$1,1),男子エントリー!$AF$7:$AF$406,0),3),"00000"),TEXT(INDEX(男子エントリー!$J$7:$AF$406,MATCH(LEFT($B70,FIND("(",$B70)-1)&amp;RIGHT(N$1,1),男子エントリー!$AF$7:$AF$406,0),3),"0000000")),"")</f>
        <v/>
      </c>
      <c r="O70" s="1" t="str">
        <f>_xlfn.IFNA(TEXT(VLOOKUP(INDEX(男子エントリー!$J$7:$AF$406,MATCH(LEFT($B70,FIND("(",$B70)-1)&amp;RIGHT(O$1,1),男子エントリー!$AF$7:$AF$406,0),1),競技会設定!$P$2:$S$22,4,0),"000")&amp;"00 "&amp;IF(VLOOKUP(INDEX(男子エントリー!$J$7:$AF$406,MATCH(LEFT($B70,FIND("(",$B70)-1)&amp;RIGHT(O$1,1),男子エントリー!$AF$7:$AF$406,0),1),競技会設定!$P$2:$S$22,4,0)&gt;70,TEXT(INDEX(男子エントリー!$J$7:$AF$406,MATCH(LEFT($B70,FIND("(",$B70)-1)&amp;RIGHT(O$1,1),男子エントリー!$AF$7:$AF$406,0),3),"00000"),TEXT(INDEX(男子エントリー!$J$7:$AF$406,MATCH(LEFT($B70,FIND("(",$B70)-1)&amp;RIGHT(O$1,1),男子エントリー!$AF$7:$AF$406,0),3),"0000000")),"")</f>
        <v/>
      </c>
    </row>
    <row r="71" spans="1:15">
      <c r="A71" s="92" t="str">
        <f>男子エントリー!D283</f>
        <v/>
      </c>
      <c r="B71" s="1" t="str">
        <f>男子エントリー!E283&amp;"("&amp;男子エントリー!G283&amp;")"</f>
        <v>()</v>
      </c>
      <c r="C71" s="92" t="str">
        <f>男子エントリー!F283</f>
        <v/>
      </c>
      <c r="D71" s="92" t="str">
        <f>男子エントリー!E285</f>
        <v/>
      </c>
      <c r="E71" s="92" t="str">
        <f>男子エントリー!G285</f>
        <v/>
      </c>
      <c r="F71" s="1" t="str">
        <f t="shared" si="1"/>
        <v/>
      </c>
      <c r="G71" s="92" t="str">
        <f>_xlfn.IFNA(VLOOKUP(男子エントリー!G284,競技会設定!$D$3:$E$49,2,0),"")</f>
        <v/>
      </c>
      <c r="H71" s="92" t="str">
        <f>_xlfn.IFNA(INDEX(競技会設定!$J$3:$O$47,MATCH(男子エントリー!H283,競技会設定!$N$3:$N$47,0),2),"")</f>
        <v/>
      </c>
      <c r="K71" s="92">
        <f>男子エントリー!C283</f>
        <v>0</v>
      </c>
      <c r="L71" s="1" t="str">
        <f>_xlfn.IFNA(TEXT(VLOOKUP(INDEX(男子エントリー!$J$7:$AF$406,MATCH(LEFT($B71,FIND("(",$B71)-1)&amp;RIGHT(L$1,1),男子エントリー!$AF$7:$AF$406,0),1),競技会設定!$P$2:$S$22,4,0),"000")&amp;"00 "&amp;IF(VLOOKUP(INDEX(男子エントリー!$J$7:$AF$406,MATCH(LEFT($B71,FIND("(",$B71)-1)&amp;RIGHT(L$1,1),男子エントリー!$AF$7:$AF$406,0),1),競技会設定!$P$2:$S$22,4,0)&gt;70,TEXT(INDEX(男子エントリー!$J$7:$AF$406,MATCH(LEFT($B71,FIND("(",$B71)-1)&amp;RIGHT(L$1,1),男子エントリー!$AF$7:$AF$406,0),3),"00000"),TEXT(INDEX(男子エントリー!$J$7:$AF$406,MATCH(LEFT($B71,FIND("(",$B71)-1)&amp;RIGHT(L$1,1),男子エントリー!$AF$7:$AF$406,0),3),"0000000")),"")</f>
        <v/>
      </c>
      <c r="M71" s="1" t="str">
        <f>_xlfn.IFNA(TEXT(VLOOKUP(INDEX(男子エントリー!$J$7:$AF$406,MATCH(LEFT($B71,FIND("(",$B71)-1)&amp;RIGHT(M$1,1),男子エントリー!$AF$7:$AF$406,0),1),競技会設定!$P$2:$S$22,4,0),"000")&amp;"00 "&amp;IF(VLOOKUP(INDEX(男子エントリー!$J$7:$AF$406,MATCH(LEFT($B71,FIND("(",$B71)-1)&amp;RIGHT(M$1,1),男子エントリー!$AF$7:$AF$406,0),1),競技会設定!$P$2:$S$22,4,0)&gt;70,TEXT(INDEX(男子エントリー!$J$7:$AF$406,MATCH(LEFT($B71,FIND("(",$B71)-1)&amp;RIGHT(M$1,1),男子エントリー!$AF$7:$AF$406,0),3),"00000"),TEXT(INDEX(男子エントリー!$J$7:$AF$406,MATCH(LEFT($B71,FIND("(",$B71)-1)&amp;RIGHT(M$1,1),男子エントリー!$AF$7:$AF$406,0),3),"0000000")),"")</f>
        <v/>
      </c>
      <c r="N71" s="1" t="str">
        <f>_xlfn.IFNA(TEXT(VLOOKUP(INDEX(男子エントリー!$J$7:$AF$406,MATCH(LEFT($B71,FIND("(",$B71)-1)&amp;RIGHT(N$1,1),男子エントリー!$AF$7:$AF$406,0),1),競技会設定!$P$2:$S$22,4,0),"000")&amp;"00 "&amp;IF(VLOOKUP(INDEX(男子エントリー!$J$7:$AF$406,MATCH(LEFT($B71,FIND("(",$B71)-1)&amp;RIGHT(N$1,1),男子エントリー!$AF$7:$AF$406,0),1),競技会設定!$P$2:$S$22,4,0)&gt;70,TEXT(INDEX(男子エントリー!$J$7:$AF$406,MATCH(LEFT($B71,FIND("(",$B71)-1)&amp;RIGHT(N$1,1),男子エントリー!$AF$7:$AF$406,0),3),"00000"),TEXT(INDEX(男子エントリー!$J$7:$AF$406,MATCH(LEFT($B71,FIND("(",$B71)-1)&amp;RIGHT(N$1,1),男子エントリー!$AF$7:$AF$406,0),3),"0000000")),"")</f>
        <v/>
      </c>
      <c r="O71" s="1" t="str">
        <f>_xlfn.IFNA(TEXT(VLOOKUP(INDEX(男子エントリー!$J$7:$AF$406,MATCH(LEFT($B71,FIND("(",$B71)-1)&amp;RIGHT(O$1,1),男子エントリー!$AF$7:$AF$406,0),1),競技会設定!$P$2:$S$22,4,0),"000")&amp;"00 "&amp;IF(VLOOKUP(INDEX(男子エントリー!$J$7:$AF$406,MATCH(LEFT($B71,FIND("(",$B71)-1)&amp;RIGHT(O$1,1),男子エントリー!$AF$7:$AF$406,0),1),競技会設定!$P$2:$S$22,4,0)&gt;70,TEXT(INDEX(男子エントリー!$J$7:$AF$406,MATCH(LEFT($B71,FIND("(",$B71)-1)&amp;RIGHT(O$1,1),男子エントリー!$AF$7:$AF$406,0),3),"00000"),TEXT(INDEX(男子エントリー!$J$7:$AF$406,MATCH(LEFT($B71,FIND("(",$B71)-1)&amp;RIGHT(O$1,1),男子エントリー!$AF$7:$AF$406,0),3),"0000000")),"")</f>
        <v/>
      </c>
    </row>
    <row r="72" spans="1:15">
      <c r="A72" s="92" t="str">
        <f>男子エントリー!D287</f>
        <v/>
      </c>
      <c r="B72" s="1" t="str">
        <f>男子エントリー!E287&amp;"("&amp;男子エントリー!G287&amp;")"</f>
        <v>()</v>
      </c>
      <c r="C72" s="92" t="str">
        <f>男子エントリー!F287</f>
        <v/>
      </c>
      <c r="D72" s="92" t="str">
        <f>男子エントリー!E289</f>
        <v/>
      </c>
      <c r="E72" s="92" t="str">
        <f>男子エントリー!G289</f>
        <v/>
      </c>
      <c r="F72" s="1" t="str">
        <f t="shared" si="1"/>
        <v/>
      </c>
      <c r="G72" s="92" t="str">
        <f>_xlfn.IFNA(VLOOKUP(男子エントリー!G288,競技会設定!$D$3:$E$49,2,0),"")</f>
        <v/>
      </c>
      <c r="H72" s="92" t="str">
        <f>_xlfn.IFNA(INDEX(競技会設定!$J$3:$O$47,MATCH(男子エントリー!H287,競技会設定!$N$3:$N$47,0),2),"")</f>
        <v/>
      </c>
      <c r="K72" s="92">
        <f>男子エントリー!C287</f>
        <v>0</v>
      </c>
      <c r="L72" s="1" t="str">
        <f>_xlfn.IFNA(TEXT(VLOOKUP(INDEX(男子エントリー!$J$7:$AF$406,MATCH(LEFT($B72,FIND("(",$B72)-1)&amp;RIGHT(L$1,1),男子エントリー!$AF$7:$AF$406,0),1),競技会設定!$P$2:$S$22,4,0),"000")&amp;"00 "&amp;IF(VLOOKUP(INDEX(男子エントリー!$J$7:$AF$406,MATCH(LEFT($B72,FIND("(",$B72)-1)&amp;RIGHT(L$1,1),男子エントリー!$AF$7:$AF$406,0),1),競技会設定!$P$2:$S$22,4,0)&gt;70,TEXT(INDEX(男子エントリー!$J$7:$AF$406,MATCH(LEFT($B72,FIND("(",$B72)-1)&amp;RIGHT(L$1,1),男子エントリー!$AF$7:$AF$406,0),3),"00000"),TEXT(INDEX(男子エントリー!$J$7:$AF$406,MATCH(LEFT($B72,FIND("(",$B72)-1)&amp;RIGHT(L$1,1),男子エントリー!$AF$7:$AF$406,0),3),"0000000")),"")</f>
        <v/>
      </c>
      <c r="M72" s="1" t="str">
        <f>_xlfn.IFNA(TEXT(VLOOKUP(INDEX(男子エントリー!$J$7:$AF$406,MATCH(LEFT($B72,FIND("(",$B72)-1)&amp;RIGHT(M$1,1),男子エントリー!$AF$7:$AF$406,0),1),競技会設定!$P$2:$S$22,4,0),"000")&amp;"00 "&amp;IF(VLOOKUP(INDEX(男子エントリー!$J$7:$AF$406,MATCH(LEFT($B72,FIND("(",$B72)-1)&amp;RIGHT(M$1,1),男子エントリー!$AF$7:$AF$406,0),1),競技会設定!$P$2:$S$22,4,0)&gt;70,TEXT(INDEX(男子エントリー!$J$7:$AF$406,MATCH(LEFT($B72,FIND("(",$B72)-1)&amp;RIGHT(M$1,1),男子エントリー!$AF$7:$AF$406,0),3),"00000"),TEXT(INDEX(男子エントリー!$J$7:$AF$406,MATCH(LEFT($B72,FIND("(",$B72)-1)&amp;RIGHT(M$1,1),男子エントリー!$AF$7:$AF$406,0),3),"0000000")),"")</f>
        <v/>
      </c>
      <c r="N72" s="1" t="str">
        <f>_xlfn.IFNA(TEXT(VLOOKUP(INDEX(男子エントリー!$J$7:$AF$406,MATCH(LEFT($B72,FIND("(",$B72)-1)&amp;RIGHT(N$1,1),男子エントリー!$AF$7:$AF$406,0),1),競技会設定!$P$2:$S$22,4,0),"000")&amp;"00 "&amp;IF(VLOOKUP(INDEX(男子エントリー!$J$7:$AF$406,MATCH(LEFT($B72,FIND("(",$B72)-1)&amp;RIGHT(N$1,1),男子エントリー!$AF$7:$AF$406,0),1),競技会設定!$P$2:$S$22,4,0)&gt;70,TEXT(INDEX(男子エントリー!$J$7:$AF$406,MATCH(LEFT($B72,FIND("(",$B72)-1)&amp;RIGHT(N$1,1),男子エントリー!$AF$7:$AF$406,0),3),"00000"),TEXT(INDEX(男子エントリー!$J$7:$AF$406,MATCH(LEFT($B72,FIND("(",$B72)-1)&amp;RIGHT(N$1,1),男子エントリー!$AF$7:$AF$406,0),3),"0000000")),"")</f>
        <v/>
      </c>
      <c r="O72" s="1" t="str">
        <f>_xlfn.IFNA(TEXT(VLOOKUP(INDEX(男子エントリー!$J$7:$AF$406,MATCH(LEFT($B72,FIND("(",$B72)-1)&amp;RIGHT(O$1,1),男子エントリー!$AF$7:$AF$406,0),1),競技会設定!$P$2:$S$22,4,0),"000")&amp;"00 "&amp;IF(VLOOKUP(INDEX(男子エントリー!$J$7:$AF$406,MATCH(LEFT($B72,FIND("(",$B72)-1)&amp;RIGHT(O$1,1),男子エントリー!$AF$7:$AF$406,0),1),競技会設定!$P$2:$S$22,4,0)&gt;70,TEXT(INDEX(男子エントリー!$J$7:$AF$406,MATCH(LEFT($B72,FIND("(",$B72)-1)&amp;RIGHT(O$1,1),男子エントリー!$AF$7:$AF$406,0),3),"00000"),TEXT(INDEX(男子エントリー!$J$7:$AF$406,MATCH(LEFT($B72,FIND("(",$B72)-1)&amp;RIGHT(O$1,1),男子エントリー!$AF$7:$AF$406,0),3),"0000000")),"")</f>
        <v/>
      </c>
    </row>
    <row r="73" spans="1:15">
      <c r="A73" s="92" t="str">
        <f>男子エントリー!D291</f>
        <v/>
      </c>
      <c r="B73" s="1" t="str">
        <f>男子エントリー!E291&amp;"("&amp;男子エントリー!G291&amp;")"</f>
        <v>()</v>
      </c>
      <c r="C73" s="92" t="str">
        <f>男子エントリー!F291</f>
        <v/>
      </c>
      <c r="D73" s="92" t="str">
        <f>男子エントリー!E293</f>
        <v/>
      </c>
      <c r="E73" s="92" t="str">
        <f>男子エントリー!G293</f>
        <v/>
      </c>
      <c r="F73" s="1" t="str">
        <f t="shared" si="1"/>
        <v/>
      </c>
      <c r="G73" s="92" t="str">
        <f>_xlfn.IFNA(VLOOKUP(男子エントリー!G292,競技会設定!$D$3:$E$49,2,0),"")</f>
        <v/>
      </c>
      <c r="H73" s="92" t="str">
        <f>_xlfn.IFNA(INDEX(競技会設定!$J$3:$O$47,MATCH(男子エントリー!H291,競技会設定!$N$3:$N$47,0),2),"")</f>
        <v/>
      </c>
      <c r="K73" s="92">
        <f>男子エントリー!C291</f>
        <v>0</v>
      </c>
      <c r="L73" s="1" t="str">
        <f>_xlfn.IFNA(TEXT(VLOOKUP(INDEX(男子エントリー!$J$7:$AF$406,MATCH(LEFT($B73,FIND("(",$B73)-1)&amp;RIGHT(L$1,1),男子エントリー!$AF$7:$AF$406,0),1),競技会設定!$P$2:$S$22,4,0),"000")&amp;"00 "&amp;IF(VLOOKUP(INDEX(男子エントリー!$J$7:$AF$406,MATCH(LEFT($B73,FIND("(",$B73)-1)&amp;RIGHT(L$1,1),男子エントリー!$AF$7:$AF$406,0),1),競技会設定!$P$2:$S$22,4,0)&gt;70,TEXT(INDEX(男子エントリー!$J$7:$AF$406,MATCH(LEFT($B73,FIND("(",$B73)-1)&amp;RIGHT(L$1,1),男子エントリー!$AF$7:$AF$406,0),3),"00000"),TEXT(INDEX(男子エントリー!$J$7:$AF$406,MATCH(LEFT($B73,FIND("(",$B73)-1)&amp;RIGHT(L$1,1),男子エントリー!$AF$7:$AF$406,0),3),"0000000")),"")</f>
        <v/>
      </c>
      <c r="M73" s="1" t="str">
        <f>_xlfn.IFNA(TEXT(VLOOKUP(INDEX(男子エントリー!$J$7:$AF$406,MATCH(LEFT($B73,FIND("(",$B73)-1)&amp;RIGHT(M$1,1),男子エントリー!$AF$7:$AF$406,0),1),競技会設定!$P$2:$S$22,4,0),"000")&amp;"00 "&amp;IF(VLOOKUP(INDEX(男子エントリー!$J$7:$AF$406,MATCH(LEFT($B73,FIND("(",$B73)-1)&amp;RIGHT(M$1,1),男子エントリー!$AF$7:$AF$406,0),1),競技会設定!$P$2:$S$22,4,0)&gt;70,TEXT(INDEX(男子エントリー!$J$7:$AF$406,MATCH(LEFT($B73,FIND("(",$B73)-1)&amp;RIGHT(M$1,1),男子エントリー!$AF$7:$AF$406,0),3),"00000"),TEXT(INDEX(男子エントリー!$J$7:$AF$406,MATCH(LEFT($B73,FIND("(",$B73)-1)&amp;RIGHT(M$1,1),男子エントリー!$AF$7:$AF$406,0),3),"0000000")),"")</f>
        <v/>
      </c>
      <c r="N73" s="1" t="str">
        <f>_xlfn.IFNA(TEXT(VLOOKUP(INDEX(男子エントリー!$J$7:$AF$406,MATCH(LEFT($B73,FIND("(",$B73)-1)&amp;RIGHT(N$1,1),男子エントリー!$AF$7:$AF$406,0),1),競技会設定!$P$2:$S$22,4,0),"000")&amp;"00 "&amp;IF(VLOOKUP(INDEX(男子エントリー!$J$7:$AF$406,MATCH(LEFT($B73,FIND("(",$B73)-1)&amp;RIGHT(N$1,1),男子エントリー!$AF$7:$AF$406,0),1),競技会設定!$P$2:$S$22,4,0)&gt;70,TEXT(INDEX(男子エントリー!$J$7:$AF$406,MATCH(LEFT($B73,FIND("(",$B73)-1)&amp;RIGHT(N$1,1),男子エントリー!$AF$7:$AF$406,0),3),"00000"),TEXT(INDEX(男子エントリー!$J$7:$AF$406,MATCH(LEFT($B73,FIND("(",$B73)-1)&amp;RIGHT(N$1,1),男子エントリー!$AF$7:$AF$406,0),3),"0000000")),"")</f>
        <v/>
      </c>
      <c r="O73" s="1" t="str">
        <f>_xlfn.IFNA(TEXT(VLOOKUP(INDEX(男子エントリー!$J$7:$AF$406,MATCH(LEFT($B73,FIND("(",$B73)-1)&amp;RIGHT(O$1,1),男子エントリー!$AF$7:$AF$406,0),1),競技会設定!$P$2:$S$22,4,0),"000")&amp;"00 "&amp;IF(VLOOKUP(INDEX(男子エントリー!$J$7:$AF$406,MATCH(LEFT($B73,FIND("(",$B73)-1)&amp;RIGHT(O$1,1),男子エントリー!$AF$7:$AF$406,0),1),競技会設定!$P$2:$S$22,4,0)&gt;70,TEXT(INDEX(男子エントリー!$J$7:$AF$406,MATCH(LEFT($B73,FIND("(",$B73)-1)&amp;RIGHT(O$1,1),男子エントリー!$AF$7:$AF$406,0),3),"00000"),TEXT(INDEX(男子エントリー!$J$7:$AF$406,MATCH(LEFT($B73,FIND("(",$B73)-1)&amp;RIGHT(O$1,1),男子エントリー!$AF$7:$AF$406,0),3),"0000000")),"")</f>
        <v/>
      </c>
    </row>
    <row r="74" spans="1:15">
      <c r="A74" s="92" t="str">
        <f>男子エントリー!D295</f>
        <v/>
      </c>
      <c r="B74" s="1" t="str">
        <f>男子エントリー!E295&amp;"("&amp;男子エントリー!G295&amp;")"</f>
        <v>()</v>
      </c>
      <c r="C74" s="92" t="str">
        <f>男子エントリー!F295</f>
        <v/>
      </c>
      <c r="D74" s="92" t="str">
        <f>男子エントリー!E297</f>
        <v/>
      </c>
      <c r="E74" s="92" t="str">
        <f>男子エントリー!G297</f>
        <v/>
      </c>
      <c r="F74" s="1" t="str">
        <f t="shared" si="1"/>
        <v/>
      </c>
      <c r="G74" s="92" t="str">
        <f>_xlfn.IFNA(VLOOKUP(男子エントリー!G296,競技会設定!$D$3:$E$49,2,0),"")</f>
        <v/>
      </c>
      <c r="H74" s="92" t="str">
        <f>_xlfn.IFNA(INDEX(競技会設定!$J$3:$O$47,MATCH(男子エントリー!H295,競技会設定!$N$3:$N$47,0),2),"")</f>
        <v/>
      </c>
      <c r="K74" s="92">
        <f>男子エントリー!C295</f>
        <v>0</v>
      </c>
      <c r="L74" s="1" t="str">
        <f>_xlfn.IFNA(TEXT(VLOOKUP(INDEX(男子エントリー!$J$7:$AF$406,MATCH(LEFT($B74,FIND("(",$B74)-1)&amp;RIGHT(L$1,1),男子エントリー!$AF$7:$AF$406,0),1),競技会設定!$P$2:$S$22,4,0),"000")&amp;"00 "&amp;IF(VLOOKUP(INDEX(男子エントリー!$J$7:$AF$406,MATCH(LEFT($B74,FIND("(",$B74)-1)&amp;RIGHT(L$1,1),男子エントリー!$AF$7:$AF$406,0),1),競技会設定!$P$2:$S$22,4,0)&gt;70,TEXT(INDEX(男子エントリー!$J$7:$AF$406,MATCH(LEFT($B74,FIND("(",$B74)-1)&amp;RIGHT(L$1,1),男子エントリー!$AF$7:$AF$406,0),3),"00000"),TEXT(INDEX(男子エントリー!$J$7:$AF$406,MATCH(LEFT($B74,FIND("(",$B74)-1)&amp;RIGHT(L$1,1),男子エントリー!$AF$7:$AF$406,0),3),"0000000")),"")</f>
        <v/>
      </c>
      <c r="M74" s="1" t="str">
        <f>_xlfn.IFNA(TEXT(VLOOKUP(INDEX(男子エントリー!$J$7:$AF$406,MATCH(LEFT($B74,FIND("(",$B74)-1)&amp;RIGHT(M$1,1),男子エントリー!$AF$7:$AF$406,0),1),競技会設定!$P$2:$S$22,4,0),"000")&amp;"00 "&amp;IF(VLOOKUP(INDEX(男子エントリー!$J$7:$AF$406,MATCH(LEFT($B74,FIND("(",$B74)-1)&amp;RIGHT(M$1,1),男子エントリー!$AF$7:$AF$406,0),1),競技会設定!$P$2:$S$22,4,0)&gt;70,TEXT(INDEX(男子エントリー!$J$7:$AF$406,MATCH(LEFT($B74,FIND("(",$B74)-1)&amp;RIGHT(M$1,1),男子エントリー!$AF$7:$AF$406,0),3),"00000"),TEXT(INDEX(男子エントリー!$J$7:$AF$406,MATCH(LEFT($B74,FIND("(",$B74)-1)&amp;RIGHT(M$1,1),男子エントリー!$AF$7:$AF$406,0),3),"0000000")),"")</f>
        <v/>
      </c>
      <c r="N74" s="1" t="str">
        <f>_xlfn.IFNA(TEXT(VLOOKUP(INDEX(男子エントリー!$J$7:$AF$406,MATCH(LEFT($B74,FIND("(",$B74)-1)&amp;RIGHT(N$1,1),男子エントリー!$AF$7:$AF$406,0),1),競技会設定!$P$2:$S$22,4,0),"000")&amp;"00 "&amp;IF(VLOOKUP(INDEX(男子エントリー!$J$7:$AF$406,MATCH(LEFT($B74,FIND("(",$B74)-1)&amp;RIGHT(N$1,1),男子エントリー!$AF$7:$AF$406,0),1),競技会設定!$P$2:$S$22,4,0)&gt;70,TEXT(INDEX(男子エントリー!$J$7:$AF$406,MATCH(LEFT($B74,FIND("(",$B74)-1)&amp;RIGHT(N$1,1),男子エントリー!$AF$7:$AF$406,0),3),"00000"),TEXT(INDEX(男子エントリー!$J$7:$AF$406,MATCH(LEFT($B74,FIND("(",$B74)-1)&amp;RIGHT(N$1,1),男子エントリー!$AF$7:$AF$406,0),3),"0000000")),"")</f>
        <v/>
      </c>
      <c r="O74" s="1" t="str">
        <f>_xlfn.IFNA(TEXT(VLOOKUP(INDEX(男子エントリー!$J$7:$AF$406,MATCH(LEFT($B74,FIND("(",$B74)-1)&amp;RIGHT(O$1,1),男子エントリー!$AF$7:$AF$406,0),1),競技会設定!$P$2:$S$22,4,0),"000")&amp;"00 "&amp;IF(VLOOKUP(INDEX(男子エントリー!$J$7:$AF$406,MATCH(LEFT($B74,FIND("(",$B74)-1)&amp;RIGHT(O$1,1),男子エントリー!$AF$7:$AF$406,0),1),競技会設定!$P$2:$S$22,4,0)&gt;70,TEXT(INDEX(男子エントリー!$J$7:$AF$406,MATCH(LEFT($B74,FIND("(",$B74)-1)&amp;RIGHT(O$1,1),男子エントリー!$AF$7:$AF$406,0),3),"00000"),TEXT(INDEX(男子エントリー!$J$7:$AF$406,MATCH(LEFT($B74,FIND("(",$B74)-1)&amp;RIGHT(O$1,1),男子エントリー!$AF$7:$AF$406,0),3),"0000000")),"")</f>
        <v/>
      </c>
    </row>
    <row r="75" spans="1:15">
      <c r="A75" s="92" t="str">
        <f>男子エントリー!D299</f>
        <v/>
      </c>
      <c r="B75" s="1" t="str">
        <f>男子エントリー!E299&amp;"("&amp;男子エントリー!G299&amp;")"</f>
        <v>()</v>
      </c>
      <c r="C75" s="92" t="str">
        <f>男子エントリー!F299</f>
        <v/>
      </c>
      <c r="D75" s="92" t="str">
        <f>男子エントリー!E301</f>
        <v/>
      </c>
      <c r="E75" s="92" t="str">
        <f>男子エントリー!G301</f>
        <v/>
      </c>
      <c r="F75" s="1" t="str">
        <f t="shared" si="1"/>
        <v/>
      </c>
      <c r="G75" s="92" t="str">
        <f>_xlfn.IFNA(VLOOKUP(男子エントリー!G300,競技会設定!$D$3:$E$49,2,0),"")</f>
        <v/>
      </c>
      <c r="H75" s="92" t="str">
        <f>_xlfn.IFNA(INDEX(競技会設定!$J$3:$O$47,MATCH(男子エントリー!H299,競技会設定!$N$3:$N$47,0),2),"")</f>
        <v/>
      </c>
      <c r="K75" s="92">
        <f>男子エントリー!C299</f>
        <v>0</v>
      </c>
      <c r="L75" s="1" t="str">
        <f>_xlfn.IFNA(TEXT(VLOOKUP(INDEX(男子エントリー!$J$7:$AF$406,MATCH(LEFT($B75,FIND("(",$B75)-1)&amp;RIGHT(L$1,1),男子エントリー!$AF$7:$AF$406,0),1),競技会設定!$P$2:$S$22,4,0),"000")&amp;"00 "&amp;IF(VLOOKUP(INDEX(男子エントリー!$J$7:$AF$406,MATCH(LEFT($B75,FIND("(",$B75)-1)&amp;RIGHT(L$1,1),男子エントリー!$AF$7:$AF$406,0),1),競技会設定!$P$2:$S$22,4,0)&gt;70,TEXT(INDEX(男子エントリー!$J$7:$AF$406,MATCH(LEFT($B75,FIND("(",$B75)-1)&amp;RIGHT(L$1,1),男子エントリー!$AF$7:$AF$406,0),3),"00000"),TEXT(INDEX(男子エントリー!$J$7:$AF$406,MATCH(LEFT($B75,FIND("(",$B75)-1)&amp;RIGHT(L$1,1),男子エントリー!$AF$7:$AF$406,0),3),"0000000")),"")</f>
        <v/>
      </c>
      <c r="M75" s="1" t="str">
        <f>_xlfn.IFNA(TEXT(VLOOKUP(INDEX(男子エントリー!$J$7:$AF$406,MATCH(LEFT($B75,FIND("(",$B75)-1)&amp;RIGHT(M$1,1),男子エントリー!$AF$7:$AF$406,0),1),競技会設定!$P$2:$S$22,4,0),"000")&amp;"00 "&amp;IF(VLOOKUP(INDEX(男子エントリー!$J$7:$AF$406,MATCH(LEFT($B75,FIND("(",$B75)-1)&amp;RIGHT(M$1,1),男子エントリー!$AF$7:$AF$406,0),1),競技会設定!$P$2:$S$22,4,0)&gt;70,TEXT(INDEX(男子エントリー!$J$7:$AF$406,MATCH(LEFT($B75,FIND("(",$B75)-1)&amp;RIGHT(M$1,1),男子エントリー!$AF$7:$AF$406,0),3),"00000"),TEXT(INDEX(男子エントリー!$J$7:$AF$406,MATCH(LEFT($B75,FIND("(",$B75)-1)&amp;RIGHT(M$1,1),男子エントリー!$AF$7:$AF$406,0),3),"0000000")),"")</f>
        <v/>
      </c>
      <c r="N75" s="1" t="str">
        <f>_xlfn.IFNA(TEXT(VLOOKUP(INDEX(男子エントリー!$J$7:$AF$406,MATCH(LEFT($B75,FIND("(",$B75)-1)&amp;RIGHT(N$1,1),男子エントリー!$AF$7:$AF$406,0),1),競技会設定!$P$2:$S$22,4,0),"000")&amp;"00 "&amp;IF(VLOOKUP(INDEX(男子エントリー!$J$7:$AF$406,MATCH(LEFT($B75,FIND("(",$B75)-1)&amp;RIGHT(N$1,1),男子エントリー!$AF$7:$AF$406,0),1),競技会設定!$P$2:$S$22,4,0)&gt;70,TEXT(INDEX(男子エントリー!$J$7:$AF$406,MATCH(LEFT($B75,FIND("(",$B75)-1)&amp;RIGHT(N$1,1),男子エントリー!$AF$7:$AF$406,0),3),"00000"),TEXT(INDEX(男子エントリー!$J$7:$AF$406,MATCH(LEFT($B75,FIND("(",$B75)-1)&amp;RIGHT(N$1,1),男子エントリー!$AF$7:$AF$406,0),3),"0000000")),"")</f>
        <v/>
      </c>
      <c r="O75" s="1" t="str">
        <f>_xlfn.IFNA(TEXT(VLOOKUP(INDEX(男子エントリー!$J$7:$AF$406,MATCH(LEFT($B75,FIND("(",$B75)-1)&amp;RIGHT(O$1,1),男子エントリー!$AF$7:$AF$406,0),1),競技会設定!$P$2:$S$22,4,0),"000")&amp;"00 "&amp;IF(VLOOKUP(INDEX(男子エントリー!$J$7:$AF$406,MATCH(LEFT($B75,FIND("(",$B75)-1)&amp;RIGHT(O$1,1),男子エントリー!$AF$7:$AF$406,0),1),競技会設定!$P$2:$S$22,4,0)&gt;70,TEXT(INDEX(男子エントリー!$J$7:$AF$406,MATCH(LEFT($B75,FIND("(",$B75)-1)&amp;RIGHT(O$1,1),男子エントリー!$AF$7:$AF$406,0),3),"00000"),TEXT(INDEX(男子エントリー!$J$7:$AF$406,MATCH(LEFT($B75,FIND("(",$B75)-1)&amp;RIGHT(O$1,1),男子エントリー!$AF$7:$AF$406,0),3),"0000000")),"")</f>
        <v/>
      </c>
    </row>
    <row r="76" spans="1:15">
      <c r="A76" s="92" t="str">
        <f>男子エントリー!D303</f>
        <v/>
      </c>
      <c r="B76" s="1" t="str">
        <f>男子エントリー!E303&amp;"("&amp;男子エントリー!G303&amp;")"</f>
        <v>()</v>
      </c>
      <c r="C76" s="92" t="str">
        <f>男子エントリー!F303</f>
        <v/>
      </c>
      <c r="D76" s="92" t="str">
        <f>男子エントリー!E305</f>
        <v/>
      </c>
      <c r="E76" s="92" t="str">
        <f>男子エントリー!G305</f>
        <v/>
      </c>
      <c r="F76" s="1" t="str">
        <f t="shared" si="1"/>
        <v/>
      </c>
      <c r="G76" s="92" t="str">
        <f>_xlfn.IFNA(VLOOKUP(男子エントリー!G304,競技会設定!$D$3:$E$49,2,0),"")</f>
        <v/>
      </c>
      <c r="H76" s="92" t="str">
        <f>_xlfn.IFNA(INDEX(競技会設定!$J$3:$O$47,MATCH(男子エントリー!H303,競技会設定!$N$3:$N$47,0),2),"")</f>
        <v/>
      </c>
      <c r="K76" s="92">
        <f>男子エントリー!C303</f>
        <v>0</v>
      </c>
      <c r="L76" s="1" t="str">
        <f>_xlfn.IFNA(TEXT(VLOOKUP(INDEX(男子エントリー!$J$7:$AF$406,MATCH(LEFT($B76,FIND("(",$B76)-1)&amp;RIGHT(L$1,1),男子エントリー!$AF$7:$AF$406,0),1),競技会設定!$P$2:$S$22,4,0),"000")&amp;"00 "&amp;IF(VLOOKUP(INDEX(男子エントリー!$J$7:$AF$406,MATCH(LEFT($B76,FIND("(",$B76)-1)&amp;RIGHT(L$1,1),男子エントリー!$AF$7:$AF$406,0),1),競技会設定!$P$2:$S$22,4,0)&gt;70,TEXT(INDEX(男子エントリー!$J$7:$AF$406,MATCH(LEFT($B76,FIND("(",$B76)-1)&amp;RIGHT(L$1,1),男子エントリー!$AF$7:$AF$406,0),3),"00000"),TEXT(INDEX(男子エントリー!$J$7:$AF$406,MATCH(LEFT($B76,FIND("(",$B76)-1)&amp;RIGHT(L$1,1),男子エントリー!$AF$7:$AF$406,0),3),"0000000")),"")</f>
        <v/>
      </c>
      <c r="M76" s="1" t="str">
        <f>_xlfn.IFNA(TEXT(VLOOKUP(INDEX(男子エントリー!$J$7:$AF$406,MATCH(LEFT($B76,FIND("(",$B76)-1)&amp;RIGHT(M$1,1),男子エントリー!$AF$7:$AF$406,0),1),競技会設定!$P$2:$S$22,4,0),"000")&amp;"00 "&amp;IF(VLOOKUP(INDEX(男子エントリー!$J$7:$AF$406,MATCH(LEFT($B76,FIND("(",$B76)-1)&amp;RIGHT(M$1,1),男子エントリー!$AF$7:$AF$406,0),1),競技会設定!$P$2:$S$22,4,0)&gt;70,TEXT(INDEX(男子エントリー!$J$7:$AF$406,MATCH(LEFT($B76,FIND("(",$B76)-1)&amp;RIGHT(M$1,1),男子エントリー!$AF$7:$AF$406,0),3),"00000"),TEXT(INDEX(男子エントリー!$J$7:$AF$406,MATCH(LEFT($B76,FIND("(",$B76)-1)&amp;RIGHT(M$1,1),男子エントリー!$AF$7:$AF$406,0),3),"0000000")),"")</f>
        <v/>
      </c>
      <c r="N76" s="1" t="str">
        <f>_xlfn.IFNA(TEXT(VLOOKUP(INDEX(男子エントリー!$J$7:$AF$406,MATCH(LEFT($B76,FIND("(",$B76)-1)&amp;RIGHT(N$1,1),男子エントリー!$AF$7:$AF$406,0),1),競技会設定!$P$2:$S$22,4,0),"000")&amp;"00 "&amp;IF(VLOOKUP(INDEX(男子エントリー!$J$7:$AF$406,MATCH(LEFT($B76,FIND("(",$B76)-1)&amp;RIGHT(N$1,1),男子エントリー!$AF$7:$AF$406,0),1),競技会設定!$P$2:$S$22,4,0)&gt;70,TEXT(INDEX(男子エントリー!$J$7:$AF$406,MATCH(LEFT($B76,FIND("(",$B76)-1)&amp;RIGHT(N$1,1),男子エントリー!$AF$7:$AF$406,0),3),"00000"),TEXT(INDEX(男子エントリー!$J$7:$AF$406,MATCH(LEFT($B76,FIND("(",$B76)-1)&amp;RIGHT(N$1,1),男子エントリー!$AF$7:$AF$406,0),3),"0000000")),"")</f>
        <v/>
      </c>
      <c r="O76" s="1" t="str">
        <f>_xlfn.IFNA(TEXT(VLOOKUP(INDEX(男子エントリー!$J$7:$AF$406,MATCH(LEFT($B76,FIND("(",$B76)-1)&amp;RIGHT(O$1,1),男子エントリー!$AF$7:$AF$406,0),1),競技会設定!$P$2:$S$22,4,0),"000")&amp;"00 "&amp;IF(VLOOKUP(INDEX(男子エントリー!$J$7:$AF$406,MATCH(LEFT($B76,FIND("(",$B76)-1)&amp;RIGHT(O$1,1),男子エントリー!$AF$7:$AF$406,0),1),競技会設定!$P$2:$S$22,4,0)&gt;70,TEXT(INDEX(男子エントリー!$J$7:$AF$406,MATCH(LEFT($B76,FIND("(",$B76)-1)&amp;RIGHT(O$1,1),男子エントリー!$AF$7:$AF$406,0),3),"00000"),TEXT(INDEX(男子エントリー!$J$7:$AF$406,MATCH(LEFT($B76,FIND("(",$B76)-1)&amp;RIGHT(O$1,1),男子エントリー!$AF$7:$AF$406,0),3),"0000000")),"")</f>
        <v/>
      </c>
    </row>
    <row r="77" spans="1:15">
      <c r="A77" s="92" t="str">
        <f>男子エントリー!D307</f>
        <v/>
      </c>
      <c r="B77" s="1" t="str">
        <f>男子エントリー!E307&amp;"("&amp;男子エントリー!G307&amp;")"</f>
        <v>()</v>
      </c>
      <c r="C77" s="92" t="str">
        <f>男子エントリー!F307</f>
        <v/>
      </c>
      <c r="D77" s="92" t="str">
        <f>男子エントリー!E309</f>
        <v/>
      </c>
      <c r="E77" s="92" t="str">
        <f>男子エントリー!G309</f>
        <v/>
      </c>
      <c r="F77" s="1" t="str">
        <f t="shared" si="1"/>
        <v/>
      </c>
      <c r="G77" s="92" t="str">
        <f>_xlfn.IFNA(VLOOKUP(男子エントリー!G308,競技会設定!$D$3:$E$49,2,0),"")</f>
        <v/>
      </c>
      <c r="H77" s="92" t="str">
        <f>_xlfn.IFNA(INDEX(競技会設定!$J$3:$O$47,MATCH(男子エントリー!H307,競技会設定!$N$3:$N$47,0),2),"")</f>
        <v/>
      </c>
      <c r="K77" s="92">
        <f>男子エントリー!C307</f>
        <v>0</v>
      </c>
      <c r="L77" s="1" t="str">
        <f>_xlfn.IFNA(TEXT(VLOOKUP(INDEX(男子エントリー!$J$7:$AF$406,MATCH(LEFT($B77,FIND("(",$B77)-1)&amp;RIGHT(L$1,1),男子エントリー!$AF$7:$AF$406,0),1),競技会設定!$P$2:$S$22,4,0),"000")&amp;"00 "&amp;IF(VLOOKUP(INDEX(男子エントリー!$J$7:$AF$406,MATCH(LEFT($B77,FIND("(",$B77)-1)&amp;RIGHT(L$1,1),男子エントリー!$AF$7:$AF$406,0),1),競技会設定!$P$2:$S$22,4,0)&gt;70,TEXT(INDEX(男子エントリー!$J$7:$AF$406,MATCH(LEFT($B77,FIND("(",$B77)-1)&amp;RIGHT(L$1,1),男子エントリー!$AF$7:$AF$406,0),3),"00000"),TEXT(INDEX(男子エントリー!$J$7:$AF$406,MATCH(LEFT($B77,FIND("(",$B77)-1)&amp;RIGHT(L$1,1),男子エントリー!$AF$7:$AF$406,0),3),"0000000")),"")</f>
        <v/>
      </c>
      <c r="M77" s="1" t="str">
        <f>_xlfn.IFNA(TEXT(VLOOKUP(INDEX(男子エントリー!$J$7:$AF$406,MATCH(LEFT($B77,FIND("(",$B77)-1)&amp;RIGHT(M$1,1),男子エントリー!$AF$7:$AF$406,0),1),競技会設定!$P$2:$S$22,4,0),"000")&amp;"00 "&amp;IF(VLOOKUP(INDEX(男子エントリー!$J$7:$AF$406,MATCH(LEFT($B77,FIND("(",$B77)-1)&amp;RIGHT(M$1,1),男子エントリー!$AF$7:$AF$406,0),1),競技会設定!$P$2:$S$22,4,0)&gt;70,TEXT(INDEX(男子エントリー!$J$7:$AF$406,MATCH(LEFT($B77,FIND("(",$B77)-1)&amp;RIGHT(M$1,1),男子エントリー!$AF$7:$AF$406,0),3),"00000"),TEXT(INDEX(男子エントリー!$J$7:$AF$406,MATCH(LEFT($B77,FIND("(",$B77)-1)&amp;RIGHT(M$1,1),男子エントリー!$AF$7:$AF$406,0),3),"0000000")),"")</f>
        <v/>
      </c>
      <c r="N77" s="1" t="str">
        <f>_xlfn.IFNA(TEXT(VLOOKUP(INDEX(男子エントリー!$J$7:$AF$406,MATCH(LEFT($B77,FIND("(",$B77)-1)&amp;RIGHT(N$1,1),男子エントリー!$AF$7:$AF$406,0),1),競技会設定!$P$2:$S$22,4,0),"000")&amp;"00 "&amp;IF(VLOOKUP(INDEX(男子エントリー!$J$7:$AF$406,MATCH(LEFT($B77,FIND("(",$B77)-1)&amp;RIGHT(N$1,1),男子エントリー!$AF$7:$AF$406,0),1),競技会設定!$P$2:$S$22,4,0)&gt;70,TEXT(INDEX(男子エントリー!$J$7:$AF$406,MATCH(LEFT($B77,FIND("(",$B77)-1)&amp;RIGHT(N$1,1),男子エントリー!$AF$7:$AF$406,0),3),"00000"),TEXT(INDEX(男子エントリー!$J$7:$AF$406,MATCH(LEFT($B77,FIND("(",$B77)-1)&amp;RIGHT(N$1,1),男子エントリー!$AF$7:$AF$406,0),3),"0000000")),"")</f>
        <v/>
      </c>
      <c r="O77" s="1" t="str">
        <f>_xlfn.IFNA(TEXT(VLOOKUP(INDEX(男子エントリー!$J$7:$AF$406,MATCH(LEFT($B77,FIND("(",$B77)-1)&amp;RIGHT(O$1,1),男子エントリー!$AF$7:$AF$406,0),1),競技会設定!$P$2:$S$22,4,0),"000")&amp;"00 "&amp;IF(VLOOKUP(INDEX(男子エントリー!$J$7:$AF$406,MATCH(LEFT($B77,FIND("(",$B77)-1)&amp;RIGHT(O$1,1),男子エントリー!$AF$7:$AF$406,0),1),競技会設定!$P$2:$S$22,4,0)&gt;70,TEXT(INDEX(男子エントリー!$J$7:$AF$406,MATCH(LEFT($B77,FIND("(",$B77)-1)&amp;RIGHT(O$1,1),男子エントリー!$AF$7:$AF$406,0),3),"00000"),TEXT(INDEX(男子エントリー!$J$7:$AF$406,MATCH(LEFT($B77,FIND("(",$B77)-1)&amp;RIGHT(O$1,1),男子エントリー!$AF$7:$AF$406,0),3),"0000000")),"")</f>
        <v/>
      </c>
    </row>
    <row r="78" spans="1:15">
      <c r="A78" s="92" t="str">
        <f>男子エントリー!D311</f>
        <v/>
      </c>
      <c r="B78" s="1" t="str">
        <f>男子エントリー!E311&amp;"("&amp;男子エントリー!G311&amp;")"</f>
        <v>()</v>
      </c>
      <c r="C78" s="92" t="str">
        <f>男子エントリー!F311</f>
        <v/>
      </c>
      <c r="D78" s="92" t="str">
        <f>男子エントリー!E313</f>
        <v/>
      </c>
      <c r="E78" s="92" t="str">
        <f>男子エントリー!G313</f>
        <v/>
      </c>
      <c r="F78" s="1" t="str">
        <f t="shared" si="1"/>
        <v/>
      </c>
      <c r="G78" s="92" t="str">
        <f>_xlfn.IFNA(VLOOKUP(男子エントリー!G312,競技会設定!$D$3:$E$49,2,0),"")</f>
        <v/>
      </c>
      <c r="H78" s="92" t="str">
        <f>_xlfn.IFNA(INDEX(競技会設定!$J$3:$O$47,MATCH(男子エントリー!H311,競技会設定!$N$3:$N$47,0),2),"")</f>
        <v/>
      </c>
      <c r="K78" s="92">
        <f>男子エントリー!C311</f>
        <v>0</v>
      </c>
      <c r="L78" s="1" t="str">
        <f>_xlfn.IFNA(TEXT(VLOOKUP(INDEX(男子エントリー!$J$7:$AF$406,MATCH(LEFT($B78,FIND("(",$B78)-1)&amp;RIGHT(L$1,1),男子エントリー!$AF$7:$AF$406,0),1),競技会設定!$P$2:$S$22,4,0),"000")&amp;"00 "&amp;IF(VLOOKUP(INDEX(男子エントリー!$J$7:$AF$406,MATCH(LEFT($B78,FIND("(",$B78)-1)&amp;RIGHT(L$1,1),男子エントリー!$AF$7:$AF$406,0),1),競技会設定!$P$2:$S$22,4,0)&gt;70,TEXT(INDEX(男子エントリー!$J$7:$AF$406,MATCH(LEFT($B78,FIND("(",$B78)-1)&amp;RIGHT(L$1,1),男子エントリー!$AF$7:$AF$406,0),3),"00000"),TEXT(INDEX(男子エントリー!$J$7:$AF$406,MATCH(LEFT($B78,FIND("(",$B78)-1)&amp;RIGHT(L$1,1),男子エントリー!$AF$7:$AF$406,0),3),"0000000")),"")</f>
        <v/>
      </c>
      <c r="M78" s="1" t="str">
        <f>_xlfn.IFNA(TEXT(VLOOKUP(INDEX(男子エントリー!$J$7:$AF$406,MATCH(LEFT($B78,FIND("(",$B78)-1)&amp;RIGHT(M$1,1),男子エントリー!$AF$7:$AF$406,0),1),競技会設定!$P$2:$S$22,4,0),"000")&amp;"00 "&amp;IF(VLOOKUP(INDEX(男子エントリー!$J$7:$AF$406,MATCH(LEFT($B78,FIND("(",$B78)-1)&amp;RIGHT(M$1,1),男子エントリー!$AF$7:$AF$406,0),1),競技会設定!$P$2:$S$22,4,0)&gt;70,TEXT(INDEX(男子エントリー!$J$7:$AF$406,MATCH(LEFT($B78,FIND("(",$B78)-1)&amp;RIGHT(M$1,1),男子エントリー!$AF$7:$AF$406,0),3),"00000"),TEXT(INDEX(男子エントリー!$J$7:$AF$406,MATCH(LEFT($B78,FIND("(",$B78)-1)&amp;RIGHT(M$1,1),男子エントリー!$AF$7:$AF$406,0),3),"0000000")),"")</f>
        <v/>
      </c>
      <c r="N78" s="1" t="str">
        <f>_xlfn.IFNA(TEXT(VLOOKUP(INDEX(男子エントリー!$J$7:$AF$406,MATCH(LEFT($B78,FIND("(",$B78)-1)&amp;RIGHT(N$1,1),男子エントリー!$AF$7:$AF$406,0),1),競技会設定!$P$2:$S$22,4,0),"000")&amp;"00 "&amp;IF(VLOOKUP(INDEX(男子エントリー!$J$7:$AF$406,MATCH(LEFT($B78,FIND("(",$B78)-1)&amp;RIGHT(N$1,1),男子エントリー!$AF$7:$AF$406,0),1),競技会設定!$P$2:$S$22,4,0)&gt;70,TEXT(INDEX(男子エントリー!$J$7:$AF$406,MATCH(LEFT($B78,FIND("(",$B78)-1)&amp;RIGHT(N$1,1),男子エントリー!$AF$7:$AF$406,0),3),"00000"),TEXT(INDEX(男子エントリー!$J$7:$AF$406,MATCH(LEFT($B78,FIND("(",$B78)-1)&amp;RIGHT(N$1,1),男子エントリー!$AF$7:$AF$406,0),3),"0000000")),"")</f>
        <v/>
      </c>
      <c r="O78" s="1" t="str">
        <f>_xlfn.IFNA(TEXT(VLOOKUP(INDEX(男子エントリー!$J$7:$AF$406,MATCH(LEFT($B78,FIND("(",$B78)-1)&amp;RIGHT(O$1,1),男子エントリー!$AF$7:$AF$406,0),1),競技会設定!$P$2:$S$22,4,0),"000")&amp;"00 "&amp;IF(VLOOKUP(INDEX(男子エントリー!$J$7:$AF$406,MATCH(LEFT($B78,FIND("(",$B78)-1)&amp;RIGHT(O$1,1),男子エントリー!$AF$7:$AF$406,0),1),競技会設定!$P$2:$S$22,4,0)&gt;70,TEXT(INDEX(男子エントリー!$J$7:$AF$406,MATCH(LEFT($B78,FIND("(",$B78)-1)&amp;RIGHT(O$1,1),男子エントリー!$AF$7:$AF$406,0),3),"00000"),TEXT(INDEX(男子エントリー!$J$7:$AF$406,MATCH(LEFT($B78,FIND("(",$B78)-1)&amp;RIGHT(O$1,1),男子エントリー!$AF$7:$AF$406,0),3),"0000000")),"")</f>
        <v/>
      </c>
    </row>
    <row r="79" spans="1:15">
      <c r="A79" s="92" t="str">
        <f>男子エントリー!D315</f>
        <v/>
      </c>
      <c r="B79" s="1" t="str">
        <f>男子エントリー!E315&amp;"("&amp;男子エントリー!G315&amp;")"</f>
        <v>()</v>
      </c>
      <c r="C79" s="92" t="str">
        <f>男子エントリー!F315</f>
        <v/>
      </c>
      <c r="D79" s="92" t="str">
        <f>男子エントリー!E317</f>
        <v/>
      </c>
      <c r="E79" s="92" t="str">
        <f>男子エントリー!G317</f>
        <v/>
      </c>
      <c r="F79" s="1" t="str">
        <f t="shared" si="1"/>
        <v/>
      </c>
      <c r="G79" s="92" t="str">
        <f>_xlfn.IFNA(VLOOKUP(男子エントリー!G316,競技会設定!$D$3:$E$49,2,0),"")</f>
        <v/>
      </c>
      <c r="H79" s="92" t="str">
        <f>_xlfn.IFNA(INDEX(競技会設定!$J$3:$O$47,MATCH(男子エントリー!H315,競技会設定!$N$3:$N$47,0),2),"")</f>
        <v/>
      </c>
      <c r="K79" s="92">
        <f>男子エントリー!C315</f>
        <v>0</v>
      </c>
      <c r="L79" s="1" t="str">
        <f>_xlfn.IFNA(TEXT(VLOOKUP(INDEX(男子エントリー!$J$7:$AF$406,MATCH(LEFT($B79,FIND("(",$B79)-1)&amp;RIGHT(L$1,1),男子エントリー!$AF$7:$AF$406,0),1),競技会設定!$P$2:$S$22,4,0),"000")&amp;"00 "&amp;IF(VLOOKUP(INDEX(男子エントリー!$J$7:$AF$406,MATCH(LEFT($B79,FIND("(",$B79)-1)&amp;RIGHT(L$1,1),男子エントリー!$AF$7:$AF$406,0),1),競技会設定!$P$2:$S$22,4,0)&gt;70,TEXT(INDEX(男子エントリー!$J$7:$AF$406,MATCH(LEFT($B79,FIND("(",$B79)-1)&amp;RIGHT(L$1,1),男子エントリー!$AF$7:$AF$406,0),3),"00000"),TEXT(INDEX(男子エントリー!$J$7:$AF$406,MATCH(LEFT($B79,FIND("(",$B79)-1)&amp;RIGHT(L$1,1),男子エントリー!$AF$7:$AF$406,0),3),"0000000")),"")</f>
        <v/>
      </c>
      <c r="M79" s="1" t="str">
        <f>_xlfn.IFNA(TEXT(VLOOKUP(INDEX(男子エントリー!$J$7:$AF$406,MATCH(LEFT($B79,FIND("(",$B79)-1)&amp;RIGHT(M$1,1),男子エントリー!$AF$7:$AF$406,0),1),競技会設定!$P$2:$S$22,4,0),"000")&amp;"00 "&amp;IF(VLOOKUP(INDEX(男子エントリー!$J$7:$AF$406,MATCH(LEFT($B79,FIND("(",$B79)-1)&amp;RIGHT(M$1,1),男子エントリー!$AF$7:$AF$406,0),1),競技会設定!$P$2:$S$22,4,0)&gt;70,TEXT(INDEX(男子エントリー!$J$7:$AF$406,MATCH(LEFT($B79,FIND("(",$B79)-1)&amp;RIGHT(M$1,1),男子エントリー!$AF$7:$AF$406,0),3),"00000"),TEXT(INDEX(男子エントリー!$J$7:$AF$406,MATCH(LEFT($B79,FIND("(",$B79)-1)&amp;RIGHT(M$1,1),男子エントリー!$AF$7:$AF$406,0),3),"0000000")),"")</f>
        <v/>
      </c>
      <c r="N79" s="1" t="str">
        <f>_xlfn.IFNA(TEXT(VLOOKUP(INDEX(男子エントリー!$J$7:$AF$406,MATCH(LEFT($B79,FIND("(",$B79)-1)&amp;RIGHT(N$1,1),男子エントリー!$AF$7:$AF$406,0),1),競技会設定!$P$2:$S$22,4,0),"000")&amp;"00 "&amp;IF(VLOOKUP(INDEX(男子エントリー!$J$7:$AF$406,MATCH(LEFT($B79,FIND("(",$B79)-1)&amp;RIGHT(N$1,1),男子エントリー!$AF$7:$AF$406,0),1),競技会設定!$P$2:$S$22,4,0)&gt;70,TEXT(INDEX(男子エントリー!$J$7:$AF$406,MATCH(LEFT($B79,FIND("(",$B79)-1)&amp;RIGHT(N$1,1),男子エントリー!$AF$7:$AF$406,0),3),"00000"),TEXT(INDEX(男子エントリー!$J$7:$AF$406,MATCH(LEFT($B79,FIND("(",$B79)-1)&amp;RIGHT(N$1,1),男子エントリー!$AF$7:$AF$406,0),3),"0000000")),"")</f>
        <v/>
      </c>
      <c r="O79" s="1" t="str">
        <f>_xlfn.IFNA(TEXT(VLOOKUP(INDEX(男子エントリー!$J$7:$AF$406,MATCH(LEFT($B79,FIND("(",$B79)-1)&amp;RIGHT(O$1,1),男子エントリー!$AF$7:$AF$406,0),1),競技会設定!$P$2:$S$22,4,0),"000")&amp;"00 "&amp;IF(VLOOKUP(INDEX(男子エントリー!$J$7:$AF$406,MATCH(LEFT($B79,FIND("(",$B79)-1)&amp;RIGHT(O$1,1),男子エントリー!$AF$7:$AF$406,0),1),競技会設定!$P$2:$S$22,4,0)&gt;70,TEXT(INDEX(男子エントリー!$J$7:$AF$406,MATCH(LEFT($B79,FIND("(",$B79)-1)&amp;RIGHT(O$1,1),男子エントリー!$AF$7:$AF$406,0),3),"00000"),TEXT(INDEX(男子エントリー!$J$7:$AF$406,MATCH(LEFT($B79,FIND("(",$B79)-1)&amp;RIGHT(O$1,1),男子エントリー!$AF$7:$AF$406,0),3),"0000000")),"")</f>
        <v/>
      </c>
    </row>
    <row r="80" spans="1:15">
      <c r="A80" s="92" t="str">
        <f>男子エントリー!D319</f>
        <v/>
      </c>
      <c r="B80" s="1" t="str">
        <f>男子エントリー!E319&amp;"("&amp;男子エントリー!G319&amp;")"</f>
        <v>()</v>
      </c>
      <c r="C80" s="92" t="str">
        <f>男子エントリー!F319</f>
        <v/>
      </c>
      <c r="D80" s="92" t="str">
        <f>男子エントリー!E321</f>
        <v/>
      </c>
      <c r="E80" s="92" t="str">
        <f>男子エントリー!G321</f>
        <v/>
      </c>
      <c r="F80" s="1" t="str">
        <f t="shared" si="1"/>
        <v/>
      </c>
      <c r="G80" s="92" t="str">
        <f>_xlfn.IFNA(VLOOKUP(男子エントリー!G320,競技会設定!$D$3:$E$49,2,0),"")</f>
        <v/>
      </c>
      <c r="H80" s="92" t="str">
        <f>_xlfn.IFNA(INDEX(競技会設定!$J$3:$O$47,MATCH(男子エントリー!H319,競技会設定!$N$3:$N$47,0),2),"")</f>
        <v/>
      </c>
      <c r="K80" s="92">
        <f>男子エントリー!C319</f>
        <v>0</v>
      </c>
      <c r="L80" s="1" t="str">
        <f>_xlfn.IFNA(TEXT(VLOOKUP(INDEX(男子エントリー!$J$7:$AF$406,MATCH(LEFT($B80,FIND("(",$B80)-1)&amp;RIGHT(L$1,1),男子エントリー!$AF$7:$AF$406,0),1),競技会設定!$P$2:$S$22,4,0),"000")&amp;"00 "&amp;IF(VLOOKUP(INDEX(男子エントリー!$J$7:$AF$406,MATCH(LEFT($B80,FIND("(",$B80)-1)&amp;RIGHT(L$1,1),男子エントリー!$AF$7:$AF$406,0),1),競技会設定!$P$2:$S$22,4,0)&gt;70,TEXT(INDEX(男子エントリー!$J$7:$AF$406,MATCH(LEFT($B80,FIND("(",$B80)-1)&amp;RIGHT(L$1,1),男子エントリー!$AF$7:$AF$406,0),3),"00000"),TEXT(INDEX(男子エントリー!$J$7:$AF$406,MATCH(LEFT($B80,FIND("(",$B80)-1)&amp;RIGHT(L$1,1),男子エントリー!$AF$7:$AF$406,0),3),"0000000")),"")</f>
        <v/>
      </c>
      <c r="M80" s="1" t="str">
        <f>_xlfn.IFNA(TEXT(VLOOKUP(INDEX(男子エントリー!$J$7:$AF$406,MATCH(LEFT($B80,FIND("(",$B80)-1)&amp;RIGHT(M$1,1),男子エントリー!$AF$7:$AF$406,0),1),競技会設定!$P$2:$S$22,4,0),"000")&amp;"00 "&amp;IF(VLOOKUP(INDEX(男子エントリー!$J$7:$AF$406,MATCH(LEFT($B80,FIND("(",$B80)-1)&amp;RIGHT(M$1,1),男子エントリー!$AF$7:$AF$406,0),1),競技会設定!$P$2:$S$22,4,0)&gt;70,TEXT(INDEX(男子エントリー!$J$7:$AF$406,MATCH(LEFT($B80,FIND("(",$B80)-1)&amp;RIGHT(M$1,1),男子エントリー!$AF$7:$AF$406,0),3),"00000"),TEXT(INDEX(男子エントリー!$J$7:$AF$406,MATCH(LEFT($B80,FIND("(",$B80)-1)&amp;RIGHT(M$1,1),男子エントリー!$AF$7:$AF$406,0),3),"0000000")),"")</f>
        <v/>
      </c>
      <c r="N80" s="1" t="str">
        <f>_xlfn.IFNA(TEXT(VLOOKUP(INDEX(男子エントリー!$J$7:$AF$406,MATCH(LEFT($B80,FIND("(",$B80)-1)&amp;RIGHT(N$1,1),男子エントリー!$AF$7:$AF$406,0),1),競技会設定!$P$2:$S$22,4,0),"000")&amp;"00 "&amp;IF(VLOOKUP(INDEX(男子エントリー!$J$7:$AF$406,MATCH(LEFT($B80,FIND("(",$B80)-1)&amp;RIGHT(N$1,1),男子エントリー!$AF$7:$AF$406,0),1),競技会設定!$P$2:$S$22,4,0)&gt;70,TEXT(INDEX(男子エントリー!$J$7:$AF$406,MATCH(LEFT($B80,FIND("(",$B80)-1)&amp;RIGHT(N$1,1),男子エントリー!$AF$7:$AF$406,0),3),"00000"),TEXT(INDEX(男子エントリー!$J$7:$AF$406,MATCH(LEFT($B80,FIND("(",$B80)-1)&amp;RIGHT(N$1,1),男子エントリー!$AF$7:$AF$406,0),3),"0000000")),"")</f>
        <v/>
      </c>
      <c r="O80" s="1" t="str">
        <f>_xlfn.IFNA(TEXT(VLOOKUP(INDEX(男子エントリー!$J$7:$AF$406,MATCH(LEFT($B80,FIND("(",$B80)-1)&amp;RIGHT(O$1,1),男子エントリー!$AF$7:$AF$406,0),1),競技会設定!$P$2:$S$22,4,0),"000")&amp;"00 "&amp;IF(VLOOKUP(INDEX(男子エントリー!$J$7:$AF$406,MATCH(LEFT($B80,FIND("(",$B80)-1)&amp;RIGHT(O$1,1),男子エントリー!$AF$7:$AF$406,0),1),競技会設定!$P$2:$S$22,4,0)&gt;70,TEXT(INDEX(男子エントリー!$J$7:$AF$406,MATCH(LEFT($B80,FIND("(",$B80)-1)&amp;RIGHT(O$1,1),男子エントリー!$AF$7:$AF$406,0),3),"00000"),TEXT(INDEX(男子エントリー!$J$7:$AF$406,MATCH(LEFT($B80,FIND("(",$B80)-1)&amp;RIGHT(O$1,1),男子エントリー!$AF$7:$AF$406,0),3),"0000000")),"")</f>
        <v/>
      </c>
    </row>
    <row r="81" spans="1:15">
      <c r="A81" s="92" t="str">
        <f>男子エントリー!D323</f>
        <v/>
      </c>
      <c r="B81" s="1" t="str">
        <f>男子エントリー!E323&amp;"("&amp;男子エントリー!G323&amp;")"</f>
        <v>()</v>
      </c>
      <c r="C81" s="92" t="str">
        <f>男子エントリー!F323</f>
        <v/>
      </c>
      <c r="D81" s="92" t="str">
        <f>男子エントリー!E325</f>
        <v/>
      </c>
      <c r="E81" s="92" t="str">
        <f>男子エントリー!G325</f>
        <v/>
      </c>
      <c r="F81" s="1" t="str">
        <f t="shared" si="1"/>
        <v/>
      </c>
      <c r="G81" s="92" t="str">
        <f>_xlfn.IFNA(VLOOKUP(男子エントリー!G324,競技会設定!$D$3:$E$49,2,0),"")</f>
        <v/>
      </c>
      <c r="H81" s="92" t="str">
        <f>_xlfn.IFNA(INDEX(競技会設定!$J$3:$O$47,MATCH(男子エントリー!H323,競技会設定!$N$3:$N$47,0),2),"")</f>
        <v/>
      </c>
      <c r="K81" s="92">
        <f>男子エントリー!C323</f>
        <v>0</v>
      </c>
      <c r="L81" s="1" t="str">
        <f>_xlfn.IFNA(TEXT(VLOOKUP(INDEX(男子エントリー!$J$7:$AF$406,MATCH(LEFT($B81,FIND("(",$B81)-1)&amp;RIGHT(L$1,1),男子エントリー!$AF$7:$AF$406,0),1),競技会設定!$P$2:$S$22,4,0),"000")&amp;"00 "&amp;IF(VLOOKUP(INDEX(男子エントリー!$J$7:$AF$406,MATCH(LEFT($B81,FIND("(",$B81)-1)&amp;RIGHT(L$1,1),男子エントリー!$AF$7:$AF$406,0),1),競技会設定!$P$2:$S$22,4,0)&gt;70,TEXT(INDEX(男子エントリー!$J$7:$AF$406,MATCH(LEFT($B81,FIND("(",$B81)-1)&amp;RIGHT(L$1,1),男子エントリー!$AF$7:$AF$406,0),3),"00000"),TEXT(INDEX(男子エントリー!$J$7:$AF$406,MATCH(LEFT($B81,FIND("(",$B81)-1)&amp;RIGHT(L$1,1),男子エントリー!$AF$7:$AF$406,0),3),"0000000")),"")</f>
        <v/>
      </c>
      <c r="M81" s="1" t="str">
        <f>_xlfn.IFNA(TEXT(VLOOKUP(INDEX(男子エントリー!$J$7:$AF$406,MATCH(LEFT($B81,FIND("(",$B81)-1)&amp;RIGHT(M$1,1),男子エントリー!$AF$7:$AF$406,0),1),競技会設定!$P$2:$S$22,4,0),"000")&amp;"00 "&amp;IF(VLOOKUP(INDEX(男子エントリー!$J$7:$AF$406,MATCH(LEFT($B81,FIND("(",$B81)-1)&amp;RIGHT(M$1,1),男子エントリー!$AF$7:$AF$406,0),1),競技会設定!$P$2:$S$22,4,0)&gt;70,TEXT(INDEX(男子エントリー!$J$7:$AF$406,MATCH(LEFT($B81,FIND("(",$B81)-1)&amp;RIGHT(M$1,1),男子エントリー!$AF$7:$AF$406,0),3),"00000"),TEXT(INDEX(男子エントリー!$J$7:$AF$406,MATCH(LEFT($B81,FIND("(",$B81)-1)&amp;RIGHT(M$1,1),男子エントリー!$AF$7:$AF$406,0),3),"0000000")),"")</f>
        <v/>
      </c>
      <c r="N81" s="1" t="str">
        <f>_xlfn.IFNA(TEXT(VLOOKUP(INDEX(男子エントリー!$J$7:$AF$406,MATCH(LEFT($B81,FIND("(",$B81)-1)&amp;RIGHT(N$1,1),男子エントリー!$AF$7:$AF$406,0),1),競技会設定!$P$2:$S$22,4,0),"000")&amp;"00 "&amp;IF(VLOOKUP(INDEX(男子エントリー!$J$7:$AF$406,MATCH(LEFT($B81,FIND("(",$B81)-1)&amp;RIGHT(N$1,1),男子エントリー!$AF$7:$AF$406,0),1),競技会設定!$P$2:$S$22,4,0)&gt;70,TEXT(INDEX(男子エントリー!$J$7:$AF$406,MATCH(LEFT($B81,FIND("(",$B81)-1)&amp;RIGHT(N$1,1),男子エントリー!$AF$7:$AF$406,0),3),"00000"),TEXT(INDEX(男子エントリー!$J$7:$AF$406,MATCH(LEFT($B81,FIND("(",$B81)-1)&amp;RIGHT(N$1,1),男子エントリー!$AF$7:$AF$406,0),3),"0000000")),"")</f>
        <v/>
      </c>
      <c r="O81" s="1" t="str">
        <f>_xlfn.IFNA(TEXT(VLOOKUP(INDEX(男子エントリー!$J$7:$AF$406,MATCH(LEFT($B81,FIND("(",$B81)-1)&amp;RIGHT(O$1,1),男子エントリー!$AF$7:$AF$406,0),1),競技会設定!$P$2:$S$22,4,0),"000")&amp;"00 "&amp;IF(VLOOKUP(INDEX(男子エントリー!$J$7:$AF$406,MATCH(LEFT($B81,FIND("(",$B81)-1)&amp;RIGHT(O$1,1),男子エントリー!$AF$7:$AF$406,0),1),競技会設定!$P$2:$S$22,4,0)&gt;70,TEXT(INDEX(男子エントリー!$J$7:$AF$406,MATCH(LEFT($B81,FIND("(",$B81)-1)&amp;RIGHT(O$1,1),男子エントリー!$AF$7:$AF$406,0),3),"00000"),TEXT(INDEX(男子エントリー!$J$7:$AF$406,MATCH(LEFT($B81,FIND("(",$B81)-1)&amp;RIGHT(O$1,1),男子エントリー!$AF$7:$AF$406,0),3),"0000000")),"")</f>
        <v/>
      </c>
    </row>
    <row r="82" spans="1:15">
      <c r="A82" s="92" t="str">
        <f>男子エントリー!D327</f>
        <v/>
      </c>
      <c r="B82" s="1" t="str">
        <f>男子エントリー!E327&amp;"("&amp;男子エントリー!G327&amp;")"</f>
        <v>()</v>
      </c>
      <c r="C82" s="92" t="str">
        <f>男子エントリー!F327</f>
        <v/>
      </c>
      <c r="D82" s="92" t="str">
        <f>男子エントリー!E329</f>
        <v/>
      </c>
      <c r="E82" s="92" t="str">
        <f>男子エントリー!G329</f>
        <v/>
      </c>
      <c r="F82" s="1" t="str">
        <f t="shared" si="1"/>
        <v/>
      </c>
      <c r="G82" s="92" t="str">
        <f>_xlfn.IFNA(VLOOKUP(男子エントリー!G328,競技会設定!$D$3:$E$49,2,0),"")</f>
        <v/>
      </c>
      <c r="H82" s="92" t="str">
        <f>_xlfn.IFNA(INDEX(競技会設定!$J$3:$O$47,MATCH(男子エントリー!H327,競技会設定!$N$3:$N$47,0),2),"")</f>
        <v/>
      </c>
      <c r="K82" s="92">
        <f>男子エントリー!C327</f>
        <v>0</v>
      </c>
      <c r="L82" s="1" t="str">
        <f>_xlfn.IFNA(TEXT(VLOOKUP(INDEX(男子エントリー!$J$7:$AF$406,MATCH(LEFT($B82,FIND("(",$B82)-1)&amp;RIGHT(L$1,1),男子エントリー!$AF$7:$AF$406,0),1),競技会設定!$P$2:$S$22,4,0),"000")&amp;"00 "&amp;IF(VLOOKUP(INDEX(男子エントリー!$J$7:$AF$406,MATCH(LEFT($B82,FIND("(",$B82)-1)&amp;RIGHT(L$1,1),男子エントリー!$AF$7:$AF$406,0),1),競技会設定!$P$2:$S$22,4,0)&gt;70,TEXT(INDEX(男子エントリー!$J$7:$AF$406,MATCH(LEFT($B82,FIND("(",$B82)-1)&amp;RIGHT(L$1,1),男子エントリー!$AF$7:$AF$406,0),3),"00000"),TEXT(INDEX(男子エントリー!$J$7:$AF$406,MATCH(LEFT($B82,FIND("(",$B82)-1)&amp;RIGHT(L$1,1),男子エントリー!$AF$7:$AF$406,0),3),"0000000")),"")</f>
        <v/>
      </c>
      <c r="M82" s="1" t="str">
        <f>_xlfn.IFNA(TEXT(VLOOKUP(INDEX(男子エントリー!$J$7:$AF$406,MATCH(LEFT($B82,FIND("(",$B82)-1)&amp;RIGHT(M$1,1),男子エントリー!$AF$7:$AF$406,0),1),競技会設定!$P$2:$S$22,4,0),"000")&amp;"00 "&amp;IF(VLOOKUP(INDEX(男子エントリー!$J$7:$AF$406,MATCH(LEFT($B82,FIND("(",$B82)-1)&amp;RIGHT(M$1,1),男子エントリー!$AF$7:$AF$406,0),1),競技会設定!$P$2:$S$22,4,0)&gt;70,TEXT(INDEX(男子エントリー!$J$7:$AF$406,MATCH(LEFT($B82,FIND("(",$B82)-1)&amp;RIGHT(M$1,1),男子エントリー!$AF$7:$AF$406,0),3),"00000"),TEXT(INDEX(男子エントリー!$J$7:$AF$406,MATCH(LEFT($B82,FIND("(",$B82)-1)&amp;RIGHT(M$1,1),男子エントリー!$AF$7:$AF$406,0),3),"0000000")),"")</f>
        <v/>
      </c>
      <c r="N82" s="1" t="str">
        <f>_xlfn.IFNA(TEXT(VLOOKUP(INDEX(男子エントリー!$J$7:$AF$406,MATCH(LEFT($B82,FIND("(",$B82)-1)&amp;RIGHT(N$1,1),男子エントリー!$AF$7:$AF$406,0),1),競技会設定!$P$2:$S$22,4,0),"000")&amp;"00 "&amp;IF(VLOOKUP(INDEX(男子エントリー!$J$7:$AF$406,MATCH(LEFT($B82,FIND("(",$B82)-1)&amp;RIGHT(N$1,1),男子エントリー!$AF$7:$AF$406,0),1),競技会設定!$P$2:$S$22,4,0)&gt;70,TEXT(INDEX(男子エントリー!$J$7:$AF$406,MATCH(LEFT($B82,FIND("(",$B82)-1)&amp;RIGHT(N$1,1),男子エントリー!$AF$7:$AF$406,0),3),"00000"),TEXT(INDEX(男子エントリー!$J$7:$AF$406,MATCH(LEFT($B82,FIND("(",$B82)-1)&amp;RIGHT(N$1,1),男子エントリー!$AF$7:$AF$406,0),3),"0000000")),"")</f>
        <v/>
      </c>
      <c r="O82" s="1" t="str">
        <f>_xlfn.IFNA(TEXT(VLOOKUP(INDEX(男子エントリー!$J$7:$AF$406,MATCH(LEFT($B82,FIND("(",$B82)-1)&amp;RIGHT(O$1,1),男子エントリー!$AF$7:$AF$406,0),1),競技会設定!$P$2:$S$22,4,0),"000")&amp;"00 "&amp;IF(VLOOKUP(INDEX(男子エントリー!$J$7:$AF$406,MATCH(LEFT($B82,FIND("(",$B82)-1)&amp;RIGHT(O$1,1),男子エントリー!$AF$7:$AF$406,0),1),競技会設定!$P$2:$S$22,4,0)&gt;70,TEXT(INDEX(男子エントリー!$J$7:$AF$406,MATCH(LEFT($B82,FIND("(",$B82)-1)&amp;RIGHT(O$1,1),男子エントリー!$AF$7:$AF$406,0),3),"00000"),TEXT(INDEX(男子エントリー!$J$7:$AF$406,MATCH(LEFT($B82,FIND("(",$B82)-1)&amp;RIGHT(O$1,1),男子エントリー!$AF$7:$AF$406,0),3),"0000000")),"")</f>
        <v/>
      </c>
    </row>
    <row r="83" spans="1:15">
      <c r="A83" s="92" t="str">
        <f>男子エントリー!D331</f>
        <v/>
      </c>
      <c r="B83" s="1" t="str">
        <f>男子エントリー!E331&amp;"("&amp;男子エントリー!G331&amp;")"</f>
        <v>()</v>
      </c>
      <c r="C83" s="92" t="str">
        <f>男子エントリー!F331</f>
        <v/>
      </c>
      <c r="D83" s="92" t="str">
        <f>男子エントリー!E333</f>
        <v/>
      </c>
      <c r="E83" s="92" t="str">
        <f>男子エントリー!G333</f>
        <v/>
      </c>
      <c r="F83" s="1" t="str">
        <f t="shared" si="1"/>
        <v/>
      </c>
      <c r="G83" s="92" t="str">
        <f>_xlfn.IFNA(VLOOKUP(男子エントリー!G332,競技会設定!$D$3:$E$49,2,0),"")</f>
        <v/>
      </c>
      <c r="H83" s="92" t="str">
        <f>_xlfn.IFNA(INDEX(競技会設定!$J$3:$O$47,MATCH(男子エントリー!H331,競技会設定!$N$3:$N$47,0),2),"")</f>
        <v/>
      </c>
      <c r="K83" s="92">
        <f>男子エントリー!C331</f>
        <v>0</v>
      </c>
      <c r="L83" s="1" t="str">
        <f>_xlfn.IFNA(TEXT(VLOOKUP(INDEX(男子エントリー!$J$7:$AF$406,MATCH(LEFT($B83,FIND("(",$B83)-1)&amp;RIGHT(L$1,1),男子エントリー!$AF$7:$AF$406,0),1),競技会設定!$P$2:$S$22,4,0),"000")&amp;"00 "&amp;IF(VLOOKUP(INDEX(男子エントリー!$J$7:$AF$406,MATCH(LEFT($B83,FIND("(",$B83)-1)&amp;RIGHT(L$1,1),男子エントリー!$AF$7:$AF$406,0),1),競技会設定!$P$2:$S$22,4,0)&gt;70,TEXT(INDEX(男子エントリー!$J$7:$AF$406,MATCH(LEFT($B83,FIND("(",$B83)-1)&amp;RIGHT(L$1,1),男子エントリー!$AF$7:$AF$406,0),3),"00000"),TEXT(INDEX(男子エントリー!$J$7:$AF$406,MATCH(LEFT($B83,FIND("(",$B83)-1)&amp;RIGHT(L$1,1),男子エントリー!$AF$7:$AF$406,0),3),"0000000")),"")</f>
        <v/>
      </c>
      <c r="M83" s="1" t="str">
        <f>_xlfn.IFNA(TEXT(VLOOKUP(INDEX(男子エントリー!$J$7:$AF$406,MATCH(LEFT($B83,FIND("(",$B83)-1)&amp;RIGHT(M$1,1),男子エントリー!$AF$7:$AF$406,0),1),競技会設定!$P$2:$S$22,4,0),"000")&amp;"00 "&amp;IF(VLOOKUP(INDEX(男子エントリー!$J$7:$AF$406,MATCH(LEFT($B83,FIND("(",$B83)-1)&amp;RIGHT(M$1,1),男子エントリー!$AF$7:$AF$406,0),1),競技会設定!$P$2:$S$22,4,0)&gt;70,TEXT(INDEX(男子エントリー!$J$7:$AF$406,MATCH(LEFT($B83,FIND("(",$B83)-1)&amp;RIGHT(M$1,1),男子エントリー!$AF$7:$AF$406,0),3),"00000"),TEXT(INDEX(男子エントリー!$J$7:$AF$406,MATCH(LEFT($B83,FIND("(",$B83)-1)&amp;RIGHT(M$1,1),男子エントリー!$AF$7:$AF$406,0),3),"0000000")),"")</f>
        <v/>
      </c>
      <c r="N83" s="1" t="str">
        <f>_xlfn.IFNA(TEXT(VLOOKUP(INDEX(男子エントリー!$J$7:$AF$406,MATCH(LEFT($B83,FIND("(",$B83)-1)&amp;RIGHT(N$1,1),男子エントリー!$AF$7:$AF$406,0),1),競技会設定!$P$2:$S$22,4,0),"000")&amp;"00 "&amp;IF(VLOOKUP(INDEX(男子エントリー!$J$7:$AF$406,MATCH(LEFT($B83,FIND("(",$B83)-1)&amp;RIGHT(N$1,1),男子エントリー!$AF$7:$AF$406,0),1),競技会設定!$P$2:$S$22,4,0)&gt;70,TEXT(INDEX(男子エントリー!$J$7:$AF$406,MATCH(LEFT($B83,FIND("(",$B83)-1)&amp;RIGHT(N$1,1),男子エントリー!$AF$7:$AF$406,0),3),"00000"),TEXT(INDEX(男子エントリー!$J$7:$AF$406,MATCH(LEFT($B83,FIND("(",$B83)-1)&amp;RIGHT(N$1,1),男子エントリー!$AF$7:$AF$406,0),3),"0000000")),"")</f>
        <v/>
      </c>
      <c r="O83" s="1" t="str">
        <f>_xlfn.IFNA(TEXT(VLOOKUP(INDEX(男子エントリー!$J$7:$AF$406,MATCH(LEFT($B83,FIND("(",$B83)-1)&amp;RIGHT(O$1,1),男子エントリー!$AF$7:$AF$406,0),1),競技会設定!$P$2:$S$22,4,0),"000")&amp;"00 "&amp;IF(VLOOKUP(INDEX(男子エントリー!$J$7:$AF$406,MATCH(LEFT($B83,FIND("(",$B83)-1)&amp;RIGHT(O$1,1),男子エントリー!$AF$7:$AF$406,0),1),競技会設定!$P$2:$S$22,4,0)&gt;70,TEXT(INDEX(男子エントリー!$J$7:$AF$406,MATCH(LEFT($B83,FIND("(",$B83)-1)&amp;RIGHT(O$1,1),男子エントリー!$AF$7:$AF$406,0),3),"00000"),TEXT(INDEX(男子エントリー!$J$7:$AF$406,MATCH(LEFT($B83,FIND("(",$B83)-1)&amp;RIGHT(O$1,1),男子エントリー!$AF$7:$AF$406,0),3),"0000000")),"")</f>
        <v/>
      </c>
    </row>
    <row r="84" spans="1:15">
      <c r="A84" s="92" t="str">
        <f>男子エントリー!D335</f>
        <v/>
      </c>
      <c r="B84" s="1" t="str">
        <f>男子エントリー!E335&amp;"("&amp;男子エントリー!G335&amp;")"</f>
        <v>()</v>
      </c>
      <c r="C84" s="92" t="str">
        <f>男子エントリー!F335</f>
        <v/>
      </c>
      <c r="D84" s="92" t="str">
        <f>男子エントリー!E337</f>
        <v/>
      </c>
      <c r="E84" s="92" t="str">
        <f>男子エントリー!G337</f>
        <v/>
      </c>
      <c r="F84" s="1" t="str">
        <f t="shared" si="1"/>
        <v/>
      </c>
      <c r="G84" s="92" t="str">
        <f>_xlfn.IFNA(VLOOKUP(男子エントリー!G336,競技会設定!$D$3:$E$49,2,0),"")</f>
        <v/>
      </c>
      <c r="H84" s="92" t="str">
        <f>_xlfn.IFNA(INDEX(競技会設定!$J$3:$O$47,MATCH(男子エントリー!H335,競技会設定!$N$3:$N$47,0),2),"")</f>
        <v/>
      </c>
      <c r="K84" s="92">
        <f>男子エントリー!C335</f>
        <v>0</v>
      </c>
      <c r="L84" s="1" t="str">
        <f>_xlfn.IFNA(TEXT(VLOOKUP(INDEX(男子エントリー!$J$7:$AF$406,MATCH(LEFT($B84,FIND("(",$B84)-1)&amp;RIGHT(L$1,1),男子エントリー!$AF$7:$AF$406,0),1),競技会設定!$P$2:$S$22,4,0),"000")&amp;"00 "&amp;IF(VLOOKUP(INDEX(男子エントリー!$J$7:$AF$406,MATCH(LEFT($B84,FIND("(",$B84)-1)&amp;RIGHT(L$1,1),男子エントリー!$AF$7:$AF$406,0),1),競技会設定!$P$2:$S$22,4,0)&gt;70,TEXT(INDEX(男子エントリー!$J$7:$AF$406,MATCH(LEFT($B84,FIND("(",$B84)-1)&amp;RIGHT(L$1,1),男子エントリー!$AF$7:$AF$406,0),3),"00000"),TEXT(INDEX(男子エントリー!$J$7:$AF$406,MATCH(LEFT($B84,FIND("(",$B84)-1)&amp;RIGHT(L$1,1),男子エントリー!$AF$7:$AF$406,0),3),"0000000")),"")</f>
        <v/>
      </c>
      <c r="M84" s="1" t="str">
        <f>_xlfn.IFNA(TEXT(VLOOKUP(INDEX(男子エントリー!$J$7:$AF$406,MATCH(LEFT($B84,FIND("(",$B84)-1)&amp;RIGHT(M$1,1),男子エントリー!$AF$7:$AF$406,0),1),競技会設定!$P$2:$S$22,4,0),"000")&amp;"00 "&amp;IF(VLOOKUP(INDEX(男子エントリー!$J$7:$AF$406,MATCH(LEFT($B84,FIND("(",$B84)-1)&amp;RIGHT(M$1,1),男子エントリー!$AF$7:$AF$406,0),1),競技会設定!$P$2:$S$22,4,0)&gt;70,TEXT(INDEX(男子エントリー!$J$7:$AF$406,MATCH(LEFT($B84,FIND("(",$B84)-1)&amp;RIGHT(M$1,1),男子エントリー!$AF$7:$AF$406,0),3),"00000"),TEXT(INDEX(男子エントリー!$J$7:$AF$406,MATCH(LEFT($B84,FIND("(",$B84)-1)&amp;RIGHT(M$1,1),男子エントリー!$AF$7:$AF$406,0),3),"0000000")),"")</f>
        <v/>
      </c>
      <c r="N84" s="1" t="str">
        <f>_xlfn.IFNA(TEXT(VLOOKUP(INDEX(男子エントリー!$J$7:$AF$406,MATCH(LEFT($B84,FIND("(",$B84)-1)&amp;RIGHT(N$1,1),男子エントリー!$AF$7:$AF$406,0),1),競技会設定!$P$2:$S$22,4,0),"000")&amp;"00 "&amp;IF(VLOOKUP(INDEX(男子エントリー!$J$7:$AF$406,MATCH(LEFT($B84,FIND("(",$B84)-1)&amp;RIGHT(N$1,1),男子エントリー!$AF$7:$AF$406,0),1),競技会設定!$P$2:$S$22,4,0)&gt;70,TEXT(INDEX(男子エントリー!$J$7:$AF$406,MATCH(LEFT($B84,FIND("(",$B84)-1)&amp;RIGHT(N$1,1),男子エントリー!$AF$7:$AF$406,0),3),"00000"),TEXT(INDEX(男子エントリー!$J$7:$AF$406,MATCH(LEFT($B84,FIND("(",$B84)-1)&amp;RIGHT(N$1,1),男子エントリー!$AF$7:$AF$406,0),3),"0000000")),"")</f>
        <v/>
      </c>
      <c r="O84" s="1" t="str">
        <f>_xlfn.IFNA(TEXT(VLOOKUP(INDEX(男子エントリー!$J$7:$AF$406,MATCH(LEFT($B84,FIND("(",$B84)-1)&amp;RIGHT(O$1,1),男子エントリー!$AF$7:$AF$406,0),1),競技会設定!$P$2:$S$22,4,0),"000")&amp;"00 "&amp;IF(VLOOKUP(INDEX(男子エントリー!$J$7:$AF$406,MATCH(LEFT($B84,FIND("(",$B84)-1)&amp;RIGHT(O$1,1),男子エントリー!$AF$7:$AF$406,0),1),競技会設定!$P$2:$S$22,4,0)&gt;70,TEXT(INDEX(男子エントリー!$J$7:$AF$406,MATCH(LEFT($B84,FIND("(",$B84)-1)&amp;RIGHT(O$1,1),男子エントリー!$AF$7:$AF$406,0),3),"00000"),TEXT(INDEX(男子エントリー!$J$7:$AF$406,MATCH(LEFT($B84,FIND("(",$B84)-1)&amp;RIGHT(O$1,1),男子エントリー!$AF$7:$AF$406,0),3),"0000000")),"")</f>
        <v/>
      </c>
    </row>
    <row r="85" spans="1:15">
      <c r="A85" s="92" t="str">
        <f>男子エントリー!D339</f>
        <v/>
      </c>
      <c r="B85" s="1" t="str">
        <f>男子エントリー!E339&amp;"("&amp;男子エントリー!G339&amp;")"</f>
        <v>()</v>
      </c>
      <c r="C85" s="92" t="str">
        <f>男子エントリー!F339</f>
        <v/>
      </c>
      <c r="D85" s="92" t="str">
        <f>男子エントリー!E341</f>
        <v/>
      </c>
      <c r="E85" s="92" t="str">
        <f>男子エントリー!G341</f>
        <v/>
      </c>
      <c r="F85" s="1" t="str">
        <f t="shared" si="1"/>
        <v/>
      </c>
      <c r="G85" s="92" t="str">
        <f>_xlfn.IFNA(VLOOKUP(男子エントリー!G340,競技会設定!$D$3:$E$49,2,0),"")</f>
        <v/>
      </c>
      <c r="H85" s="92" t="str">
        <f>_xlfn.IFNA(INDEX(競技会設定!$J$3:$O$47,MATCH(男子エントリー!H339,競技会設定!$N$3:$N$47,0),2),"")</f>
        <v/>
      </c>
      <c r="K85" s="92">
        <f>男子エントリー!C339</f>
        <v>0</v>
      </c>
      <c r="L85" s="1" t="str">
        <f>_xlfn.IFNA(TEXT(VLOOKUP(INDEX(男子エントリー!$J$7:$AF$406,MATCH(LEFT($B85,FIND("(",$B85)-1)&amp;RIGHT(L$1,1),男子エントリー!$AF$7:$AF$406,0),1),競技会設定!$P$2:$S$22,4,0),"000")&amp;"00 "&amp;IF(VLOOKUP(INDEX(男子エントリー!$J$7:$AF$406,MATCH(LEFT($B85,FIND("(",$B85)-1)&amp;RIGHT(L$1,1),男子エントリー!$AF$7:$AF$406,0),1),競技会設定!$P$2:$S$22,4,0)&gt;70,TEXT(INDEX(男子エントリー!$J$7:$AF$406,MATCH(LEFT($B85,FIND("(",$B85)-1)&amp;RIGHT(L$1,1),男子エントリー!$AF$7:$AF$406,0),3),"00000"),TEXT(INDEX(男子エントリー!$J$7:$AF$406,MATCH(LEFT($B85,FIND("(",$B85)-1)&amp;RIGHT(L$1,1),男子エントリー!$AF$7:$AF$406,0),3),"0000000")),"")</f>
        <v/>
      </c>
      <c r="M85" s="1" t="str">
        <f>_xlfn.IFNA(TEXT(VLOOKUP(INDEX(男子エントリー!$J$7:$AF$406,MATCH(LEFT($B85,FIND("(",$B85)-1)&amp;RIGHT(M$1,1),男子エントリー!$AF$7:$AF$406,0),1),競技会設定!$P$2:$S$22,4,0),"000")&amp;"00 "&amp;IF(VLOOKUP(INDEX(男子エントリー!$J$7:$AF$406,MATCH(LEFT($B85,FIND("(",$B85)-1)&amp;RIGHT(M$1,1),男子エントリー!$AF$7:$AF$406,0),1),競技会設定!$P$2:$S$22,4,0)&gt;70,TEXT(INDEX(男子エントリー!$J$7:$AF$406,MATCH(LEFT($B85,FIND("(",$B85)-1)&amp;RIGHT(M$1,1),男子エントリー!$AF$7:$AF$406,0),3),"00000"),TEXT(INDEX(男子エントリー!$J$7:$AF$406,MATCH(LEFT($B85,FIND("(",$B85)-1)&amp;RIGHT(M$1,1),男子エントリー!$AF$7:$AF$406,0),3),"0000000")),"")</f>
        <v/>
      </c>
      <c r="N85" s="1" t="str">
        <f>_xlfn.IFNA(TEXT(VLOOKUP(INDEX(男子エントリー!$J$7:$AF$406,MATCH(LEFT($B85,FIND("(",$B85)-1)&amp;RIGHT(N$1,1),男子エントリー!$AF$7:$AF$406,0),1),競技会設定!$P$2:$S$22,4,0),"000")&amp;"00 "&amp;IF(VLOOKUP(INDEX(男子エントリー!$J$7:$AF$406,MATCH(LEFT($B85,FIND("(",$B85)-1)&amp;RIGHT(N$1,1),男子エントリー!$AF$7:$AF$406,0),1),競技会設定!$P$2:$S$22,4,0)&gt;70,TEXT(INDEX(男子エントリー!$J$7:$AF$406,MATCH(LEFT($B85,FIND("(",$B85)-1)&amp;RIGHT(N$1,1),男子エントリー!$AF$7:$AF$406,0),3),"00000"),TEXT(INDEX(男子エントリー!$J$7:$AF$406,MATCH(LEFT($B85,FIND("(",$B85)-1)&amp;RIGHT(N$1,1),男子エントリー!$AF$7:$AF$406,0),3),"0000000")),"")</f>
        <v/>
      </c>
      <c r="O85" s="1" t="str">
        <f>_xlfn.IFNA(TEXT(VLOOKUP(INDEX(男子エントリー!$J$7:$AF$406,MATCH(LEFT($B85,FIND("(",$B85)-1)&amp;RIGHT(O$1,1),男子エントリー!$AF$7:$AF$406,0),1),競技会設定!$P$2:$S$22,4,0),"000")&amp;"00 "&amp;IF(VLOOKUP(INDEX(男子エントリー!$J$7:$AF$406,MATCH(LEFT($B85,FIND("(",$B85)-1)&amp;RIGHT(O$1,1),男子エントリー!$AF$7:$AF$406,0),1),競技会設定!$P$2:$S$22,4,0)&gt;70,TEXT(INDEX(男子エントリー!$J$7:$AF$406,MATCH(LEFT($B85,FIND("(",$B85)-1)&amp;RIGHT(O$1,1),男子エントリー!$AF$7:$AF$406,0),3),"00000"),TEXT(INDEX(男子エントリー!$J$7:$AF$406,MATCH(LEFT($B85,FIND("(",$B85)-1)&amp;RIGHT(O$1,1),男子エントリー!$AF$7:$AF$406,0),3),"0000000")),"")</f>
        <v/>
      </c>
    </row>
    <row r="86" spans="1:15">
      <c r="A86" s="92" t="str">
        <f>男子エントリー!D343</f>
        <v/>
      </c>
      <c r="B86" s="1" t="str">
        <f>男子エントリー!E343&amp;"("&amp;男子エントリー!G343&amp;")"</f>
        <v>()</v>
      </c>
      <c r="C86" s="92" t="str">
        <f>男子エントリー!F343</f>
        <v/>
      </c>
      <c r="D86" s="92" t="str">
        <f>男子エントリー!E345</f>
        <v/>
      </c>
      <c r="E86" s="92" t="str">
        <f>男子エントリー!G345</f>
        <v/>
      </c>
      <c r="F86" s="1" t="str">
        <f t="shared" si="1"/>
        <v/>
      </c>
      <c r="G86" s="92" t="str">
        <f>_xlfn.IFNA(VLOOKUP(男子エントリー!G344,競技会設定!$D$3:$E$49,2,0),"")</f>
        <v/>
      </c>
      <c r="H86" s="92" t="str">
        <f>_xlfn.IFNA(INDEX(競技会設定!$J$3:$O$47,MATCH(男子エントリー!H343,競技会設定!$N$3:$N$47,0),2),"")</f>
        <v/>
      </c>
      <c r="K86" s="92">
        <f>男子エントリー!C343</f>
        <v>0</v>
      </c>
      <c r="L86" s="1" t="str">
        <f>_xlfn.IFNA(TEXT(VLOOKUP(INDEX(男子エントリー!$J$7:$AF$406,MATCH(LEFT($B86,FIND("(",$B86)-1)&amp;RIGHT(L$1,1),男子エントリー!$AF$7:$AF$406,0),1),競技会設定!$P$2:$S$22,4,0),"000")&amp;"00 "&amp;IF(VLOOKUP(INDEX(男子エントリー!$J$7:$AF$406,MATCH(LEFT($B86,FIND("(",$B86)-1)&amp;RIGHT(L$1,1),男子エントリー!$AF$7:$AF$406,0),1),競技会設定!$P$2:$S$22,4,0)&gt;70,TEXT(INDEX(男子エントリー!$J$7:$AF$406,MATCH(LEFT($B86,FIND("(",$B86)-1)&amp;RIGHT(L$1,1),男子エントリー!$AF$7:$AF$406,0),3),"00000"),TEXT(INDEX(男子エントリー!$J$7:$AF$406,MATCH(LEFT($B86,FIND("(",$B86)-1)&amp;RIGHT(L$1,1),男子エントリー!$AF$7:$AF$406,0),3),"0000000")),"")</f>
        <v/>
      </c>
      <c r="M86" s="1" t="str">
        <f>_xlfn.IFNA(TEXT(VLOOKUP(INDEX(男子エントリー!$J$7:$AF$406,MATCH(LEFT($B86,FIND("(",$B86)-1)&amp;RIGHT(M$1,1),男子エントリー!$AF$7:$AF$406,0),1),競技会設定!$P$2:$S$22,4,0),"000")&amp;"00 "&amp;IF(VLOOKUP(INDEX(男子エントリー!$J$7:$AF$406,MATCH(LEFT($B86,FIND("(",$B86)-1)&amp;RIGHT(M$1,1),男子エントリー!$AF$7:$AF$406,0),1),競技会設定!$P$2:$S$22,4,0)&gt;70,TEXT(INDEX(男子エントリー!$J$7:$AF$406,MATCH(LEFT($B86,FIND("(",$B86)-1)&amp;RIGHT(M$1,1),男子エントリー!$AF$7:$AF$406,0),3),"00000"),TEXT(INDEX(男子エントリー!$J$7:$AF$406,MATCH(LEFT($B86,FIND("(",$B86)-1)&amp;RIGHT(M$1,1),男子エントリー!$AF$7:$AF$406,0),3),"0000000")),"")</f>
        <v/>
      </c>
      <c r="N86" s="1" t="str">
        <f>_xlfn.IFNA(TEXT(VLOOKUP(INDEX(男子エントリー!$J$7:$AF$406,MATCH(LEFT($B86,FIND("(",$B86)-1)&amp;RIGHT(N$1,1),男子エントリー!$AF$7:$AF$406,0),1),競技会設定!$P$2:$S$22,4,0),"000")&amp;"00 "&amp;IF(VLOOKUP(INDEX(男子エントリー!$J$7:$AF$406,MATCH(LEFT($B86,FIND("(",$B86)-1)&amp;RIGHT(N$1,1),男子エントリー!$AF$7:$AF$406,0),1),競技会設定!$P$2:$S$22,4,0)&gt;70,TEXT(INDEX(男子エントリー!$J$7:$AF$406,MATCH(LEFT($B86,FIND("(",$B86)-1)&amp;RIGHT(N$1,1),男子エントリー!$AF$7:$AF$406,0),3),"00000"),TEXT(INDEX(男子エントリー!$J$7:$AF$406,MATCH(LEFT($B86,FIND("(",$B86)-1)&amp;RIGHT(N$1,1),男子エントリー!$AF$7:$AF$406,0),3),"0000000")),"")</f>
        <v/>
      </c>
      <c r="O86" s="1" t="str">
        <f>_xlfn.IFNA(TEXT(VLOOKUP(INDEX(男子エントリー!$J$7:$AF$406,MATCH(LEFT($B86,FIND("(",$B86)-1)&amp;RIGHT(O$1,1),男子エントリー!$AF$7:$AF$406,0),1),競技会設定!$P$2:$S$22,4,0),"000")&amp;"00 "&amp;IF(VLOOKUP(INDEX(男子エントリー!$J$7:$AF$406,MATCH(LEFT($B86,FIND("(",$B86)-1)&amp;RIGHT(O$1,1),男子エントリー!$AF$7:$AF$406,0),1),競技会設定!$P$2:$S$22,4,0)&gt;70,TEXT(INDEX(男子エントリー!$J$7:$AF$406,MATCH(LEFT($B86,FIND("(",$B86)-1)&amp;RIGHT(O$1,1),男子エントリー!$AF$7:$AF$406,0),3),"00000"),TEXT(INDEX(男子エントリー!$J$7:$AF$406,MATCH(LEFT($B86,FIND("(",$B86)-1)&amp;RIGHT(O$1,1),男子エントリー!$AF$7:$AF$406,0),3),"0000000")),"")</f>
        <v/>
      </c>
    </row>
    <row r="87" spans="1:15">
      <c r="A87" s="92" t="str">
        <f>男子エントリー!D347</f>
        <v/>
      </c>
      <c r="B87" s="1" t="str">
        <f>男子エントリー!E347&amp;"("&amp;男子エントリー!G347&amp;")"</f>
        <v>()</v>
      </c>
      <c r="C87" s="92" t="str">
        <f>男子エントリー!F347</f>
        <v/>
      </c>
      <c r="D87" s="92" t="str">
        <f>男子エントリー!E349</f>
        <v/>
      </c>
      <c r="E87" s="92" t="str">
        <f>男子エントリー!G349</f>
        <v/>
      </c>
      <c r="F87" s="1" t="str">
        <f t="shared" si="1"/>
        <v/>
      </c>
      <c r="G87" s="92" t="str">
        <f>_xlfn.IFNA(VLOOKUP(男子エントリー!G348,競技会設定!$D$3:$E$49,2,0),"")</f>
        <v/>
      </c>
      <c r="H87" s="92" t="str">
        <f>_xlfn.IFNA(INDEX(競技会設定!$J$3:$O$47,MATCH(男子エントリー!H347,競技会設定!$N$3:$N$47,0),2),"")</f>
        <v/>
      </c>
      <c r="K87" s="92">
        <f>男子エントリー!C347</f>
        <v>0</v>
      </c>
      <c r="L87" s="1" t="str">
        <f>_xlfn.IFNA(TEXT(VLOOKUP(INDEX(男子エントリー!$J$7:$AF$406,MATCH(LEFT($B87,FIND("(",$B87)-1)&amp;RIGHT(L$1,1),男子エントリー!$AF$7:$AF$406,0),1),競技会設定!$P$2:$S$22,4,0),"000")&amp;"00 "&amp;IF(VLOOKUP(INDEX(男子エントリー!$J$7:$AF$406,MATCH(LEFT($B87,FIND("(",$B87)-1)&amp;RIGHT(L$1,1),男子エントリー!$AF$7:$AF$406,0),1),競技会設定!$P$2:$S$22,4,0)&gt;70,TEXT(INDEX(男子エントリー!$J$7:$AF$406,MATCH(LEFT($B87,FIND("(",$B87)-1)&amp;RIGHT(L$1,1),男子エントリー!$AF$7:$AF$406,0),3),"00000"),TEXT(INDEX(男子エントリー!$J$7:$AF$406,MATCH(LEFT($B87,FIND("(",$B87)-1)&amp;RIGHT(L$1,1),男子エントリー!$AF$7:$AF$406,0),3),"0000000")),"")</f>
        <v/>
      </c>
      <c r="M87" s="1" t="str">
        <f>_xlfn.IFNA(TEXT(VLOOKUP(INDEX(男子エントリー!$J$7:$AF$406,MATCH(LEFT($B87,FIND("(",$B87)-1)&amp;RIGHT(M$1,1),男子エントリー!$AF$7:$AF$406,0),1),競技会設定!$P$2:$S$22,4,0),"000")&amp;"00 "&amp;IF(VLOOKUP(INDEX(男子エントリー!$J$7:$AF$406,MATCH(LEFT($B87,FIND("(",$B87)-1)&amp;RIGHT(M$1,1),男子エントリー!$AF$7:$AF$406,0),1),競技会設定!$P$2:$S$22,4,0)&gt;70,TEXT(INDEX(男子エントリー!$J$7:$AF$406,MATCH(LEFT($B87,FIND("(",$B87)-1)&amp;RIGHT(M$1,1),男子エントリー!$AF$7:$AF$406,0),3),"00000"),TEXT(INDEX(男子エントリー!$J$7:$AF$406,MATCH(LEFT($B87,FIND("(",$B87)-1)&amp;RIGHT(M$1,1),男子エントリー!$AF$7:$AF$406,0),3),"0000000")),"")</f>
        <v/>
      </c>
      <c r="N87" s="1" t="str">
        <f>_xlfn.IFNA(TEXT(VLOOKUP(INDEX(男子エントリー!$J$7:$AF$406,MATCH(LEFT($B87,FIND("(",$B87)-1)&amp;RIGHT(N$1,1),男子エントリー!$AF$7:$AF$406,0),1),競技会設定!$P$2:$S$22,4,0),"000")&amp;"00 "&amp;IF(VLOOKUP(INDEX(男子エントリー!$J$7:$AF$406,MATCH(LEFT($B87,FIND("(",$B87)-1)&amp;RIGHT(N$1,1),男子エントリー!$AF$7:$AF$406,0),1),競技会設定!$P$2:$S$22,4,0)&gt;70,TEXT(INDEX(男子エントリー!$J$7:$AF$406,MATCH(LEFT($B87,FIND("(",$B87)-1)&amp;RIGHT(N$1,1),男子エントリー!$AF$7:$AF$406,0),3),"00000"),TEXT(INDEX(男子エントリー!$J$7:$AF$406,MATCH(LEFT($B87,FIND("(",$B87)-1)&amp;RIGHT(N$1,1),男子エントリー!$AF$7:$AF$406,0),3),"0000000")),"")</f>
        <v/>
      </c>
      <c r="O87" s="1" t="str">
        <f>_xlfn.IFNA(TEXT(VLOOKUP(INDEX(男子エントリー!$J$7:$AF$406,MATCH(LEFT($B87,FIND("(",$B87)-1)&amp;RIGHT(O$1,1),男子エントリー!$AF$7:$AF$406,0),1),競技会設定!$P$2:$S$22,4,0),"000")&amp;"00 "&amp;IF(VLOOKUP(INDEX(男子エントリー!$J$7:$AF$406,MATCH(LEFT($B87,FIND("(",$B87)-1)&amp;RIGHT(O$1,1),男子エントリー!$AF$7:$AF$406,0),1),競技会設定!$P$2:$S$22,4,0)&gt;70,TEXT(INDEX(男子エントリー!$J$7:$AF$406,MATCH(LEFT($B87,FIND("(",$B87)-1)&amp;RIGHT(O$1,1),男子エントリー!$AF$7:$AF$406,0),3),"00000"),TEXT(INDEX(男子エントリー!$J$7:$AF$406,MATCH(LEFT($B87,FIND("(",$B87)-1)&amp;RIGHT(O$1,1),男子エントリー!$AF$7:$AF$406,0),3),"0000000")),"")</f>
        <v/>
      </c>
    </row>
    <row r="88" spans="1:15">
      <c r="A88" s="92" t="str">
        <f>男子エントリー!D351</f>
        <v/>
      </c>
      <c r="B88" s="1" t="str">
        <f>男子エントリー!E351&amp;"("&amp;男子エントリー!G351&amp;")"</f>
        <v>()</v>
      </c>
      <c r="C88" s="92" t="str">
        <f>男子エントリー!F351</f>
        <v/>
      </c>
      <c r="D88" s="92" t="str">
        <f>男子エントリー!E353</f>
        <v/>
      </c>
      <c r="E88" s="92" t="str">
        <f>男子エントリー!G353</f>
        <v/>
      </c>
      <c r="F88" s="1" t="str">
        <f t="shared" si="1"/>
        <v/>
      </c>
      <c r="G88" s="92" t="str">
        <f>_xlfn.IFNA(VLOOKUP(男子エントリー!G352,競技会設定!$D$3:$E$49,2,0),"")</f>
        <v/>
      </c>
      <c r="H88" s="92" t="str">
        <f>_xlfn.IFNA(INDEX(競技会設定!$J$3:$O$47,MATCH(男子エントリー!H351,競技会設定!$N$3:$N$47,0),2),"")</f>
        <v/>
      </c>
      <c r="K88" s="92">
        <f>男子エントリー!C351</f>
        <v>0</v>
      </c>
      <c r="L88" s="1" t="str">
        <f>_xlfn.IFNA(TEXT(VLOOKUP(INDEX(男子エントリー!$J$7:$AF$406,MATCH(LEFT($B88,FIND("(",$B88)-1)&amp;RIGHT(L$1,1),男子エントリー!$AF$7:$AF$406,0),1),競技会設定!$P$2:$S$22,4,0),"000")&amp;"00 "&amp;IF(VLOOKUP(INDEX(男子エントリー!$J$7:$AF$406,MATCH(LEFT($B88,FIND("(",$B88)-1)&amp;RIGHT(L$1,1),男子エントリー!$AF$7:$AF$406,0),1),競技会設定!$P$2:$S$22,4,0)&gt;70,TEXT(INDEX(男子エントリー!$J$7:$AF$406,MATCH(LEFT($B88,FIND("(",$B88)-1)&amp;RIGHT(L$1,1),男子エントリー!$AF$7:$AF$406,0),3),"00000"),TEXT(INDEX(男子エントリー!$J$7:$AF$406,MATCH(LEFT($B88,FIND("(",$B88)-1)&amp;RIGHT(L$1,1),男子エントリー!$AF$7:$AF$406,0),3),"0000000")),"")</f>
        <v/>
      </c>
      <c r="M88" s="1" t="str">
        <f>_xlfn.IFNA(TEXT(VLOOKUP(INDEX(男子エントリー!$J$7:$AF$406,MATCH(LEFT($B88,FIND("(",$B88)-1)&amp;RIGHT(M$1,1),男子エントリー!$AF$7:$AF$406,0),1),競技会設定!$P$2:$S$22,4,0),"000")&amp;"00 "&amp;IF(VLOOKUP(INDEX(男子エントリー!$J$7:$AF$406,MATCH(LEFT($B88,FIND("(",$B88)-1)&amp;RIGHT(M$1,1),男子エントリー!$AF$7:$AF$406,0),1),競技会設定!$P$2:$S$22,4,0)&gt;70,TEXT(INDEX(男子エントリー!$J$7:$AF$406,MATCH(LEFT($B88,FIND("(",$B88)-1)&amp;RIGHT(M$1,1),男子エントリー!$AF$7:$AF$406,0),3),"00000"),TEXT(INDEX(男子エントリー!$J$7:$AF$406,MATCH(LEFT($B88,FIND("(",$B88)-1)&amp;RIGHT(M$1,1),男子エントリー!$AF$7:$AF$406,0),3),"0000000")),"")</f>
        <v/>
      </c>
      <c r="N88" s="1" t="str">
        <f>_xlfn.IFNA(TEXT(VLOOKUP(INDEX(男子エントリー!$J$7:$AF$406,MATCH(LEFT($B88,FIND("(",$B88)-1)&amp;RIGHT(N$1,1),男子エントリー!$AF$7:$AF$406,0),1),競技会設定!$P$2:$S$22,4,0),"000")&amp;"00 "&amp;IF(VLOOKUP(INDEX(男子エントリー!$J$7:$AF$406,MATCH(LEFT($B88,FIND("(",$B88)-1)&amp;RIGHT(N$1,1),男子エントリー!$AF$7:$AF$406,0),1),競技会設定!$P$2:$S$22,4,0)&gt;70,TEXT(INDEX(男子エントリー!$J$7:$AF$406,MATCH(LEFT($B88,FIND("(",$B88)-1)&amp;RIGHT(N$1,1),男子エントリー!$AF$7:$AF$406,0),3),"00000"),TEXT(INDEX(男子エントリー!$J$7:$AF$406,MATCH(LEFT($B88,FIND("(",$B88)-1)&amp;RIGHT(N$1,1),男子エントリー!$AF$7:$AF$406,0),3),"0000000")),"")</f>
        <v/>
      </c>
      <c r="O88" s="1" t="str">
        <f>_xlfn.IFNA(TEXT(VLOOKUP(INDEX(男子エントリー!$J$7:$AF$406,MATCH(LEFT($B88,FIND("(",$B88)-1)&amp;RIGHT(O$1,1),男子エントリー!$AF$7:$AF$406,0),1),競技会設定!$P$2:$S$22,4,0),"000")&amp;"00 "&amp;IF(VLOOKUP(INDEX(男子エントリー!$J$7:$AF$406,MATCH(LEFT($B88,FIND("(",$B88)-1)&amp;RIGHT(O$1,1),男子エントリー!$AF$7:$AF$406,0),1),競技会設定!$P$2:$S$22,4,0)&gt;70,TEXT(INDEX(男子エントリー!$J$7:$AF$406,MATCH(LEFT($B88,FIND("(",$B88)-1)&amp;RIGHT(O$1,1),男子エントリー!$AF$7:$AF$406,0),3),"00000"),TEXT(INDEX(男子エントリー!$J$7:$AF$406,MATCH(LEFT($B88,FIND("(",$B88)-1)&amp;RIGHT(O$1,1),男子エントリー!$AF$7:$AF$406,0),3),"0000000")),"")</f>
        <v/>
      </c>
    </row>
    <row r="89" spans="1:15">
      <c r="A89" s="92" t="str">
        <f>男子エントリー!D355</f>
        <v/>
      </c>
      <c r="B89" s="1" t="str">
        <f>男子エントリー!E355&amp;"("&amp;男子エントリー!G355&amp;")"</f>
        <v>()</v>
      </c>
      <c r="C89" s="92" t="str">
        <f>男子エントリー!F355</f>
        <v/>
      </c>
      <c r="D89" s="92" t="str">
        <f>男子エントリー!E357</f>
        <v/>
      </c>
      <c r="E89" s="92" t="str">
        <f>男子エントリー!G357</f>
        <v/>
      </c>
      <c r="F89" s="1" t="str">
        <f t="shared" si="1"/>
        <v/>
      </c>
      <c r="G89" s="92" t="str">
        <f>_xlfn.IFNA(VLOOKUP(男子エントリー!G356,競技会設定!$D$3:$E$49,2,0),"")</f>
        <v/>
      </c>
      <c r="H89" s="92" t="str">
        <f>_xlfn.IFNA(INDEX(競技会設定!$J$3:$O$47,MATCH(男子エントリー!H355,競技会設定!$N$3:$N$47,0),2),"")</f>
        <v/>
      </c>
      <c r="K89" s="92">
        <f>男子エントリー!C355</f>
        <v>0</v>
      </c>
      <c r="L89" s="1" t="str">
        <f>_xlfn.IFNA(TEXT(VLOOKUP(INDEX(男子エントリー!$J$7:$AF$406,MATCH(LEFT($B89,FIND("(",$B89)-1)&amp;RIGHT(L$1,1),男子エントリー!$AF$7:$AF$406,0),1),競技会設定!$P$2:$S$22,4,0),"000")&amp;"00 "&amp;IF(VLOOKUP(INDEX(男子エントリー!$J$7:$AF$406,MATCH(LEFT($B89,FIND("(",$B89)-1)&amp;RIGHT(L$1,1),男子エントリー!$AF$7:$AF$406,0),1),競技会設定!$P$2:$S$22,4,0)&gt;70,TEXT(INDEX(男子エントリー!$J$7:$AF$406,MATCH(LEFT($B89,FIND("(",$B89)-1)&amp;RIGHT(L$1,1),男子エントリー!$AF$7:$AF$406,0),3),"00000"),TEXT(INDEX(男子エントリー!$J$7:$AF$406,MATCH(LEFT($B89,FIND("(",$B89)-1)&amp;RIGHT(L$1,1),男子エントリー!$AF$7:$AF$406,0),3),"0000000")),"")</f>
        <v/>
      </c>
      <c r="M89" s="1" t="str">
        <f>_xlfn.IFNA(TEXT(VLOOKUP(INDEX(男子エントリー!$J$7:$AF$406,MATCH(LEFT($B89,FIND("(",$B89)-1)&amp;RIGHT(M$1,1),男子エントリー!$AF$7:$AF$406,0),1),競技会設定!$P$2:$S$22,4,0),"000")&amp;"00 "&amp;IF(VLOOKUP(INDEX(男子エントリー!$J$7:$AF$406,MATCH(LEFT($B89,FIND("(",$B89)-1)&amp;RIGHT(M$1,1),男子エントリー!$AF$7:$AF$406,0),1),競技会設定!$P$2:$S$22,4,0)&gt;70,TEXT(INDEX(男子エントリー!$J$7:$AF$406,MATCH(LEFT($B89,FIND("(",$B89)-1)&amp;RIGHT(M$1,1),男子エントリー!$AF$7:$AF$406,0),3),"00000"),TEXT(INDEX(男子エントリー!$J$7:$AF$406,MATCH(LEFT($B89,FIND("(",$B89)-1)&amp;RIGHT(M$1,1),男子エントリー!$AF$7:$AF$406,0),3),"0000000")),"")</f>
        <v/>
      </c>
      <c r="N89" s="1" t="str">
        <f>_xlfn.IFNA(TEXT(VLOOKUP(INDEX(男子エントリー!$J$7:$AF$406,MATCH(LEFT($B89,FIND("(",$B89)-1)&amp;RIGHT(N$1,1),男子エントリー!$AF$7:$AF$406,0),1),競技会設定!$P$2:$S$22,4,0),"000")&amp;"00 "&amp;IF(VLOOKUP(INDEX(男子エントリー!$J$7:$AF$406,MATCH(LEFT($B89,FIND("(",$B89)-1)&amp;RIGHT(N$1,1),男子エントリー!$AF$7:$AF$406,0),1),競技会設定!$P$2:$S$22,4,0)&gt;70,TEXT(INDEX(男子エントリー!$J$7:$AF$406,MATCH(LEFT($B89,FIND("(",$B89)-1)&amp;RIGHT(N$1,1),男子エントリー!$AF$7:$AF$406,0),3),"00000"),TEXT(INDEX(男子エントリー!$J$7:$AF$406,MATCH(LEFT($B89,FIND("(",$B89)-1)&amp;RIGHT(N$1,1),男子エントリー!$AF$7:$AF$406,0),3),"0000000")),"")</f>
        <v/>
      </c>
      <c r="O89" s="1" t="str">
        <f>_xlfn.IFNA(TEXT(VLOOKUP(INDEX(男子エントリー!$J$7:$AF$406,MATCH(LEFT($B89,FIND("(",$B89)-1)&amp;RIGHT(O$1,1),男子エントリー!$AF$7:$AF$406,0),1),競技会設定!$P$2:$S$22,4,0),"000")&amp;"00 "&amp;IF(VLOOKUP(INDEX(男子エントリー!$J$7:$AF$406,MATCH(LEFT($B89,FIND("(",$B89)-1)&amp;RIGHT(O$1,1),男子エントリー!$AF$7:$AF$406,0),1),競技会設定!$P$2:$S$22,4,0)&gt;70,TEXT(INDEX(男子エントリー!$J$7:$AF$406,MATCH(LEFT($B89,FIND("(",$B89)-1)&amp;RIGHT(O$1,1),男子エントリー!$AF$7:$AF$406,0),3),"00000"),TEXT(INDEX(男子エントリー!$J$7:$AF$406,MATCH(LEFT($B89,FIND("(",$B89)-1)&amp;RIGHT(O$1,1),男子エントリー!$AF$7:$AF$406,0),3),"0000000")),"")</f>
        <v/>
      </c>
    </row>
    <row r="90" spans="1:15">
      <c r="A90" s="92" t="str">
        <f>男子エントリー!D359</f>
        <v/>
      </c>
      <c r="B90" s="1" t="str">
        <f>男子エントリー!E359&amp;"("&amp;男子エントリー!G359&amp;")"</f>
        <v>()</v>
      </c>
      <c r="C90" s="92" t="str">
        <f>男子エントリー!F359</f>
        <v/>
      </c>
      <c r="D90" s="92" t="str">
        <f>男子エントリー!E361</f>
        <v/>
      </c>
      <c r="E90" s="92" t="str">
        <f>男子エントリー!G361</f>
        <v/>
      </c>
      <c r="F90" s="1" t="str">
        <f t="shared" si="1"/>
        <v/>
      </c>
      <c r="G90" s="92" t="str">
        <f>_xlfn.IFNA(VLOOKUP(男子エントリー!G360,競技会設定!$D$3:$E$49,2,0),"")</f>
        <v/>
      </c>
      <c r="H90" s="92" t="str">
        <f>_xlfn.IFNA(INDEX(競技会設定!$J$3:$O$47,MATCH(男子エントリー!H359,競技会設定!$N$3:$N$47,0),2),"")</f>
        <v/>
      </c>
      <c r="K90" s="92">
        <f>男子エントリー!C359</f>
        <v>0</v>
      </c>
      <c r="L90" s="1" t="str">
        <f>_xlfn.IFNA(TEXT(VLOOKUP(INDEX(男子エントリー!$J$7:$AF$406,MATCH(LEFT($B90,FIND("(",$B90)-1)&amp;RIGHT(L$1,1),男子エントリー!$AF$7:$AF$406,0),1),競技会設定!$P$2:$S$22,4,0),"000")&amp;"00 "&amp;IF(VLOOKUP(INDEX(男子エントリー!$J$7:$AF$406,MATCH(LEFT($B90,FIND("(",$B90)-1)&amp;RIGHT(L$1,1),男子エントリー!$AF$7:$AF$406,0),1),競技会設定!$P$2:$S$22,4,0)&gt;70,TEXT(INDEX(男子エントリー!$J$7:$AF$406,MATCH(LEFT($B90,FIND("(",$B90)-1)&amp;RIGHT(L$1,1),男子エントリー!$AF$7:$AF$406,0),3),"00000"),TEXT(INDEX(男子エントリー!$J$7:$AF$406,MATCH(LEFT($B90,FIND("(",$B90)-1)&amp;RIGHT(L$1,1),男子エントリー!$AF$7:$AF$406,0),3),"0000000")),"")</f>
        <v/>
      </c>
      <c r="M90" s="1" t="str">
        <f>_xlfn.IFNA(TEXT(VLOOKUP(INDEX(男子エントリー!$J$7:$AF$406,MATCH(LEFT($B90,FIND("(",$B90)-1)&amp;RIGHT(M$1,1),男子エントリー!$AF$7:$AF$406,0),1),競技会設定!$P$2:$S$22,4,0),"000")&amp;"00 "&amp;IF(VLOOKUP(INDEX(男子エントリー!$J$7:$AF$406,MATCH(LEFT($B90,FIND("(",$B90)-1)&amp;RIGHT(M$1,1),男子エントリー!$AF$7:$AF$406,0),1),競技会設定!$P$2:$S$22,4,0)&gt;70,TEXT(INDEX(男子エントリー!$J$7:$AF$406,MATCH(LEFT($B90,FIND("(",$B90)-1)&amp;RIGHT(M$1,1),男子エントリー!$AF$7:$AF$406,0),3),"00000"),TEXT(INDEX(男子エントリー!$J$7:$AF$406,MATCH(LEFT($B90,FIND("(",$B90)-1)&amp;RIGHT(M$1,1),男子エントリー!$AF$7:$AF$406,0),3),"0000000")),"")</f>
        <v/>
      </c>
      <c r="N90" s="1" t="str">
        <f>_xlfn.IFNA(TEXT(VLOOKUP(INDEX(男子エントリー!$J$7:$AF$406,MATCH(LEFT($B90,FIND("(",$B90)-1)&amp;RIGHT(N$1,1),男子エントリー!$AF$7:$AF$406,0),1),競技会設定!$P$2:$S$22,4,0),"000")&amp;"00 "&amp;IF(VLOOKUP(INDEX(男子エントリー!$J$7:$AF$406,MATCH(LEFT($B90,FIND("(",$B90)-1)&amp;RIGHT(N$1,1),男子エントリー!$AF$7:$AF$406,0),1),競技会設定!$P$2:$S$22,4,0)&gt;70,TEXT(INDEX(男子エントリー!$J$7:$AF$406,MATCH(LEFT($B90,FIND("(",$B90)-1)&amp;RIGHT(N$1,1),男子エントリー!$AF$7:$AF$406,0),3),"00000"),TEXT(INDEX(男子エントリー!$J$7:$AF$406,MATCH(LEFT($B90,FIND("(",$B90)-1)&amp;RIGHT(N$1,1),男子エントリー!$AF$7:$AF$406,0),3),"0000000")),"")</f>
        <v/>
      </c>
      <c r="O90" s="1" t="str">
        <f>_xlfn.IFNA(TEXT(VLOOKUP(INDEX(男子エントリー!$J$7:$AF$406,MATCH(LEFT($B90,FIND("(",$B90)-1)&amp;RIGHT(O$1,1),男子エントリー!$AF$7:$AF$406,0),1),競技会設定!$P$2:$S$22,4,0),"000")&amp;"00 "&amp;IF(VLOOKUP(INDEX(男子エントリー!$J$7:$AF$406,MATCH(LEFT($B90,FIND("(",$B90)-1)&amp;RIGHT(O$1,1),男子エントリー!$AF$7:$AF$406,0),1),競技会設定!$P$2:$S$22,4,0)&gt;70,TEXT(INDEX(男子エントリー!$J$7:$AF$406,MATCH(LEFT($B90,FIND("(",$B90)-1)&amp;RIGHT(O$1,1),男子エントリー!$AF$7:$AF$406,0),3),"00000"),TEXT(INDEX(男子エントリー!$J$7:$AF$406,MATCH(LEFT($B90,FIND("(",$B90)-1)&amp;RIGHT(O$1,1),男子エントリー!$AF$7:$AF$406,0),3),"0000000")),"")</f>
        <v/>
      </c>
    </row>
    <row r="91" spans="1:15">
      <c r="A91" s="92" t="str">
        <f>男子エントリー!D363</f>
        <v/>
      </c>
      <c r="B91" s="1" t="str">
        <f>男子エントリー!E363&amp;"("&amp;男子エントリー!G363&amp;")"</f>
        <v>()</v>
      </c>
      <c r="C91" s="92" t="str">
        <f>男子エントリー!F363</f>
        <v/>
      </c>
      <c r="D91" s="92" t="str">
        <f>男子エントリー!E365</f>
        <v/>
      </c>
      <c r="E91" s="92" t="str">
        <f>男子エントリー!G365</f>
        <v/>
      </c>
      <c r="F91" s="1" t="str">
        <f t="shared" si="1"/>
        <v/>
      </c>
      <c r="G91" s="92" t="str">
        <f>_xlfn.IFNA(VLOOKUP(男子エントリー!G364,競技会設定!$D$3:$E$49,2,0),"")</f>
        <v/>
      </c>
      <c r="H91" s="92" t="str">
        <f>_xlfn.IFNA(INDEX(競技会設定!$J$3:$O$47,MATCH(男子エントリー!H363,競技会設定!$N$3:$N$47,0),2),"")</f>
        <v/>
      </c>
      <c r="K91" s="92">
        <f>男子エントリー!C363</f>
        <v>0</v>
      </c>
      <c r="L91" s="1" t="str">
        <f>_xlfn.IFNA(TEXT(VLOOKUP(INDEX(男子エントリー!$J$7:$AF$406,MATCH(LEFT($B91,FIND("(",$B91)-1)&amp;RIGHT(L$1,1),男子エントリー!$AF$7:$AF$406,0),1),競技会設定!$P$2:$S$22,4,0),"000")&amp;"00 "&amp;IF(VLOOKUP(INDEX(男子エントリー!$J$7:$AF$406,MATCH(LEFT($B91,FIND("(",$B91)-1)&amp;RIGHT(L$1,1),男子エントリー!$AF$7:$AF$406,0),1),競技会設定!$P$2:$S$22,4,0)&gt;70,TEXT(INDEX(男子エントリー!$J$7:$AF$406,MATCH(LEFT($B91,FIND("(",$B91)-1)&amp;RIGHT(L$1,1),男子エントリー!$AF$7:$AF$406,0),3),"00000"),TEXT(INDEX(男子エントリー!$J$7:$AF$406,MATCH(LEFT($B91,FIND("(",$B91)-1)&amp;RIGHT(L$1,1),男子エントリー!$AF$7:$AF$406,0),3),"0000000")),"")</f>
        <v/>
      </c>
      <c r="M91" s="1" t="str">
        <f>_xlfn.IFNA(TEXT(VLOOKUP(INDEX(男子エントリー!$J$7:$AF$406,MATCH(LEFT($B91,FIND("(",$B91)-1)&amp;RIGHT(M$1,1),男子エントリー!$AF$7:$AF$406,0),1),競技会設定!$P$2:$S$22,4,0),"000")&amp;"00 "&amp;IF(VLOOKUP(INDEX(男子エントリー!$J$7:$AF$406,MATCH(LEFT($B91,FIND("(",$B91)-1)&amp;RIGHT(M$1,1),男子エントリー!$AF$7:$AF$406,0),1),競技会設定!$P$2:$S$22,4,0)&gt;70,TEXT(INDEX(男子エントリー!$J$7:$AF$406,MATCH(LEFT($B91,FIND("(",$B91)-1)&amp;RIGHT(M$1,1),男子エントリー!$AF$7:$AF$406,0),3),"00000"),TEXT(INDEX(男子エントリー!$J$7:$AF$406,MATCH(LEFT($B91,FIND("(",$B91)-1)&amp;RIGHT(M$1,1),男子エントリー!$AF$7:$AF$406,0),3),"0000000")),"")</f>
        <v/>
      </c>
      <c r="N91" s="1" t="str">
        <f>_xlfn.IFNA(TEXT(VLOOKUP(INDEX(男子エントリー!$J$7:$AF$406,MATCH(LEFT($B91,FIND("(",$B91)-1)&amp;RIGHT(N$1,1),男子エントリー!$AF$7:$AF$406,0),1),競技会設定!$P$2:$S$22,4,0),"000")&amp;"00 "&amp;IF(VLOOKUP(INDEX(男子エントリー!$J$7:$AF$406,MATCH(LEFT($B91,FIND("(",$B91)-1)&amp;RIGHT(N$1,1),男子エントリー!$AF$7:$AF$406,0),1),競技会設定!$P$2:$S$22,4,0)&gt;70,TEXT(INDEX(男子エントリー!$J$7:$AF$406,MATCH(LEFT($B91,FIND("(",$B91)-1)&amp;RIGHT(N$1,1),男子エントリー!$AF$7:$AF$406,0),3),"00000"),TEXT(INDEX(男子エントリー!$J$7:$AF$406,MATCH(LEFT($B91,FIND("(",$B91)-1)&amp;RIGHT(N$1,1),男子エントリー!$AF$7:$AF$406,0),3),"0000000")),"")</f>
        <v/>
      </c>
      <c r="O91" s="1" t="str">
        <f>_xlfn.IFNA(TEXT(VLOOKUP(INDEX(男子エントリー!$J$7:$AF$406,MATCH(LEFT($B91,FIND("(",$B91)-1)&amp;RIGHT(O$1,1),男子エントリー!$AF$7:$AF$406,0),1),競技会設定!$P$2:$S$22,4,0),"000")&amp;"00 "&amp;IF(VLOOKUP(INDEX(男子エントリー!$J$7:$AF$406,MATCH(LEFT($B91,FIND("(",$B91)-1)&amp;RIGHT(O$1,1),男子エントリー!$AF$7:$AF$406,0),1),競技会設定!$P$2:$S$22,4,0)&gt;70,TEXT(INDEX(男子エントリー!$J$7:$AF$406,MATCH(LEFT($B91,FIND("(",$B91)-1)&amp;RIGHT(O$1,1),男子エントリー!$AF$7:$AF$406,0),3),"00000"),TEXT(INDEX(男子エントリー!$J$7:$AF$406,MATCH(LEFT($B91,FIND("(",$B91)-1)&amp;RIGHT(O$1,1),男子エントリー!$AF$7:$AF$406,0),3),"0000000")),"")</f>
        <v/>
      </c>
    </row>
    <row r="92" spans="1:15">
      <c r="A92" s="92" t="str">
        <f>男子エントリー!D367</f>
        <v/>
      </c>
      <c r="B92" s="1" t="str">
        <f>男子エントリー!E367&amp;"("&amp;男子エントリー!G367&amp;")"</f>
        <v>()</v>
      </c>
      <c r="C92" s="92" t="str">
        <f>男子エントリー!F367</f>
        <v/>
      </c>
      <c r="D92" s="92" t="str">
        <f>男子エントリー!E369</f>
        <v/>
      </c>
      <c r="E92" s="92" t="str">
        <f>男子エントリー!G369</f>
        <v/>
      </c>
      <c r="F92" s="1" t="str">
        <f t="shared" si="1"/>
        <v/>
      </c>
      <c r="G92" s="92" t="str">
        <f>_xlfn.IFNA(VLOOKUP(男子エントリー!G368,競技会設定!$D$3:$E$49,2,0),"")</f>
        <v/>
      </c>
      <c r="H92" s="92" t="str">
        <f>_xlfn.IFNA(INDEX(競技会設定!$J$3:$O$47,MATCH(男子エントリー!H367,競技会設定!$N$3:$N$47,0),2),"")</f>
        <v/>
      </c>
      <c r="K92" s="92">
        <f>男子エントリー!C367</f>
        <v>0</v>
      </c>
      <c r="L92" s="1" t="str">
        <f>_xlfn.IFNA(TEXT(VLOOKUP(INDEX(男子エントリー!$J$7:$AF$406,MATCH(LEFT($B92,FIND("(",$B92)-1)&amp;RIGHT(L$1,1),男子エントリー!$AF$7:$AF$406,0),1),競技会設定!$P$2:$S$22,4,0),"000")&amp;"00 "&amp;IF(VLOOKUP(INDEX(男子エントリー!$J$7:$AF$406,MATCH(LEFT($B92,FIND("(",$B92)-1)&amp;RIGHT(L$1,1),男子エントリー!$AF$7:$AF$406,0),1),競技会設定!$P$2:$S$22,4,0)&gt;70,TEXT(INDEX(男子エントリー!$J$7:$AF$406,MATCH(LEFT($B92,FIND("(",$B92)-1)&amp;RIGHT(L$1,1),男子エントリー!$AF$7:$AF$406,0),3),"00000"),TEXT(INDEX(男子エントリー!$J$7:$AF$406,MATCH(LEFT($B92,FIND("(",$B92)-1)&amp;RIGHT(L$1,1),男子エントリー!$AF$7:$AF$406,0),3),"0000000")),"")</f>
        <v/>
      </c>
      <c r="M92" s="1" t="str">
        <f>_xlfn.IFNA(TEXT(VLOOKUP(INDEX(男子エントリー!$J$7:$AF$406,MATCH(LEFT($B92,FIND("(",$B92)-1)&amp;RIGHT(M$1,1),男子エントリー!$AF$7:$AF$406,0),1),競技会設定!$P$2:$S$22,4,0),"000")&amp;"00 "&amp;IF(VLOOKUP(INDEX(男子エントリー!$J$7:$AF$406,MATCH(LEFT($B92,FIND("(",$B92)-1)&amp;RIGHT(M$1,1),男子エントリー!$AF$7:$AF$406,0),1),競技会設定!$P$2:$S$22,4,0)&gt;70,TEXT(INDEX(男子エントリー!$J$7:$AF$406,MATCH(LEFT($B92,FIND("(",$B92)-1)&amp;RIGHT(M$1,1),男子エントリー!$AF$7:$AF$406,0),3),"00000"),TEXT(INDEX(男子エントリー!$J$7:$AF$406,MATCH(LEFT($B92,FIND("(",$B92)-1)&amp;RIGHT(M$1,1),男子エントリー!$AF$7:$AF$406,0),3),"0000000")),"")</f>
        <v/>
      </c>
      <c r="N92" s="1" t="str">
        <f>_xlfn.IFNA(TEXT(VLOOKUP(INDEX(男子エントリー!$J$7:$AF$406,MATCH(LEFT($B92,FIND("(",$B92)-1)&amp;RIGHT(N$1,1),男子エントリー!$AF$7:$AF$406,0),1),競技会設定!$P$2:$S$22,4,0),"000")&amp;"00 "&amp;IF(VLOOKUP(INDEX(男子エントリー!$J$7:$AF$406,MATCH(LEFT($B92,FIND("(",$B92)-1)&amp;RIGHT(N$1,1),男子エントリー!$AF$7:$AF$406,0),1),競技会設定!$P$2:$S$22,4,0)&gt;70,TEXT(INDEX(男子エントリー!$J$7:$AF$406,MATCH(LEFT($B92,FIND("(",$B92)-1)&amp;RIGHT(N$1,1),男子エントリー!$AF$7:$AF$406,0),3),"00000"),TEXT(INDEX(男子エントリー!$J$7:$AF$406,MATCH(LEFT($B92,FIND("(",$B92)-1)&amp;RIGHT(N$1,1),男子エントリー!$AF$7:$AF$406,0),3),"0000000")),"")</f>
        <v/>
      </c>
      <c r="O92" s="1" t="str">
        <f>_xlfn.IFNA(TEXT(VLOOKUP(INDEX(男子エントリー!$J$7:$AF$406,MATCH(LEFT($B92,FIND("(",$B92)-1)&amp;RIGHT(O$1,1),男子エントリー!$AF$7:$AF$406,0),1),競技会設定!$P$2:$S$22,4,0),"000")&amp;"00 "&amp;IF(VLOOKUP(INDEX(男子エントリー!$J$7:$AF$406,MATCH(LEFT($B92,FIND("(",$B92)-1)&amp;RIGHT(O$1,1),男子エントリー!$AF$7:$AF$406,0),1),競技会設定!$P$2:$S$22,4,0)&gt;70,TEXT(INDEX(男子エントリー!$J$7:$AF$406,MATCH(LEFT($B92,FIND("(",$B92)-1)&amp;RIGHT(O$1,1),男子エントリー!$AF$7:$AF$406,0),3),"00000"),TEXT(INDEX(男子エントリー!$J$7:$AF$406,MATCH(LEFT($B92,FIND("(",$B92)-1)&amp;RIGHT(O$1,1),男子エントリー!$AF$7:$AF$406,0),3),"0000000")),"")</f>
        <v/>
      </c>
    </row>
    <row r="93" spans="1:15">
      <c r="A93" s="92" t="str">
        <f>男子エントリー!D371</f>
        <v/>
      </c>
      <c r="B93" s="1" t="str">
        <f>男子エントリー!E371&amp;"("&amp;男子エントリー!G371&amp;")"</f>
        <v>()</v>
      </c>
      <c r="C93" s="92" t="str">
        <f>男子エントリー!F371</f>
        <v/>
      </c>
      <c r="D93" s="92" t="str">
        <f>男子エントリー!E373</f>
        <v/>
      </c>
      <c r="E93" s="92" t="str">
        <f>男子エントリー!G373</f>
        <v/>
      </c>
      <c r="F93" s="1" t="str">
        <f t="shared" si="1"/>
        <v/>
      </c>
      <c r="G93" s="92" t="str">
        <f>_xlfn.IFNA(VLOOKUP(男子エントリー!G372,競技会設定!$D$3:$E$49,2,0),"")</f>
        <v/>
      </c>
      <c r="H93" s="92" t="str">
        <f>_xlfn.IFNA(INDEX(競技会設定!$J$3:$O$47,MATCH(男子エントリー!H371,競技会設定!$N$3:$N$47,0),2),"")</f>
        <v/>
      </c>
      <c r="K93" s="92">
        <f>男子エントリー!C371</f>
        <v>0</v>
      </c>
      <c r="L93" s="1" t="str">
        <f>_xlfn.IFNA(TEXT(VLOOKUP(INDEX(男子エントリー!$J$7:$AF$406,MATCH(LEFT($B93,FIND("(",$B93)-1)&amp;RIGHT(L$1,1),男子エントリー!$AF$7:$AF$406,0),1),競技会設定!$P$2:$S$22,4,0),"000")&amp;"00 "&amp;IF(VLOOKUP(INDEX(男子エントリー!$J$7:$AF$406,MATCH(LEFT($B93,FIND("(",$B93)-1)&amp;RIGHT(L$1,1),男子エントリー!$AF$7:$AF$406,0),1),競技会設定!$P$2:$S$22,4,0)&gt;70,TEXT(INDEX(男子エントリー!$J$7:$AF$406,MATCH(LEFT($B93,FIND("(",$B93)-1)&amp;RIGHT(L$1,1),男子エントリー!$AF$7:$AF$406,0),3),"00000"),TEXT(INDEX(男子エントリー!$J$7:$AF$406,MATCH(LEFT($B93,FIND("(",$B93)-1)&amp;RIGHT(L$1,1),男子エントリー!$AF$7:$AF$406,0),3),"0000000")),"")</f>
        <v/>
      </c>
      <c r="M93" s="1" t="str">
        <f>_xlfn.IFNA(TEXT(VLOOKUP(INDEX(男子エントリー!$J$7:$AF$406,MATCH(LEFT($B93,FIND("(",$B93)-1)&amp;RIGHT(M$1,1),男子エントリー!$AF$7:$AF$406,0),1),競技会設定!$P$2:$S$22,4,0),"000")&amp;"00 "&amp;IF(VLOOKUP(INDEX(男子エントリー!$J$7:$AF$406,MATCH(LEFT($B93,FIND("(",$B93)-1)&amp;RIGHT(M$1,1),男子エントリー!$AF$7:$AF$406,0),1),競技会設定!$P$2:$S$22,4,0)&gt;70,TEXT(INDEX(男子エントリー!$J$7:$AF$406,MATCH(LEFT($B93,FIND("(",$B93)-1)&amp;RIGHT(M$1,1),男子エントリー!$AF$7:$AF$406,0),3),"00000"),TEXT(INDEX(男子エントリー!$J$7:$AF$406,MATCH(LEFT($B93,FIND("(",$B93)-1)&amp;RIGHT(M$1,1),男子エントリー!$AF$7:$AF$406,0),3),"0000000")),"")</f>
        <v/>
      </c>
      <c r="N93" s="1" t="str">
        <f>_xlfn.IFNA(TEXT(VLOOKUP(INDEX(男子エントリー!$J$7:$AF$406,MATCH(LEFT($B93,FIND("(",$B93)-1)&amp;RIGHT(N$1,1),男子エントリー!$AF$7:$AF$406,0),1),競技会設定!$P$2:$S$22,4,0),"000")&amp;"00 "&amp;IF(VLOOKUP(INDEX(男子エントリー!$J$7:$AF$406,MATCH(LEFT($B93,FIND("(",$B93)-1)&amp;RIGHT(N$1,1),男子エントリー!$AF$7:$AF$406,0),1),競技会設定!$P$2:$S$22,4,0)&gt;70,TEXT(INDEX(男子エントリー!$J$7:$AF$406,MATCH(LEFT($B93,FIND("(",$B93)-1)&amp;RIGHT(N$1,1),男子エントリー!$AF$7:$AF$406,0),3),"00000"),TEXT(INDEX(男子エントリー!$J$7:$AF$406,MATCH(LEFT($B93,FIND("(",$B93)-1)&amp;RIGHT(N$1,1),男子エントリー!$AF$7:$AF$406,0),3),"0000000")),"")</f>
        <v/>
      </c>
      <c r="O93" s="1" t="str">
        <f>_xlfn.IFNA(TEXT(VLOOKUP(INDEX(男子エントリー!$J$7:$AF$406,MATCH(LEFT($B93,FIND("(",$B93)-1)&amp;RIGHT(O$1,1),男子エントリー!$AF$7:$AF$406,0),1),競技会設定!$P$2:$S$22,4,0),"000")&amp;"00 "&amp;IF(VLOOKUP(INDEX(男子エントリー!$J$7:$AF$406,MATCH(LEFT($B93,FIND("(",$B93)-1)&amp;RIGHT(O$1,1),男子エントリー!$AF$7:$AF$406,0),1),競技会設定!$P$2:$S$22,4,0)&gt;70,TEXT(INDEX(男子エントリー!$J$7:$AF$406,MATCH(LEFT($B93,FIND("(",$B93)-1)&amp;RIGHT(O$1,1),男子エントリー!$AF$7:$AF$406,0),3),"00000"),TEXT(INDEX(男子エントリー!$J$7:$AF$406,MATCH(LEFT($B93,FIND("(",$B93)-1)&amp;RIGHT(O$1,1),男子エントリー!$AF$7:$AF$406,0),3),"0000000")),"")</f>
        <v/>
      </c>
    </row>
    <row r="94" spans="1:15">
      <c r="A94" s="92" t="str">
        <f>男子エントリー!D375</f>
        <v/>
      </c>
      <c r="B94" s="1" t="str">
        <f>男子エントリー!E375&amp;"("&amp;男子エントリー!G375&amp;")"</f>
        <v>()</v>
      </c>
      <c r="C94" s="92" t="str">
        <f>男子エントリー!F375</f>
        <v/>
      </c>
      <c r="D94" s="92" t="str">
        <f>男子エントリー!E377</f>
        <v/>
      </c>
      <c r="E94" s="92" t="str">
        <f>男子エントリー!G377</f>
        <v/>
      </c>
      <c r="F94" s="1" t="str">
        <f t="shared" si="1"/>
        <v/>
      </c>
      <c r="G94" s="92" t="str">
        <f>_xlfn.IFNA(VLOOKUP(男子エントリー!G376,競技会設定!$D$3:$E$49,2,0),"")</f>
        <v/>
      </c>
      <c r="H94" s="92" t="str">
        <f>_xlfn.IFNA(INDEX(競技会設定!$J$3:$O$47,MATCH(男子エントリー!H375,競技会設定!$N$3:$N$47,0),2),"")</f>
        <v/>
      </c>
      <c r="K94" s="92">
        <f>男子エントリー!C375</f>
        <v>0</v>
      </c>
      <c r="L94" s="1" t="str">
        <f>_xlfn.IFNA(TEXT(VLOOKUP(INDEX(男子エントリー!$J$7:$AF$406,MATCH(LEFT($B94,FIND("(",$B94)-1)&amp;RIGHT(L$1,1),男子エントリー!$AF$7:$AF$406,0),1),競技会設定!$P$2:$S$22,4,0),"000")&amp;"00 "&amp;IF(VLOOKUP(INDEX(男子エントリー!$J$7:$AF$406,MATCH(LEFT($B94,FIND("(",$B94)-1)&amp;RIGHT(L$1,1),男子エントリー!$AF$7:$AF$406,0),1),競技会設定!$P$2:$S$22,4,0)&gt;70,TEXT(INDEX(男子エントリー!$J$7:$AF$406,MATCH(LEFT($B94,FIND("(",$B94)-1)&amp;RIGHT(L$1,1),男子エントリー!$AF$7:$AF$406,0),3),"00000"),TEXT(INDEX(男子エントリー!$J$7:$AF$406,MATCH(LEFT($B94,FIND("(",$B94)-1)&amp;RIGHT(L$1,1),男子エントリー!$AF$7:$AF$406,0),3),"0000000")),"")</f>
        <v/>
      </c>
      <c r="M94" s="1" t="str">
        <f>_xlfn.IFNA(TEXT(VLOOKUP(INDEX(男子エントリー!$J$7:$AF$406,MATCH(LEFT($B94,FIND("(",$B94)-1)&amp;RIGHT(M$1,1),男子エントリー!$AF$7:$AF$406,0),1),競技会設定!$P$2:$S$22,4,0),"000")&amp;"00 "&amp;IF(VLOOKUP(INDEX(男子エントリー!$J$7:$AF$406,MATCH(LEFT($B94,FIND("(",$B94)-1)&amp;RIGHT(M$1,1),男子エントリー!$AF$7:$AF$406,0),1),競技会設定!$P$2:$S$22,4,0)&gt;70,TEXT(INDEX(男子エントリー!$J$7:$AF$406,MATCH(LEFT($B94,FIND("(",$B94)-1)&amp;RIGHT(M$1,1),男子エントリー!$AF$7:$AF$406,0),3),"00000"),TEXT(INDEX(男子エントリー!$J$7:$AF$406,MATCH(LEFT($B94,FIND("(",$B94)-1)&amp;RIGHT(M$1,1),男子エントリー!$AF$7:$AF$406,0),3),"0000000")),"")</f>
        <v/>
      </c>
      <c r="N94" s="1" t="str">
        <f>_xlfn.IFNA(TEXT(VLOOKUP(INDEX(男子エントリー!$J$7:$AF$406,MATCH(LEFT($B94,FIND("(",$B94)-1)&amp;RIGHT(N$1,1),男子エントリー!$AF$7:$AF$406,0),1),競技会設定!$P$2:$S$22,4,0),"000")&amp;"00 "&amp;IF(VLOOKUP(INDEX(男子エントリー!$J$7:$AF$406,MATCH(LEFT($B94,FIND("(",$B94)-1)&amp;RIGHT(N$1,1),男子エントリー!$AF$7:$AF$406,0),1),競技会設定!$P$2:$S$22,4,0)&gt;70,TEXT(INDEX(男子エントリー!$J$7:$AF$406,MATCH(LEFT($B94,FIND("(",$B94)-1)&amp;RIGHT(N$1,1),男子エントリー!$AF$7:$AF$406,0),3),"00000"),TEXT(INDEX(男子エントリー!$J$7:$AF$406,MATCH(LEFT($B94,FIND("(",$B94)-1)&amp;RIGHT(N$1,1),男子エントリー!$AF$7:$AF$406,0),3),"0000000")),"")</f>
        <v/>
      </c>
      <c r="O94" s="1" t="str">
        <f>_xlfn.IFNA(TEXT(VLOOKUP(INDEX(男子エントリー!$J$7:$AF$406,MATCH(LEFT($B94,FIND("(",$B94)-1)&amp;RIGHT(O$1,1),男子エントリー!$AF$7:$AF$406,0),1),競技会設定!$P$2:$S$22,4,0),"000")&amp;"00 "&amp;IF(VLOOKUP(INDEX(男子エントリー!$J$7:$AF$406,MATCH(LEFT($B94,FIND("(",$B94)-1)&amp;RIGHT(O$1,1),男子エントリー!$AF$7:$AF$406,0),1),競技会設定!$P$2:$S$22,4,0)&gt;70,TEXT(INDEX(男子エントリー!$J$7:$AF$406,MATCH(LEFT($B94,FIND("(",$B94)-1)&amp;RIGHT(O$1,1),男子エントリー!$AF$7:$AF$406,0),3),"00000"),TEXT(INDEX(男子エントリー!$J$7:$AF$406,MATCH(LEFT($B94,FIND("(",$B94)-1)&amp;RIGHT(O$1,1),男子エントリー!$AF$7:$AF$406,0),3),"0000000")),"")</f>
        <v/>
      </c>
    </row>
    <row r="95" spans="1:15">
      <c r="A95" s="92" t="str">
        <f>男子エントリー!D379</f>
        <v/>
      </c>
      <c r="B95" s="1" t="str">
        <f>男子エントリー!E379&amp;"("&amp;男子エントリー!G379&amp;")"</f>
        <v>()</v>
      </c>
      <c r="C95" s="92" t="str">
        <f>男子エントリー!F379</f>
        <v/>
      </c>
      <c r="D95" s="92" t="str">
        <f>男子エントリー!E381</f>
        <v/>
      </c>
      <c r="E95" s="92" t="str">
        <f>男子エントリー!G381</f>
        <v/>
      </c>
      <c r="F95" s="1" t="str">
        <f t="shared" si="1"/>
        <v/>
      </c>
      <c r="G95" s="92" t="str">
        <f>_xlfn.IFNA(VLOOKUP(男子エントリー!G380,競技会設定!$D$3:$E$49,2,0),"")</f>
        <v/>
      </c>
      <c r="H95" s="92" t="str">
        <f>_xlfn.IFNA(INDEX(競技会設定!$J$3:$O$47,MATCH(男子エントリー!H379,競技会設定!$N$3:$N$47,0),2),"")</f>
        <v/>
      </c>
      <c r="K95" s="92">
        <f>男子エントリー!C379</f>
        <v>0</v>
      </c>
      <c r="L95" s="1" t="str">
        <f>_xlfn.IFNA(TEXT(VLOOKUP(INDEX(男子エントリー!$J$7:$AF$406,MATCH(LEFT($B95,FIND("(",$B95)-1)&amp;RIGHT(L$1,1),男子エントリー!$AF$7:$AF$406,0),1),競技会設定!$P$2:$S$22,4,0),"000")&amp;"00 "&amp;IF(VLOOKUP(INDEX(男子エントリー!$J$7:$AF$406,MATCH(LEFT($B95,FIND("(",$B95)-1)&amp;RIGHT(L$1,1),男子エントリー!$AF$7:$AF$406,0),1),競技会設定!$P$2:$S$22,4,0)&gt;70,TEXT(INDEX(男子エントリー!$J$7:$AF$406,MATCH(LEFT($B95,FIND("(",$B95)-1)&amp;RIGHT(L$1,1),男子エントリー!$AF$7:$AF$406,0),3),"00000"),TEXT(INDEX(男子エントリー!$J$7:$AF$406,MATCH(LEFT($B95,FIND("(",$B95)-1)&amp;RIGHT(L$1,1),男子エントリー!$AF$7:$AF$406,0),3),"0000000")),"")</f>
        <v/>
      </c>
      <c r="M95" s="1" t="str">
        <f>_xlfn.IFNA(TEXT(VLOOKUP(INDEX(男子エントリー!$J$7:$AF$406,MATCH(LEFT($B95,FIND("(",$B95)-1)&amp;RIGHT(M$1,1),男子エントリー!$AF$7:$AF$406,0),1),競技会設定!$P$2:$S$22,4,0),"000")&amp;"00 "&amp;IF(VLOOKUP(INDEX(男子エントリー!$J$7:$AF$406,MATCH(LEFT($B95,FIND("(",$B95)-1)&amp;RIGHT(M$1,1),男子エントリー!$AF$7:$AF$406,0),1),競技会設定!$P$2:$S$22,4,0)&gt;70,TEXT(INDEX(男子エントリー!$J$7:$AF$406,MATCH(LEFT($B95,FIND("(",$B95)-1)&amp;RIGHT(M$1,1),男子エントリー!$AF$7:$AF$406,0),3),"00000"),TEXT(INDEX(男子エントリー!$J$7:$AF$406,MATCH(LEFT($B95,FIND("(",$B95)-1)&amp;RIGHT(M$1,1),男子エントリー!$AF$7:$AF$406,0),3),"0000000")),"")</f>
        <v/>
      </c>
      <c r="N95" s="1" t="str">
        <f>_xlfn.IFNA(TEXT(VLOOKUP(INDEX(男子エントリー!$J$7:$AF$406,MATCH(LEFT($B95,FIND("(",$B95)-1)&amp;RIGHT(N$1,1),男子エントリー!$AF$7:$AF$406,0),1),競技会設定!$P$2:$S$22,4,0),"000")&amp;"00 "&amp;IF(VLOOKUP(INDEX(男子エントリー!$J$7:$AF$406,MATCH(LEFT($B95,FIND("(",$B95)-1)&amp;RIGHT(N$1,1),男子エントリー!$AF$7:$AF$406,0),1),競技会設定!$P$2:$S$22,4,0)&gt;70,TEXT(INDEX(男子エントリー!$J$7:$AF$406,MATCH(LEFT($B95,FIND("(",$B95)-1)&amp;RIGHT(N$1,1),男子エントリー!$AF$7:$AF$406,0),3),"00000"),TEXT(INDEX(男子エントリー!$J$7:$AF$406,MATCH(LEFT($B95,FIND("(",$B95)-1)&amp;RIGHT(N$1,1),男子エントリー!$AF$7:$AF$406,0),3),"0000000")),"")</f>
        <v/>
      </c>
      <c r="O95" s="1" t="str">
        <f>_xlfn.IFNA(TEXT(VLOOKUP(INDEX(男子エントリー!$J$7:$AF$406,MATCH(LEFT($B95,FIND("(",$B95)-1)&amp;RIGHT(O$1,1),男子エントリー!$AF$7:$AF$406,0),1),競技会設定!$P$2:$S$22,4,0),"000")&amp;"00 "&amp;IF(VLOOKUP(INDEX(男子エントリー!$J$7:$AF$406,MATCH(LEFT($B95,FIND("(",$B95)-1)&amp;RIGHT(O$1,1),男子エントリー!$AF$7:$AF$406,0),1),競技会設定!$P$2:$S$22,4,0)&gt;70,TEXT(INDEX(男子エントリー!$J$7:$AF$406,MATCH(LEFT($B95,FIND("(",$B95)-1)&amp;RIGHT(O$1,1),男子エントリー!$AF$7:$AF$406,0),3),"00000"),TEXT(INDEX(男子エントリー!$J$7:$AF$406,MATCH(LEFT($B95,FIND("(",$B95)-1)&amp;RIGHT(O$1,1),男子エントリー!$AF$7:$AF$406,0),3),"0000000")),"")</f>
        <v/>
      </c>
    </row>
    <row r="96" spans="1:15">
      <c r="A96" s="92" t="str">
        <f>男子エントリー!D383</f>
        <v/>
      </c>
      <c r="B96" s="1" t="str">
        <f>男子エントリー!E383&amp;"("&amp;男子エントリー!G383&amp;")"</f>
        <v>()</v>
      </c>
      <c r="C96" s="92" t="str">
        <f>男子エントリー!F383</f>
        <v/>
      </c>
      <c r="D96" s="92" t="str">
        <f>男子エントリー!E385</f>
        <v/>
      </c>
      <c r="E96" s="92" t="str">
        <f>男子エントリー!G385</f>
        <v/>
      </c>
      <c r="F96" s="1" t="str">
        <f t="shared" si="1"/>
        <v/>
      </c>
      <c r="G96" s="92" t="str">
        <f>_xlfn.IFNA(VLOOKUP(男子エントリー!G384,競技会設定!$D$3:$E$49,2,0),"")</f>
        <v/>
      </c>
      <c r="H96" s="92" t="str">
        <f>_xlfn.IFNA(INDEX(競技会設定!$J$3:$O$47,MATCH(男子エントリー!H383,競技会設定!$N$3:$N$47,0),2),"")</f>
        <v/>
      </c>
      <c r="K96" s="92">
        <f>男子エントリー!C383</f>
        <v>0</v>
      </c>
      <c r="L96" s="1" t="str">
        <f>_xlfn.IFNA(TEXT(VLOOKUP(INDEX(男子エントリー!$J$7:$AF$406,MATCH(LEFT($B96,FIND("(",$B96)-1)&amp;RIGHT(L$1,1),男子エントリー!$AF$7:$AF$406,0),1),競技会設定!$P$2:$S$22,4,0),"000")&amp;"00 "&amp;IF(VLOOKUP(INDEX(男子エントリー!$J$7:$AF$406,MATCH(LEFT($B96,FIND("(",$B96)-1)&amp;RIGHT(L$1,1),男子エントリー!$AF$7:$AF$406,0),1),競技会設定!$P$2:$S$22,4,0)&gt;70,TEXT(INDEX(男子エントリー!$J$7:$AF$406,MATCH(LEFT($B96,FIND("(",$B96)-1)&amp;RIGHT(L$1,1),男子エントリー!$AF$7:$AF$406,0),3),"00000"),TEXT(INDEX(男子エントリー!$J$7:$AF$406,MATCH(LEFT($B96,FIND("(",$B96)-1)&amp;RIGHT(L$1,1),男子エントリー!$AF$7:$AF$406,0),3),"0000000")),"")</f>
        <v/>
      </c>
      <c r="M96" s="1" t="str">
        <f>_xlfn.IFNA(TEXT(VLOOKUP(INDEX(男子エントリー!$J$7:$AF$406,MATCH(LEFT($B96,FIND("(",$B96)-1)&amp;RIGHT(M$1,1),男子エントリー!$AF$7:$AF$406,0),1),競技会設定!$P$2:$S$22,4,0),"000")&amp;"00 "&amp;IF(VLOOKUP(INDEX(男子エントリー!$J$7:$AF$406,MATCH(LEFT($B96,FIND("(",$B96)-1)&amp;RIGHT(M$1,1),男子エントリー!$AF$7:$AF$406,0),1),競技会設定!$P$2:$S$22,4,0)&gt;70,TEXT(INDEX(男子エントリー!$J$7:$AF$406,MATCH(LEFT($B96,FIND("(",$B96)-1)&amp;RIGHT(M$1,1),男子エントリー!$AF$7:$AF$406,0),3),"00000"),TEXT(INDEX(男子エントリー!$J$7:$AF$406,MATCH(LEFT($B96,FIND("(",$B96)-1)&amp;RIGHT(M$1,1),男子エントリー!$AF$7:$AF$406,0),3),"0000000")),"")</f>
        <v/>
      </c>
      <c r="N96" s="1" t="str">
        <f>_xlfn.IFNA(TEXT(VLOOKUP(INDEX(男子エントリー!$J$7:$AF$406,MATCH(LEFT($B96,FIND("(",$B96)-1)&amp;RIGHT(N$1,1),男子エントリー!$AF$7:$AF$406,0),1),競技会設定!$P$2:$S$22,4,0),"000")&amp;"00 "&amp;IF(VLOOKUP(INDEX(男子エントリー!$J$7:$AF$406,MATCH(LEFT($B96,FIND("(",$B96)-1)&amp;RIGHT(N$1,1),男子エントリー!$AF$7:$AF$406,0),1),競技会設定!$P$2:$S$22,4,0)&gt;70,TEXT(INDEX(男子エントリー!$J$7:$AF$406,MATCH(LEFT($B96,FIND("(",$B96)-1)&amp;RIGHT(N$1,1),男子エントリー!$AF$7:$AF$406,0),3),"00000"),TEXT(INDEX(男子エントリー!$J$7:$AF$406,MATCH(LEFT($B96,FIND("(",$B96)-1)&amp;RIGHT(N$1,1),男子エントリー!$AF$7:$AF$406,0),3),"0000000")),"")</f>
        <v/>
      </c>
      <c r="O96" s="1" t="str">
        <f>_xlfn.IFNA(TEXT(VLOOKUP(INDEX(男子エントリー!$J$7:$AF$406,MATCH(LEFT($B96,FIND("(",$B96)-1)&amp;RIGHT(O$1,1),男子エントリー!$AF$7:$AF$406,0),1),競技会設定!$P$2:$S$22,4,0),"000")&amp;"00 "&amp;IF(VLOOKUP(INDEX(男子エントリー!$J$7:$AF$406,MATCH(LEFT($B96,FIND("(",$B96)-1)&amp;RIGHT(O$1,1),男子エントリー!$AF$7:$AF$406,0),1),競技会設定!$P$2:$S$22,4,0)&gt;70,TEXT(INDEX(男子エントリー!$J$7:$AF$406,MATCH(LEFT($B96,FIND("(",$B96)-1)&amp;RIGHT(O$1,1),男子エントリー!$AF$7:$AF$406,0),3),"00000"),TEXT(INDEX(男子エントリー!$J$7:$AF$406,MATCH(LEFT($B96,FIND("(",$B96)-1)&amp;RIGHT(O$1,1),男子エントリー!$AF$7:$AF$406,0),3),"0000000")),"")</f>
        <v/>
      </c>
    </row>
    <row r="97" spans="1:15">
      <c r="A97" s="92" t="str">
        <f>男子エントリー!D387</f>
        <v/>
      </c>
      <c r="B97" s="1" t="str">
        <f>男子エントリー!E387&amp;"("&amp;男子エントリー!G387&amp;")"</f>
        <v>()</v>
      </c>
      <c r="C97" s="92" t="str">
        <f>男子エントリー!F387</f>
        <v/>
      </c>
      <c r="D97" s="92" t="str">
        <f>男子エントリー!E389</f>
        <v/>
      </c>
      <c r="E97" s="92" t="str">
        <f>男子エントリー!G389</f>
        <v/>
      </c>
      <c r="F97" s="1" t="str">
        <f t="shared" si="1"/>
        <v/>
      </c>
      <c r="G97" s="92" t="str">
        <f>_xlfn.IFNA(VLOOKUP(男子エントリー!G388,競技会設定!$D$3:$E$49,2,0),"")</f>
        <v/>
      </c>
      <c r="H97" s="92" t="str">
        <f>_xlfn.IFNA(INDEX(競技会設定!$J$3:$O$47,MATCH(男子エントリー!H387,競技会設定!$N$3:$N$47,0),2),"")</f>
        <v/>
      </c>
      <c r="K97" s="92">
        <f>男子エントリー!C387</f>
        <v>0</v>
      </c>
      <c r="L97" s="1" t="str">
        <f>_xlfn.IFNA(TEXT(VLOOKUP(INDEX(男子エントリー!$J$7:$AF$406,MATCH(LEFT($B97,FIND("(",$B97)-1)&amp;RIGHT(L$1,1),男子エントリー!$AF$7:$AF$406,0),1),競技会設定!$P$2:$S$22,4,0),"000")&amp;"00 "&amp;IF(VLOOKUP(INDEX(男子エントリー!$J$7:$AF$406,MATCH(LEFT($B97,FIND("(",$B97)-1)&amp;RIGHT(L$1,1),男子エントリー!$AF$7:$AF$406,0),1),競技会設定!$P$2:$S$22,4,0)&gt;70,TEXT(INDEX(男子エントリー!$J$7:$AF$406,MATCH(LEFT($B97,FIND("(",$B97)-1)&amp;RIGHT(L$1,1),男子エントリー!$AF$7:$AF$406,0),3),"00000"),TEXT(INDEX(男子エントリー!$J$7:$AF$406,MATCH(LEFT($B97,FIND("(",$B97)-1)&amp;RIGHT(L$1,1),男子エントリー!$AF$7:$AF$406,0),3),"0000000")),"")</f>
        <v/>
      </c>
      <c r="M97" s="1" t="str">
        <f>_xlfn.IFNA(TEXT(VLOOKUP(INDEX(男子エントリー!$J$7:$AF$406,MATCH(LEFT($B97,FIND("(",$B97)-1)&amp;RIGHT(M$1,1),男子エントリー!$AF$7:$AF$406,0),1),競技会設定!$P$2:$S$22,4,0),"000")&amp;"00 "&amp;IF(VLOOKUP(INDEX(男子エントリー!$J$7:$AF$406,MATCH(LEFT($B97,FIND("(",$B97)-1)&amp;RIGHT(M$1,1),男子エントリー!$AF$7:$AF$406,0),1),競技会設定!$P$2:$S$22,4,0)&gt;70,TEXT(INDEX(男子エントリー!$J$7:$AF$406,MATCH(LEFT($B97,FIND("(",$B97)-1)&amp;RIGHT(M$1,1),男子エントリー!$AF$7:$AF$406,0),3),"00000"),TEXT(INDEX(男子エントリー!$J$7:$AF$406,MATCH(LEFT($B97,FIND("(",$B97)-1)&amp;RIGHT(M$1,1),男子エントリー!$AF$7:$AF$406,0),3),"0000000")),"")</f>
        <v/>
      </c>
      <c r="N97" s="1" t="str">
        <f>_xlfn.IFNA(TEXT(VLOOKUP(INDEX(男子エントリー!$J$7:$AF$406,MATCH(LEFT($B97,FIND("(",$B97)-1)&amp;RIGHT(N$1,1),男子エントリー!$AF$7:$AF$406,0),1),競技会設定!$P$2:$S$22,4,0),"000")&amp;"00 "&amp;IF(VLOOKUP(INDEX(男子エントリー!$J$7:$AF$406,MATCH(LEFT($B97,FIND("(",$B97)-1)&amp;RIGHT(N$1,1),男子エントリー!$AF$7:$AF$406,0),1),競技会設定!$P$2:$S$22,4,0)&gt;70,TEXT(INDEX(男子エントリー!$J$7:$AF$406,MATCH(LEFT($B97,FIND("(",$B97)-1)&amp;RIGHT(N$1,1),男子エントリー!$AF$7:$AF$406,0),3),"00000"),TEXT(INDEX(男子エントリー!$J$7:$AF$406,MATCH(LEFT($B97,FIND("(",$B97)-1)&amp;RIGHT(N$1,1),男子エントリー!$AF$7:$AF$406,0),3),"0000000")),"")</f>
        <v/>
      </c>
      <c r="O97" s="1" t="str">
        <f>_xlfn.IFNA(TEXT(VLOOKUP(INDEX(男子エントリー!$J$7:$AF$406,MATCH(LEFT($B97,FIND("(",$B97)-1)&amp;RIGHT(O$1,1),男子エントリー!$AF$7:$AF$406,0),1),競技会設定!$P$2:$S$22,4,0),"000")&amp;"00 "&amp;IF(VLOOKUP(INDEX(男子エントリー!$J$7:$AF$406,MATCH(LEFT($B97,FIND("(",$B97)-1)&amp;RIGHT(O$1,1),男子エントリー!$AF$7:$AF$406,0),1),競技会設定!$P$2:$S$22,4,0)&gt;70,TEXT(INDEX(男子エントリー!$J$7:$AF$406,MATCH(LEFT($B97,FIND("(",$B97)-1)&amp;RIGHT(O$1,1),男子エントリー!$AF$7:$AF$406,0),3),"00000"),TEXT(INDEX(男子エントリー!$J$7:$AF$406,MATCH(LEFT($B97,FIND("(",$B97)-1)&amp;RIGHT(O$1,1),男子エントリー!$AF$7:$AF$406,0),3),"0000000")),"")</f>
        <v/>
      </c>
    </row>
    <row r="98" spans="1:15">
      <c r="A98" s="92" t="str">
        <f>男子エントリー!D391</f>
        <v/>
      </c>
      <c r="B98" s="1" t="str">
        <f>男子エントリー!E391&amp;"("&amp;男子エントリー!G391&amp;")"</f>
        <v>()</v>
      </c>
      <c r="C98" s="92" t="str">
        <f>男子エントリー!F391</f>
        <v/>
      </c>
      <c r="D98" s="92" t="str">
        <f>男子エントリー!E393</f>
        <v/>
      </c>
      <c r="E98" s="92" t="str">
        <f>男子エントリー!G393</f>
        <v/>
      </c>
      <c r="F98" s="1" t="str">
        <f t="shared" si="1"/>
        <v/>
      </c>
      <c r="G98" s="92" t="str">
        <f>_xlfn.IFNA(VLOOKUP(男子エントリー!G392,競技会設定!$D$3:$E$49,2,0),"")</f>
        <v/>
      </c>
      <c r="H98" s="92" t="str">
        <f>_xlfn.IFNA(INDEX(競技会設定!$J$3:$O$47,MATCH(男子エントリー!H391,競技会設定!$N$3:$N$47,0),2),"")</f>
        <v/>
      </c>
      <c r="K98" s="92">
        <f>男子エントリー!C391</f>
        <v>0</v>
      </c>
      <c r="L98" s="1" t="str">
        <f>_xlfn.IFNA(TEXT(VLOOKUP(INDEX(男子エントリー!$J$7:$AF$406,MATCH(LEFT($B98,FIND("(",$B98)-1)&amp;RIGHT(L$1,1),男子エントリー!$AF$7:$AF$406,0),1),競技会設定!$P$2:$S$22,4,0),"000")&amp;"00 "&amp;IF(VLOOKUP(INDEX(男子エントリー!$J$7:$AF$406,MATCH(LEFT($B98,FIND("(",$B98)-1)&amp;RIGHT(L$1,1),男子エントリー!$AF$7:$AF$406,0),1),競技会設定!$P$2:$S$22,4,0)&gt;70,TEXT(INDEX(男子エントリー!$J$7:$AF$406,MATCH(LEFT($B98,FIND("(",$B98)-1)&amp;RIGHT(L$1,1),男子エントリー!$AF$7:$AF$406,0),3),"00000"),TEXT(INDEX(男子エントリー!$J$7:$AF$406,MATCH(LEFT($B98,FIND("(",$B98)-1)&amp;RIGHT(L$1,1),男子エントリー!$AF$7:$AF$406,0),3),"0000000")),"")</f>
        <v/>
      </c>
      <c r="M98" s="1" t="str">
        <f>_xlfn.IFNA(TEXT(VLOOKUP(INDEX(男子エントリー!$J$7:$AF$406,MATCH(LEFT($B98,FIND("(",$B98)-1)&amp;RIGHT(M$1,1),男子エントリー!$AF$7:$AF$406,0),1),競技会設定!$P$2:$S$22,4,0),"000")&amp;"00 "&amp;IF(VLOOKUP(INDEX(男子エントリー!$J$7:$AF$406,MATCH(LEFT($B98,FIND("(",$B98)-1)&amp;RIGHT(M$1,1),男子エントリー!$AF$7:$AF$406,0),1),競技会設定!$P$2:$S$22,4,0)&gt;70,TEXT(INDEX(男子エントリー!$J$7:$AF$406,MATCH(LEFT($B98,FIND("(",$B98)-1)&amp;RIGHT(M$1,1),男子エントリー!$AF$7:$AF$406,0),3),"00000"),TEXT(INDEX(男子エントリー!$J$7:$AF$406,MATCH(LEFT($B98,FIND("(",$B98)-1)&amp;RIGHT(M$1,1),男子エントリー!$AF$7:$AF$406,0),3),"0000000")),"")</f>
        <v/>
      </c>
      <c r="N98" s="1" t="str">
        <f>_xlfn.IFNA(TEXT(VLOOKUP(INDEX(男子エントリー!$J$7:$AF$406,MATCH(LEFT($B98,FIND("(",$B98)-1)&amp;RIGHT(N$1,1),男子エントリー!$AF$7:$AF$406,0),1),競技会設定!$P$2:$S$22,4,0),"000")&amp;"00 "&amp;IF(VLOOKUP(INDEX(男子エントリー!$J$7:$AF$406,MATCH(LEFT($B98,FIND("(",$B98)-1)&amp;RIGHT(N$1,1),男子エントリー!$AF$7:$AF$406,0),1),競技会設定!$P$2:$S$22,4,0)&gt;70,TEXT(INDEX(男子エントリー!$J$7:$AF$406,MATCH(LEFT($B98,FIND("(",$B98)-1)&amp;RIGHT(N$1,1),男子エントリー!$AF$7:$AF$406,0),3),"00000"),TEXT(INDEX(男子エントリー!$J$7:$AF$406,MATCH(LEFT($B98,FIND("(",$B98)-1)&amp;RIGHT(N$1,1),男子エントリー!$AF$7:$AF$406,0),3),"0000000")),"")</f>
        <v/>
      </c>
      <c r="O98" s="1" t="str">
        <f>_xlfn.IFNA(TEXT(VLOOKUP(INDEX(男子エントリー!$J$7:$AF$406,MATCH(LEFT($B98,FIND("(",$B98)-1)&amp;RIGHT(O$1,1),男子エントリー!$AF$7:$AF$406,0),1),競技会設定!$P$2:$S$22,4,0),"000")&amp;"00 "&amp;IF(VLOOKUP(INDEX(男子エントリー!$J$7:$AF$406,MATCH(LEFT($B98,FIND("(",$B98)-1)&amp;RIGHT(O$1,1),男子エントリー!$AF$7:$AF$406,0),1),競技会設定!$P$2:$S$22,4,0)&gt;70,TEXT(INDEX(男子エントリー!$J$7:$AF$406,MATCH(LEFT($B98,FIND("(",$B98)-1)&amp;RIGHT(O$1,1),男子エントリー!$AF$7:$AF$406,0),3),"00000"),TEXT(INDEX(男子エントリー!$J$7:$AF$406,MATCH(LEFT($B98,FIND("(",$B98)-1)&amp;RIGHT(O$1,1),男子エントリー!$AF$7:$AF$406,0),3),"0000000")),"")</f>
        <v/>
      </c>
    </row>
    <row r="99" spans="1:15">
      <c r="A99" s="92" t="str">
        <f>男子エントリー!D395</f>
        <v/>
      </c>
      <c r="B99" s="1" t="str">
        <f>男子エントリー!E395&amp;"("&amp;男子エントリー!G395&amp;")"</f>
        <v>()</v>
      </c>
      <c r="C99" s="92" t="str">
        <f>男子エントリー!F395</f>
        <v/>
      </c>
      <c r="D99" s="92" t="str">
        <f>男子エントリー!E397</f>
        <v/>
      </c>
      <c r="E99" s="92" t="str">
        <f>男子エントリー!G397</f>
        <v/>
      </c>
      <c r="F99" s="1" t="str">
        <f t="shared" si="1"/>
        <v/>
      </c>
      <c r="G99" s="92" t="str">
        <f>_xlfn.IFNA(VLOOKUP(男子エントリー!G396,競技会設定!$D$3:$E$49,2,0),"")</f>
        <v/>
      </c>
      <c r="H99" s="92" t="str">
        <f>_xlfn.IFNA(INDEX(競技会設定!$J$3:$O$47,MATCH(男子エントリー!H395,競技会設定!$N$3:$N$47,0),2),"")</f>
        <v/>
      </c>
      <c r="K99" s="92">
        <f>男子エントリー!C395</f>
        <v>0</v>
      </c>
      <c r="L99" s="1" t="str">
        <f>_xlfn.IFNA(TEXT(VLOOKUP(INDEX(男子エントリー!$J$7:$AF$406,MATCH(LEFT($B99,FIND("(",$B99)-1)&amp;RIGHT(L$1,1),男子エントリー!$AF$7:$AF$406,0),1),競技会設定!$P$2:$S$22,4,0),"000")&amp;"00 "&amp;IF(VLOOKUP(INDEX(男子エントリー!$J$7:$AF$406,MATCH(LEFT($B99,FIND("(",$B99)-1)&amp;RIGHT(L$1,1),男子エントリー!$AF$7:$AF$406,0),1),競技会設定!$P$2:$S$22,4,0)&gt;70,TEXT(INDEX(男子エントリー!$J$7:$AF$406,MATCH(LEFT($B99,FIND("(",$B99)-1)&amp;RIGHT(L$1,1),男子エントリー!$AF$7:$AF$406,0),3),"00000"),TEXT(INDEX(男子エントリー!$J$7:$AF$406,MATCH(LEFT($B99,FIND("(",$B99)-1)&amp;RIGHT(L$1,1),男子エントリー!$AF$7:$AF$406,0),3),"0000000")),"")</f>
        <v/>
      </c>
      <c r="M99" s="1" t="str">
        <f>_xlfn.IFNA(TEXT(VLOOKUP(INDEX(男子エントリー!$J$7:$AF$406,MATCH(LEFT($B99,FIND("(",$B99)-1)&amp;RIGHT(M$1,1),男子エントリー!$AF$7:$AF$406,0),1),競技会設定!$P$2:$S$22,4,0),"000")&amp;"00 "&amp;IF(VLOOKUP(INDEX(男子エントリー!$J$7:$AF$406,MATCH(LEFT($B99,FIND("(",$B99)-1)&amp;RIGHT(M$1,1),男子エントリー!$AF$7:$AF$406,0),1),競技会設定!$P$2:$S$22,4,0)&gt;70,TEXT(INDEX(男子エントリー!$J$7:$AF$406,MATCH(LEFT($B99,FIND("(",$B99)-1)&amp;RIGHT(M$1,1),男子エントリー!$AF$7:$AF$406,0),3),"00000"),TEXT(INDEX(男子エントリー!$J$7:$AF$406,MATCH(LEFT($B99,FIND("(",$B99)-1)&amp;RIGHT(M$1,1),男子エントリー!$AF$7:$AF$406,0),3),"0000000")),"")</f>
        <v/>
      </c>
      <c r="N99" s="1" t="str">
        <f>_xlfn.IFNA(TEXT(VLOOKUP(INDEX(男子エントリー!$J$7:$AF$406,MATCH(LEFT($B99,FIND("(",$B99)-1)&amp;RIGHT(N$1,1),男子エントリー!$AF$7:$AF$406,0),1),競技会設定!$P$2:$S$22,4,0),"000")&amp;"00 "&amp;IF(VLOOKUP(INDEX(男子エントリー!$J$7:$AF$406,MATCH(LEFT($B99,FIND("(",$B99)-1)&amp;RIGHT(N$1,1),男子エントリー!$AF$7:$AF$406,0),1),競技会設定!$P$2:$S$22,4,0)&gt;70,TEXT(INDEX(男子エントリー!$J$7:$AF$406,MATCH(LEFT($B99,FIND("(",$B99)-1)&amp;RIGHT(N$1,1),男子エントリー!$AF$7:$AF$406,0),3),"00000"),TEXT(INDEX(男子エントリー!$J$7:$AF$406,MATCH(LEFT($B99,FIND("(",$B99)-1)&amp;RIGHT(N$1,1),男子エントリー!$AF$7:$AF$406,0),3),"0000000")),"")</f>
        <v/>
      </c>
      <c r="O99" s="1" t="str">
        <f>_xlfn.IFNA(TEXT(VLOOKUP(INDEX(男子エントリー!$J$7:$AF$406,MATCH(LEFT($B99,FIND("(",$B99)-1)&amp;RIGHT(O$1,1),男子エントリー!$AF$7:$AF$406,0),1),競技会設定!$P$2:$S$22,4,0),"000")&amp;"00 "&amp;IF(VLOOKUP(INDEX(男子エントリー!$J$7:$AF$406,MATCH(LEFT($B99,FIND("(",$B99)-1)&amp;RIGHT(O$1,1),男子エントリー!$AF$7:$AF$406,0),1),競技会設定!$P$2:$S$22,4,0)&gt;70,TEXT(INDEX(男子エントリー!$J$7:$AF$406,MATCH(LEFT($B99,FIND("(",$B99)-1)&amp;RIGHT(O$1,1),男子エントリー!$AF$7:$AF$406,0),3),"00000"),TEXT(INDEX(男子エントリー!$J$7:$AF$406,MATCH(LEFT($B99,FIND("(",$B99)-1)&amp;RIGHT(O$1,1),男子エントリー!$AF$7:$AF$406,0),3),"0000000")),"")</f>
        <v/>
      </c>
    </row>
    <row r="100" spans="1:15">
      <c r="A100" s="92" t="str">
        <f>男子エントリー!D399</f>
        <v/>
      </c>
      <c r="B100" s="1" t="str">
        <f>男子エントリー!E399&amp;"("&amp;男子エントリー!G399&amp;")"</f>
        <v>()</v>
      </c>
      <c r="C100" s="92" t="str">
        <f>男子エントリー!F399</f>
        <v/>
      </c>
      <c r="D100" s="92" t="str">
        <f>男子エントリー!E401</f>
        <v/>
      </c>
      <c r="E100" s="92" t="str">
        <f>男子エントリー!G401</f>
        <v/>
      </c>
      <c r="F100" s="1" t="str">
        <f t="shared" si="1"/>
        <v/>
      </c>
      <c r="G100" s="92" t="str">
        <f>_xlfn.IFNA(VLOOKUP(男子エントリー!G400,競技会設定!$D$3:$E$49,2,0),"")</f>
        <v/>
      </c>
      <c r="H100" s="92" t="str">
        <f>_xlfn.IFNA(INDEX(競技会設定!$J$3:$O$47,MATCH(男子エントリー!H399,競技会設定!$N$3:$N$47,0),2),"")</f>
        <v/>
      </c>
      <c r="K100" s="92">
        <f>男子エントリー!C399</f>
        <v>0</v>
      </c>
      <c r="L100" s="1" t="str">
        <f>_xlfn.IFNA(TEXT(VLOOKUP(INDEX(男子エントリー!$J$7:$AF$406,MATCH(LEFT($B100,FIND("(",$B100)-1)&amp;RIGHT(L$1,1),男子エントリー!$AF$7:$AF$406,0),1),競技会設定!$P$2:$S$22,4,0),"000")&amp;"00 "&amp;IF(VLOOKUP(INDEX(男子エントリー!$J$7:$AF$406,MATCH(LEFT($B100,FIND("(",$B100)-1)&amp;RIGHT(L$1,1),男子エントリー!$AF$7:$AF$406,0),1),競技会設定!$P$2:$S$22,4,0)&gt;70,TEXT(INDEX(男子エントリー!$J$7:$AF$406,MATCH(LEFT($B100,FIND("(",$B100)-1)&amp;RIGHT(L$1,1),男子エントリー!$AF$7:$AF$406,0),3),"00000"),TEXT(INDEX(男子エントリー!$J$7:$AF$406,MATCH(LEFT($B100,FIND("(",$B100)-1)&amp;RIGHT(L$1,1),男子エントリー!$AF$7:$AF$406,0),3),"0000000")),"")</f>
        <v/>
      </c>
      <c r="M100" s="1" t="str">
        <f>_xlfn.IFNA(TEXT(VLOOKUP(INDEX(男子エントリー!$J$7:$AF$406,MATCH(LEFT($B100,FIND("(",$B100)-1)&amp;RIGHT(M$1,1),男子エントリー!$AF$7:$AF$406,0),1),競技会設定!$P$2:$S$22,4,0),"000")&amp;"00 "&amp;IF(VLOOKUP(INDEX(男子エントリー!$J$7:$AF$406,MATCH(LEFT($B100,FIND("(",$B100)-1)&amp;RIGHT(M$1,1),男子エントリー!$AF$7:$AF$406,0),1),競技会設定!$P$2:$S$22,4,0)&gt;70,TEXT(INDEX(男子エントリー!$J$7:$AF$406,MATCH(LEFT($B100,FIND("(",$B100)-1)&amp;RIGHT(M$1,1),男子エントリー!$AF$7:$AF$406,0),3),"00000"),TEXT(INDEX(男子エントリー!$J$7:$AF$406,MATCH(LEFT($B100,FIND("(",$B100)-1)&amp;RIGHT(M$1,1),男子エントリー!$AF$7:$AF$406,0),3),"0000000")),"")</f>
        <v/>
      </c>
      <c r="N100" s="1" t="str">
        <f>_xlfn.IFNA(TEXT(VLOOKUP(INDEX(男子エントリー!$J$7:$AF$406,MATCH(LEFT($B100,FIND("(",$B100)-1)&amp;RIGHT(N$1,1),男子エントリー!$AF$7:$AF$406,0),1),競技会設定!$P$2:$S$22,4,0),"000")&amp;"00 "&amp;IF(VLOOKUP(INDEX(男子エントリー!$J$7:$AF$406,MATCH(LEFT($B100,FIND("(",$B100)-1)&amp;RIGHT(N$1,1),男子エントリー!$AF$7:$AF$406,0),1),競技会設定!$P$2:$S$22,4,0)&gt;70,TEXT(INDEX(男子エントリー!$J$7:$AF$406,MATCH(LEFT($B100,FIND("(",$B100)-1)&amp;RIGHT(N$1,1),男子エントリー!$AF$7:$AF$406,0),3),"00000"),TEXT(INDEX(男子エントリー!$J$7:$AF$406,MATCH(LEFT($B100,FIND("(",$B100)-1)&amp;RIGHT(N$1,1),男子エントリー!$AF$7:$AF$406,0),3),"0000000")),"")</f>
        <v/>
      </c>
      <c r="O100" s="1" t="str">
        <f>_xlfn.IFNA(TEXT(VLOOKUP(INDEX(男子エントリー!$J$7:$AF$406,MATCH(LEFT($B100,FIND("(",$B100)-1)&amp;RIGHT(O$1,1),男子エントリー!$AF$7:$AF$406,0),1),競技会設定!$P$2:$S$22,4,0),"000")&amp;"00 "&amp;IF(VLOOKUP(INDEX(男子エントリー!$J$7:$AF$406,MATCH(LEFT($B100,FIND("(",$B100)-1)&amp;RIGHT(O$1,1),男子エントリー!$AF$7:$AF$406,0),1),競技会設定!$P$2:$S$22,4,0)&gt;70,TEXT(INDEX(男子エントリー!$J$7:$AF$406,MATCH(LEFT($B100,FIND("(",$B100)-1)&amp;RIGHT(O$1,1),男子エントリー!$AF$7:$AF$406,0),3),"00000"),TEXT(INDEX(男子エントリー!$J$7:$AF$406,MATCH(LEFT($B100,FIND("(",$B100)-1)&amp;RIGHT(O$1,1),男子エントリー!$AF$7:$AF$406,0),3),"0000000")),"")</f>
        <v/>
      </c>
    </row>
    <row r="101" spans="1:15">
      <c r="A101" s="92" t="str">
        <f>男子エントリー!D403</f>
        <v/>
      </c>
      <c r="B101" s="1" t="str">
        <f>男子エントリー!E403&amp;"("&amp;男子エントリー!G403&amp;")"</f>
        <v>()</v>
      </c>
      <c r="C101" s="92" t="str">
        <f>男子エントリー!F403</f>
        <v/>
      </c>
      <c r="D101" s="92" t="str">
        <f>男子エントリー!E405</f>
        <v/>
      </c>
      <c r="E101" s="92" t="str">
        <f>男子エントリー!G405</f>
        <v/>
      </c>
      <c r="F101" s="1" t="str">
        <f t="shared" si="1"/>
        <v/>
      </c>
      <c r="G101" s="92" t="str">
        <f>_xlfn.IFNA(VLOOKUP(男子エントリー!G404,競技会設定!$D$3:$E$49,2,0),"")</f>
        <v/>
      </c>
      <c r="H101" s="92" t="str">
        <f>_xlfn.IFNA(INDEX(競技会設定!$J$3:$O$47,MATCH(男子エントリー!H403,競技会設定!$N$3:$N$47,0),2),"")</f>
        <v/>
      </c>
      <c r="K101" s="92">
        <f>男子エントリー!C403</f>
        <v>0</v>
      </c>
      <c r="L101" s="1" t="str">
        <f>_xlfn.IFNA(TEXT(VLOOKUP(INDEX(男子エントリー!$J$7:$AF$406,MATCH(LEFT($B101,FIND("(",$B101)-1)&amp;RIGHT(L$1,1),男子エントリー!$AF$7:$AF$406,0),1),競技会設定!$P$2:$S$22,4,0),"000")&amp;"00 "&amp;IF(VLOOKUP(INDEX(男子エントリー!$J$7:$AF$406,MATCH(LEFT($B101,FIND("(",$B101)-1)&amp;RIGHT(L$1,1),男子エントリー!$AF$7:$AF$406,0),1),競技会設定!$P$2:$S$22,4,0)&gt;70,TEXT(INDEX(男子エントリー!$J$7:$AF$406,MATCH(LEFT($B101,FIND("(",$B101)-1)&amp;RIGHT(L$1,1),男子エントリー!$AF$7:$AF$406,0),3),"00000"),TEXT(INDEX(男子エントリー!$J$7:$AF$406,MATCH(LEFT($B101,FIND("(",$B101)-1)&amp;RIGHT(L$1,1),男子エントリー!$AF$7:$AF$406,0),3),"0000000")),"")</f>
        <v/>
      </c>
      <c r="M101" s="1" t="str">
        <f>_xlfn.IFNA(TEXT(VLOOKUP(INDEX(男子エントリー!$J$7:$AF$406,MATCH(LEFT($B101,FIND("(",$B101)-1)&amp;RIGHT(M$1,1),男子エントリー!$AF$7:$AF$406,0),1),競技会設定!$P$2:$S$22,4,0),"000")&amp;"00 "&amp;IF(VLOOKUP(INDEX(男子エントリー!$J$7:$AF$406,MATCH(LEFT($B101,FIND("(",$B101)-1)&amp;RIGHT(M$1,1),男子エントリー!$AF$7:$AF$406,0),1),競技会設定!$P$2:$S$22,4,0)&gt;70,TEXT(INDEX(男子エントリー!$J$7:$AF$406,MATCH(LEFT($B101,FIND("(",$B101)-1)&amp;RIGHT(M$1,1),男子エントリー!$AF$7:$AF$406,0),3),"00000"),TEXT(INDEX(男子エントリー!$J$7:$AF$406,MATCH(LEFT($B101,FIND("(",$B101)-1)&amp;RIGHT(M$1,1),男子エントリー!$AF$7:$AF$406,0),3),"0000000")),"")</f>
        <v/>
      </c>
      <c r="N101" s="1" t="str">
        <f>_xlfn.IFNA(TEXT(VLOOKUP(INDEX(男子エントリー!$J$7:$AF$406,MATCH(LEFT($B101,FIND("(",$B101)-1)&amp;RIGHT(N$1,1),男子エントリー!$AF$7:$AF$406,0),1),競技会設定!$P$2:$S$22,4,0),"000")&amp;"00 "&amp;IF(VLOOKUP(INDEX(男子エントリー!$J$7:$AF$406,MATCH(LEFT($B101,FIND("(",$B101)-1)&amp;RIGHT(N$1,1),男子エントリー!$AF$7:$AF$406,0),1),競技会設定!$P$2:$S$22,4,0)&gt;70,TEXT(INDEX(男子エントリー!$J$7:$AF$406,MATCH(LEFT($B101,FIND("(",$B101)-1)&amp;RIGHT(N$1,1),男子エントリー!$AF$7:$AF$406,0),3),"00000"),TEXT(INDEX(男子エントリー!$J$7:$AF$406,MATCH(LEFT($B101,FIND("(",$B101)-1)&amp;RIGHT(N$1,1),男子エントリー!$AF$7:$AF$406,0),3),"0000000")),"")</f>
        <v/>
      </c>
      <c r="O101" s="1" t="str">
        <f>_xlfn.IFNA(TEXT(VLOOKUP(INDEX(男子エントリー!$J$7:$AF$406,MATCH(LEFT($B101,FIND("(",$B101)-1)&amp;RIGHT(O$1,1),男子エントリー!$AF$7:$AF$406,0),1),競技会設定!$P$2:$S$22,4,0),"000")&amp;"00 "&amp;IF(VLOOKUP(INDEX(男子エントリー!$J$7:$AF$406,MATCH(LEFT($B101,FIND("(",$B101)-1)&amp;RIGHT(O$1,1),男子エントリー!$AF$7:$AF$406,0),1),競技会設定!$P$2:$S$22,4,0)&gt;70,TEXT(INDEX(男子エントリー!$J$7:$AF$406,MATCH(LEFT($B101,FIND("(",$B101)-1)&amp;RIGHT(O$1,1),男子エントリー!$AF$7:$AF$406,0),3),"00000"),TEXT(INDEX(男子エントリー!$J$7:$AF$406,MATCH(LEFT($B101,FIND("(",$B101)-1)&amp;RIGHT(O$1,1),男子エントリー!$AF$7:$AF$406,0),3),"0000000")),"")</f>
        <v/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6912F-F482-4673-A877-D241207F8BF4}">
  <sheetPr codeName="Sheet8"/>
  <dimension ref="A1:S101"/>
  <sheetViews>
    <sheetView workbookViewId="0"/>
  </sheetViews>
  <sheetFormatPr defaultRowHeight="13.2"/>
  <cols>
    <col min="1" max="1" width="9.5" style="1" bestFit="1" customWidth="1"/>
    <col min="2" max="4" width="18" style="1" customWidth="1"/>
    <col min="5" max="5" width="4.09765625" style="1" bestFit="1" customWidth="1"/>
    <col min="6" max="7" width="3.19921875" style="1" bestFit="1" customWidth="1"/>
    <col min="8" max="8" width="6.796875" style="1" bestFit="1" customWidth="1"/>
    <col min="9" max="9" width="3.19921875" style="2" bestFit="1" customWidth="1"/>
    <col min="10" max="10" width="3.19921875" style="2" customWidth="1"/>
    <col min="11" max="11" width="7.5" style="1" customWidth="1"/>
    <col min="12" max="15" width="15" style="1" customWidth="1"/>
    <col min="16" max="19" width="3.19921875" style="2" bestFit="1" customWidth="1"/>
    <col min="20" max="16384" width="8.796875" style="1"/>
  </cols>
  <sheetData>
    <row r="1" spans="1:19" s="10" customFormat="1">
      <c r="A1" s="10" t="s">
        <v>0</v>
      </c>
      <c r="B1" s="10" t="s">
        <v>1</v>
      </c>
      <c r="C1" s="10" t="s">
        <v>3755</v>
      </c>
      <c r="D1" s="10" t="s">
        <v>2</v>
      </c>
      <c r="E1" s="10" t="s">
        <v>3</v>
      </c>
      <c r="F1" s="10" t="s">
        <v>3756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3760</v>
      </c>
      <c r="M1" s="10" t="s">
        <v>3761</v>
      </c>
      <c r="N1" s="10" t="s">
        <v>3762</v>
      </c>
      <c r="O1" s="10" t="s">
        <v>3763</v>
      </c>
      <c r="P1" s="10" t="s">
        <v>14</v>
      </c>
      <c r="Q1" s="10" t="s">
        <v>15</v>
      </c>
      <c r="R1" s="10" t="s">
        <v>16</v>
      </c>
      <c r="S1" s="10" t="s">
        <v>17</v>
      </c>
    </row>
    <row r="2" spans="1:19">
      <c r="A2" s="92" t="str">
        <f>女子エントリー!D7</f>
        <v/>
      </c>
      <c r="B2" s="1" t="str">
        <f>女子エントリー!E7&amp;"("&amp;女子エントリー!G7&amp;")"</f>
        <v>()</v>
      </c>
      <c r="C2" s="92" t="str">
        <f>女子エントリー!F7</f>
        <v/>
      </c>
      <c r="D2" s="92" t="str">
        <f>女子エントリー!E9</f>
        <v/>
      </c>
      <c r="E2" s="92" t="str">
        <f>女子エントリー!G9</f>
        <v/>
      </c>
      <c r="F2" s="1" t="str">
        <f>IF(C2="","",2)</f>
        <v/>
      </c>
      <c r="G2" s="92" t="str">
        <f>_xlfn.IFNA(VLOOKUP(女子エントリー!G8,競技会設定!$D$3:$E$49,2,0),"")</f>
        <v/>
      </c>
      <c r="H2" s="92" t="str">
        <f>_xlfn.IFNA(INDEX(競技会設定!$J$3:$O$47,MATCH(女子エントリー!H7,競技会設定!$N$3:$N$47,0),2),"")</f>
        <v/>
      </c>
      <c r="K2" s="92">
        <f>女子エントリー!C7</f>
        <v>0</v>
      </c>
      <c r="L2" s="1" t="str">
        <f>_xlfn.IFNA(TEXT(VLOOKUP(INDEX(女子エントリー!$J$7:$AF$406,MATCH(LEFT($B2,FIND("(",$B2)-1)&amp;RIGHT(L$1,1),女子エントリー!$AF$7:$AF$406,0),1),競技会設定!$T$2:$W$22,4,0),"000")&amp;"00 "&amp;IF(VLOOKUP(INDEX(女子エントリー!$J$7:$AF$406,MATCH(LEFT($B2,FIND("(",$B2)-1)&amp;RIGHT(L$1,1),女子エントリー!$AF$7:$AF$406,0),1),競技会設定!$T$2:$W$22,4,0)&gt;70,TEXT(INDEX(女子エントリー!$J$7:$AF$406,MATCH(LEFT($B2,FIND("(",$B2)-1)&amp;RIGHT(L$1,1),女子エントリー!$AF$7:$AF$406,0),3),"00000"),TEXT(INDEX(女子エントリー!$J$7:$AF$406,MATCH(LEFT($B2,FIND("(",$B2)-1)&amp;RIGHT(L$1,1),女子エントリー!$AF$7:$AF$406,0),3),"0000000")),"")</f>
        <v/>
      </c>
      <c r="M2" s="1" t="str">
        <f>_xlfn.IFNA(TEXT(VLOOKUP(INDEX(女子エントリー!$J$7:$AF$406,MATCH(LEFT($B2,FIND("(",$B2)-1)&amp;RIGHT(M$1,1),女子エントリー!$AF$7:$AF$406,0),1),競技会設定!$T$2:$W$22,4,0),"000")&amp;"00 "&amp;IF(VLOOKUP(INDEX(女子エントリー!$J$7:$AF$406,MATCH(LEFT($B2,FIND("(",$B2)-1)&amp;RIGHT(M$1,1),女子エントリー!$AF$7:$AF$406,0),1),競技会設定!$T$2:$W$22,4,0)&gt;70,TEXT(INDEX(女子エントリー!$J$7:$AF$406,MATCH(LEFT($B2,FIND("(",$B2)-1)&amp;RIGHT(M$1,1),女子エントリー!$AF$7:$AF$406,0),3),"00000"),TEXT(INDEX(女子エントリー!$J$7:$AF$406,MATCH(LEFT($B2,FIND("(",$B2)-1)&amp;RIGHT(M$1,1),女子エントリー!$AF$7:$AF$406,0),3),"0000000")),"")</f>
        <v/>
      </c>
      <c r="N2" s="1" t="str">
        <f>_xlfn.IFNA(TEXT(VLOOKUP(INDEX(女子エントリー!$J$7:$AF$406,MATCH(LEFT($B2,FIND("(",$B2)-1)&amp;RIGHT(N$1,1),女子エントリー!$AF$7:$AF$406,0),1),競技会設定!$T$2:$W$22,4,0),"000")&amp;"00 "&amp;IF(VLOOKUP(INDEX(女子エントリー!$J$7:$AF$406,MATCH(LEFT($B2,FIND("(",$B2)-1)&amp;RIGHT(N$1,1),女子エントリー!$AF$7:$AF$406,0),1),競技会設定!$T$2:$W$22,4,0)&gt;70,TEXT(INDEX(女子エントリー!$J$7:$AF$406,MATCH(LEFT($B2,FIND("(",$B2)-1)&amp;RIGHT(N$1,1),女子エントリー!$AF$7:$AF$406,0),3),"00000"),TEXT(INDEX(女子エントリー!$J$7:$AF$406,MATCH(LEFT($B2,FIND("(",$B2)-1)&amp;RIGHT(N$1,1),女子エントリー!$AF$7:$AF$406,0),3),"0000000")),"")</f>
        <v/>
      </c>
      <c r="O2" s="1" t="str">
        <f>_xlfn.IFNA(TEXT(VLOOKUP(INDEX(女子エントリー!$J$7:$AF$406,MATCH(LEFT($B2,FIND("(",$B2)-1)&amp;RIGHT(O$1,1),女子エントリー!$AF$7:$AF$406,0),1),競技会設定!$T$2:$W$22,4,0),"000")&amp;"00 "&amp;IF(VLOOKUP(INDEX(女子エントリー!$J$7:$AF$406,MATCH(LEFT($B2,FIND("(",$B2)-1)&amp;RIGHT(O$1,1),女子エントリー!$AF$7:$AF$406,0),1),競技会設定!$T$2:$W$22,4,0)&gt;70,TEXT(INDEX(女子エントリー!$J$7:$AF$406,MATCH(LEFT($B2,FIND("(",$B2)-1)&amp;RIGHT(O$1,1),女子エントリー!$AF$7:$AF$406,0),3),"00000"),TEXT(INDEX(女子エントリー!$J$7:$AF$406,MATCH(LEFT($B2,FIND("(",$B2)-1)&amp;RIGHT(O$1,1),女子エントリー!$AF$7:$AF$406,0),3),"0000000")),"")</f>
        <v/>
      </c>
    </row>
    <row r="3" spans="1:19">
      <c r="A3" s="92" t="str">
        <f>女子エントリー!D11</f>
        <v/>
      </c>
      <c r="B3" s="1" t="str">
        <f>女子エントリー!E11&amp;"("&amp;女子エントリー!G11&amp;")"</f>
        <v>()</v>
      </c>
      <c r="C3" s="92" t="str">
        <f>女子エントリー!F11</f>
        <v/>
      </c>
      <c r="D3" s="92" t="str">
        <f>女子エントリー!E13</f>
        <v/>
      </c>
      <c r="E3" s="92" t="str">
        <f>女子エントリー!G13</f>
        <v/>
      </c>
      <c r="F3" s="1" t="str">
        <f t="shared" ref="F3:F66" si="0">IF(C3="","",2)</f>
        <v/>
      </c>
      <c r="G3" s="92" t="str">
        <f>_xlfn.IFNA(VLOOKUP(女子エントリー!G12,競技会設定!$D$3:$E$49,2,0),"")</f>
        <v/>
      </c>
      <c r="H3" s="92" t="str">
        <f>_xlfn.IFNA(INDEX(競技会設定!$J$3:$O$47,MATCH(女子エントリー!H11,競技会設定!$N$3:$N$47,0),2),"")</f>
        <v/>
      </c>
      <c r="K3" s="92">
        <f>女子エントリー!C11</f>
        <v>0</v>
      </c>
      <c r="L3" s="1" t="str">
        <f>_xlfn.IFNA(TEXT(VLOOKUP(INDEX(女子エントリー!$J$7:$AF$406,MATCH(LEFT($B3,FIND("(",$B3)-1)&amp;RIGHT(L$1,1),女子エントリー!$AF$7:$AF$406,0),1),競技会設定!$T$2:$W$22,4,0),"000")&amp;"00 "&amp;IF(VLOOKUP(INDEX(女子エントリー!$J$7:$AF$406,MATCH(LEFT($B3,FIND("(",$B3)-1)&amp;RIGHT(L$1,1),女子エントリー!$AF$7:$AF$406,0),1),競技会設定!$T$2:$W$22,4,0)&gt;70,TEXT(INDEX(女子エントリー!$J$7:$AF$406,MATCH(LEFT($B3,FIND("(",$B3)-1)&amp;RIGHT(L$1,1),女子エントリー!$AF$7:$AF$406,0),3),"00000"),TEXT(INDEX(女子エントリー!$J$7:$AF$406,MATCH(LEFT($B3,FIND("(",$B3)-1)&amp;RIGHT(L$1,1),女子エントリー!$AF$7:$AF$406,0),3),"0000000")),"")</f>
        <v/>
      </c>
      <c r="M3" s="1" t="str">
        <f>_xlfn.IFNA(TEXT(VLOOKUP(INDEX(女子エントリー!$J$7:$AF$406,MATCH(LEFT($B3,FIND("(",$B3)-1)&amp;RIGHT(M$1,1),女子エントリー!$AF$7:$AF$406,0),1),競技会設定!$T$2:$W$22,4,0),"000")&amp;"00 "&amp;IF(VLOOKUP(INDEX(女子エントリー!$J$7:$AF$406,MATCH(LEFT($B3,FIND("(",$B3)-1)&amp;RIGHT(M$1,1),女子エントリー!$AF$7:$AF$406,0),1),競技会設定!$T$2:$W$22,4,0)&gt;70,TEXT(INDEX(女子エントリー!$J$7:$AF$406,MATCH(LEFT($B3,FIND("(",$B3)-1)&amp;RIGHT(M$1,1),女子エントリー!$AF$7:$AF$406,0),3),"00000"),TEXT(INDEX(女子エントリー!$J$7:$AF$406,MATCH(LEFT($B3,FIND("(",$B3)-1)&amp;RIGHT(M$1,1),女子エントリー!$AF$7:$AF$406,0),3),"0000000")),"")</f>
        <v/>
      </c>
      <c r="N3" s="1" t="str">
        <f>_xlfn.IFNA(TEXT(VLOOKUP(INDEX(女子エントリー!$J$7:$AF$406,MATCH(LEFT($B3,FIND("(",$B3)-1)&amp;RIGHT(N$1,1),女子エントリー!$AF$7:$AF$406,0),1),競技会設定!$T$2:$W$22,4,0),"000")&amp;"00 "&amp;IF(VLOOKUP(INDEX(女子エントリー!$J$7:$AF$406,MATCH(LEFT($B3,FIND("(",$B3)-1)&amp;RIGHT(N$1,1),女子エントリー!$AF$7:$AF$406,0),1),競技会設定!$T$2:$W$22,4,0)&gt;70,TEXT(INDEX(女子エントリー!$J$7:$AF$406,MATCH(LEFT($B3,FIND("(",$B3)-1)&amp;RIGHT(N$1,1),女子エントリー!$AF$7:$AF$406,0),3),"00000"),TEXT(INDEX(女子エントリー!$J$7:$AF$406,MATCH(LEFT($B3,FIND("(",$B3)-1)&amp;RIGHT(N$1,1),女子エントリー!$AF$7:$AF$406,0),3),"0000000")),"")</f>
        <v/>
      </c>
      <c r="O3" s="1" t="str">
        <f>_xlfn.IFNA(TEXT(VLOOKUP(INDEX(女子エントリー!$J$7:$AF$406,MATCH(LEFT($B3,FIND("(",$B3)-1)&amp;RIGHT(O$1,1),女子エントリー!$AF$7:$AF$406,0),1),競技会設定!$T$2:$W$22,4,0),"000")&amp;"00 "&amp;IF(VLOOKUP(INDEX(女子エントリー!$J$7:$AF$406,MATCH(LEFT($B3,FIND("(",$B3)-1)&amp;RIGHT(O$1,1),女子エントリー!$AF$7:$AF$406,0),1),競技会設定!$T$2:$W$22,4,0)&gt;70,TEXT(INDEX(女子エントリー!$J$7:$AF$406,MATCH(LEFT($B3,FIND("(",$B3)-1)&amp;RIGHT(O$1,1),女子エントリー!$AF$7:$AF$406,0),3),"00000"),TEXT(INDEX(女子エントリー!$J$7:$AF$406,MATCH(LEFT($B3,FIND("(",$B3)-1)&amp;RIGHT(O$1,1),女子エントリー!$AF$7:$AF$406,0),3),"0000000")),"")</f>
        <v/>
      </c>
    </row>
    <row r="4" spans="1:19">
      <c r="A4" s="92" t="str">
        <f>女子エントリー!D15</f>
        <v/>
      </c>
      <c r="B4" s="1" t="str">
        <f>女子エントリー!E15&amp;"("&amp;女子エントリー!G15&amp;")"</f>
        <v>()</v>
      </c>
      <c r="C4" s="92" t="str">
        <f>女子エントリー!F15</f>
        <v/>
      </c>
      <c r="D4" s="92" t="str">
        <f>女子エントリー!E17</f>
        <v/>
      </c>
      <c r="E4" s="92" t="str">
        <f>女子エントリー!G17</f>
        <v/>
      </c>
      <c r="F4" s="1" t="str">
        <f t="shared" si="0"/>
        <v/>
      </c>
      <c r="G4" s="92" t="str">
        <f>_xlfn.IFNA(VLOOKUP(女子エントリー!G16,競技会設定!$D$3:$E$49,2,0),"")</f>
        <v/>
      </c>
      <c r="H4" s="92" t="str">
        <f>_xlfn.IFNA(INDEX(競技会設定!$J$3:$O$47,MATCH(女子エントリー!H15,競技会設定!$N$3:$N$47,0),2),"")</f>
        <v/>
      </c>
      <c r="K4" s="92">
        <f>女子エントリー!C15</f>
        <v>0</v>
      </c>
      <c r="L4" s="1" t="str">
        <f>_xlfn.IFNA(TEXT(VLOOKUP(INDEX(女子エントリー!$J$7:$AF$406,MATCH(LEFT($B4,FIND("(",$B4)-1)&amp;RIGHT(L$1,1),女子エントリー!$AF$7:$AF$406,0),1),競技会設定!$T$2:$W$22,4,0),"000")&amp;"00 "&amp;IF(VLOOKUP(INDEX(女子エントリー!$J$7:$AF$406,MATCH(LEFT($B4,FIND("(",$B4)-1)&amp;RIGHT(L$1,1),女子エントリー!$AF$7:$AF$406,0),1),競技会設定!$T$2:$W$22,4,0)&gt;70,TEXT(INDEX(女子エントリー!$J$7:$AF$406,MATCH(LEFT($B4,FIND("(",$B4)-1)&amp;RIGHT(L$1,1),女子エントリー!$AF$7:$AF$406,0),3),"00000"),TEXT(INDEX(女子エントリー!$J$7:$AF$406,MATCH(LEFT($B4,FIND("(",$B4)-1)&amp;RIGHT(L$1,1),女子エントリー!$AF$7:$AF$406,0),3),"0000000")),"")</f>
        <v/>
      </c>
      <c r="M4" s="1" t="str">
        <f>_xlfn.IFNA(TEXT(VLOOKUP(INDEX(女子エントリー!$J$7:$AF$406,MATCH(LEFT($B4,FIND("(",$B4)-1)&amp;RIGHT(M$1,1),女子エントリー!$AF$7:$AF$406,0),1),競技会設定!$T$2:$W$22,4,0),"000")&amp;"00 "&amp;IF(VLOOKUP(INDEX(女子エントリー!$J$7:$AF$406,MATCH(LEFT($B4,FIND("(",$B4)-1)&amp;RIGHT(M$1,1),女子エントリー!$AF$7:$AF$406,0),1),競技会設定!$T$2:$W$22,4,0)&gt;70,TEXT(INDEX(女子エントリー!$J$7:$AF$406,MATCH(LEFT($B4,FIND("(",$B4)-1)&amp;RIGHT(M$1,1),女子エントリー!$AF$7:$AF$406,0),3),"00000"),TEXT(INDEX(女子エントリー!$J$7:$AF$406,MATCH(LEFT($B4,FIND("(",$B4)-1)&amp;RIGHT(M$1,1),女子エントリー!$AF$7:$AF$406,0),3),"0000000")),"")</f>
        <v/>
      </c>
      <c r="N4" s="1" t="str">
        <f>_xlfn.IFNA(TEXT(VLOOKUP(INDEX(女子エントリー!$J$7:$AF$406,MATCH(LEFT($B4,FIND("(",$B4)-1)&amp;RIGHT(N$1,1),女子エントリー!$AF$7:$AF$406,0),1),競技会設定!$T$2:$W$22,4,0),"000")&amp;"00 "&amp;IF(VLOOKUP(INDEX(女子エントリー!$J$7:$AF$406,MATCH(LEFT($B4,FIND("(",$B4)-1)&amp;RIGHT(N$1,1),女子エントリー!$AF$7:$AF$406,0),1),競技会設定!$T$2:$W$22,4,0)&gt;70,TEXT(INDEX(女子エントリー!$J$7:$AF$406,MATCH(LEFT($B4,FIND("(",$B4)-1)&amp;RIGHT(N$1,1),女子エントリー!$AF$7:$AF$406,0),3),"00000"),TEXT(INDEX(女子エントリー!$J$7:$AF$406,MATCH(LEFT($B4,FIND("(",$B4)-1)&amp;RIGHT(N$1,1),女子エントリー!$AF$7:$AF$406,0),3),"0000000")),"")</f>
        <v/>
      </c>
      <c r="O4" s="1" t="str">
        <f>_xlfn.IFNA(TEXT(VLOOKUP(INDEX(女子エントリー!$J$7:$AF$406,MATCH(LEFT($B4,FIND("(",$B4)-1)&amp;RIGHT(O$1,1),女子エントリー!$AF$7:$AF$406,0),1),競技会設定!$T$2:$W$22,4,0),"000")&amp;"00 "&amp;IF(VLOOKUP(INDEX(女子エントリー!$J$7:$AF$406,MATCH(LEFT($B4,FIND("(",$B4)-1)&amp;RIGHT(O$1,1),女子エントリー!$AF$7:$AF$406,0),1),競技会設定!$T$2:$W$22,4,0)&gt;70,TEXT(INDEX(女子エントリー!$J$7:$AF$406,MATCH(LEFT($B4,FIND("(",$B4)-1)&amp;RIGHT(O$1,1),女子エントリー!$AF$7:$AF$406,0),3),"00000"),TEXT(INDEX(女子エントリー!$J$7:$AF$406,MATCH(LEFT($B4,FIND("(",$B4)-1)&amp;RIGHT(O$1,1),女子エントリー!$AF$7:$AF$406,0),3),"0000000")),"")</f>
        <v/>
      </c>
    </row>
    <row r="5" spans="1:19">
      <c r="A5" s="92" t="str">
        <f>女子エントリー!D19</f>
        <v/>
      </c>
      <c r="B5" s="1" t="str">
        <f>女子エントリー!E19&amp;"("&amp;女子エントリー!G19&amp;")"</f>
        <v>()</v>
      </c>
      <c r="C5" s="92" t="str">
        <f>女子エントリー!F19</f>
        <v/>
      </c>
      <c r="D5" s="92" t="str">
        <f>女子エントリー!E21</f>
        <v/>
      </c>
      <c r="E5" s="92" t="str">
        <f>女子エントリー!G21</f>
        <v/>
      </c>
      <c r="F5" s="1" t="str">
        <f t="shared" si="0"/>
        <v/>
      </c>
      <c r="G5" s="92" t="str">
        <f>_xlfn.IFNA(VLOOKUP(女子エントリー!G20,競技会設定!$D$3:$E$49,2,0),"")</f>
        <v/>
      </c>
      <c r="H5" s="92" t="str">
        <f>_xlfn.IFNA(INDEX(競技会設定!$J$3:$O$47,MATCH(女子エントリー!H19,競技会設定!$N$3:$N$47,0),2),"")</f>
        <v/>
      </c>
      <c r="K5" s="92">
        <f>女子エントリー!C19</f>
        <v>0</v>
      </c>
      <c r="L5" s="1" t="str">
        <f>_xlfn.IFNA(TEXT(VLOOKUP(INDEX(女子エントリー!$J$7:$AF$406,MATCH(LEFT($B5,FIND("(",$B5)-1)&amp;RIGHT(L$1,1),女子エントリー!$AF$7:$AF$406,0),1),競技会設定!$T$2:$W$22,4,0),"000")&amp;"00 "&amp;IF(VLOOKUP(INDEX(女子エントリー!$J$7:$AF$406,MATCH(LEFT($B5,FIND("(",$B5)-1)&amp;RIGHT(L$1,1),女子エントリー!$AF$7:$AF$406,0),1),競技会設定!$T$2:$W$22,4,0)&gt;70,TEXT(INDEX(女子エントリー!$J$7:$AF$406,MATCH(LEFT($B5,FIND("(",$B5)-1)&amp;RIGHT(L$1,1),女子エントリー!$AF$7:$AF$406,0),3),"00000"),TEXT(INDEX(女子エントリー!$J$7:$AF$406,MATCH(LEFT($B5,FIND("(",$B5)-1)&amp;RIGHT(L$1,1),女子エントリー!$AF$7:$AF$406,0),3),"0000000")),"")</f>
        <v/>
      </c>
      <c r="M5" s="1" t="str">
        <f>_xlfn.IFNA(TEXT(VLOOKUP(INDEX(女子エントリー!$J$7:$AF$406,MATCH(LEFT($B5,FIND("(",$B5)-1)&amp;RIGHT(M$1,1),女子エントリー!$AF$7:$AF$406,0),1),競技会設定!$T$2:$W$22,4,0),"000")&amp;"00 "&amp;IF(VLOOKUP(INDEX(女子エントリー!$J$7:$AF$406,MATCH(LEFT($B5,FIND("(",$B5)-1)&amp;RIGHT(M$1,1),女子エントリー!$AF$7:$AF$406,0),1),競技会設定!$T$2:$W$22,4,0)&gt;70,TEXT(INDEX(女子エントリー!$J$7:$AF$406,MATCH(LEFT($B5,FIND("(",$B5)-1)&amp;RIGHT(M$1,1),女子エントリー!$AF$7:$AF$406,0),3),"00000"),TEXT(INDEX(女子エントリー!$J$7:$AF$406,MATCH(LEFT($B5,FIND("(",$B5)-1)&amp;RIGHT(M$1,1),女子エントリー!$AF$7:$AF$406,0),3),"0000000")),"")</f>
        <v/>
      </c>
      <c r="N5" s="1" t="str">
        <f>_xlfn.IFNA(TEXT(VLOOKUP(INDEX(女子エントリー!$J$7:$AF$406,MATCH(LEFT($B5,FIND("(",$B5)-1)&amp;RIGHT(N$1,1),女子エントリー!$AF$7:$AF$406,0),1),競技会設定!$T$2:$W$22,4,0),"000")&amp;"00 "&amp;IF(VLOOKUP(INDEX(女子エントリー!$J$7:$AF$406,MATCH(LEFT($B5,FIND("(",$B5)-1)&amp;RIGHT(N$1,1),女子エントリー!$AF$7:$AF$406,0),1),競技会設定!$T$2:$W$22,4,0)&gt;70,TEXT(INDEX(女子エントリー!$J$7:$AF$406,MATCH(LEFT($B5,FIND("(",$B5)-1)&amp;RIGHT(N$1,1),女子エントリー!$AF$7:$AF$406,0),3),"00000"),TEXT(INDEX(女子エントリー!$J$7:$AF$406,MATCH(LEFT($B5,FIND("(",$B5)-1)&amp;RIGHT(N$1,1),女子エントリー!$AF$7:$AF$406,0),3),"0000000")),"")</f>
        <v/>
      </c>
      <c r="O5" s="1" t="str">
        <f>_xlfn.IFNA(TEXT(VLOOKUP(INDEX(女子エントリー!$J$7:$AF$406,MATCH(LEFT($B5,FIND("(",$B5)-1)&amp;RIGHT(O$1,1),女子エントリー!$AF$7:$AF$406,0),1),競技会設定!$T$2:$W$22,4,0),"000")&amp;"00 "&amp;IF(VLOOKUP(INDEX(女子エントリー!$J$7:$AF$406,MATCH(LEFT($B5,FIND("(",$B5)-1)&amp;RIGHT(O$1,1),女子エントリー!$AF$7:$AF$406,0),1),競技会設定!$T$2:$W$22,4,0)&gt;70,TEXT(INDEX(女子エントリー!$J$7:$AF$406,MATCH(LEFT($B5,FIND("(",$B5)-1)&amp;RIGHT(O$1,1),女子エントリー!$AF$7:$AF$406,0),3),"00000"),TEXT(INDEX(女子エントリー!$J$7:$AF$406,MATCH(LEFT($B5,FIND("(",$B5)-1)&amp;RIGHT(O$1,1),女子エントリー!$AF$7:$AF$406,0),3),"0000000")),"")</f>
        <v/>
      </c>
    </row>
    <row r="6" spans="1:19">
      <c r="A6" s="92" t="str">
        <f>女子エントリー!D23</f>
        <v/>
      </c>
      <c r="B6" s="1" t="str">
        <f>女子エントリー!E23&amp;"("&amp;女子エントリー!G23&amp;")"</f>
        <v>()</v>
      </c>
      <c r="C6" s="92" t="str">
        <f>女子エントリー!F23</f>
        <v/>
      </c>
      <c r="D6" s="92" t="str">
        <f>女子エントリー!E25</f>
        <v/>
      </c>
      <c r="E6" s="92" t="str">
        <f>女子エントリー!G25</f>
        <v/>
      </c>
      <c r="F6" s="1" t="str">
        <f t="shared" si="0"/>
        <v/>
      </c>
      <c r="G6" s="92" t="str">
        <f>_xlfn.IFNA(VLOOKUP(女子エントリー!G24,競技会設定!$D$3:$E$49,2,0),"")</f>
        <v/>
      </c>
      <c r="H6" s="92" t="str">
        <f>_xlfn.IFNA(INDEX(競技会設定!$J$3:$O$47,MATCH(女子エントリー!H23,競技会設定!$N$3:$N$47,0),2),"")</f>
        <v/>
      </c>
      <c r="K6" s="92">
        <f>女子エントリー!C23</f>
        <v>0</v>
      </c>
      <c r="L6" s="1" t="str">
        <f>_xlfn.IFNA(TEXT(VLOOKUP(INDEX(女子エントリー!$J$7:$AF$406,MATCH(LEFT($B6,FIND("(",$B6)-1)&amp;RIGHT(L$1,1),女子エントリー!$AF$7:$AF$406,0),1),競技会設定!$T$2:$W$22,4,0),"000")&amp;"00 "&amp;IF(VLOOKUP(INDEX(女子エントリー!$J$7:$AF$406,MATCH(LEFT($B6,FIND("(",$B6)-1)&amp;RIGHT(L$1,1),女子エントリー!$AF$7:$AF$406,0),1),競技会設定!$T$2:$W$22,4,0)&gt;70,TEXT(INDEX(女子エントリー!$J$7:$AF$406,MATCH(LEFT($B6,FIND("(",$B6)-1)&amp;RIGHT(L$1,1),女子エントリー!$AF$7:$AF$406,0),3),"00000"),TEXT(INDEX(女子エントリー!$J$7:$AF$406,MATCH(LEFT($B6,FIND("(",$B6)-1)&amp;RIGHT(L$1,1),女子エントリー!$AF$7:$AF$406,0),3),"0000000")),"")</f>
        <v/>
      </c>
      <c r="M6" s="1" t="str">
        <f>_xlfn.IFNA(TEXT(VLOOKUP(INDEX(女子エントリー!$J$7:$AF$406,MATCH(LEFT($B6,FIND("(",$B6)-1)&amp;RIGHT(M$1,1),女子エントリー!$AF$7:$AF$406,0),1),競技会設定!$T$2:$W$22,4,0),"000")&amp;"00 "&amp;IF(VLOOKUP(INDEX(女子エントリー!$J$7:$AF$406,MATCH(LEFT($B6,FIND("(",$B6)-1)&amp;RIGHT(M$1,1),女子エントリー!$AF$7:$AF$406,0),1),競技会設定!$T$2:$W$22,4,0)&gt;70,TEXT(INDEX(女子エントリー!$J$7:$AF$406,MATCH(LEFT($B6,FIND("(",$B6)-1)&amp;RIGHT(M$1,1),女子エントリー!$AF$7:$AF$406,0),3),"00000"),TEXT(INDEX(女子エントリー!$J$7:$AF$406,MATCH(LEFT($B6,FIND("(",$B6)-1)&amp;RIGHT(M$1,1),女子エントリー!$AF$7:$AF$406,0),3),"0000000")),"")</f>
        <v/>
      </c>
      <c r="N6" s="1" t="str">
        <f>_xlfn.IFNA(TEXT(VLOOKUP(INDEX(女子エントリー!$J$7:$AF$406,MATCH(LEFT($B6,FIND("(",$B6)-1)&amp;RIGHT(N$1,1),女子エントリー!$AF$7:$AF$406,0),1),競技会設定!$T$2:$W$22,4,0),"000")&amp;"00 "&amp;IF(VLOOKUP(INDEX(女子エントリー!$J$7:$AF$406,MATCH(LEFT($B6,FIND("(",$B6)-1)&amp;RIGHT(N$1,1),女子エントリー!$AF$7:$AF$406,0),1),競技会設定!$T$2:$W$22,4,0)&gt;70,TEXT(INDEX(女子エントリー!$J$7:$AF$406,MATCH(LEFT($B6,FIND("(",$B6)-1)&amp;RIGHT(N$1,1),女子エントリー!$AF$7:$AF$406,0),3),"00000"),TEXT(INDEX(女子エントリー!$J$7:$AF$406,MATCH(LEFT($B6,FIND("(",$B6)-1)&amp;RIGHT(N$1,1),女子エントリー!$AF$7:$AF$406,0),3),"0000000")),"")</f>
        <v/>
      </c>
      <c r="O6" s="1" t="str">
        <f>_xlfn.IFNA(TEXT(VLOOKUP(INDEX(女子エントリー!$J$7:$AF$406,MATCH(LEFT($B6,FIND("(",$B6)-1)&amp;RIGHT(O$1,1),女子エントリー!$AF$7:$AF$406,0),1),競技会設定!$T$2:$W$22,4,0),"000")&amp;"00 "&amp;IF(VLOOKUP(INDEX(女子エントリー!$J$7:$AF$406,MATCH(LEFT($B6,FIND("(",$B6)-1)&amp;RIGHT(O$1,1),女子エントリー!$AF$7:$AF$406,0),1),競技会設定!$T$2:$W$22,4,0)&gt;70,TEXT(INDEX(女子エントリー!$J$7:$AF$406,MATCH(LEFT($B6,FIND("(",$B6)-1)&amp;RIGHT(O$1,1),女子エントリー!$AF$7:$AF$406,0),3),"00000"),TEXT(INDEX(女子エントリー!$J$7:$AF$406,MATCH(LEFT($B6,FIND("(",$B6)-1)&amp;RIGHT(O$1,1),女子エントリー!$AF$7:$AF$406,0),3),"0000000")),"")</f>
        <v/>
      </c>
    </row>
    <row r="7" spans="1:19">
      <c r="A7" s="92" t="str">
        <f>女子エントリー!D27</f>
        <v/>
      </c>
      <c r="B7" s="1" t="str">
        <f>女子エントリー!E27&amp;"("&amp;女子エントリー!G27&amp;")"</f>
        <v>()</v>
      </c>
      <c r="C7" s="92" t="str">
        <f>女子エントリー!F27</f>
        <v/>
      </c>
      <c r="D7" s="92" t="str">
        <f>女子エントリー!E29</f>
        <v/>
      </c>
      <c r="E7" s="92" t="str">
        <f>女子エントリー!G29</f>
        <v/>
      </c>
      <c r="F7" s="1" t="str">
        <f t="shared" si="0"/>
        <v/>
      </c>
      <c r="G7" s="92" t="str">
        <f>_xlfn.IFNA(VLOOKUP(女子エントリー!G28,競技会設定!$D$3:$E$49,2,0),"")</f>
        <v/>
      </c>
      <c r="H7" s="92" t="str">
        <f>_xlfn.IFNA(INDEX(競技会設定!$J$3:$O$47,MATCH(女子エントリー!H27,競技会設定!$N$3:$N$47,0),2),"")</f>
        <v/>
      </c>
      <c r="K7" s="92">
        <f>女子エントリー!C27</f>
        <v>0</v>
      </c>
      <c r="L7" s="1" t="str">
        <f>_xlfn.IFNA(TEXT(VLOOKUP(INDEX(女子エントリー!$J$7:$AF$406,MATCH(LEFT($B7,FIND("(",$B7)-1)&amp;RIGHT(L$1,1),女子エントリー!$AF$7:$AF$406,0),1),競技会設定!$T$2:$W$22,4,0),"000")&amp;"00 "&amp;IF(VLOOKUP(INDEX(女子エントリー!$J$7:$AF$406,MATCH(LEFT($B7,FIND("(",$B7)-1)&amp;RIGHT(L$1,1),女子エントリー!$AF$7:$AF$406,0),1),競技会設定!$T$2:$W$22,4,0)&gt;70,TEXT(INDEX(女子エントリー!$J$7:$AF$406,MATCH(LEFT($B7,FIND("(",$B7)-1)&amp;RIGHT(L$1,1),女子エントリー!$AF$7:$AF$406,0),3),"00000"),TEXT(INDEX(女子エントリー!$J$7:$AF$406,MATCH(LEFT($B7,FIND("(",$B7)-1)&amp;RIGHT(L$1,1),女子エントリー!$AF$7:$AF$406,0),3),"0000000")),"")</f>
        <v/>
      </c>
      <c r="M7" s="1" t="str">
        <f>_xlfn.IFNA(TEXT(VLOOKUP(INDEX(女子エントリー!$J$7:$AF$406,MATCH(LEFT($B7,FIND("(",$B7)-1)&amp;RIGHT(M$1,1),女子エントリー!$AF$7:$AF$406,0),1),競技会設定!$T$2:$W$22,4,0),"000")&amp;"00 "&amp;IF(VLOOKUP(INDEX(女子エントリー!$J$7:$AF$406,MATCH(LEFT($B7,FIND("(",$B7)-1)&amp;RIGHT(M$1,1),女子エントリー!$AF$7:$AF$406,0),1),競技会設定!$T$2:$W$22,4,0)&gt;70,TEXT(INDEX(女子エントリー!$J$7:$AF$406,MATCH(LEFT($B7,FIND("(",$B7)-1)&amp;RIGHT(M$1,1),女子エントリー!$AF$7:$AF$406,0),3),"00000"),TEXT(INDEX(女子エントリー!$J$7:$AF$406,MATCH(LEFT($B7,FIND("(",$B7)-1)&amp;RIGHT(M$1,1),女子エントリー!$AF$7:$AF$406,0),3),"0000000")),"")</f>
        <v/>
      </c>
      <c r="N7" s="1" t="str">
        <f>_xlfn.IFNA(TEXT(VLOOKUP(INDEX(女子エントリー!$J$7:$AF$406,MATCH(LEFT($B7,FIND("(",$B7)-1)&amp;RIGHT(N$1,1),女子エントリー!$AF$7:$AF$406,0),1),競技会設定!$T$2:$W$22,4,0),"000")&amp;"00 "&amp;IF(VLOOKUP(INDEX(女子エントリー!$J$7:$AF$406,MATCH(LEFT($B7,FIND("(",$B7)-1)&amp;RIGHT(N$1,1),女子エントリー!$AF$7:$AF$406,0),1),競技会設定!$T$2:$W$22,4,0)&gt;70,TEXT(INDEX(女子エントリー!$J$7:$AF$406,MATCH(LEFT($B7,FIND("(",$B7)-1)&amp;RIGHT(N$1,1),女子エントリー!$AF$7:$AF$406,0),3),"00000"),TEXT(INDEX(女子エントリー!$J$7:$AF$406,MATCH(LEFT($B7,FIND("(",$B7)-1)&amp;RIGHT(N$1,1),女子エントリー!$AF$7:$AF$406,0),3),"0000000")),"")</f>
        <v/>
      </c>
      <c r="O7" s="1" t="str">
        <f>_xlfn.IFNA(TEXT(VLOOKUP(INDEX(女子エントリー!$J$7:$AF$406,MATCH(LEFT($B7,FIND("(",$B7)-1)&amp;RIGHT(O$1,1),女子エントリー!$AF$7:$AF$406,0),1),競技会設定!$T$2:$W$22,4,0),"000")&amp;"00 "&amp;IF(VLOOKUP(INDEX(女子エントリー!$J$7:$AF$406,MATCH(LEFT($B7,FIND("(",$B7)-1)&amp;RIGHT(O$1,1),女子エントリー!$AF$7:$AF$406,0),1),競技会設定!$T$2:$W$22,4,0)&gt;70,TEXT(INDEX(女子エントリー!$J$7:$AF$406,MATCH(LEFT($B7,FIND("(",$B7)-1)&amp;RIGHT(O$1,1),女子エントリー!$AF$7:$AF$406,0),3),"00000"),TEXT(INDEX(女子エントリー!$J$7:$AF$406,MATCH(LEFT($B7,FIND("(",$B7)-1)&amp;RIGHT(O$1,1),女子エントリー!$AF$7:$AF$406,0),3),"0000000")),"")</f>
        <v/>
      </c>
    </row>
    <row r="8" spans="1:19">
      <c r="A8" s="92" t="str">
        <f>女子エントリー!D31</f>
        <v/>
      </c>
      <c r="B8" s="1" t="str">
        <f>女子エントリー!E31&amp;"("&amp;女子エントリー!G31&amp;")"</f>
        <v>()</v>
      </c>
      <c r="C8" s="92" t="str">
        <f>女子エントリー!F31</f>
        <v/>
      </c>
      <c r="D8" s="92" t="str">
        <f>女子エントリー!E33</f>
        <v/>
      </c>
      <c r="E8" s="92" t="str">
        <f>女子エントリー!G33</f>
        <v/>
      </c>
      <c r="F8" s="1" t="str">
        <f t="shared" si="0"/>
        <v/>
      </c>
      <c r="G8" s="92" t="str">
        <f>_xlfn.IFNA(VLOOKUP(女子エントリー!G32,競技会設定!$D$3:$E$49,2,0),"")</f>
        <v/>
      </c>
      <c r="H8" s="92" t="str">
        <f>_xlfn.IFNA(INDEX(競技会設定!$J$3:$O$47,MATCH(女子エントリー!H31,競技会設定!$N$3:$N$47,0),2),"")</f>
        <v/>
      </c>
      <c r="K8" s="92">
        <f>女子エントリー!C31</f>
        <v>0</v>
      </c>
      <c r="L8" s="1" t="str">
        <f>_xlfn.IFNA(TEXT(VLOOKUP(INDEX(女子エントリー!$J$7:$AF$406,MATCH(LEFT($B8,FIND("(",$B8)-1)&amp;RIGHT(L$1,1),女子エントリー!$AF$7:$AF$406,0),1),競技会設定!$T$2:$W$22,4,0),"000")&amp;"00 "&amp;IF(VLOOKUP(INDEX(女子エントリー!$J$7:$AF$406,MATCH(LEFT($B8,FIND("(",$B8)-1)&amp;RIGHT(L$1,1),女子エントリー!$AF$7:$AF$406,0),1),競技会設定!$T$2:$W$22,4,0)&gt;70,TEXT(INDEX(女子エントリー!$J$7:$AF$406,MATCH(LEFT($B8,FIND("(",$B8)-1)&amp;RIGHT(L$1,1),女子エントリー!$AF$7:$AF$406,0),3),"00000"),TEXT(INDEX(女子エントリー!$J$7:$AF$406,MATCH(LEFT($B8,FIND("(",$B8)-1)&amp;RIGHT(L$1,1),女子エントリー!$AF$7:$AF$406,0),3),"0000000")),"")</f>
        <v/>
      </c>
      <c r="M8" s="1" t="str">
        <f>_xlfn.IFNA(TEXT(VLOOKUP(INDEX(女子エントリー!$J$7:$AF$406,MATCH(LEFT($B8,FIND("(",$B8)-1)&amp;RIGHT(M$1,1),女子エントリー!$AF$7:$AF$406,0),1),競技会設定!$T$2:$W$22,4,0),"000")&amp;"00 "&amp;IF(VLOOKUP(INDEX(女子エントリー!$J$7:$AF$406,MATCH(LEFT($B8,FIND("(",$B8)-1)&amp;RIGHT(M$1,1),女子エントリー!$AF$7:$AF$406,0),1),競技会設定!$T$2:$W$22,4,0)&gt;70,TEXT(INDEX(女子エントリー!$J$7:$AF$406,MATCH(LEFT($B8,FIND("(",$B8)-1)&amp;RIGHT(M$1,1),女子エントリー!$AF$7:$AF$406,0),3),"00000"),TEXT(INDEX(女子エントリー!$J$7:$AF$406,MATCH(LEFT($B8,FIND("(",$B8)-1)&amp;RIGHT(M$1,1),女子エントリー!$AF$7:$AF$406,0),3),"0000000")),"")</f>
        <v/>
      </c>
      <c r="N8" s="1" t="str">
        <f>_xlfn.IFNA(TEXT(VLOOKUP(INDEX(女子エントリー!$J$7:$AF$406,MATCH(LEFT($B8,FIND("(",$B8)-1)&amp;RIGHT(N$1,1),女子エントリー!$AF$7:$AF$406,0),1),競技会設定!$T$2:$W$22,4,0),"000")&amp;"00 "&amp;IF(VLOOKUP(INDEX(女子エントリー!$J$7:$AF$406,MATCH(LEFT($B8,FIND("(",$B8)-1)&amp;RIGHT(N$1,1),女子エントリー!$AF$7:$AF$406,0),1),競技会設定!$T$2:$W$22,4,0)&gt;70,TEXT(INDEX(女子エントリー!$J$7:$AF$406,MATCH(LEFT($B8,FIND("(",$B8)-1)&amp;RIGHT(N$1,1),女子エントリー!$AF$7:$AF$406,0),3),"00000"),TEXT(INDEX(女子エントリー!$J$7:$AF$406,MATCH(LEFT($B8,FIND("(",$B8)-1)&amp;RIGHT(N$1,1),女子エントリー!$AF$7:$AF$406,0),3),"0000000")),"")</f>
        <v/>
      </c>
      <c r="O8" s="1" t="str">
        <f>_xlfn.IFNA(TEXT(VLOOKUP(INDEX(女子エントリー!$J$7:$AF$406,MATCH(LEFT($B8,FIND("(",$B8)-1)&amp;RIGHT(O$1,1),女子エントリー!$AF$7:$AF$406,0),1),競技会設定!$T$2:$W$22,4,0),"000")&amp;"00 "&amp;IF(VLOOKUP(INDEX(女子エントリー!$J$7:$AF$406,MATCH(LEFT($B8,FIND("(",$B8)-1)&amp;RIGHT(O$1,1),女子エントリー!$AF$7:$AF$406,0),1),競技会設定!$T$2:$W$22,4,0)&gt;70,TEXT(INDEX(女子エントリー!$J$7:$AF$406,MATCH(LEFT($B8,FIND("(",$B8)-1)&amp;RIGHT(O$1,1),女子エントリー!$AF$7:$AF$406,0),3),"00000"),TEXT(INDEX(女子エントリー!$J$7:$AF$406,MATCH(LEFT($B8,FIND("(",$B8)-1)&amp;RIGHT(O$1,1),女子エントリー!$AF$7:$AF$406,0),3),"0000000")),"")</f>
        <v/>
      </c>
    </row>
    <row r="9" spans="1:19">
      <c r="A9" s="92" t="str">
        <f>女子エントリー!D35</f>
        <v/>
      </c>
      <c r="B9" s="1" t="str">
        <f>女子エントリー!E35&amp;"("&amp;女子エントリー!G35&amp;")"</f>
        <v>()</v>
      </c>
      <c r="C9" s="92" t="str">
        <f>女子エントリー!F35</f>
        <v/>
      </c>
      <c r="D9" s="92" t="str">
        <f>女子エントリー!E37</f>
        <v/>
      </c>
      <c r="E9" s="92" t="str">
        <f>女子エントリー!G37</f>
        <v/>
      </c>
      <c r="F9" s="1" t="str">
        <f t="shared" si="0"/>
        <v/>
      </c>
      <c r="G9" s="92" t="str">
        <f>_xlfn.IFNA(VLOOKUP(女子エントリー!G36,競技会設定!$D$3:$E$49,2,0),"")</f>
        <v/>
      </c>
      <c r="H9" s="92" t="str">
        <f>_xlfn.IFNA(INDEX(競技会設定!$J$3:$O$47,MATCH(女子エントリー!H35,競技会設定!$N$3:$N$47,0),2),"")</f>
        <v/>
      </c>
      <c r="K9" s="92">
        <f>女子エントリー!C35</f>
        <v>0</v>
      </c>
      <c r="L9" s="1" t="str">
        <f>_xlfn.IFNA(TEXT(VLOOKUP(INDEX(女子エントリー!$J$7:$AF$406,MATCH(LEFT($B9,FIND("(",$B9)-1)&amp;RIGHT(L$1,1),女子エントリー!$AF$7:$AF$406,0),1),競技会設定!$T$2:$W$22,4,0),"000")&amp;"00 "&amp;IF(VLOOKUP(INDEX(女子エントリー!$J$7:$AF$406,MATCH(LEFT($B9,FIND("(",$B9)-1)&amp;RIGHT(L$1,1),女子エントリー!$AF$7:$AF$406,0),1),競技会設定!$T$2:$W$22,4,0)&gt;70,TEXT(INDEX(女子エントリー!$J$7:$AF$406,MATCH(LEFT($B9,FIND("(",$B9)-1)&amp;RIGHT(L$1,1),女子エントリー!$AF$7:$AF$406,0),3),"00000"),TEXT(INDEX(女子エントリー!$J$7:$AF$406,MATCH(LEFT($B9,FIND("(",$B9)-1)&amp;RIGHT(L$1,1),女子エントリー!$AF$7:$AF$406,0),3),"0000000")),"")</f>
        <v/>
      </c>
      <c r="M9" s="1" t="str">
        <f>_xlfn.IFNA(TEXT(VLOOKUP(INDEX(女子エントリー!$J$7:$AF$406,MATCH(LEFT($B9,FIND("(",$B9)-1)&amp;RIGHT(M$1,1),女子エントリー!$AF$7:$AF$406,0),1),競技会設定!$T$2:$W$22,4,0),"000")&amp;"00 "&amp;IF(VLOOKUP(INDEX(女子エントリー!$J$7:$AF$406,MATCH(LEFT($B9,FIND("(",$B9)-1)&amp;RIGHT(M$1,1),女子エントリー!$AF$7:$AF$406,0),1),競技会設定!$T$2:$W$22,4,0)&gt;70,TEXT(INDEX(女子エントリー!$J$7:$AF$406,MATCH(LEFT($B9,FIND("(",$B9)-1)&amp;RIGHT(M$1,1),女子エントリー!$AF$7:$AF$406,0),3),"00000"),TEXT(INDEX(女子エントリー!$J$7:$AF$406,MATCH(LEFT($B9,FIND("(",$B9)-1)&amp;RIGHT(M$1,1),女子エントリー!$AF$7:$AF$406,0),3),"0000000")),"")</f>
        <v/>
      </c>
      <c r="N9" s="1" t="str">
        <f>_xlfn.IFNA(TEXT(VLOOKUP(INDEX(女子エントリー!$J$7:$AF$406,MATCH(LEFT($B9,FIND("(",$B9)-1)&amp;RIGHT(N$1,1),女子エントリー!$AF$7:$AF$406,0),1),競技会設定!$T$2:$W$22,4,0),"000")&amp;"00 "&amp;IF(VLOOKUP(INDEX(女子エントリー!$J$7:$AF$406,MATCH(LEFT($B9,FIND("(",$B9)-1)&amp;RIGHT(N$1,1),女子エントリー!$AF$7:$AF$406,0),1),競技会設定!$T$2:$W$22,4,0)&gt;70,TEXT(INDEX(女子エントリー!$J$7:$AF$406,MATCH(LEFT($B9,FIND("(",$B9)-1)&amp;RIGHT(N$1,1),女子エントリー!$AF$7:$AF$406,0),3),"00000"),TEXT(INDEX(女子エントリー!$J$7:$AF$406,MATCH(LEFT($B9,FIND("(",$B9)-1)&amp;RIGHT(N$1,1),女子エントリー!$AF$7:$AF$406,0),3),"0000000")),"")</f>
        <v/>
      </c>
      <c r="O9" s="1" t="str">
        <f>_xlfn.IFNA(TEXT(VLOOKUP(INDEX(女子エントリー!$J$7:$AF$406,MATCH(LEFT($B9,FIND("(",$B9)-1)&amp;RIGHT(O$1,1),女子エントリー!$AF$7:$AF$406,0),1),競技会設定!$T$2:$W$22,4,0),"000")&amp;"00 "&amp;IF(VLOOKUP(INDEX(女子エントリー!$J$7:$AF$406,MATCH(LEFT($B9,FIND("(",$B9)-1)&amp;RIGHT(O$1,1),女子エントリー!$AF$7:$AF$406,0),1),競技会設定!$T$2:$W$22,4,0)&gt;70,TEXT(INDEX(女子エントリー!$J$7:$AF$406,MATCH(LEFT($B9,FIND("(",$B9)-1)&amp;RIGHT(O$1,1),女子エントリー!$AF$7:$AF$406,0),3),"00000"),TEXT(INDEX(女子エントリー!$J$7:$AF$406,MATCH(LEFT($B9,FIND("(",$B9)-1)&amp;RIGHT(O$1,1),女子エントリー!$AF$7:$AF$406,0),3),"0000000")),"")</f>
        <v/>
      </c>
    </row>
    <row r="10" spans="1:19">
      <c r="A10" s="92" t="str">
        <f>女子エントリー!D39</f>
        <v/>
      </c>
      <c r="B10" s="1" t="str">
        <f>女子エントリー!E39&amp;"("&amp;女子エントリー!G39&amp;")"</f>
        <v>()</v>
      </c>
      <c r="C10" s="92" t="str">
        <f>女子エントリー!F39</f>
        <v/>
      </c>
      <c r="D10" s="92" t="str">
        <f>女子エントリー!E41</f>
        <v/>
      </c>
      <c r="E10" s="92" t="str">
        <f>女子エントリー!G41</f>
        <v/>
      </c>
      <c r="F10" s="1" t="str">
        <f t="shared" si="0"/>
        <v/>
      </c>
      <c r="G10" s="92" t="str">
        <f>_xlfn.IFNA(VLOOKUP(女子エントリー!G40,競技会設定!$D$3:$E$49,2,0),"")</f>
        <v/>
      </c>
      <c r="H10" s="92" t="str">
        <f>_xlfn.IFNA(INDEX(競技会設定!$J$3:$O$47,MATCH(女子エントリー!H39,競技会設定!$N$3:$N$47,0),2),"")</f>
        <v/>
      </c>
      <c r="K10" s="92">
        <f>女子エントリー!C39</f>
        <v>0</v>
      </c>
      <c r="L10" s="1" t="str">
        <f>_xlfn.IFNA(TEXT(VLOOKUP(INDEX(女子エントリー!$J$7:$AF$406,MATCH(LEFT($B10,FIND("(",$B10)-1)&amp;RIGHT(L$1,1),女子エントリー!$AF$7:$AF$406,0),1),競技会設定!$T$2:$W$22,4,0),"000")&amp;"00 "&amp;IF(VLOOKUP(INDEX(女子エントリー!$J$7:$AF$406,MATCH(LEFT($B10,FIND("(",$B10)-1)&amp;RIGHT(L$1,1),女子エントリー!$AF$7:$AF$406,0),1),競技会設定!$T$2:$W$22,4,0)&gt;70,TEXT(INDEX(女子エントリー!$J$7:$AF$406,MATCH(LEFT($B10,FIND("(",$B10)-1)&amp;RIGHT(L$1,1),女子エントリー!$AF$7:$AF$406,0),3),"00000"),TEXT(INDEX(女子エントリー!$J$7:$AF$406,MATCH(LEFT($B10,FIND("(",$B10)-1)&amp;RIGHT(L$1,1),女子エントリー!$AF$7:$AF$406,0),3),"0000000")),"")</f>
        <v/>
      </c>
      <c r="M10" s="1" t="str">
        <f>_xlfn.IFNA(TEXT(VLOOKUP(INDEX(女子エントリー!$J$7:$AF$406,MATCH(LEFT($B10,FIND("(",$B10)-1)&amp;RIGHT(M$1,1),女子エントリー!$AF$7:$AF$406,0),1),競技会設定!$T$2:$W$22,4,0),"000")&amp;"00 "&amp;IF(VLOOKUP(INDEX(女子エントリー!$J$7:$AF$406,MATCH(LEFT($B10,FIND("(",$B10)-1)&amp;RIGHT(M$1,1),女子エントリー!$AF$7:$AF$406,0),1),競技会設定!$T$2:$W$22,4,0)&gt;70,TEXT(INDEX(女子エントリー!$J$7:$AF$406,MATCH(LEFT($B10,FIND("(",$B10)-1)&amp;RIGHT(M$1,1),女子エントリー!$AF$7:$AF$406,0),3),"00000"),TEXT(INDEX(女子エントリー!$J$7:$AF$406,MATCH(LEFT($B10,FIND("(",$B10)-1)&amp;RIGHT(M$1,1),女子エントリー!$AF$7:$AF$406,0),3),"0000000")),"")</f>
        <v/>
      </c>
      <c r="N10" s="1" t="str">
        <f>_xlfn.IFNA(TEXT(VLOOKUP(INDEX(女子エントリー!$J$7:$AF$406,MATCH(LEFT($B10,FIND("(",$B10)-1)&amp;RIGHT(N$1,1),女子エントリー!$AF$7:$AF$406,0),1),競技会設定!$T$2:$W$22,4,0),"000")&amp;"00 "&amp;IF(VLOOKUP(INDEX(女子エントリー!$J$7:$AF$406,MATCH(LEFT($B10,FIND("(",$B10)-1)&amp;RIGHT(N$1,1),女子エントリー!$AF$7:$AF$406,0),1),競技会設定!$T$2:$W$22,4,0)&gt;70,TEXT(INDEX(女子エントリー!$J$7:$AF$406,MATCH(LEFT($B10,FIND("(",$B10)-1)&amp;RIGHT(N$1,1),女子エントリー!$AF$7:$AF$406,0),3),"00000"),TEXT(INDEX(女子エントリー!$J$7:$AF$406,MATCH(LEFT($B10,FIND("(",$B10)-1)&amp;RIGHT(N$1,1),女子エントリー!$AF$7:$AF$406,0),3),"0000000")),"")</f>
        <v/>
      </c>
      <c r="O10" s="1" t="str">
        <f>_xlfn.IFNA(TEXT(VLOOKUP(INDEX(女子エントリー!$J$7:$AF$406,MATCH(LEFT($B10,FIND("(",$B10)-1)&amp;RIGHT(O$1,1),女子エントリー!$AF$7:$AF$406,0),1),競技会設定!$T$2:$W$22,4,0),"000")&amp;"00 "&amp;IF(VLOOKUP(INDEX(女子エントリー!$J$7:$AF$406,MATCH(LEFT($B10,FIND("(",$B10)-1)&amp;RIGHT(O$1,1),女子エントリー!$AF$7:$AF$406,0),1),競技会設定!$T$2:$W$22,4,0)&gt;70,TEXT(INDEX(女子エントリー!$J$7:$AF$406,MATCH(LEFT($B10,FIND("(",$B10)-1)&amp;RIGHT(O$1,1),女子エントリー!$AF$7:$AF$406,0),3),"00000"),TEXT(INDEX(女子エントリー!$J$7:$AF$406,MATCH(LEFT($B10,FIND("(",$B10)-1)&amp;RIGHT(O$1,1),女子エントリー!$AF$7:$AF$406,0),3),"0000000")),"")</f>
        <v/>
      </c>
    </row>
    <row r="11" spans="1:19">
      <c r="A11" s="92" t="str">
        <f>女子エントリー!D43</f>
        <v/>
      </c>
      <c r="B11" s="1" t="str">
        <f>女子エントリー!E43&amp;"("&amp;女子エントリー!G43&amp;")"</f>
        <v>()</v>
      </c>
      <c r="C11" s="92" t="str">
        <f>女子エントリー!F43</f>
        <v/>
      </c>
      <c r="D11" s="92" t="str">
        <f>女子エントリー!E45</f>
        <v/>
      </c>
      <c r="E11" s="92" t="str">
        <f>女子エントリー!G45</f>
        <v/>
      </c>
      <c r="F11" s="1" t="str">
        <f t="shared" si="0"/>
        <v/>
      </c>
      <c r="G11" s="92" t="str">
        <f>_xlfn.IFNA(VLOOKUP(女子エントリー!G44,競技会設定!$D$3:$E$49,2,0),"")</f>
        <v/>
      </c>
      <c r="H11" s="92" t="str">
        <f>_xlfn.IFNA(INDEX(競技会設定!$J$3:$O$47,MATCH(女子エントリー!H43,競技会設定!$N$3:$N$47,0),2),"")</f>
        <v/>
      </c>
      <c r="K11" s="92">
        <f>女子エントリー!C43</f>
        <v>0</v>
      </c>
      <c r="L11" s="1" t="str">
        <f>_xlfn.IFNA(TEXT(VLOOKUP(INDEX(女子エントリー!$J$7:$AF$406,MATCH(LEFT($B11,FIND("(",$B11)-1)&amp;RIGHT(L$1,1),女子エントリー!$AF$7:$AF$406,0),1),競技会設定!$T$2:$W$22,4,0),"000")&amp;"00 "&amp;IF(VLOOKUP(INDEX(女子エントリー!$J$7:$AF$406,MATCH(LEFT($B11,FIND("(",$B11)-1)&amp;RIGHT(L$1,1),女子エントリー!$AF$7:$AF$406,0),1),競技会設定!$T$2:$W$22,4,0)&gt;70,TEXT(INDEX(女子エントリー!$J$7:$AF$406,MATCH(LEFT($B11,FIND("(",$B11)-1)&amp;RIGHT(L$1,1),女子エントリー!$AF$7:$AF$406,0),3),"00000"),TEXT(INDEX(女子エントリー!$J$7:$AF$406,MATCH(LEFT($B11,FIND("(",$B11)-1)&amp;RIGHT(L$1,1),女子エントリー!$AF$7:$AF$406,0),3),"0000000")),"")</f>
        <v/>
      </c>
      <c r="M11" s="1" t="str">
        <f>_xlfn.IFNA(TEXT(VLOOKUP(INDEX(女子エントリー!$J$7:$AF$406,MATCH(LEFT($B11,FIND("(",$B11)-1)&amp;RIGHT(M$1,1),女子エントリー!$AF$7:$AF$406,0),1),競技会設定!$T$2:$W$22,4,0),"000")&amp;"00 "&amp;IF(VLOOKUP(INDEX(女子エントリー!$J$7:$AF$406,MATCH(LEFT($B11,FIND("(",$B11)-1)&amp;RIGHT(M$1,1),女子エントリー!$AF$7:$AF$406,0),1),競技会設定!$T$2:$W$22,4,0)&gt;70,TEXT(INDEX(女子エントリー!$J$7:$AF$406,MATCH(LEFT($B11,FIND("(",$B11)-1)&amp;RIGHT(M$1,1),女子エントリー!$AF$7:$AF$406,0),3),"00000"),TEXT(INDEX(女子エントリー!$J$7:$AF$406,MATCH(LEFT($B11,FIND("(",$B11)-1)&amp;RIGHT(M$1,1),女子エントリー!$AF$7:$AF$406,0),3),"0000000")),"")</f>
        <v/>
      </c>
      <c r="N11" s="1" t="str">
        <f>_xlfn.IFNA(TEXT(VLOOKUP(INDEX(女子エントリー!$J$7:$AF$406,MATCH(LEFT($B11,FIND("(",$B11)-1)&amp;RIGHT(N$1,1),女子エントリー!$AF$7:$AF$406,0),1),競技会設定!$T$2:$W$22,4,0),"000")&amp;"00 "&amp;IF(VLOOKUP(INDEX(女子エントリー!$J$7:$AF$406,MATCH(LEFT($B11,FIND("(",$B11)-1)&amp;RIGHT(N$1,1),女子エントリー!$AF$7:$AF$406,0),1),競技会設定!$T$2:$W$22,4,0)&gt;70,TEXT(INDEX(女子エントリー!$J$7:$AF$406,MATCH(LEFT($B11,FIND("(",$B11)-1)&amp;RIGHT(N$1,1),女子エントリー!$AF$7:$AF$406,0),3),"00000"),TEXT(INDEX(女子エントリー!$J$7:$AF$406,MATCH(LEFT($B11,FIND("(",$B11)-1)&amp;RIGHT(N$1,1),女子エントリー!$AF$7:$AF$406,0),3),"0000000")),"")</f>
        <v/>
      </c>
      <c r="O11" s="1" t="str">
        <f>_xlfn.IFNA(TEXT(VLOOKUP(INDEX(女子エントリー!$J$7:$AF$406,MATCH(LEFT($B11,FIND("(",$B11)-1)&amp;RIGHT(O$1,1),女子エントリー!$AF$7:$AF$406,0),1),競技会設定!$T$2:$W$22,4,0),"000")&amp;"00 "&amp;IF(VLOOKUP(INDEX(女子エントリー!$J$7:$AF$406,MATCH(LEFT($B11,FIND("(",$B11)-1)&amp;RIGHT(O$1,1),女子エントリー!$AF$7:$AF$406,0),1),競技会設定!$T$2:$W$22,4,0)&gt;70,TEXT(INDEX(女子エントリー!$J$7:$AF$406,MATCH(LEFT($B11,FIND("(",$B11)-1)&amp;RIGHT(O$1,1),女子エントリー!$AF$7:$AF$406,0),3),"00000"),TEXT(INDEX(女子エントリー!$J$7:$AF$406,MATCH(LEFT($B11,FIND("(",$B11)-1)&amp;RIGHT(O$1,1),女子エントリー!$AF$7:$AF$406,0),3),"0000000")),"")</f>
        <v/>
      </c>
    </row>
    <row r="12" spans="1:19">
      <c r="A12" s="92" t="str">
        <f>女子エントリー!D47</f>
        <v/>
      </c>
      <c r="B12" s="1" t="str">
        <f>女子エントリー!E47&amp;"("&amp;女子エントリー!G47&amp;")"</f>
        <v>()</v>
      </c>
      <c r="C12" s="92" t="str">
        <f>女子エントリー!F47</f>
        <v/>
      </c>
      <c r="D12" s="92" t="str">
        <f>女子エントリー!E49</f>
        <v/>
      </c>
      <c r="E12" s="92" t="str">
        <f>女子エントリー!G49</f>
        <v/>
      </c>
      <c r="F12" s="1" t="str">
        <f t="shared" si="0"/>
        <v/>
      </c>
      <c r="G12" s="92" t="str">
        <f>_xlfn.IFNA(VLOOKUP(女子エントリー!G48,競技会設定!$D$3:$E$49,2,0),"")</f>
        <v/>
      </c>
      <c r="H12" s="92" t="str">
        <f>_xlfn.IFNA(INDEX(競技会設定!$J$3:$O$47,MATCH(女子エントリー!H47,競技会設定!$N$3:$N$47,0),2),"")</f>
        <v/>
      </c>
      <c r="K12" s="92">
        <f>女子エントリー!C47</f>
        <v>0</v>
      </c>
      <c r="L12" s="1" t="str">
        <f>_xlfn.IFNA(TEXT(VLOOKUP(INDEX(女子エントリー!$J$7:$AF$406,MATCH(LEFT($B12,FIND("(",$B12)-1)&amp;RIGHT(L$1,1),女子エントリー!$AF$7:$AF$406,0),1),競技会設定!$T$2:$W$22,4,0),"000")&amp;"00 "&amp;IF(VLOOKUP(INDEX(女子エントリー!$J$7:$AF$406,MATCH(LEFT($B12,FIND("(",$B12)-1)&amp;RIGHT(L$1,1),女子エントリー!$AF$7:$AF$406,0),1),競技会設定!$T$2:$W$22,4,0)&gt;70,TEXT(INDEX(女子エントリー!$J$7:$AF$406,MATCH(LEFT($B12,FIND("(",$B12)-1)&amp;RIGHT(L$1,1),女子エントリー!$AF$7:$AF$406,0),3),"00000"),TEXT(INDEX(女子エントリー!$J$7:$AF$406,MATCH(LEFT($B12,FIND("(",$B12)-1)&amp;RIGHT(L$1,1),女子エントリー!$AF$7:$AF$406,0),3),"0000000")),"")</f>
        <v/>
      </c>
      <c r="M12" s="1" t="str">
        <f>_xlfn.IFNA(TEXT(VLOOKUP(INDEX(女子エントリー!$J$7:$AF$406,MATCH(LEFT($B12,FIND("(",$B12)-1)&amp;RIGHT(M$1,1),女子エントリー!$AF$7:$AF$406,0),1),競技会設定!$T$2:$W$22,4,0),"000")&amp;"00 "&amp;IF(VLOOKUP(INDEX(女子エントリー!$J$7:$AF$406,MATCH(LEFT($B12,FIND("(",$B12)-1)&amp;RIGHT(M$1,1),女子エントリー!$AF$7:$AF$406,0),1),競技会設定!$T$2:$W$22,4,0)&gt;70,TEXT(INDEX(女子エントリー!$J$7:$AF$406,MATCH(LEFT($B12,FIND("(",$B12)-1)&amp;RIGHT(M$1,1),女子エントリー!$AF$7:$AF$406,0),3),"00000"),TEXT(INDEX(女子エントリー!$J$7:$AF$406,MATCH(LEFT($B12,FIND("(",$B12)-1)&amp;RIGHT(M$1,1),女子エントリー!$AF$7:$AF$406,0),3),"0000000")),"")</f>
        <v/>
      </c>
      <c r="N12" s="1" t="str">
        <f>_xlfn.IFNA(TEXT(VLOOKUP(INDEX(女子エントリー!$J$7:$AF$406,MATCH(LEFT($B12,FIND("(",$B12)-1)&amp;RIGHT(N$1,1),女子エントリー!$AF$7:$AF$406,0),1),競技会設定!$T$2:$W$22,4,0),"000")&amp;"00 "&amp;IF(VLOOKUP(INDEX(女子エントリー!$J$7:$AF$406,MATCH(LEFT($B12,FIND("(",$B12)-1)&amp;RIGHT(N$1,1),女子エントリー!$AF$7:$AF$406,0),1),競技会設定!$T$2:$W$22,4,0)&gt;70,TEXT(INDEX(女子エントリー!$J$7:$AF$406,MATCH(LEFT($B12,FIND("(",$B12)-1)&amp;RIGHT(N$1,1),女子エントリー!$AF$7:$AF$406,0),3),"00000"),TEXT(INDEX(女子エントリー!$J$7:$AF$406,MATCH(LEFT($B12,FIND("(",$B12)-1)&amp;RIGHT(N$1,1),女子エントリー!$AF$7:$AF$406,0),3),"0000000")),"")</f>
        <v/>
      </c>
      <c r="O12" s="1" t="str">
        <f>_xlfn.IFNA(TEXT(VLOOKUP(INDEX(女子エントリー!$J$7:$AF$406,MATCH(LEFT($B12,FIND("(",$B12)-1)&amp;RIGHT(O$1,1),女子エントリー!$AF$7:$AF$406,0),1),競技会設定!$T$2:$W$22,4,0),"000")&amp;"00 "&amp;IF(VLOOKUP(INDEX(女子エントリー!$J$7:$AF$406,MATCH(LEFT($B12,FIND("(",$B12)-1)&amp;RIGHT(O$1,1),女子エントリー!$AF$7:$AF$406,0),1),競技会設定!$T$2:$W$22,4,0)&gt;70,TEXT(INDEX(女子エントリー!$J$7:$AF$406,MATCH(LEFT($B12,FIND("(",$B12)-1)&amp;RIGHT(O$1,1),女子エントリー!$AF$7:$AF$406,0),3),"00000"),TEXT(INDEX(女子エントリー!$J$7:$AF$406,MATCH(LEFT($B12,FIND("(",$B12)-1)&amp;RIGHT(O$1,1),女子エントリー!$AF$7:$AF$406,0),3),"0000000")),"")</f>
        <v/>
      </c>
    </row>
    <row r="13" spans="1:19">
      <c r="A13" s="92" t="str">
        <f>女子エントリー!D51</f>
        <v/>
      </c>
      <c r="B13" s="1" t="str">
        <f>女子エントリー!E51&amp;"("&amp;女子エントリー!G51&amp;")"</f>
        <v>()</v>
      </c>
      <c r="C13" s="92" t="str">
        <f>女子エントリー!F51</f>
        <v/>
      </c>
      <c r="D13" s="92" t="str">
        <f>女子エントリー!E53</f>
        <v/>
      </c>
      <c r="E13" s="92" t="str">
        <f>女子エントリー!G53</f>
        <v/>
      </c>
      <c r="F13" s="1" t="str">
        <f t="shared" si="0"/>
        <v/>
      </c>
      <c r="G13" s="92" t="str">
        <f>_xlfn.IFNA(VLOOKUP(女子エントリー!G52,競技会設定!$D$3:$E$49,2,0),"")</f>
        <v/>
      </c>
      <c r="H13" s="92" t="str">
        <f>_xlfn.IFNA(INDEX(競技会設定!$J$3:$O$47,MATCH(女子エントリー!H51,競技会設定!$N$3:$N$47,0),2),"")</f>
        <v/>
      </c>
      <c r="K13" s="92">
        <f>女子エントリー!C51</f>
        <v>0</v>
      </c>
      <c r="L13" s="1" t="str">
        <f>_xlfn.IFNA(TEXT(VLOOKUP(INDEX(女子エントリー!$J$7:$AF$406,MATCH(LEFT($B13,FIND("(",$B13)-1)&amp;RIGHT(L$1,1),女子エントリー!$AF$7:$AF$406,0),1),競技会設定!$T$2:$W$22,4,0),"000")&amp;"00 "&amp;IF(VLOOKUP(INDEX(女子エントリー!$J$7:$AF$406,MATCH(LEFT($B13,FIND("(",$B13)-1)&amp;RIGHT(L$1,1),女子エントリー!$AF$7:$AF$406,0),1),競技会設定!$T$2:$W$22,4,0)&gt;70,TEXT(INDEX(女子エントリー!$J$7:$AF$406,MATCH(LEFT($B13,FIND("(",$B13)-1)&amp;RIGHT(L$1,1),女子エントリー!$AF$7:$AF$406,0),3),"00000"),TEXT(INDEX(女子エントリー!$J$7:$AF$406,MATCH(LEFT($B13,FIND("(",$B13)-1)&amp;RIGHT(L$1,1),女子エントリー!$AF$7:$AF$406,0),3),"0000000")),"")</f>
        <v/>
      </c>
      <c r="M13" s="1" t="str">
        <f>_xlfn.IFNA(TEXT(VLOOKUP(INDEX(女子エントリー!$J$7:$AF$406,MATCH(LEFT($B13,FIND("(",$B13)-1)&amp;RIGHT(M$1,1),女子エントリー!$AF$7:$AF$406,0),1),競技会設定!$T$2:$W$22,4,0),"000")&amp;"00 "&amp;IF(VLOOKUP(INDEX(女子エントリー!$J$7:$AF$406,MATCH(LEFT($B13,FIND("(",$B13)-1)&amp;RIGHT(M$1,1),女子エントリー!$AF$7:$AF$406,0),1),競技会設定!$T$2:$W$22,4,0)&gt;70,TEXT(INDEX(女子エントリー!$J$7:$AF$406,MATCH(LEFT($B13,FIND("(",$B13)-1)&amp;RIGHT(M$1,1),女子エントリー!$AF$7:$AF$406,0),3),"00000"),TEXT(INDEX(女子エントリー!$J$7:$AF$406,MATCH(LEFT($B13,FIND("(",$B13)-1)&amp;RIGHT(M$1,1),女子エントリー!$AF$7:$AF$406,0),3),"0000000")),"")</f>
        <v/>
      </c>
      <c r="N13" s="1" t="str">
        <f>_xlfn.IFNA(TEXT(VLOOKUP(INDEX(女子エントリー!$J$7:$AF$406,MATCH(LEFT($B13,FIND("(",$B13)-1)&amp;RIGHT(N$1,1),女子エントリー!$AF$7:$AF$406,0),1),競技会設定!$T$2:$W$22,4,0),"000")&amp;"00 "&amp;IF(VLOOKUP(INDEX(女子エントリー!$J$7:$AF$406,MATCH(LEFT($B13,FIND("(",$B13)-1)&amp;RIGHT(N$1,1),女子エントリー!$AF$7:$AF$406,0),1),競技会設定!$T$2:$W$22,4,0)&gt;70,TEXT(INDEX(女子エントリー!$J$7:$AF$406,MATCH(LEFT($B13,FIND("(",$B13)-1)&amp;RIGHT(N$1,1),女子エントリー!$AF$7:$AF$406,0),3),"00000"),TEXT(INDEX(女子エントリー!$J$7:$AF$406,MATCH(LEFT($B13,FIND("(",$B13)-1)&amp;RIGHT(N$1,1),女子エントリー!$AF$7:$AF$406,0),3),"0000000")),"")</f>
        <v/>
      </c>
      <c r="O13" s="1" t="str">
        <f>_xlfn.IFNA(TEXT(VLOOKUP(INDEX(女子エントリー!$J$7:$AF$406,MATCH(LEFT($B13,FIND("(",$B13)-1)&amp;RIGHT(O$1,1),女子エントリー!$AF$7:$AF$406,0),1),競技会設定!$T$2:$W$22,4,0),"000")&amp;"00 "&amp;IF(VLOOKUP(INDEX(女子エントリー!$J$7:$AF$406,MATCH(LEFT($B13,FIND("(",$B13)-1)&amp;RIGHT(O$1,1),女子エントリー!$AF$7:$AF$406,0),1),競技会設定!$T$2:$W$22,4,0)&gt;70,TEXT(INDEX(女子エントリー!$J$7:$AF$406,MATCH(LEFT($B13,FIND("(",$B13)-1)&amp;RIGHT(O$1,1),女子エントリー!$AF$7:$AF$406,0),3),"00000"),TEXT(INDEX(女子エントリー!$J$7:$AF$406,MATCH(LEFT($B13,FIND("(",$B13)-1)&amp;RIGHT(O$1,1),女子エントリー!$AF$7:$AF$406,0),3),"0000000")),"")</f>
        <v/>
      </c>
    </row>
    <row r="14" spans="1:19">
      <c r="A14" s="92" t="str">
        <f>女子エントリー!D55</f>
        <v/>
      </c>
      <c r="B14" s="1" t="str">
        <f>女子エントリー!E55&amp;"("&amp;女子エントリー!G55&amp;")"</f>
        <v>()</v>
      </c>
      <c r="C14" s="92" t="str">
        <f>女子エントリー!F55</f>
        <v/>
      </c>
      <c r="D14" s="92" t="str">
        <f>女子エントリー!E57</f>
        <v/>
      </c>
      <c r="E14" s="92" t="str">
        <f>女子エントリー!G57</f>
        <v/>
      </c>
      <c r="F14" s="1" t="str">
        <f t="shared" si="0"/>
        <v/>
      </c>
      <c r="G14" s="92" t="str">
        <f>_xlfn.IFNA(VLOOKUP(女子エントリー!G56,競技会設定!$D$3:$E$49,2,0),"")</f>
        <v/>
      </c>
      <c r="H14" s="92" t="str">
        <f>_xlfn.IFNA(INDEX(競技会設定!$J$3:$O$47,MATCH(女子エントリー!H55,競技会設定!$N$3:$N$47,0),2),"")</f>
        <v/>
      </c>
      <c r="K14" s="92">
        <f>女子エントリー!C55</f>
        <v>0</v>
      </c>
      <c r="L14" s="1" t="str">
        <f>_xlfn.IFNA(TEXT(VLOOKUP(INDEX(女子エントリー!$J$7:$AF$406,MATCH(LEFT($B14,FIND("(",$B14)-1)&amp;RIGHT(L$1,1),女子エントリー!$AF$7:$AF$406,0),1),競技会設定!$T$2:$W$22,4,0),"000")&amp;"00 "&amp;IF(VLOOKUP(INDEX(女子エントリー!$J$7:$AF$406,MATCH(LEFT($B14,FIND("(",$B14)-1)&amp;RIGHT(L$1,1),女子エントリー!$AF$7:$AF$406,0),1),競技会設定!$T$2:$W$22,4,0)&gt;70,TEXT(INDEX(女子エントリー!$J$7:$AF$406,MATCH(LEFT($B14,FIND("(",$B14)-1)&amp;RIGHT(L$1,1),女子エントリー!$AF$7:$AF$406,0),3),"00000"),TEXT(INDEX(女子エントリー!$J$7:$AF$406,MATCH(LEFT($B14,FIND("(",$B14)-1)&amp;RIGHT(L$1,1),女子エントリー!$AF$7:$AF$406,0),3),"0000000")),"")</f>
        <v/>
      </c>
      <c r="M14" s="1" t="str">
        <f>_xlfn.IFNA(TEXT(VLOOKUP(INDEX(女子エントリー!$J$7:$AF$406,MATCH(LEFT($B14,FIND("(",$B14)-1)&amp;RIGHT(M$1,1),女子エントリー!$AF$7:$AF$406,0),1),競技会設定!$T$2:$W$22,4,0),"000")&amp;"00 "&amp;IF(VLOOKUP(INDEX(女子エントリー!$J$7:$AF$406,MATCH(LEFT($B14,FIND("(",$B14)-1)&amp;RIGHT(M$1,1),女子エントリー!$AF$7:$AF$406,0),1),競技会設定!$T$2:$W$22,4,0)&gt;70,TEXT(INDEX(女子エントリー!$J$7:$AF$406,MATCH(LEFT($B14,FIND("(",$B14)-1)&amp;RIGHT(M$1,1),女子エントリー!$AF$7:$AF$406,0),3),"00000"),TEXT(INDEX(女子エントリー!$J$7:$AF$406,MATCH(LEFT($B14,FIND("(",$B14)-1)&amp;RIGHT(M$1,1),女子エントリー!$AF$7:$AF$406,0),3),"0000000")),"")</f>
        <v/>
      </c>
      <c r="N14" s="1" t="str">
        <f>_xlfn.IFNA(TEXT(VLOOKUP(INDEX(女子エントリー!$J$7:$AF$406,MATCH(LEFT($B14,FIND("(",$B14)-1)&amp;RIGHT(N$1,1),女子エントリー!$AF$7:$AF$406,0),1),競技会設定!$T$2:$W$22,4,0),"000")&amp;"00 "&amp;IF(VLOOKUP(INDEX(女子エントリー!$J$7:$AF$406,MATCH(LEFT($B14,FIND("(",$B14)-1)&amp;RIGHT(N$1,1),女子エントリー!$AF$7:$AF$406,0),1),競技会設定!$T$2:$W$22,4,0)&gt;70,TEXT(INDEX(女子エントリー!$J$7:$AF$406,MATCH(LEFT($B14,FIND("(",$B14)-1)&amp;RIGHT(N$1,1),女子エントリー!$AF$7:$AF$406,0),3),"00000"),TEXT(INDEX(女子エントリー!$J$7:$AF$406,MATCH(LEFT($B14,FIND("(",$B14)-1)&amp;RIGHT(N$1,1),女子エントリー!$AF$7:$AF$406,0),3),"0000000")),"")</f>
        <v/>
      </c>
      <c r="O14" s="1" t="str">
        <f>_xlfn.IFNA(TEXT(VLOOKUP(INDEX(女子エントリー!$J$7:$AF$406,MATCH(LEFT($B14,FIND("(",$B14)-1)&amp;RIGHT(O$1,1),女子エントリー!$AF$7:$AF$406,0),1),競技会設定!$T$2:$W$22,4,0),"000")&amp;"00 "&amp;IF(VLOOKUP(INDEX(女子エントリー!$J$7:$AF$406,MATCH(LEFT($B14,FIND("(",$B14)-1)&amp;RIGHT(O$1,1),女子エントリー!$AF$7:$AF$406,0),1),競技会設定!$T$2:$W$22,4,0)&gt;70,TEXT(INDEX(女子エントリー!$J$7:$AF$406,MATCH(LEFT($B14,FIND("(",$B14)-1)&amp;RIGHT(O$1,1),女子エントリー!$AF$7:$AF$406,0),3),"00000"),TEXT(INDEX(女子エントリー!$J$7:$AF$406,MATCH(LEFT($B14,FIND("(",$B14)-1)&amp;RIGHT(O$1,1),女子エントリー!$AF$7:$AF$406,0),3),"0000000")),"")</f>
        <v/>
      </c>
    </row>
    <row r="15" spans="1:19">
      <c r="A15" s="92" t="str">
        <f>女子エントリー!D59</f>
        <v/>
      </c>
      <c r="B15" s="1" t="str">
        <f>女子エントリー!E59&amp;"("&amp;女子エントリー!G59&amp;")"</f>
        <v>()</v>
      </c>
      <c r="C15" s="92" t="str">
        <f>女子エントリー!F59</f>
        <v/>
      </c>
      <c r="D15" s="92" t="str">
        <f>女子エントリー!E61</f>
        <v/>
      </c>
      <c r="E15" s="92" t="str">
        <f>女子エントリー!G61</f>
        <v/>
      </c>
      <c r="F15" s="1" t="str">
        <f t="shared" si="0"/>
        <v/>
      </c>
      <c r="G15" s="92" t="str">
        <f>_xlfn.IFNA(VLOOKUP(女子エントリー!G60,競技会設定!$D$3:$E$49,2,0),"")</f>
        <v/>
      </c>
      <c r="H15" s="92" t="str">
        <f>_xlfn.IFNA(INDEX(競技会設定!$J$3:$O$47,MATCH(女子エントリー!H59,競技会設定!$N$3:$N$47,0),2),"")</f>
        <v/>
      </c>
      <c r="K15" s="92">
        <f>女子エントリー!C59</f>
        <v>0</v>
      </c>
      <c r="L15" s="1" t="str">
        <f>_xlfn.IFNA(TEXT(VLOOKUP(INDEX(女子エントリー!$J$7:$AF$406,MATCH(LEFT($B15,FIND("(",$B15)-1)&amp;RIGHT(L$1,1),女子エントリー!$AF$7:$AF$406,0),1),競技会設定!$T$2:$W$22,4,0),"000")&amp;"00 "&amp;IF(VLOOKUP(INDEX(女子エントリー!$J$7:$AF$406,MATCH(LEFT($B15,FIND("(",$B15)-1)&amp;RIGHT(L$1,1),女子エントリー!$AF$7:$AF$406,0),1),競技会設定!$T$2:$W$22,4,0)&gt;70,TEXT(INDEX(女子エントリー!$J$7:$AF$406,MATCH(LEFT($B15,FIND("(",$B15)-1)&amp;RIGHT(L$1,1),女子エントリー!$AF$7:$AF$406,0),3),"00000"),TEXT(INDEX(女子エントリー!$J$7:$AF$406,MATCH(LEFT($B15,FIND("(",$B15)-1)&amp;RIGHT(L$1,1),女子エントリー!$AF$7:$AF$406,0),3),"0000000")),"")</f>
        <v/>
      </c>
      <c r="M15" s="1" t="str">
        <f>_xlfn.IFNA(TEXT(VLOOKUP(INDEX(女子エントリー!$J$7:$AF$406,MATCH(LEFT($B15,FIND("(",$B15)-1)&amp;RIGHT(M$1,1),女子エントリー!$AF$7:$AF$406,0),1),競技会設定!$T$2:$W$22,4,0),"000")&amp;"00 "&amp;IF(VLOOKUP(INDEX(女子エントリー!$J$7:$AF$406,MATCH(LEFT($B15,FIND("(",$B15)-1)&amp;RIGHT(M$1,1),女子エントリー!$AF$7:$AF$406,0),1),競技会設定!$T$2:$W$22,4,0)&gt;70,TEXT(INDEX(女子エントリー!$J$7:$AF$406,MATCH(LEFT($B15,FIND("(",$B15)-1)&amp;RIGHT(M$1,1),女子エントリー!$AF$7:$AF$406,0),3),"00000"),TEXT(INDEX(女子エントリー!$J$7:$AF$406,MATCH(LEFT($B15,FIND("(",$B15)-1)&amp;RIGHT(M$1,1),女子エントリー!$AF$7:$AF$406,0),3),"0000000")),"")</f>
        <v/>
      </c>
      <c r="N15" s="1" t="str">
        <f>_xlfn.IFNA(TEXT(VLOOKUP(INDEX(女子エントリー!$J$7:$AF$406,MATCH(LEFT($B15,FIND("(",$B15)-1)&amp;RIGHT(N$1,1),女子エントリー!$AF$7:$AF$406,0),1),競技会設定!$T$2:$W$22,4,0),"000")&amp;"00 "&amp;IF(VLOOKUP(INDEX(女子エントリー!$J$7:$AF$406,MATCH(LEFT($B15,FIND("(",$B15)-1)&amp;RIGHT(N$1,1),女子エントリー!$AF$7:$AF$406,0),1),競技会設定!$T$2:$W$22,4,0)&gt;70,TEXT(INDEX(女子エントリー!$J$7:$AF$406,MATCH(LEFT($B15,FIND("(",$B15)-1)&amp;RIGHT(N$1,1),女子エントリー!$AF$7:$AF$406,0),3),"00000"),TEXT(INDEX(女子エントリー!$J$7:$AF$406,MATCH(LEFT($B15,FIND("(",$B15)-1)&amp;RIGHT(N$1,1),女子エントリー!$AF$7:$AF$406,0),3),"0000000")),"")</f>
        <v/>
      </c>
      <c r="O15" s="1" t="str">
        <f>_xlfn.IFNA(TEXT(VLOOKUP(INDEX(女子エントリー!$J$7:$AF$406,MATCH(LEFT($B15,FIND("(",$B15)-1)&amp;RIGHT(O$1,1),女子エントリー!$AF$7:$AF$406,0),1),競技会設定!$T$2:$W$22,4,0),"000")&amp;"00 "&amp;IF(VLOOKUP(INDEX(女子エントリー!$J$7:$AF$406,MATCH(LEFT($B15,FIND("(",$B15)-1)&amp;RIGHT(O$1,1),女子エントリー!$AF$7:$AF$406,0),1),競技会設定!$T$2:$W$22,4,0)&gt;70,TEXT(INDEX(女子エントリー!$J$7:$AF$406,MATCH(LEFT($B15,FIND("(",$B15)-1)&amp;RIGHT(O$1,1),女子エントリー!$AF$7:$AF$406,0),3),"00000"),TEXT(INDEX(女子エントリー!$J$7:$AF$406,MATCH(LEFT($B15,FIND("(",$B15)-1)&amp;RIGHT(O$1,1),女子エントリー!$AF$7:$AF$406,0),3),"0000000")),"")</f>
        <v/>
      </c>
    </row>
    <row r="16" spans="1:19">
      <c r="A16" s="92" t="str">
        <f>女子エントリー!D63</f>
        <v/>
      </c>
      <c r="B16" s="1" t="str">
        <f>女子エントリー!E63&amp;"("&amp;女子エントリー!G63&amp;")"</f>
        <v>()</v>
      </c>
      <c r="C16" s="92" t="str">
        <f>女子エントリー!F63</f>
        <v/>
      </c>
      <c r="D16" s="92" t="str">
        <f>女子エントリー!E65</f>
        <v/>
      </c>
      <c r="E16" s="92" t="str">
        <f>女子エントリー!G65</f>
        <v/>
      </c>
      <c r="F16" s="1" t="str">
        <f t="shared" si="0"/>
        <v/>
      </c>
      <c r="G16" s="92" t="str">
        <f>_xlfn.IFNA(VLOOKUP(女子エントリー!G64,競技会設定!$D$3:$E$49,2,0),"")</f>
        <v/>
      </c>
      <c r="H16" s="92" t="str">
        <f>_xlfn.IFNA(INDEX(競技会設定!$J$3:$O$47,MATCH(女子エントリー!H63,競技会設定!$N$3:$N$47,0),2),"")</f>
        <v/>
      </c>
      <c r="K16" s="92">
        <f>女子エントリー!C63</f>
        <v>0</v>
      </c>
      <c r="L16" s="1" t="str">
        <f>_xlfn.IFNA(TEXT(VLOOKUP(INDEX(女子エントリー!$J$7:$AF$406,MATCH(LEFT($B16,FIND("(",$B16)-1)&amp;RIGHT(L$1,1),女子エントリー!$AF$7:$AF$406,0),1),競技会設定!$T$2:$W$22,4,0),"000")&amp;"00 "&amp;IF(VLOOKUP(INDEX(女子エントリー!$J$7:$AF$406,MATCH(LEFT($B16,FIND("(",$B16)-1)&amp;RIGHT(L$1,1),女子エントリー!$AF$7:$AF$406,0),1),競技会設定!$T$2:$W$22,4,0)&gt;70,TEXT(INDEX(女子エントリー!$J$7:$AF$406,MATCH(LEFT($B16,FIND("(",$B16)-1)&amp;RIGHT(L$1,1),女子エントリー!$AF$7:$AF$406,0),3),"00000"),TEXT(INDEX(女子エントリー!$J$7:$AF$406,MATCH(LEFT($B16,FIND("(",$B16)-1)&amp;RIGHT(L$1,1),女子エントリー!$AF$7:$AF$406,0),3),"0000000")),"")</f>
        <v/>
      </c>
      <c r="M16" s="1" t="str">
        <f>_xlfn.IFNA(TEXT(VLOOKUP(INDEX(女子エントリー!$J$7:$AF$406,MATCH(LEFT($B16,FIND("(",$B16)-1)&amp;RIGHT(M$1,1),女子エントリー!$AF$7:$AF$406,0),1),競技会設定!$T$2:$W$22,4,0),"000")&amp;"00 "&amp;IF(VLOOKUP(INDEX(女子エントリー!$J$7:$AF$406,MATCH(LEFT($B16,FIND("(",$B16)-1)&amp;RIGHT(M$1,1),女子エントリー!$AF$7:$AF$406,0),1),競技会設定!$T$2:$W$22,4,0)&gt;70,TEXT(INDEX(女子エントリー!$J$7:$AF$406,MATCH(LEFT($B16,FIND("(",$B16)-1)&amp;RIGHT(M$1,1),女子エントリー!$AF$7:$AF$406,0),3),"00000"),TEXT(INDEX(女子エントリー!$J$7:$AF$406,MATCH(LEFT($B16,FIND("(",$B16)-1)&amp;RIGHT(M$1,1),女子エントリー!$AF$7:$AF$406,0),3),"0000000")),"")</f>
        <v/>
      </c>
      <c r="N16" s="1" t="str">
        <f>_xlfn.IFNA(TEXT(VLOOKUP(INDEX(女子エントリー!$J$7:$AF$406,MATCH(LEFT($B16,FIND("(",$B16)-1)&amp;RIGHT(N$1,1),女子エントリー!$AF$7:$AF$406,0),1),競技会設定!$T$2:$W$22,4,0),"000")&amp;"00 "&amp;IF(VLOOKUP(INDEX(女子エントリー!$J$7:$AF$406,MATCH(LEFT($B16,FIND("(",$B16)-1)&amp;RIGHT(N$1,1),女子エントリー!$AF$7:$AF$406,0),1),競技会設定!$T$2:$W$22,4,0)&gt;70,TEXT(INDEX(女子エントリー!$J$7:$AF$406,MATCH(LEFT($B16,FIND("(",$B16)-1)&amp;RIGHT(N$1,1),女子エントリー!$AF$7:$AF$406,0),3),"00000"),TEXT(INDEX(女子エントリー!$J$7:$AF$406,MATCH(LEFT($B16,FIND("(",$B16)-1)&amp;RIGHT(N$1,1),女子エントリー!$AF$7:$AF$406,0),3),"0000000")),"")</f>
        <v/>
      </c>
      <c r="O16" s="1" t="str">
        <f>_xlfn.IFNA(TEXT(VLOOKUP(INDEX(女子エントリー!$J$7:$AF$406,MATCH(LEFT($B16,FIND("(",$B16)-1)&amp;RIGHT(O$1,1),女子エントリー!$AF$7:$AF$406,0),1),競技会設定!$T$2:$W$22,4,0),"000")&amp;"00 "&amp;IF(VLOOKUP(INDEX(女子エントリー!$J$7:$AF$406,MATCH(LEFT($B16,FIND("(",$B16)-1)&amp;RIGHT(O$1,1),女子エントリー!$AF$7:$AF$406,0),1),競技会設定!$T$2:$W$22,4,0)&gt;70,TEXT(INDEX(女子エントリー!$J$7:$AF$406,MATCH(LEFT($B16,FIND("(",$B16)-1)&amp;RIGHT(O$1,1),女子エントリー!$AF$7:$AF$406,0),3),"00000"),TEXT(INDEX(女子エントリー!$J$7:$AF$406,MATCH(LEFT($B16,FIND("(",$B16)-1)&amp;RIGHT(O$1,1),女子エントリー!$AF$7:$AF$406,0),3),"0000000")),"")</f>
        <v/>
      </c>
    </row>
    <row r="17" spans="1:15">
      <c r="A17" s="92" t="str">
        <f>女子エントリー!D67</f>
        <v/>
      </c>
      <c r="B17" s="1" t="str">
        <f>女子エントリー!E67&amp;"("&amp;女子エントリー!G67&amp;")"</f>
        <v>()</v>
      </c>
      <c r="C17" s="92" t="str">
        <f>女子エントリー!F67</f>
        <v/>
      </c>
      <c r="D17" s="92" t="str">
        <f>女子エントリー!E69</f>
        <v/>
      </c>
      <c r="E17" s="92" t="str">
        <f>女子エントリー!G69</f>
        <v/>
      </c>
      <c r="F17" s="1" t="str">
        <f t="shared" si="0"/>
        <v/>
      </c>
      <c r="G17" s="92" t="str">
        <f>_xlfn.IFNA(VLOOKUP(女子エントリー!G68,競技会設定!$D$3:$E$49,2,0),"")</f>
        <v/>
      </c>
      <c r="H17" s="92" t="str">
        <f>_xlfn.IFNA(INDEX(競技会設定!$J$3:$O$47,MATCH(女子エントリー!H67,競技会設定!$N$3:$N$47,0),2),"")</f>
        <v/>
      </c>
      <c r="K17" s="92">
        <f>女子エントリー!C67</f>
        <v>0</v>
      </c>
      <c r="L17" s="1" t="str">
        <f>_xlfn.IFNA(TEXT(VLOOKUP(INDEX(女子エントリー!$J$7:$AF$406,MATCH(LEFT($B17,FIND("(",$B17)-1)&amp;RIGHT(L$1,1),女子エントリー!$AF$7:$AF$406,0),1),競技会設定!$T$2:$W$22,4,0),"000")&amp;"00 "&amp;IF(VLOOKUP(INDEX(女子エントリー!$J$7:$AF$406,MATCH(LEFT($B17,FIND("(",$B17)-1)&amp;RIGHT(L$1,1),女子エントリー!$AF$7:$AF$406,0),1),競技会設定!$T$2:$W$22,4,0)&gt;70,TEXT(INDEX(女子エントリー!$J$7:$AF$406,MATCH(LEFT($B17,FIND("(",$B17)-1)&amp;RIGHT(L$1,1),女子エントリー!$AF$7:$AF$406,0),3),"00000"),TEXT(INDEX(女子エントリー!$J$7:$AF$406,MATCH(LEFT($B17,FIND("(",$B17)-1)&amp;RIGHT(L$1,1),女子エントリー!$AF$7:$AF$406,0),3),"0000000")),"")</f>
        <v/>
      </c>
      <c r="M17" s="1" t="str">
        <f>_xlfn.IFNA(TEXT(VLOOKUP(INDEX(女子エントリー!$J$7:$AF$406,MATCH(LEFT($B17,FIND("(",$B17)-1)&amp;RIGHT(M$1,1),女子エントリー!$AF$7:$AF$406,0),1),競技会設定!$T$2:$W$22,4,0),"000")&amp;"00 "&amp;IF(VLOOKUP(INDEX(女子エントリー!$J$7:$AF$406,MATCH(LEFT($B17,FIND("(",$B17)-1)&amp;RIGHT(M$1,1),女子エントリー!$AF$7:$AF$406,0),1),競技会設定!$T$2:$W$22,4,0)&gt;70,TEXT(INDEX(女子エントリー!$J$7:$AF$406,MATCH(LEFT($B17,FIND("(",$B17)-1)&amp;RIGHT(M$1,1),女子エントリー!$AF$7:$AF$406,0),3),"00000"),TEXT(INDEX(女子エントリー!$J$7:$AF$406,MATCH(LEFT($B17,FIND("(",$B17)-1)&amp;RIGHT(M$1,1),女子エントリー!$AF$7:$AF$406,0),3),"0000000")),"")</f>
        <v/>
      </c>
      <c r="N17" s="1" t="str">
        <f>_xlfn.IFNA(TEXT(VLOOKUP(INDEX(女子エントリー!$J$7:$AF$406,MATCH(LEFT($B17,FIND("(",$B17)-1)&amp;RIGHT(N$1,1),女子エントリー!$AF$7:$AF$406,0),1),競技会設定!$T$2:$W$22,4,0),"000")&amp;"00 "&amp;IF(VLOOKUP(INDEX(女子エントリー!$J$7:$AF$406,MATCH(LEFT($B17,FIND("(",$B17)-1)&amp;RIGHT(N$1,1),女子エントリー!$AF$7:$AF$406,0),1),競技会設定!$T$2:$W$22,4,0)&gt;70,TEXT(INDEX(女子エントリー!$J$7:$AF$406,MATCH(LEFT($B17,FIND("(",$B17)-1)&amp;RIGHT(N$1,1),女子エントリー!$AF$7:$AF$406,0),3),"00000"),TEXT(INDEX(女子エントリー!$J$7:$AF$406,MATCH(LEFT($B17,FIND("(",$B17)-1)&amp;RIGHT(N$1,1),女子エントリー!$AF$7:$AF$406,0),3),"0000000")),"")</f>
        <v/>
      </c>
      <c r="O17" s="1" t="str">
        <f>_xlfn.IFNA(TEXT(VLOOKUP(INDEX(女子エントリー!$J$7:$AF$406,MATCH(LEFT($B17,FIND("(",$B17)-1)&amp;RIGHT(O$1,1),女子エントリー!$AF$7:$AF$406,0),1),競技会設定!$T$2:$W$22,4,0),"000")&amp;"00 "&amp;IF(VLOOKUP(INDEX(女子エントリー!$J$7:$AF$406,MATCH(LEFT($B17,FIND("(",$B17)-1)&amp;RIGHT(O$1,1),女子エントリー!$AF$7:$AF$406,0),1),競技会設定!$T$2:$W$22,4,0)&gt;70,TEXT(INDEX(女子エントリー!$J$7:$AF$406,MATCH(LEFT($B17,FIND("(",$B17)-1)&amp;RIGHT(O$1,1),女子エントリー!$AF$7:$AF$406,0),3),"00000"),TEXT(INDEX(女子エントリー!$J$7:$AF$406,MATCH(LEFT($B17,FIND("(",$B17)-1)&amp;RIGHT(O$1,1),女子エントリー!$AF$7:$AF$406,0),3),"0000000")),"")</f>
        <v/>
      </c>
    </row>
    <row r="18" spans="1:15">
      <c r="A18" s="92" t="str">
        <f>女子エントリー!D71</f>
        <v/>
      </c>
      <c r="B18" s="1" t="str">
        <f>女子エントリー!E71&amp;"("&amp;女子エントリー!G71&amp;")"</f>
        <v>()</v>
      </c>
      <c r="C18" s="92" t="str">
        <f>女子エントリー!F71</f>
        <v/>
      </c>
      <c r="D18" s="92" t="str">
        <f>女子エントリー!E73</f>
        <v/>
      </c>
      <c r="E18" s="92" t="str">
        <f>女子エントリー!G73</f>
        <v/>
      </c>
      <c r="F18" s="1" t="str">
        <f t="shared" si="0"/>
        <v/>
      </c>
      <c r="G18" s="92" t="str">
        <f>_xlfn.IFNA(VLOOKUP(女子エントリー!G72,競技会設定!$D$3:$E$49,2,0),"")</f>
        <v/>
      </c>
      <c r="H18" s="92" t="str">
        <f>_xlfn.IFNA(INDEX(競技会設定!$J$3:$O$47,MATCH(女子エントリー!H71,競技会設定!$N$3:$N$47,0),2),"")</f>
        <v/>
      </c>
      <c r="K18" s="92">
        <f>女子エントリー!C71</f>
        <v>0</v>
      </c>
      <c r="L18" s="1" t="str">
        <f>_xlfn.IFNA(TEXT(VLOOKUP(INDEX(女子エントリー!$J$7:$AF$406,MATCH(LEFT($B18,FIND("(",$B18)-1)&amp;RIGHT(L$1,1),女子エントリー!$AF$7:$AF$406,0),1),競技会設定!$T$2:$W$22,4,0),"000")&amp;"00 "&amp;IF(VLOOKUP(INDEX(女子エントリー!$J$7:$AF$406,MATCH(LEFT($B18,FIND("(",$B18)-1)&amp;RIGHT(L$1,1),女子エントリー!$AF$7:$AF$406,0),1),競技会設定!$T$2:$W$22,4,0)&gt;70,TEXT(INDEX(女子エントリー!$J$7:$AF$406,MATCH(LEFT($B18,FIND("(",$B18)-1)&amp;RIGHT(L$1,1),女子エントリー!$AF$7:$AF$406,0),3),"00000"),TEXT(INDEX(女子エントリー!$J$7:$AF$406,MATCH(LEFT($B18,FIND("(",$B18)-1)&amp;RIGHT(L$1,1),女子エントリー!$AF$7:$AF$406,0),3),"0000000")),"")</f>
        <v/>
      </c>
      <c r="M18" s="1" t="str">
        <f>_xlfn.IFNA(TEXT(VLOOKUP(INDEX(女子エントリー!$J$7:$AF$406,MATCH(LEFT($B18,FIND("(",$B18)-1)&amp;RIGHT(M$1,1),女子エントリー!$AF$7:$AF$406,0),1),競技会設定!$T$2:$W$22,4,0),"000")&amp;"00 "&amp;IF(VLOOKUP(INDEX(女子エントリー!$J$7:$AF$406,MATCH(LEFT($B18,FIND("(",$B18)-1)&amp;RIGHT(M$1,1),女子エントリー!$AF$7:$AF$406,0),1),競技会設定!$T$2:$W$22,4,0)&gt;70,TEXT(INDEX(女子エントリー!$J$7:$AF$406,MATCH(LEFT($B18,FIND("(",$B18)-1)&amp;RIGHT(M$1,1),女子エントリー!$AF$7:$AF$406,0),3),"00000"),TEXT(INDEX(女子エントリー!$J$7:$AF$406,MATCH(LEFT($B18,FIND("(",$B18)-1)&amp;RIGHT(M$1,1),女子エントリー!$AF$7:$AF$406,0),3),"0000000")),"")</f>
        <v/>
      </c>
      <c r="N18" s="1" t="str">
        <f>_xlfn.IFNA(TEXT(VLOOKUP(INDEX(女子エントリー!$J$7:$AF$406,MATCH(LEFT($B18,FIND("(",$B18)-1)&amp;RIGHT(N$1,1),女子エントリー!$AF$7:$AF$406,0),1),競技会設定!$T$2:$W$22,4,0),"000")&amp;"00 "&amp;IF(VLOOKUP(INDEX(女子エントリー!$J$7:$AF$406,MATCH(LEFT($B18,FIND("(",$B18)-1)&amp;RIGHT(N$1,1),女子エントリー!$AF$7:$AF$406,0),1),競技会設定!$T$2:$W$22,4,0)&gt;70,TEXT(INDEX(女子エントリー!$J$7:$AF$406,MATCH(LEFT($B18,FIND("(",$B18)-1)&amp;RIGHT(N$1,1),女子エントリー!$AF$7:$AF$406,0),3),"00000"),TEXT(INDEX(女子エントリー!$J$7:$AF$406,MATCH(LEFT($B18,FIND("(",$B18)-1)&amp;RIGHT(N$1,1),女子エントリー!$AF$7:$AF$406,0),3),"0000000")),"")</f>
        <v/>
      </c>
      <c r="O18" s="1" t="str">
        <f>_xlfn.IFNA(TEXT(VLOOKUP(INDEX(女子エントリー!$J$7:$AF$406,MATCH(LEFT($B18,FIND("(",$B18)-1)&amp;RIGHT(O$1,1),女子エントリー!$AF$7:$AF$406,0),1),競技会設定!$T$2:$W$22,4,0),"000")&amp;"00 "&amp;IF(VLOOKUP(INDEX(女子エントリー!$J$7:$AF$406,MATCH(LEFT($B18,FIND("(",$B18)-1)&amp;RIGHT(O$1,1),女子エントリー!$AF$7:$AF$406,0),1),競技会設定!$T$2:$W$22,4,0)&gt;70,TEXT(INDEX(女子エントリー!$J$7:$AF$406,MATCH(LEFT($B18,FIND("(",$B18)-1)&amp;RIGHT(O$1,1),女子エントリー!$AF$7:$AF$406,0),3),"00000"),TEXT(INDEX(女子エントリー!$J$7:$AF$406,MATCH(LEFT($B18,FIND("(",$B18)-1)&amp;RIGHT(O$1,1),女子エントリー!$AF$7:$AF$406,0),3),"0000000")),"")</f>
        <v/>
      </c>
    </row>
    <row r="19" spans="1:15">
      <c r="A19" s="92" t="str">
        <f>女子エントリー!D75</f>
        <v/>
      </c>
      <c r="B19" s="1" t="str">
        <f>女子エントリー!E75&amp;"("&amp;女子エントリー!G75&amp;")"</f>
        <v>()</v>
      </c>
      <c r="C19" s="92" t="str">
        <f>女子エントリー!F75</f>
        <v/>
      </c>
      <c r="D19" s="92" t="str">
        <f>女子エントリー!E77</f>
        <v/>
      </c>
      <c r="E19" s="92" t="str">
        <f>女子エントリー!G77</f>
        <v/>
      </c>
      <c r="F19" s="1" t="str">
        <f t="shared" si="0"/>
        <v/>
      </c>
      <c r="G19" s="92" t="str">
        <f>_xlfn.IFNA(VLOOKUP(女子エントリー!G76,競技会設定!$D$3:$E$49,2,0),"")</f>
        <v/>
      </c>
      <c r="H19" s="92" t="str">
        <f>_xlfn.IFNA(INDEX(競技会設定!$J$3:$O$47,MATCH(女子エントリー!H75,競技会設定!$N$3:$N$47,0),2),"")</f>
        <v/>
      </c>
      <c r="K19" s="92">
        <f>女子エントリー!C75</f>
        <v>0</v>
      </c>
      <c r="L19" s="1" t="str">
        <f>_xlfn.IFNA(TEXT(VLOOKUP(INDEX(女子エントリー!$J$7:$AF$406,MATCH(LEFT($B19,FIND("(",$B19)-1)&amp;RIGHT(L$1,1),女子エントリー!$AF$7:$AF$406,0),1),競技会設定!$T$2:$W$22,4,0),"000")&amp;"00 "&amp;IF(VLOOKUP(INDEX(女子エントリー!$J$7:$AF$406,MATCH(LEFT($B19,FIND("(",$B19)-1)&amp;RIGHT(L$1,1),女子エントリー!$AF$7:$AF$406,0),1),競技会設定!$T$2:$W$22,4,0)&gt;70,TEXT(INDEX(女子エントリー!$J$7:$AF$406,MATCH(LEFT($B19,FIND("(",$B19)-1)&amp;RIGHT(L$1,1),女子エントリー!$AF$7:$AF$406,0),3),"00000"),TEXT(INDEX(女子エントリー!$J$7:$AF$406,MATCH(LEFT($B19,FIND("(",$B19)-1)&amp;RIGHT(L$1,1),女子エントリー!$AF$7:$AF$406,0),3),"0000000")),"")</f>
        <v/>
      </c>
      <c r="M19" s="1" t="str">
        <f>_xlfn.IFNA(TEXT(VLOOKUP(INDEX(女子エントリー!$J$7:$AF$406,MATCH(LEFT($B19,FIND("(",$B19)-1)&amp;RIGHT(M$1,1),女子エントリー!$AF$7:$AF$406,0),1),競技会設定!$T$2:$W$22,4,0),"000")&amp;"00 "&amp;IF(VLOOKUP(INDEX(女子エントリー!$J$7:$AF$406,MATCH(LEFT($B19,FIND("(",$B19)-1)&amp;RIGHT(M$1,1),女子エントリー!$AF$7:$AF$406,0),1),競技会設定!$T$2:$W$22,4,0)&gt;70,TEXT(INDEX(女子エントリー!$J$7:$AF$406,MATCH(LEFT($B19,FIND("(",$B19)-1)&amp;RIGHT(M$1,1),女子エントリー!$AF$7:$AF$406,0),3),"00000"),TEXT(INDEX(女子エントリー!$J$7:$AF$406,MATCH(LEFT($B19,FIND("(",$B19)-1)&amp;RIGHT(M$1,1),女子エントリー!$AF$7:$AF$406,0),3),"0000000")),"")</f>
        <v/>
      </c>
      <c r="N19" s="1" t="str">
        <f>_xlfn.IFNA(TEXT(VLOOKUP(INDEX(女子エントリー!$J$7:$AF$406,MATCH(LEFT($B19,FIND("(",$B19)-1)&amp;RIGHT(N$1,1),女子エントリー!$AF$7:$AF$406,0),1),競技会設定!$T$2:$W$22,4,0),"000")&amp;"00 "&amp;IF(VLOOKUP(INDEX(女子エントリー!$J$7:$AF$406,MATCH(LEFT($B19,FIND("(",$B19)-1)&amp;RIGHT(N$1,1),女子エントリー!$AF$7:$AF$406,0),1),競技会設定!$T$2:$W$22,4,0)&gt;70,TEXT(INDEX(女子エントリー!$J$7:$AF$406,MATCH(LEFT($B19,FIND("(",$B19)-1)&amp;RIGHT(N$1,1),女子エントリー!$AF$7:$AF$406,0),3),"00000"),TEXT(INDEX(女子エントリー!$J$7:$AF$406,MATCH(LEFT($B19,FIND("(",$B19)-1)&amp;RIGHT(N$1,1),女子エントリー!$AF$7:$AF$406,0),3),"0000000")),"")</f>
        <v/>
      </c>
      <c r="O19" s="1" t="str">
        <f>_xlfn.IFNA(TEXT(VLOOKUP(INDEX(女子エントリー!$J$7:$AF$406,MATCH(LEFT($B19,FIND("(",$B19)-1)&amp;RIGHT(O$1,1),女子エントリー!$AF$7:$AF$406,0),1),競技会設定!$T$2:$W$22,4,0),"000")&amp;"00 "&amp;IF(VLOOKUP(INDEX(女子エントリー!$J$7:$AF$406,MATCH(LEFT($B19,FIND("(",$B19)-1)&amp;RIGHT(O$1,1),女子エントリー!$AF$7:$AF$406,0),1),競技会設定!$T$2:$W$22,4,0)&gt;70,TEXT(INDEX(女子エントリー!$J$7:$AF$406,MATCH(LEFT($B19,FIND("(",$B19)-1)&amp;RIGHT(O$1,1),女子エントリー!$AF$7:$AF$406,0),3),"00000"),TEXT(INDEX(女子エントリー!$J$7:$AF$406,MATCH(LEFT($B19,FIND("(",$B19)-1)&amp;RIGHT(O$1,1),女子エントリー!$AF$7:$AF$406,0),3),"0000000")),"")</f>
        <v/>
      </c>
    </row>
    <row r="20" spans="1:15">
      <c r="A20" s="92" t="str">
        <f>女子エントリー!D79</f>
        <v/>
      </c>
      <c r="B20" s="1" t="str">
        <f>女子エントリー!E79&amp;"("&amp;女子エントリー!G79&amp;")"</f>
        <v>()</v>
      </c>
      <c r="C20" s="92" t="str">
        <f>女子エントリー!F79</f>
        <v/>
      </c>
      <c r="D20" s="92" t="str">
        <f>女子エントリー!E81</f>
        <v/>
      </c>
      <c r="E20" s="92" t="str">
        <f>女子エントリー!G81</f>
        <v/>
      </c>
      <c r="F20" s="1" t="str">
        <f t="shared" si="0"/>
        <v/>
      </c>
      <c r="G20" s="92" t="str">
        <f>_xlfn.IFNA(VLOOKUP(女子エントリー!G80,競技会設定!$D$3:$E$49,2,0),"")</f>
        <v/>
      </c>
      <c r="H20" s="92" t="str">
        <f>_xlfn.IFNA(INDEX(競技会設定!$J$3:$O$47,MATCH(女子エントリー!H79,競技会設定!$N$3:$N$47,0),2),"")</f>
        <v/>
      </c>
      <c r="K20" s="92">
        <f>女子エントリー!C79</f>
        <v>0</v>
      </c>
      <c r="L20" s="1" t="str">
        <f>_xlfn.IFNA(TEXT(VLOOKUP(INDEX(女子エントリー!$J$7:$AF$406,MATCH(LEFT($B20,FIND("(",$B20)-1)&amp;RIGHT(L$1,1),女子エントリー!$AF$7:$AF$406,0),1),競技会設定!$T$2:$W$22,4,0),"000")&amp;"00 "&amp;IF(VLOOKUP(INDEX(女子エントリー!$J$7:$AF$406,MATCH(LEFT($B20,FIND("(",$B20)-1)&amp;RIGHT(L$1,1),女子エントリー!$AF$7:$AF$406,0),1),競技会設定!$T$2:$W$22,4,0)&gt;70,TEXT(INDEX(女子エントリー!$J$7:$AF$406,MATCH(LEFT($B20,FIND("(",$B20)-1)&amp;RIGHT(L$1,1),女子エントリー!$AF$7:$AF$406,0),3),"00000"),TEXT(INDEX(女子エントリー!$J$7:$AF$406,MATCH(LEFT($B20,FIND("(",$B20)-1)&amp;RIGHT(L$1,1),女子エントリー!$AF$7:$AF$406,0),3),"0000000")),"")</f>
        <v/>
      </c>
      <c r="M20" s="1" t="str">
        <f>_xlfn.IFNA(TEXT(VLOOKUP(INDEX(女子エントリー!$J$7:$AF$406,MATCH(LEFT($B20,FIND("(",$B20)-1)&amp;RIGHT(M$1,1),女子エントリー!$AF$7:$AF$406,0),1),競技会設定!$T$2:$W$22,4,0),"000")&amp;"00 "&amp;IF(VLOOKUP(INDEX(女子エントリー!$J$7:$AF$406,MATCH(LEFT($B20,FIND("(",$B20)-1)&amp;RIGHT(M$1,1),女子エントリー!$AF$7:$AF$406,0),1),競技会設定!$T$2:$W$22,4,0)&gt;70,TEXT(INDEX(女子エントリー!$J$7:$AF$406,MATCH(LEFT($B20,FIND("(",$B20)-1)&amp;RIGHT(M$1,1),女子エントリー!$AF$7:$AF$406,0),3),"00000"),TEXT(INDEX(女子エントリー!$J$7:$AF$406,MATCH(LEFT($B20,FIND("(",$B20)-1)&amp;RIGHT(M$1,1),女子エントリー!$AF$7:$AF$406,0),3),"0000000")),"")</f>
        <v/>
      </c>
      <c r="N20" s="1" t="str">
        <f>_xlfn.IFNA(TEXT(VLOOKUP(INDEX(女子エントリー!$J$7:$AF$406,MATCH(LEFT($B20,FIND("(",$B20)-1)&amp;RIGHT(N$1,1),女子エントリー!$AF$7:$AF$406,0),1),競技会設定!$T$2:$W$22,4,0),"000")&amp;"00 "&amp;IF(VLOOKUP(INDEX(女子エントリー!$J$7:$AF$406,MATCH(LEFT($B20,FIND("(",$B20)-1)&amp;RIGHT(N$1,1),女子エントリー!$AF$7:$AF$406,0),1),競技会設定!$T$2:$W$22,4,0)&gt;70,TEXT(INDEX(女子エントリー!$J$7:$AF$406,MATCH(LEFT($B20,FIND("(",$B20)-1)&amp;RIGHT(N$1,1),女子エントリー!$AF$7:$AF$406,0),3),"00000"),TEXT(INDEX(女子エントリー!$J$7:$AF$406,MATCH(LEFT($B20,FIND("(",$B20)-1)&amp;RIGHT(N$1,1),女子エントリー!$AF$7:$AF$406,0),3),"0000000")),"")</f>
        <v/>
      </c>
      <c r="O20" s="1" t="str">
        <f>_xlfn.IFNA(TEXT(VLOOKUP(INDEX(女子エントリー!$J$7:$AF$406,MATCH(LEFT($B20,FIND("(",$B20)-1)&amp;RIGHT(O$1,1),女子エントリー!$AF$7:$AF$406,0),1),競技会設定!$T$2:$W$22,4,0),"000")&amp;"00 "&amp;IF(VLOOKUP(INDEX(女子エントリー!$J$7:$AF$406,MATCH(LEFT($B20,FIND("(",$B20)-1)&amp;RIGHT(O$1,1),女子エントリー!$AF$7:$AF$406,0),1),競技会設定!$T$2:$W$22,4,0)&gt;70,TEXT(INDEX(女子エントリー!$J$7:$AF$406,MATCH(LEFT($B20,FIND("(",$B20)-1)&amp;RIGHT(O$1,1),女子エントリー!$AF$7:$AF$406,0),3),"00000"),TEXT(INDEX(女子エントリー!$J$7:$AF$406,MATCH(LEFT($B20,FIND("(",$B20)-1)&amp;RIGHT(O$1,1),女子エントリー!$AF$7:$AF$406,0),3),"0000000")),"")</f>
        <v/>
      </c>
    </row>
    <row r="21" spans="1:15">
      <c r="A21" s="92" t="str">
        <f>女子エントリー!D83</f>
        <v/>
      </c>
      <c r="B21" s="1" t="str">
        <f>女子エントリー!E83&amp;"("&amp;女子エントリー!G83&amp;")"</f>
        <v>()</v>
      </c>
      <c r="C21" s="92" t="str">
        <f>女子エントリー!F83</f>
        <v/>
      </c>
      <c r="D21" s="92" t="str">
        <f>女子エントリー!E85</f>
        <v/>
      </c>
      <c r="E21" s="92" t="str">
        <f>女子エントリー!G85</f>
        <v/>
      </c>
      <c r="F21" s="1" t="str">
        <f t="shared" si="0"/>
        <v/>
      </c>
      <c r="G21" s="92" t="str">
        <f>_xlfn.IFNA(VLOOKUP(女子エントリー!G84,競技会設定!$D$3:$E$49,2,0),"")</f>
        <v/>
      </c>
      <c r="H21" s="92" t="str">
        <f>_xlfn.IFNA(INDEX(競技会設定!$J$3:$O$47,MATCH(女子エントリー!H83,競技会設定!$N$3:$N$47,0),2),"")</f>
        <v/>
      </c>
      <c r="K21" s="92">
        <f>女子エントリー!C83</f>
        <v>0</v>
      </c>
      <c r="L21" s="1" t="str">
        <f>_xlfn.IFNA(TEXT(VLOOKUP(INDEX(女子エントリー!$J$7:$AF$406,MATCH(LEFT($B21,FIND("(",$B21)-1)&amp;RIGHT(L$1,1),女子エントリー!$AF$7:$AF$406,0),1),競技会設定!$T$2:$W$22,4,0),"000")&amp;"00 "&amp;IF(VLOOKUP(INDEX(女子エントリー!$J$7:$AF$406,MATCH(LEFT($B21,FIND("(",$B21)-1)&amp;RIGHT(L$1,1),女子エントリー!$AF$7:$AF$406,0),1),競技会設定!$T$2:$W$22,4,0)&gt;70,TEXT(INDEX(女子エントリー!$J$7:$AF$406,MATCH(LEFT($B21,FIND("(",$B21)-1)&amp;RIGHT(L$1,1),女子エントリー!$AF$7:$AF$406,0),3),"00000"),TEXT(INDEX(女子エントリー!$J$7:$AF$406,MATCH(LEFT($B21,FIND("(",$B21)-1)&amp;RIGHT(L$1,1),女子エントリー!$AF$7:$AF$406,0),3),"0000000")),"")</f>
        <v/>
      </c>
      <c r="M21" s="1" t="str">
        <f>_xlfn.IFNA(TEXT(VLOOKUP(INDEX(女子エントリー!$J$7:$AF$406,MATCH(LEFT($B21,FIND("(",$B21)-1)&amp;RIGHT(M$1,1),女子エントリー!$AF$7:$AF$406,0),1),競技会設定!$T$2:$W$22,4,0),"000")&amp;"00 "&amp;IF(VLOOKUP(INDEX(女子エントリー!$J$7:$AF$406,MATCH(LEFT($B21,FIND("(",$B21)-1)&amp;RIGHT(M$1,1),女子エントリー!$AF$7:$AF$406,0),1),競技会設定!$T$2:$W$22,4,0)&gt;70,TEXT(INDEX(女子エントリー!$J$7:$AF$406,MATCH(LEFT($B21,FIND("(",$B21)-1)&amp;RIGHT(M$1,1),女子エントリー!$AF$7:$AF$406,0),3),"00000"),TEXT(INDEX(女子エントリー!$J$7:$AF$406,MATCH(LEFT($B21,FIND("(",$B21)-1)&amp;RIGHT(M$1,1),女子エントリー!$AF$7:$AF$406,0),3),"0000000")),"")</f>
        <v/>
      </c>
      <c r="N21" s="1" t="str">
        <f>_xlfn.IFNA(TEXT(VLOOKUP(INDEX(女子エントリー!$J$7:$AF$406,MATCH(LEFT($B21,FIND("(",$B21)-1)&amp;RIGHT(N$1,1),女子エントリー!$AF$7:$AF$406,0),1),競技会設定!$T$2:$W$22,4,0),"000")&amp;"00 "&amp;IF(VLOOKUP(INDEX(女子エントリー!$J$7:$AF$406,MATCH(LEFT($B21,FIND("(",$B21)-1)&amp;RIGHT(N$1,1),女子エントリー!$AF$7:$AF$406,0),1),競技会設定!$T$2:$W$22,4,0)&gt;70,TEXT(INDEX(女子エントリー!$J$7:$AF$406,MATCH(LEFT($B21,FIND("(",$B21)-1)&amp;RIGHT(N$1,1),女子エントリー!$AF$7:$AF$406,0),3),"00000"),TEXT(INDEX(女子エントリー!$J$7:$AF$406,MATCH(LEFT($B21,FIND("(",$B21)-1)&amp;RIGHT(N$1,1),女子エントリー!$AF$7:$AF$406,0),3),"0000000")),"")</f>
        <v/>
      </c>
      <c r="O21" s="1" t="str">
        <f>_xlfn.IFNA(TEXT(VLOOKUP(INDEX(女子エントリー!$J$7:$AF$406,MATCH(LEFT($B21,FIND("(",$B21)-1)&amp;RIGHT(O$1,1),女子エントリー!$AF$7:$AF$406,0),1),競技会設定!$T$2:$W$22,4,0),"000")&amp;"00 "&amp;IF(VLOOKUP(INDEX(女子エントリー!$J$7:$AF$406,MATCH(LEFT($B21,FIND("(",$B21)-1)&amp;RIGHT(O$1,1),女子エントリー!$AF$7:$AF$406,0),1),競技会設定!$T$2:$W$22,4,0)&gt;70,TEXT(INDEX(女子エントリー!$J$7:$AF$406,MATCH(LEFT($B21,FIND("(",$B21)-1)&amp;RIGHT(O$1,1),女子エントリー!$AF$7:$AF$406,0),3),"00000"),TEXT(INDEX(女子エントリー!$J$7:$AF$406,MATCH(LEFT($B21,FIND("(",$B21)-1)&amp;RIGHT(O$1,1),女子エントリー!$AF$7:$AF$406,0),3),"0000000")),"")</f>
        <v/>
      </c>
    </row>
    <row r="22" spans="1:15">
      <c r="A22" s="92" t="str">
        <f>女子エントリー!D87</f>
        <v/>
      </c>
      <c r="B22" s="1" t="str">
        <f>女子エントリー!E87&amp;"("&amp;女子エントリー!G87&amp;")"</f>
        <v>()</v>
      </c>
      <c r="C22" s="92" t="str">
        <f>女子エントリー!F87</f>
        <v/>
      </c>
      <c r="D22" s="92" t="str">
        <f>女子エントリー!E89</f>
        <v/>
      </c>
      <c r="E22" s="92" t="str">
        <f>女子エントリー!G89</f>
        <v/>
      </c>
      <c r="F22" s="1" t="str">
        <f t="shared" si="0"/>
        <v/>
      </c>
      <c r="G22" s="92" t="str">
        <f>_xlfn.IFNA(VLOOKUP(女子エントリー!G88,競技会設定!$D$3:$E$49,2,0),"")</f>
        <v/>
      </c>
      <c r="H22" s="92" t="str">
        <f>_xlfn.IFNA(INDEX(競技会設定!$J$3:$O$47,MATCH(女子エントリー!H87,競技会設定!$N$3:$N$47,0),2),"")</f>
        <v/>
      </c>
      <c r="K22" s="92">
        <f>女子エントリー!C87</f>
        <v>0</v>
      </c>
      <c r="L22" s="1" t="str">
        <f>_xlfn.IFNA(TEXT(VLOOKUP(INDEX(女子エントリー!$J$7:$AF$406,MATCH(LEFT($B22,FIND("(",$B22)-1)&amp;RIGHT(L$1,1),女子エントリー!$AF$7:$AF$406,0),1),競技会設定!$T$2:$W$22,4,0),"000")&amp;"00 "&amp;IF(VLOOKUP(INDEX(女子エントリー!$J$7:$AF$406,MATCH(LEFT($B22,FIND("(",$B22)-1)&amp;RIGHT(L$1,1),女子エントリー!$AF$7:$AF$406,0),1),競技会設定!$T$2:$W$22,4,0)&gt;70,TEXT(INDEX(女子エントリー!$J$7:$AF$406,MATCH(LEFT($B22,FIND("(",$B22)-1)&amp;RIGHT(L$1,1),女子エントリー!$AF$7:$AF$406,0),3),"00000"),TEXT(INDEX(女子エントリー!$J$7:$AF$406,MATCH(LEFT($B22,FIND("(",$B22)-1)&amp;RIGHT(L$1,1),女子エントリー!$AF$7:$AF$406,0),3),"0000000")),"")</f>
        <v/>
      </c>
      <c r="M22" s="1" t="str">
        <f>_xlfn.IFNA(TEXT(VLOOKUP(INDEX(女子エントリー!$J$7:$AF$406,MATCH(LEFT($B22,FIND("(",$B22)-1)&amp;RIGHT(M$1,1),女子エントリー!$AF$7:$AF$406,0),1),競技会設定!$T$2:$W$22,4,0),"000")&amp;"00 "&amp;IF(VLOOKUP(INDEX(女子エントリー!$J$7:$AF$406,MATCH(LEFT($B22,FIND("(",$B22)-1)&amp;RIGHT(M$1,1),女子エントリー!$AF$7:$AF$406,0),1),競技会設定!$T$2:$W$22,4,0)&gt;70,TEXT(INDEX(女子エントリー!$J$7:$AF$406,MATCH(LEFT($B22,FIND("(",$B22)-1)&amp;RIGHT(M$1,1),女子エントリー!$AF$7:$AF$406,0),3),"00000"),TEXT(INDEX(女子エントリー!$J$7:$AF$406,MATCH(LEFT($B22,FIND("(",$B22)-1)&amp;RIGHT(M$1,1),女子エントリー!$AF$7:$AF$406,0),3),"0000000")),"")</f>
        <v/>
      </c>
      <c r="N22" s="1" t="str">
        <f>_xlfn.IFNA(TEXT(VLOOKUP(INDEX(女子エントリー!$J$7:$AF$406,MATCH(LEFT($B22,FIND("(",$B22)-1)&amp;RIGHT(N$1,1),女子エントリー!$AF$7:$AF$406,0),1),競技会設定!$T$2:$W$22,4,0),"000")&amp;"00 "&amp;IF(VLOOKUP(INDEX(女子エントリー!$J$7:$AF$406,MATCH(LEFT($B22,FIND("(",$B22)-1)&amp;RIGHT(N$1,1),女子エントリー!$AF$7:$AF$406,0),1),競技会設定!$T$2:$W$22,4,0)&gt;70,TEXT(INDEX(女子エントリー!$J$7:$AF$406,MATCH(LEFT($B22,FIND("(",$B22)-1)&amp;RIGHT(N$1,1),女子エントリー!$AF$7:$AF$406,0),3),"00000"),TEXT(INDEX(女子エントリー!$J$7:$AF$406,MATCH(LEFT($B22,FIND("(",$B22)-1)&amp;RIGHT(N$1,1),女子エントリー!$AF$7:$AF$406,0),3),"0000000")),"")</f>
        <v/>
      </c>
      <c r="O22" s="1" t="str">
        <f>_xlfn.IFNA(TEXT(VLOOKUP(INDEX(女子エントリー!$J$7:$AF$406,MATCH(LEFT($B22,FIND("(",$B22)-1)&amp;RIGHT(O$1,1),女子エントリー!$AF$7:$AF$406,0),1),競技会設定!$T$2:$W$22,4,0),"000")&amp;"00 "&amp;IF(VLOOKUP(INDEX(女子エントリー!$J$7:$AF$406,MATCH(LEFT($B22,FIND("(",$B22)-1)&amp;RIGHT(O$1,1),女子エントリー!$AF$7:$AF$406,0),1),競技会設定!$T$2:$W$22,4,0)&gt;70,TEXT(INDEX(女子エントリー!$J$7:$AF$406,MATCH(LEFT($B22,FIND("(",$B22)-1)&amp;RIGHT(O$1,1),女子エントリー!$AF$7:$AF$406,0),3),"00000"),TEXT(INDEX(女子エントリー!$J$7:$AF$406,MATCH(LEFT($B22,FIND("(",$B22)-1)&amp;RIGHT(O$1,1),女子エントリー!$AF$7:$AF$406,0),3),"0000000")),"")</f>
        <v/>
      </c>
    </row>
    <row r="23" spans="1:15">
      <c r="A23" s="92" t="str">
        <f>女子エントリー!D91</f>
        <v/>
      </c>
      <c r="B23" s="1" t="str">
        <f>女子エントリー!E91&amp;"("&amp;女子エントリー!G91&amp;")"</f>
        <v>()</v>
      </c>
      <c r="C23" s="92" t="str">
        <f>女子エントリー!F91</f>
        <v/>
      </c>
      <c r="D23" s="92" t="str">
        <f>女子エントリー!E93</f>
        <v/>
      </c>
      <c r="E23" s="92" t="str">
        <f>女子エントリー!G93</f>
        <v/>
      </c>
      <c r="F23" s="1" t="str">
        <f t="shared" si="0"/>
        <v/>
      </c>
      <c r="G23" s="92" t="str">
        <f>_xlfn.IFNA(VLOOKUP(女子エントリー!G92,競技会設定!$D$3:$E$49,2,0),"")</f>
        <v/>
      </c>
      <c r="H23" s="92" t="str">
        <f>_xlfn.IFNA(INDEX(競技会設定!$J$3:$O$47,MATCH(女子エントリー!H91,競技会設定!$N$3:$N$47,0),2),"")</f>
        <v/>
      </c>
      <c r="K23" s="92">
        <f>女子エントリー!C91</f>
        <v>0</v>
      </c>
      <c r="L23" s="1" t="str">
        <f>_xlfn.IFNA(TEXT(VLOOKUP(INDEX(女子エントリー!$J$7:$AF$406,MATCH(LEFT($B23,FIND("(",$B23)-1)&amp;RIGHT(L$1,1),女子エントリー!$AF$7:$AF$406,0),1),競技会設定!$T$2:$W$22,4,0),"000")&amp;"00 "&amp;IF(VLOOKUP(INDEX(女子エントリー!$J$7:$AF$406,MATCH(LEFT($B23,FIND("(",$B23)-1)&amp;RIGHT(L$1,1),女子エントリー!$AF$7:$AF$406,0),1),競技会設定!$T$2:$W$22,4,0)&gt;70,TEXT(INDEX(女子エントリー!$J$7:$AF$406,MATCH(LEFT($B23,FIND("(",$B23)-1)&amp;RIGHT(L$1,1),女子エントリー!$AF$7:$AF$406,0),3),"00000"),TEXT(INDEX(女子エントリー!$J$7:$AF$406,MATCH(LEFT($B23,FIND("(",$B23)-1)&amp;RIGHT(L$1,1),女子エントリー!$AF$7:$AF$406,0),3),"0000000")),"")</f>
        <v/>
      </c>
      <c r="M23" s="1" t="str">
        <f>_xlfn.IFNA(TEXT(VLOOKUP(INDEX(女子エントリー!$J$7:$AF$406,MATCH(LEFT($B23,FIND("(",$B23)-1)&amp;RIGHT(M$1,1),女子エントリー!$AF$7:$AF$406,0),1),競技会設定!$T$2:$W$22,4,0),"000")&amp;"00 "&amp;IF(VLOOKUP(INDEX(女子エントリー!$J$7:$AF$406,MATCH(LEFT($B23,FIND("(",$B23)-1)&amp;RIGHT(M$1,1),女子エントリー!$AF$7:$AF$406,0),1),競技会設定!$T$2:$W$22,4,0)&gt;70,TEXT(INDEX(女子エントリー!$J$7:$AF$406,MATCH(LEFT($B23,FIND("(",$B23)-1)&amp;RIGHT(M$1,1),女子エントリー!$AF$7:$AF$406,0),3),"00000"),TEXT(INDEX(女子エントリー!$J$7:$AF$406,MATCH(LEFT($B23,FIND("(",$B23)-1)&amp;RIGHT(M$1,1),女子エントリー!$AF$7:$AF$406,0),3),"0000000")),"")</f>
        <v/>
      </c>
      <c r="N23" s="1" t="str">
        <f>_xlfn.IFNA(TEXT(VLOOKUP(INDEX(女子エントリー!$J$7:$AF$406,MATCH(LEFT($B23,FIND("(",$B23)-1)&amp;RIGHT(N$1,1),女子エントリー!$AF$7:$AF$406,0),1),競技会設定!$T$2:$W$22,4,0),"000")&amp;"00 "&amp;IF(VLOOKUP(INDEX(女子エントリー!$J$7:$AF$406,MATCH(LEFT($B23,FIND("(",$B23)-1)&amp;RIGHT(N$1,1),女子エントリー!$AF$7:$AF$406,0),1),競技会設定!$T$2:$W$22,4,0)&gt;70,TEXT(INDEX(女子エントリー!$J$7:$AF$406,MATCH(LEFT($B23,FIND("(",$B23)-1)&amp;RIGHT(N$1,1),女子エントリー!$AF$7:$AF$406,0),3),"00000"),TEXT(INDEX(女子エントリー!$J$7:$AF$406,MATCH(LEFT($B23,FIND("(",$B23)-1)&amp;RIGHT(N$1,1),女子エントリー!$AF$7:$AF$406,0),3),"0000000")),"")</f>
        <v/>
      </c>
      <c r="O23" s="1" t="str">
        <f>_xlfn.IFNA(TEXT(VLOOKUP(INDEX(女子エントリー!$J$7:$AF$406,MATCH(LEFT($B23,FIND("(",$B23)-1)&amp;RIGHT(O$1,1),女子エントリー!$AF$7:$AF$406,0),1),競技会設定!$T$2:$W$22,4,0),"000")&amp;"00 "&amp;IF(VLOOKUP(INDEX(女子エントリー!$J$7:$AF$406,MATCH(LEFT($B23,FIND("(",$B23)-1)&amp;RIGHT(O$1,1),女子エントリー!$AF$7:$AF$406,0),1),競技会設定!$T$2:$W$22,4,0)&gt;70,TEXT(INDEX(女子エントリー!$J$7:$AF$406,MATCH(LEFT($B23,FIND("(",$B23)-1)&amp;RIGHT(O$1,1),女子エントリー!$AF$7:$AF$406,0),3),"00000"),TEXT(INDEX(女子エントリー!$J$7:$AF$406,MATCH(LEFT($B23,FIND("(",$B23)-1)&amp;RIGHT(O$1,1),女子エントリー!$AF$7:$AF$406,0),3),"0000000")),"")</f>
        <v/>
      </c>
    </row>
    <row r="24" spans="1:15">
      <c r="A24" s="92" t="str">
        <f>女子エントリー!D95</f>
        <v/>
      </c>
      <c r="B24" s="1" t="str">
        <f>女子エントリー!E95&amp;"("&amp;女子エントリー!G95&amp;")"</f>
        <v>()</v>
      </c>
      <c r="C24" s="92" t="str">
        <f>女子エントリー!F95</f>
        <v/>
      </c>
      <c r="D24" s="92" t="str">
        <f>女子エントリー!E97</f>
        <v/>
      </c>
      <c r="E24" s="92" t="str">
        <f>女子エントリー!G97</f>
        <v/>
      </c>
      <c r="F24" s="1" t="str">
        <f t="shared" si="0"/>
        <v/>
      </c>
      <c r="G24" s="92" t="str">
        <f>_xlfn.IFNA(VLOOKUP(女子エントリー!G96,競技会設定!$D$3:$E$49,2,0),"")</f>
        <v/>
      </c>
      <c r="H24" s="92" t="str">
        <f>_xlfn.IFNA(INDEX(競技会設定!$J$3:$O$47,MATCH(女子エントリー!H95,競技会設定!$N$3:$N$47,0),2),"")</f>
        <v/>
      </c>
      <c r="K24" s="92">
        <f>女子エントリー!C95</f>
        <v>0</v>
      </c>
      <c r="L24" s="1" t="str">
        <f>_xlfn.IFNA(TEXT(VLOOKUP(INDEX(女子エントリー!$J$7:$AF$406,MATCH(LEFT($B24,FIND("(",$B24)-1)&amp;RIGHT(L$1,1),女子エントリー!$AF$7:$AF$406,0),1),競技会設定!$T$2:$W$22,4,0),"000")&amp;"00 "&amp;IF(VLOOKUP(INDEX(女子エントリー!$J$7:$AF$406,MATCH(LEFT($B24,FIND("(",$B24)-1)&amp;RIGHT(L$1,1),女子エントリー!$AF$7:$AF$406,0),1),競技会設定!$T$2:$W$22,4,0)&gt;70,TEXT(INDEX(女子エントリー!$J$7:$AF$406,MATCH(LEFT($B24,FIND("(",$B24)-1)&amp;RIGHT(L$1,1),女子エントリー!$AF$7:$AF$406,0),3),"00000"),TEXT(INDEX(女子エントリー!$J$7:$AF$406,MATCH(LEFT($B24,FIND("(",$B24)-1)&amp;RIGHT(L$1,1),女子エントリー!$AF$7:$AF$406,0),3),"0000000")),"")</f>
        <v/>
      </c>
      <c r="M24" s="1" t="str">
        <f>_xlfn.IFNA(TEXT(VLOOKUP(INDEX(女子エントリー!$J$7:$AF$406,MATCH(LEFT($B24,FIND("(",$B24)-1)&amp;RIGHT(M$1,1),女子エントリー!$AF$7:$AF$406,0),1),競技会設定!$T$2:$W$22,4,0),"000")&amp;"00 "&amp;IF(VLOOKUP(INDEX(女子エントリー!$J$7:$AF$406,MATCH(LEFT($B24,FIND("(",$B24)-1)&amp;RIGHT(M$1,1),女子エントリー!$AF$7:$AF$406,0),1),競技会設定!$T$2:$W$22,4,0)&gt;70,TEXT(INDEX(女子エントリー!$J$7:$AF$406,MATCH(LEFT($B24,FIND("(",$B24)-1)&amp;RIGHT(M$1,1),女子エントリー!$AF$7:$AF$406,0),3),"00000"),TEXT(INDEX(女子エントリー!$J$7:$AF$406,MATCH(LEFT($B24,FIND("(",$B24)-1)&amp;RIGHT(M$1,1),女子エントリー!$AF$7:$AF$406,0),3),"0000000")),"")</f>
        <v/>
      </c>
      <c r="N24" s="1" t="str">
        <f>_xlfn.IFNA(TEXT(VLOOKUP(INDEX(女子エントリー!$J$7:$AF$406,MATCH(LEFT($B24,FIND("(",$B24)-1)&amp;RIGHT(N$1,1),女子エントリー!$AF$7:$AF$406,0),1),競技会設定!$T$2:$W$22,4,0),"000")&amp;"00 "&amp;IF(VLOOKUP(INDEX(女子エントリー!$J$7:$AF$406,MATCH(LEFT($B24,FIND("(",$B24)-1)&amp;RIGHT(N$1,1),女子エントリー!$AF$7:$AF$406,0),1),競技会設定!$T$2:$W$22,4,0)&gt;70,TEXT(INDEX(女子エントリー!$J$7:$AF$406,MATCH(LEFT($B24,FIND("(",$B24)-1)&amp;RIGHT(N$1,1),女子エントリー!$AF$7:$AF$406,0),3),"00000"),TEXT(INDEX(女子エントリー!$J$7:$AF$406,MATCH(LEFT($B24,FIND("(",$B24)-1)&amp;RIGHT(N$1,1),女子エントリー!$AF$7:$AF$406,0),3),"0000000")),"")</f>
        <v/>
      </c>
      <c r="O24" s="1" t="str">
        <f>_xlfn.IFNA(TEXT(VLOOKUP(INDEX(女子エントリー!$J$7:$AF$406,MATCH(LEFT($B24,FIND("(",$B24)-1)&amp;RIGHT(O$1,1),女子エントリー!$AF$7:$AF$406,0),1),競技会設定!$T$2:$W$22,4,0),"000")&amp;"00 "&amp;IF(VLOOKUP(INDEX(女子エントリー!$J$7:$AF$406,MATCH(LEFT($B24,FIND("(",$B24)-1)&amp;RIGHT(O$1,1),女子エントリー!$AF$7:$AF$406,0),1),競技会設定!$T$2:$W$22,4,0)&gt;70,TEXT(INDEX(女子エントリー!$J$7:$AF$406,MATCH(LEFT($B24,FIND("(",$B24)-1)&amp;RIGHT(O$1,1),女子エントリー!$AF$7:$AF$406,0),3),"00000"),TEXT(INDEX(女子エントリー!$J$7:$AF$406,MATCH(LEFT($B24,FIND("(",$B24)-1)&amp;RIGHT(O$1,1),女子エントリー!$AF$7:$AF$406,0),3),"0000000")),"")</f>
        <v/>
      </c>
    </row>
    <row r="25" spans="1:15">
      <c r="A25" s="92" t="str">
        <f>女子エントリー!D99</f>
        <v/>
      </c>
      <c r="B25" s="1" t="str">
        <f>女子エントリー!E99&amp;"("&amp;女子エントリー!G99&amp;")"</f>
        <v>()</v>
      </c>
      <c r="C25" s="92" t="str">
        <f>女子エントリー!F99</f>
        <v/>
      </c>
      <c r="D25" s="92" t="str">
        <f>女子エントリー!E101</f>
        <v/>
      </c>
      <c r="E25" s="92" t="str">
        <f>女子エントリー!G101</f>
        <v/>
      </c>
      <c r="F25" s="1" t="str">
        <f t="shared" si="0"/>
        <v/>
      </c>
      <c r="G25" s="92" t="str">
        <f>_xlfn.IFNA(VLOOKUP(女子エントリー!G100,競技会設定!$D$3:$E$49,2,0),"")</f>
        <v/>
      </c>
      <c r="H25" s="92" t="str">
        <f>_xlfn.IFNA(INDEX(競技会設定!$J$3:$O$47,MATCH(女子エントリー!H99,競技会設定!$N$3:$N$47,0),2),"")</f>
        <v/>
      </c>
      <c r="K25" s="92">
        <f>女子エントリー!C99</f>
        <v>0</v>
      </c>
      <c r="L25" s="1" t="str">
        <f>_xlfn.IFNA(TEXT(VLOOKUP(INDEX(女子エントリー!$J$7:$AF$406,MATCH(LEFT($B25,FIND("(",$B25)-1)&amp;RIGHT(L$1,1),女子エントリー!$AF$7:$AF$406,0),1),競技会設定!$T$2:$W$22,4,0),"000")&amp;"00 "&amp;IF(VLOOKUP(INDEX(女子エントリー!$J$7:$AF$406,MATCH(LEFT($B25,FIND("(",$B25)-1)&amp;RIGHT(L$1,1),女子エントリー!$AF$7:$AF$406,0),1),競技会設定!$T$2:$W$22,4,0)&gt;70,TEXT(INDEX(女子エントリー!$J$7:$AF$406,MATCH(LEFT($B25,FIND("(",$B25)-1)&amp;RIGHT(L$1,1),女子エントリー!$AF$7:$AF$406,0),3),"00000"),TEXT(INDEX(女子エントリー!$J$7:$AF$406,MATCH(LEFT($B25,FIND("(",$B25)-1)&amp;RIGHT(L$1,1),女子エントリー!$AF$7:$AF$406,0),3),"0000000")),"")</f>
        <v/>
      </c>
      <c r="M25" s="1" t="str">
        <f>_xlfn.IFNA(TEXT(VLOOKUP(INDEX(女子エントリー!$J$7:$AF$406,MATCH(LEFT($B25,FIND("(",$B25)-1)&amp;RIGHT(M$1,1),女子エントリー!$AF$7:$AF$406,0),1),競技会設定!$T$2:$W$22,4,0),"000")&amp;"00 "&amp;IF(VLOOKUP(INDEX(女子エントリー!$J$7:$AF$406,MATCH(LEFT($B25,FIND("(",$B25)-1)&amp;RIGHT(M$1,1),女子エントリー!$AF$7:$AF$406,0),1),競技会設定!$T$2:$W$22,4,0)&gt;70,TEXT(INDEX(女子エントリー!$J$7:$AF$406,MATCH(LEFT($B25,FIND("(",$B25)-1)&amp;RIGHT(M$1,1),女子エントリー!$AF$7:$AF$406,0),3),"00000"),TEXT(INDEX(女子エントリー!$J$7:$AF$406,MATCH(LEFT($B25,FIND("(",$B25)-1)&amp;RIGHT(M$1,1),女子エントリー!$AF$7:$AF$406,0),3),"0000000")),"")</f>
        <v/>
      </c>
      <c r="N25" s="1" t="str">
        <f>_xlfn.IFNA(TEXT(VLOOKUP(INDEX(女子エントリー!$J$7:$AF$406,MATCH(LEFT($B25,FIND("(",$B25)-1)&amp;RIGHT(N$1,1),女子エントリー!$AF$7:$AF$406,0),1),競技会設定!$T$2:$W$22,4,0),"000")&amp;"00 "&amp;IF(VLOOKUP(INDEX(女子エントリー!$J$7:$AF$406,MATCH(LEFT($B25,FIND("(",$B25)-1)&amp;RIGHT(N$1,1),女子エントリー!$AF$7:$AF$406,0),1),競技会設定!$T$2:$W$22,4,0)&gt;70,TEXT(INDEX(女子エントリー!$J$7:$AF$406,MATCH(LEFT($B25,FIND("(",$B25)-1)&amp;RIGHT(N$1,1),女子エントリー!$AF$7:$AF$406,0),3),"00000"),TEXT(INDEX(女子エントリー!$J$7:$AF$406,MATCH(LEFT($B25,FIND("(",$B25)-1)&amp;RIGHT(N$1,1),女子エントリー!$AF$7:$AF$406,0),3),"0000000")),"")</f>
        <v/>
      </c>
      <c r="O25" s="1" t="str">
        <f>_xlfn.IFNA(TEXT(VLOOKUP(INDEX(女子エントリー!$J$7:$AF$406,MATCH(LEFT($B25,FIND("(",$B25)-1)&amp;RIGHT(O$1,1),女子エントリー!$AF$7:$AF$406,0),1),競技会設定!$T$2:$W$22,4,0),"000")&amp;"00 "&amp;IF(VLOOKUP(INDEX(女子エントリー!$J$7:$AF$406,MATCH(LEFT($B25,FIND("(",$B25)-1)&amp;RIGHT(O$1,1),女子エントリー!$AF$7:$AF$406,0),1),競技会設定!$T$2:$W$22,4,0)&gt;70,TEXT(INDEX(女子エントリー!$J$7:$AF$406,MATCH(LEFT($B25,FIND("(",$B25)-1)&amp;RIGHT(O$1,1),女子エントリー!$AF$7:$AF$406,0),3),"00000"),TEXT(INDEX(女子エントリー!$J$7:$AF$406,MATCH(LEFT($B25,FIND("(",$B25)-1)&amp;RIGHT(O$1,1),女子エントリー!$AF$7:$AF$406,0),3),"0000000")),"")</f>
        <v/>
      </c>
    </row>
    <row r="26" spans="1:15">
      <c r="A26" s="92" t="str">
        <f>女子エントリー!D103</f>
        <v/>
      </c>
      <c r="B26" s="1" t="str">
        <f>女子エントリー!E103&amp;"("&amp;女子エントリー!G103&amp;")"</f>
        <v>()</v>
      </c>
      <c r="C26" s="92" t="str">
        <f>女子エントリー!F103</f>
        <v/>
      </c>
      <c r="D26" s="92" t="str">
        <f>女子エントリー!E105</f>
        <v/>
      </c>
      <c r="E26" s="92" t="str">
        <f>女子エントリー!G105</f>
        <v/>
      </c>
      <c r="F26" s="1" t="str">
        <f t="shared" si="0"/>
        <v/>
      </c>
      <c r="G26" s="92" t="str">
        <f>_xlfn.IFNA(VLOOKUP(女子エントリー!G104,競技会設定!$D$3:$E$49,2,0),"")</f>
        <v/>
      </c>
      <c r="H26" s="92" t="str">
        <f>_xlfn.IFNA(INDEX(競技会設定!$J$3:$O$47,MATCH(女子エントリー!H103,競技会設定!$N$3:$N$47,0),2),"")</f>
        <v/>
      </c>
      <c r="K26" s="92">
        <f>女子エントリー!C103</f>
        <v>0</v>
      </c>
      <c r="L26" s="1" t="str">
        <f>_xlfn.IFNA(TEXT(VLOOKUP(INDEX(女子エントリー!$J$7:$AF$406,MATCH(LEFT($B26,FIND("(",$B26)-1)&amp;RIGHT(L$1,1),女子エントリー!$AF$7:$AF$406,0),1),競技会設定!$T$2:$W$22,4,0),"000")&amp;"00 "&amp;IF(VLOOKUP(INDEX(女子エントリー!$J$7:$AF$406,MATCH(LEFT($B26,FIND("(",$B26)-1)&amp;RIGHT(L$1,1),女子エントリー!$AF$7:$AF$406,0),1),競技会設定!$T$2:$W$22,4,0)&gt;70,TEXT(INDEX(女子エントリー!$J$7:$AF$406,MATCH(LEFT($B26,FIND("(",$B26)-1)&amp;RIGHT(L$1,1),女子エントリー!$AF$7:$AF$406,0),3),"00000"),TEXT(INDEX(女子エントリー!$J$7:$AF$406,MATCH(LEFT($B26,FIND("(",$B26)-1)&amp;RIGHT(L$1,1),女子エントリー!$AF$7:$AF$406,0),3),"0000000")),"")</f>
        <v/>
      </c>
      <c r="M26" s="1" t="str">
        <f>_xlfn.IFNA(TEXT(VLOOKUP(INDEX(女子エントリー!$J$7:$AF$406,MATCH(LEFT($B26,FIND("(",$B26)-1)&amp;RIGHT(M$1,1),女子エントリー!$AF$7:$AF$406,0),1),競技会設定!$T$2:$W$22,4,0),"000")&amp;"00 "&amp;IF(VLOOKUP(INDEX(女子エントリー!$J$7:$AF$406,MATCH(LEFT($B26,FIND("(",$B26)-1)&amp;RIGHT(M$1,1),女子エントリー!$AF$7:$AF$406,0),1),競技会設定!$T$2:$W$22,4,0)&gt;70,TEXT(INDEX(女子エントリー!$J$7:$AF$406,MATCH(LEFT($B26,FIND("(",$B26)-1)&amp;RIGHT(M$1,1),女子エントリー!$AF$7:$AF$406,0),3),"00000"),TEXT(INDEX(女子エントリー!$J$7:$AF$406,MATCH(LEFT($B26,FIND("(",$B26)-1)&amp;RIGHT(M$1,1),女子エントリー!$AF$7:$AF$406,0),3),"0000000")),"")</f>
        <v/>
      </c>
      <c r="N26" s="1" t="str">
        <f>_xlfn.IFNA(TEXT(VLOOKUP(INDEX(女子エントリー!$J$7:$AF$406,MATCH(LEFT($B26,FIND("(",$B26)-1)&amp;RIGHT(N$1,1),女子エントリー!$AF$7:$AF$406,0),1),競技会設定!$T$2:$W$22,4,0),"000")&amp;"00 "&amp;IF(VLOOKUP(INDEX(女子エントリー!$J$7:$AF$406,MATCH(LEFT($B26,FIND("(",$B26)-1)&amp;RIGHT(N$1,1),女子エントリー!$AF$7:$AF$406,0),1),競技会設定!$T$2:$W$22,4,0)&gt;70,TEXT(INDEX(女子エントリー!$J$7:$AF$406,MATCH(LEFT($B26,FIND("(",$B26)-1)&amp;RIGHT(N$1,1),女子エントリー!$AF$7:$AF$406,0),3),"00000"),TEXT(INDEX(女子エントリー!$J$7:$AF$406,MATCH(LEFT($B26,FIND("(",$B26)-1)&amp;RIGHT(N$1,1),女子エントリー!$AF$7:$AF$406,0),3),"0000000")),"")</f>
        <v/>
      </c>
      <c r="O26" s="1" t="str">
        <f>_xlfn.IFNA(TEXT(VLOOKUP(INDEX(女子エントリー!$J$7:$AF$406,MATCH(LEFT($B26,FIND("(",$B26)-1)&amp;RIGHT(O$1,1),女子エントリー!$AF$7:$AF$406,0),1),競技会設定!$T$2:$W$22,4,0),"000")&amp;"00 "&amp;IF(VLOOKUP(INDEX(女子エントリー!$J$7:$AF$406,MATCH(LEFT($B26,FIND("(",$B26)-1)&amp;RIGHT(O$1,1),女子エントリー!$AF$7:$AF$406,0),1),競技会設定!$T$2:$W$22,4,0)&gt;70,TEXT(INDEX(女子エントリー!$J$7:$AF$406,MATCH(LEFT($B26,FIND("(",$B26)-1)&amp;RIGHT(O$1,1),女子エントリー!$AF$7:$AF$406,0),3),"00000"),TEXT(INDEX(女子エントリー!$J$7:$AF$406,MATCH(LEFT($B26,FIND("(",$B26)-1)&amp;RIGHT(O$1,1),女子エントリー!$AF$7:$AF$406,0),3),"0000000")),"")</f>
        <v/>
      </c>
    </row>
    <row r="27" spans="1:15">
      <c r="A27" s="92" t="str">
        <f>女子エントリー!D107</f>
        <v/>
      </c>
      <c r="B27" s="1" t="str">
        <f>女子エントリー!E107&amp;"("&amp;女子エントリー!G107&amp;")"</f>
        <v>()</v>
      </c>
      <c r="C27" s="92" t="str">
        <f>女子エントリー!F107</f>
        <v/>
      </c>
      <c r="D27" s="92" t="str">
        <f>女子エントリー!E109</f>
        <v/>
      </c>
      <c r="E27" s="92" t="str">
        <f>女子エントリー!G109</f>
        <v/>
      </c>
      <c r="F27" s="1" t="str">
        <f t="shared" si="0"/>
        <v/>
      </c>
      <c r="G27" s="92" t="str">
        <f>_xlfn.IFNA(VLOOKUP(女子エントリー!G108,競技会設定!$D$3:$E$49,2,0),"")</f>
        <v/>
      </c>
      <c r="H27" s="92" t="str">
        <f>_xlfn.IFNA(INDEX(競技会設定!$J$3:$O$47,MATCH(女子エントリー!H107,競技会設定!$N$3:$N$47,0),2),"")</f>
        <v/>
      </c>
      <c r="K27" s="92">
        <f>女子エントリー!C107</f>
        <v>0</v>
      </c>
      <c r="L27" s="1" t="str">
        <f>_xlfn.IFNA(TEXT(VLOOKUP(INDEX(女子エントリー!$J$7:$AF$406,MATCH(LEFT($B27,FIND("(",$B27)-1)&amp;RIGHT(L$1,1),女子エントリー!$AF$7:$AF$406,0),1),競技会設定!$T$2:$W$22,4,0),"000")&amp;"00 "&amp;IF(VLOOKUP(INDEX(女子エントリー!$J$7:$AF$406,MATCH(LEFT($B27,FIND("(",$B27)-1)&amp;RIGHT(L$1,1),女子エントリー!$AF$7:$AF$406,0),1),競技会設定!$T$2:$W$22,4,0)&gt;70,TEXT(INDEX(女子エントリー!$J$7:$AF$406,MATCH(LEFT($B27,FIND("(",$B27)-1)&amp;RIGHT(L$1,1),女子エントリー!$AF$7:$AF$406,0),3),"00000"),TEXT(INDEX(女子エントリー!$J$7:$AF$406,MATCH(LEFT($B27,FIND("(",$B27)-1)&amp;RIGHT(L$1,1),女子エントリー!$AF$7:$AF$406,0),3),"0000000")),"")</f>
        <v/>
      </c>
      <c r="M27" s="1" t="str">
        <f>_xlfn.IFNA(TEXT(VLOOKUP(INDEX(女子エントリー!$J$7:$AF$406,MATCH(LEFT($B27,FIND("(",$B27)-1)&amp;RIGHT(M$1,1),女子エントリー!$AF$7:$AF$406,0),1),競技会設定!$T$2:$W$22,4,0),"000")&amp;"00 "&amp;IF(VLOOKUP(INDEX(女子エントリー!$J$7:$AF$406,MATCH(LEFT($B27,FIND("(",$B27)-1)&amp;RIGHT(M$1,1),女子エントリー!$AF$7:$AF$406,0),1),競技会設定!$T$2:$W$22,4,0)&gt;70,TEXT(INDEX(女子エントリー!$J$7:$AF$406,MATCH(LEFT($B27,FIND("(",$B27)-1)&amp;RIGHT(M$1,1),女子エントリー!$AF$7:$AF$406,0),3),"00000"),TEXT(INDEX(女子エントリー!$J$7:$AF$406,MATCH(LEFT($B27,FIND("(",$B27)-1)&amp;RIGHT(M$1,1),女子エントリー!$AF$7:$AF$406,0),3),"0000000")),"")</f>
        <v/>
      </c>
      <c r="N27" s="1" t="str">
        <f>_xlfn.IFNA(TEXT(VLOOKUP(INDEX(女子エントリー!$J$7:$AF$406,MATCH(LEFT($B27,FIND("(",$B27)-1)&amp;RIGHT(N$1,1),女子エントリー!$AF$7:$AF$406,0),1),競技会設定!$T$2:$W$22,4,0),"000")&amp;"00 "&amp;IF(VLOOKUP(INDEX(女子エントリー!$J$7:$AF$406,MATCH(LEFT($B27,FIND("(",$B27)-1)&amp;RIGHT(N$1,1),女子エントリー!$AF$7:$AF$406,0),1),競技会設定!$T$2:$W$22,4,0)&gt;70,TEXT(INDEX(女子エントリー!$J$7:$AF$406,MATCH(LEFT($B27,FIND("(",$B27)-1)&amp;RIGHT(N$1,1),女子エントリー!$AF$7:$AF$406,0),3),"00000"),TEXT(INDEX(女子エントリー!$J$7:$AF$406,MATCH(LEFT($B27,FIND("(",$B27)-1)&amp;RIGHT(N$1,1),女子エントリー!$AF$7:$AF$406,0),3),"0000000")),"")</f>
        <v/>
      </c>
      <c r="O27" s="1" t="str">
        <f>_xlfn.IFNA(TEXT(VLOOKUP(INDEX(女子エントリー!$J$7:$AF$406,MATCH(LEFT($B27,FIND("(",$B27)-1)&amp;RIGHT(O$1,1),女子エントリー!$AF$7:$AF$406,0),1),競技会設定!$T$2:$W$22,4,0),"000")&amp;"00 "&amp;IF(VLOOKUP(INDEX(女子エントリー!$J$7:$AF$406,MATCH(LEFT($B27,FIND("(",$B27)-1)&amp;RIGHT(O$1,1),女子エントリー!$AF$7:$AF$406,0),1),競技会設定!$T$2:$W$22,4,0)&gt;70,TEXT(INDEX(女子エントリー!$J$7:$AF$406,MATCH(LEFT($B27,FIND("(",$B27)-1)&amp;RIGHT(O$1,1),女子エントリー!$AF$7:$AF$406,0),3),"00000"),TEXT(INDEX(女子エントリー!$J$7:$AF$406,MATCH(LEFT($B27,FIND("(",$B27)-1)&amp;RIGHT(O$1,1),女子エントリー!$AF$7:$AF$406,0),3),"0000000")),"")</f>
        <v/>
      </c>
    </row>
    <row r="28" spans="1:15">
      <c r="A28" s="92" t="str">
        <f>女子エントリー!D111</f>
        <v/>
      </c>
      <c r="B28" s="1" t="str">
        <f>女子エントリー!E111&amp;"("&amp;女子エントリー!G111&amp;")"</f>
        <v>()</v>
      </c>
      <c r="C28" s="92" t="str">
        <f>女子エントリー!F111</f>
        <v/>
      </c>
      <c r="D28" s="92" t="str">
        <f>女子エントリー!E113</f>
        <v/>
      </c>
      <c r="E28" s="92" t="str">
        <f>女子エントリー!G113</f>
        <v/>
      </c>
      <c r="F28" s="1" t="str">
        <f t="shared" si="0"/>
        <v/>
      </c>
      <c r="G28" s="92" t="str">
        <f>_xlfn.IFNA(VLOOKUP(女子エントリー!G112,競技会設定!$D$3:$E$49,2,0),"")</f>
        <v/>
      </c>
      <c r="H28" s="92" t="str">
        <f>_xlfn.IFNA(INDEX(競技会設定!$J$3:$O$47,MATCH(女子エントリー!H111,競技会設定!$N$3:$N$47,0),2),"")</f>
        <v/>
      </c>
      <c r="K28" s="92">
        <f>女子エントリー!C111</f>
        <v>0</v>
      </c>
      <c r="L28" s="1" t="str">
        <f>_xlfn.IFNA(TEXT(VLOOKUP(INDEX(女子エントリー!$J$7:$AF$406,MATCH(LEFT($B28,FIND("(",$B28)-1)&amp;RIGHT(L$1,1),女子エントリー!$AF$7:$AF$406,0),1),競技会設定!$T$2:$W$22,4,0),"000")&amp;"00 "&amp;IF(VLOOKUP(INDEX(女子エントリー!$J$7:$AF$406,MATCH(LEFT($B28,FIND("(",$B28)-1)&amp;RIGHT(L$1,1),女子エントリー!$AF$7:$AF$406,0),1),競技会設定!$T$2:$W$22,4,0)&gt;70,TEXT(INDEX(女子エントリー!$J$7:$AF$406,MATCH(LEFT($B28,FIND("(",$B28)-1)&amp;RIGHT(L$1,1),女子エントリー!$AF$7:$AF$406,0),3),"00000"),TEXT(INDEX(女子エントリー!$J$7:$AF$406,MATCH(LEFT($B28,FIND("(",$B28)-1)&amp;RIGHT(L$1,1),女子エントリー!$AF$7:$AF$406,0),3),"0000000")),"")</f>
        <v/>
      </c>
      <c r="M28" s="1" t="str">
        <f>_xlfn.IFNA(TEXT(VLOOKUP(INDEX(女子エントリー!$J$7:$AF$406,MATCH(LEFT($B28,FIND("(",$B28)-1)&amp;RIGHT(M$1,1),女子エントリー!$AF$7:$AF$406,0),1),競技会設定!$T$2:$W$22,4,0),"000")&amp;"00 "&amp;IF(VLOOKUP(INDEX(女子エントリー!$J$7:$AF$406,MATCH(LEFT($B28,FIND("(",$B28)-1)&amp;RIGHT(M$1,1),女子エントリー!$AF$7:$AF$406,0),1),競技会設定!$T$2:$W$22,4,0)&gt;70,TEXT(INDEX(女子エントリー!$J$7:$AF$406,MATCH(LEFT($B28,FIND("(",$B28)-1)&amp;RIGHT(M$1,1),女子エントリー!$AF$7:$AF$406,0),3),"00000"),TEXT(INDEX(女子エントリー!$J$7:$AF$406,MATCH(LEFT($B28,FIND("(",$B28)-1)&amp;RIGHT(M$1,1),女子エントリー!$AF$7:$AF$406,0),3),"0000000")),"")</f>
        <v/>
      </c>
      <c r="N28" s="1" t="str">
        <f>_xlfn.IFNA(TEXT(VLOOKUP(INDEX(女子エントリー!$J$7:$AF$406,MATCH(LEFT($B28,FIND("(",$B28)-1)&amp;RIGHT(N$1,1),女子エントリー!$AF$7:$AF$406,0),1),競技会設定!$T$2:$W$22,4,0),"000")&amp;"00 "&amp;IF(VLOOKUP(INDEX(女子エントリー!$J$7:$AF$406,MATCH(LEFT($B28,FIND("(",$B28)-1)&amp;RIGHT(N$1,1),女子エントリー!$AF$7:$AF$406,0),1),競技会設定!$T$2:$W$22,4,0)&gt;70,TEXT(INDEX(女子エントリー!$J$7:$AF$406,MATCH(LEFT($B28,FIND("(",$B28)-1)&amp;RIGHT(N$1,1),女子エントリー!$AF$7:$AF$406,0),3),"00000"),TEXT(INDEX(女子エントリー!$J$7:$AF$406,MATCH(LEFT($B28,FIND("(",$B28)-1)&amp;RIGHT(N$1,1),女子エントリー!$AF$7:$AF$406,0),3),"0000000")),"")</f>
        <v/>
      </c>
      <c r="O28" s="1" t="str">
        <f>_xlfn.IFNA(TEXT(VLOOKUP(INDEX(女子エントリー!$J$7:$AF$406,MATCH(LEFT($B28,FIND("(",$B28)-1)&amp;RIGHT(O$1,1),女子エントリー!$AF$7:$AF$406,0),1),競技会設定!$T$2:$W$22,4,0),"000")&amp;"00 "&amp;IF(VLOOKUP(INDEX(女子エントリー!$J$7:$AF$406,MATCH(LEFT($B28,FIND("(",$B28)-1)&amp;RIGHT(O$1,1),女子エントリー!$AF$7:$AF$406,0),1),競技会設定!$T$2:$W$22,4,0)&gt;70,TEXT(INDEX(女子エントリー!$J$7:$AF$406,MATCH(LEFT($B28,FIND("(",$B28)-1)&amp;RIGHT(O$1,1),女子エントリー!$AF$7:$AF$406,0),3),"00000"),TEXT(INDEX(女子エントリー!$J$7:$AF$406,MATCH(LEFT($B28,FIND("(",$B28)-1)&amp;RIGHT(O$1,1),女子エントリー!$AF$7:$AF$406,0),3),"0000000")),"")</f>
        <v/>
      </c>
    </row>
    <row r="29" spans="1:15">
      <c r="A29" s="92" t="str">
        <f>女子エントリー!D115</f>
        <v/>
      </c>
      <c r="B29" s="1" t="str">
        <f>女子エントリー!E115&amp;"("&amp;女子エントリー!G115&amp;")"</f>
        <v>()</v>
      </c>
      <c r="C29" s="92" t="str">
        <f>女子エントリー!F115</f>
        <v/>
      </c>
      <c r="D29" s="92" t="str">
        <f>女子エントリー!E117</f>
        <v/>
      </c>
      <c r="E29" s="92" t="str">
        <f>女子エントリー!G117</f>
        <v/>
      </c>
      <c r="F29" s="1" t="str">
        <f t="shared" si="0"/>
        <v/>
      </c>
      <c r="G29" s="92" t="str">
        <f>_xlfn.IFNA(VLOOKUP(女子エントリー!G116,競技会設定!$D$3:$E$49,2,0),"")</f>
        <v/>
      </c>
      <c r="H29" s="92" t="str">
        <f>_xlfn.IFNA(INDEX(競技会設定!$J$3:$O$47,MATCH(女子エントリー!H115,競技会設定!$N$3:$N$47,0),2),"")</f>
        <v/>
      </c>
      <c r="K29" s="92">
        <f>女子エントリー!C115</f>
        <v>0</v>
      </c>
      <c r="L29" s="1" t="str">
        <f>_xlfn.IFNA(TEXT(VLOOKUP(INDEX(女子エントリー!$J$7:$AF$406,MATCH(LEFT($B29,FIND("(",$B29)-1)&amp;RIGHT(L$1,1),女子エントリー!$AF$7:$AF$406,0),1),競技会設定!$T$2:$W$22,4,0),"000")&amp;"00 "&amp;IF(VLOOKUP(INDEX(女子エントリー!$J$7:$AF$406,MATCH(LEFT($B29,FIND("(",$B29)-1)&amp;RIGHT(L$1,1),女子エントリー!$AF$7:$AF$406,0),1),競技会設定!$T$2:$W$22,4,0)&gt;70,TEXT(INDEX(女子エントリー!$J$7:$AF$406,MATCH(LEFT($B29,FIND("(",$B29)-1)&amp;RIGHT(L$1,1),女子エントリー!$AF$7:$AF$406,0),3),"00000"),TEXT(INDEX(女子エントリー!$J$7:$AF$406,MATCH(LEFT($B29,FIND("(",$B29)-1)&amp;RIGHT(L$1,1),女子エントリー!$AF$7:$AF$406,0),3),"0000000")),"")</f>
        <v/>
      </c>
      <c r="M29" s="1" t="str">
        <f>_xlfn.IFNA(TEXT(VLOOKUP(INDEX(女子エントリー!$J$7:$AF$406,MATCH(LEFT($B29,FIND("(",$B29)-1)&amp;RIGHT(M$1,1),女子エントリー!$AF$7:$AF$406,0),1),競技会設定!$T$2:$W$22,4,0),"000")&amp;"00 "&amp;IF(VLOOKUP(INDEX(女子エントリー!$J$7:$AF$406,MATCH(LEFT($B29,FIND("(",$B29)-1)&amp;RIGHT(M$1,1),女子エントリー!$AF$7:$AF$406,0),1),競技会設定!$T$2:$W$22,4,0)&gt;70,TEXT(INDEX(女子エントリー!$J$7:$AF$406,MATCH(LEFT($B29,FIND("(",$B29)-1)&amp;RIGHT(M$1,1),女子エントリー!$AF$7:$AF$406,0),3),"00000"),TEXT(INDEX(女子エントリー!$J$7:$AF$406,MATCH(LEFT($B29,FIND("(",$B29)-1)&amp;RIGHT(M$1,1),女子エントリー!$AF$7:$AF$406,0),3),"0000000")),"")</f>
        <v/>
      </c>
      <c r="N29" s="1" t="str">
        <f>_xlfn.IFNA(TEXT(VLOOKUP(INDEX(女子エントリー!$J$7:$AF$406,MATCH(LEFT($B29,FIND("(",$B29)-1)&amp;RIGHT(N$1,1),女子エントリー!$AF$7:$AF$406,0),1),競技会設定!$T$2:$W$22,4,0),"000")&amp;"00 "&amp;IF(VLOOKUP(INDEX(女子エントリー!$J$7:$AF$406,MATCH(LEFT($B29,FIND("(",$B29)-1)&amp;RIGHT(N$1,1),女子エントリー!$AF$7:$AF$406,0),1),競技会設定!$T$2:$W$22,4,0)&gt;70,TEXT(INDEX(女子エントリー!$J$7:$AF$406,MATCH(LEFT($B29,FIND("(",$B29)-1)&amp;RIGHT(N$1,1),女子エントリー!$AF$7:$AF$406,0),3),"00000"),TEXT(INDEX(女子エントリー!$J$7:$AF$406,MATCH(LEFT($B29,FIND("(",$B29)-1)&amp;RIGHT(N$1,1),女子エントリー!$AF$7:$AF$406,0),3),"0000000")),"")</f>
        <v/>
      </c>
      <c r="O29" s="1" t="str">
        <f>_xlfn.IFNA(TEXT(VLOOKUP(INDEX(女子エントリー!$J$7:$AF$406,MATCH(LEFT($B29,FIND("(",$B29)-1)&amp;RIGHT(O$1,1),女子エントリー!$AF$7:$AF$406,0),1),競技会設定!$T$2:$W$22,4,0),"000")&amp;"00 "&amp;IF(VLOOKUP(INDEX(女子エントリー!$J$7:$AF$406,MATCH(LEFT($B29,FIND("(",$B29)-1)&amp;RIGHT(O$1,1),女子エントリー!$AF$7:$AF$406,0),1),競技会設定!$T$2:$W$22,4,0)&gt;70,TEXT(INDEX(女子エントリー!$J$7:$AF$406,MATCH(LEFT($B29,FIND("(",$B29)-1)&amp;RIGHT(O$1,1),女子エントリー!$AF$7:$AF$406,0),3),"00000"),TEXT(INDEX(女子エントリー!$J$7:$AF$406,MATCH(LEFT($B29,FIND("(",$B29)-1)&amp;RIGHT(O$1,1),女子エントリー!$AF$7:$AF$406,0),3),"0000000")),"")</f>
        <v/>
      </c>
    </row>
    <row r="30" spans="1:15">
      <c r="A30" s="92" t="str">
        <f>女子エントリー!D119</f>
        <v/>
      </c>
      <c r="B30" s="1" t="str">
        <f>女子エントリー!E119&amp;"("&amp;女子エントリー!G119&amp;")"</f>
        <v>()</v>
      </c>
      <c r="C30" s="92" t="str">
        <f>女子エントリー!F119</f>
        <v/>
      </c>
      <c r="D30" s="92" t="str">
        <f>女子エントリー!E121</f>
        <v/>
      </c>
      <c r="E30" s="92" t="str">
        <f>女子エントリー!G121</f>
        <v/>
      </c>
      <c r="F30" s="1" t="str">
        <f t="shared" si="0"/>
        <v/>
      </c>
      <c r="G30" s="92" t="str">
        <f>_xlfn.IFNA(VLOOKUP(女子エントリー!G120,競技会設定!$D$3:$E$49,2,0),"")</f>
        <v/>
      </c>
      <c r="H30" s="92" t="str">
        <f>_xlfn.IFNA(INDEX(競技会設定!$J$3:$O$47,MATCH(女子エントリー!H119,競技会設定!$N$3:$N$47,0),2),"")</f>
        <v/>
      </c>
      <c r="K30" s="92">
        <f>女子エントリー!C119</f>
        <v>0</v>
      </c>
      <c r="L30" s="1" t="str">
        <f>_xlfn.IFNA(TEXT(VLOOKUP(INDEX(女子エントリー!$J$7:$AF$406,MATCH(LEFT($B30,FIND("(",$B30)-1)&amp;RIGHT(L$1,1),女子エントリー!$AF$7:$AF$406,0),1),競技会設定!$T$2:$W$22,4,0),"000")&amp;"00 "&amp;IF(VLOOKUP(INDEX(女子エントリー!$J$7:$AF$406,MATCH(LEFT($B30,FIND("(",$B30)-1)&amp;RIGHT(L$1,1),女子エントリー!$AF$7:$AF$406,0),1),競技会設定!$T$2:$W$22,4,0)&gt;70,TEXT(INDEX(女子エントリー!$J$7:$AF$406,MATCH(LEFT($B30,FIND("(",$B30)-1)&amp;RIGHT(L$1,1),女子エントリー!$AF$7:$AF$406,0),3),"00000"),TEXT(INDEX(女子エントリー!$J$7:$AF$406,MATCH(LEFT($B30,FIND("(",$B30)-1)&amp;RIGHT(L$1,1),女子エントリー!$AF$7:$AF$406,0),3),"0000000")),"")</f>
        <v/>
      </c>
      <c r="M30" s="1" t="str">
        <f>_xlfn.IFNA(TEXT(VLOOKUP(INDEX(女子エントリー!$J$7:$AF$406,MATCH(LEFT($B30,FIND("(",$B30)-1)&amp;RIGHT(M$1,1),女子エントリー!$AF$7:$AF$406,0),1),競技会設定!$T$2:$W$22,4,0),"000")&amp;"00 "&amp;IF(VLOOKUP(INDEX(女子エントリー!$J$7:$AF$406,MATCH(LEFT($B30,FIND("(",$B30)-1)&amp;RIGHT(M$1,1),女子エントリー!$AF$7:$AF$406,0),1),競技会設定!$T$2:$W$22,4,0)&gt;70,TEXT(INDEX(女子エントリー!$J$7:$AF$406,MATCH(LEFT($B30,FIND("(",$B30)-1)&amp;RIGHT(M$1,1),女子エントリー!$AF$7:$AF$406,0),3),"00000"),TEXT(INDEX(女子エントリー!$J$7:$AF$406,MATCH(LEFT($B30,FIND("(",$B30)-1)&amp;RIGHT(M$1,1),女子エントリー!$AF$7:$AF$406,0),3),"0000000")),"")</f>
        <v/>
      </c>
      <c r="N30" s="1" t="str">
        <f>_xlfn.IFNA(TEXT(VLOOKUP(INDEX(女子エントリー!$J$7:$AF$406,MATCH(LEFT($B30,FIND("(",$B30)-1)&amp;RIGHT(N$1,1),女子エントリー!$AF$7:$AF$406,0),1),競技会設定!$T$2:$W$22,4,0),"000")&amp;"00 "&amp;IF(VLOOKUP(INDEX(女子エントリー!$J$7:$AF$406,MATCH(LEFT($B30,FIND("(",$B30)-1)&amp;RIGHT(N$1,1),女子エントリー!$AF$7:$AF$406,0),1),競技会設定!$T$2:$W$22,4,0)&gt;70,TEXT(INDEX(女子エントリー!$J$7:$AF$406,MATCH(LEFT($B30,FIND("(",$B30)-1)&amp;RIGHT(N$1,1),女子エントリー!$AF$7:$AF$406,0),3),"00000"),TEXT(INDEX(女子エントリー!$J$7:$AF$406,MATCH(LEFT($B30,FIND("(",$B30)-1)&amp;RIGHT(N$1,1),女子エントリー!$AF$7:$AF$406,0),3),"0000000")),"")</f>
        <v/>
      </c>
      <c r="O30" s="1" t="str">
        <f>_xlfn.IFNA(TEXT(VLOOKUP(INDEX(女子エントリー!$J$7:$AF$406,MATCH(LEFT($B30,FIND("(",$B30)-1)&amp;RIGHT(O$1,1),女子エントリー!$AF$7:$AF$406,0),1),競技会設定!$T$2:$W$22,4,0),"000")&amp;"00 "&amp;IF(VLOOKUP(INDEX(女子エントリー!$J$7:$AF$406,MATCH(LEFT($B30,FIND("(",$B30)-1)&amp;RIGHT(O$1,1),女子エントリー!$AF$7:$AF$406,0),1),競技会設定!$T$2:$W$22,4,0)&gt;70,TEXT(INDEX(女子エントリー!$J$7:$AF$406,MATCH(LEFT($B30,FIND("(",$B30)-1)&amp;RIGHT(O$1,1),女子エントリー!$AF$7:$AF$406,0),3),"00000"),TEXT(INDEX(女子エントリー!$J$7:$AF$406,MATCH(LEFT($B30,FIND("(",$B30)-1)&amp;RIGHT(O$1,1),女子エントリー!$AF$7:$AF$406,0),3),"0000000")),"")</f>
        <v/>
      </c>
    </row>
    <row r="31" spans="1:15">
      <c r="A31" s="92" t="str">
        <f>女子エントリー!D123</f>
        <v/>
      </c>
      <c r="B31" s="1" t="str">
        <f>女子エントリー!E123&amp;"("&amp;女子エントリー!G123&amp;")"</f>
        <v>()</v>
      </c>
      <c r="C31" s="92" t="str">
        <f>女子エントリー!F123</f>
        <v/>
      </c>
      <c r="D31" s="92" t="str">
        <f>女子エントリー!E125</f>
        <v/>
      </c>
      <c r="E31" s="92" t="str">
        <f>女子エントリー!G125</f>
        <v/>
      </c>
      <c r="F31" s="1" t="str">
        <f t="shared" si="0"/>
        <v/>
      </c>
      <c r="G31" s="92" t="str">
        <f>_xlfn.IFNA(VLOOKUP(女子エントリー!G124,競技会設定!$D$3:$E$49,2,0),"")</f>
        <v/>
      </c>
      <c r="H31" s="92" t="str">
        <f>_xlfn.IFNA(INDEX(競技会設定!$J$3:$O$47,MATCH(女子エントリー!H123,競技会設定!$N$3:$N$47,0),2),"")</f>
        <v/>
      </c>
      <c r="K31" s="92">
        <f>女子エントリー!C123</f>
        <v>0</v>
      </c>
      <c r="L31" s="1" t="str">
        <f>_xlfn.IFNA(TEXT(VLOOKUP(INDEX(女子エントリー!$J$7:$AF$406,MATCH(LEFT($B31,FIND("(",$B31)-1)&amp;RIGHT(L$1,1),女子エントリー!$AF$7:$AF$406,0),1),競技会設定!$T$2:$W$22,4,0),"000")&amp;"00 "&amp;IF(VLOOKUP(INDEX(女子エントリー!$J$7:$AF$406,MATCH(LEFT($B31,FIND("(",$B31)-1)&amp;RIGHT(L$1,1),女子エントリー!$AF$7:$AF$406,0),1),競技会設定!$T$2:$W$22,4,0)&gt;70,TEXT(INDEX(女子エントリー!$J$7:$AF$406,MATCH(LEFT($B31,FIND("(",$B31)-1)&amp;RIGHT(L$1,1),女子エントリー!$AF$7:$AF$406,0),3),"00000"),TEXT(INDEX(女子エントリー!$J$7:$AF$406,MATCH(LEFT($B31,FIND("(",$B31)-1)&amp;RIGHT(L$1,1),女子エントリー!$AF$7:$AF$406,0),3),"0000000")),"")</f>
        <v/>
      </c>
      <c r="M31" s="1" t="str">
        <f>_xlfn.IFNA(TEXT(VLOOKUP(INDEX(女子エントリー!$J$7:$AF$406,MATCH(LEFT($B31,FIND("(",$B31)-1)&amp;RIGHT(M$1,1),女子エントリー!$AF$7:$AF$406,0),1),競技会設定!$T$2:$W$22,4,0),"000")&amp;"00 "&amp;IF(VLOOKUP(INDEX(女子エントリー!$J$7:$AF$406,MATCH(LEFT($B31,FIND("(",$B31)-1)&amp;RIGHT(M$1,1),女子エントリー!$AF$7:$AF$406,0),1),競技会設定!$T$2:$W$22,4,0)&gt;70,TEXT(INDEX(女子エントリー!$J$7:$AF$406,MATCH(LEFT($B31,FIND("(",$B31)-1)&amp;RIGHT(M$1,1),女子エントリー!$AF$7:$AF$406,0),3),"00000"),TEXT(INDEX(女子エントリー!$J$7:$AF$406,MATCH(LEFT($B31,FIND("(",$B31)-1)&amp;RIGHT(M$1,1),女子エントリー!$AF$7:$AF$406,0),3),"0000000")),"")</f>
        <v/>
      </c>
      <c r="N31" s="1" t="str">
        <f>_xlfn.IFNA(TEXT(VLOOKUP(INDEX(女子エントリー!$J$7:$AF$406,MATCH(LEFT($B31,FIND("(",$B31)-1)&amp;RIGHT(N$1,1),女子エントリー!$AF$7:$AF$406,0),1),競技会設定!$T$2:$W$22,4,0),"000")&amp;"00 "&amp;IF(VLOOKUP(INDEX(女子エントリー!$J$7:$AF$406,MATCH(LEFT($B31,FIND("(",$B31)-1)&amp;RIGHT(N$1,1),女子エントリー!$AF$7:$AF$406,0),1),競技会設定!$T$2:$W$22,4,0)&gt;70,TEXT(INDEX(女子エントリー!$J$7:$AF$406,MATCH(LEFT($B31,FIND("(",$B31)-1)&amp;RIGHT(N$1,1),女子エントリー!$AF$7:$AF$406,0),3),"00000"),TEXT(INDEX(女子エントリー!$J$7:$AF$406,MATCH(LEFT($B31,FIND("(",$B31)-1)&amp;RIGHT(N$1,1),女子エントリー!$AF$7:$AF$406,0),3),"0000000")),"")</f>
        <v/>
      </c>
      <c r="O31" s="1" t="str">
        <f>_xlfn.IFNA(TEXT(VLOOKUP(INDEX(女子エントリー!$J$7:$AF$406,MATCH(LEFT($B31,FIND("(",$B31)-1)&amp;RIGHT(O$1,1),女子エントリー!$AF$7:$AF$406,0),1),競技会設定!$T$2:$W$22,4,0),"000")&amp;"00 "&amp;IF(VLOOKUP(INDEX(女子エントリー!$J$7:$AF$406,MATCH(LEFT($B31,FIND("(",$B31)-1)&amp;RIGHT(O$1,1),女子エントリー!$AF$7:$AF$406,0),1),競技会設定!$T$2:$W$22,4,0)&gt;70,TEXT(INDEX(女子エントリー!$J$7:$AF$406,MATCH(LEFT($B31,FIND("(",$B31)-1)&amp;RIGHT(O$1,1),女子エントリー!$AF$7:$AF$406,0),3),"00000"),TEXT(INDEX(女子エントリー!$J$7:$AF$406,MATCH(LEFT($B31,FIND("(",$B31)-1)&amp;RIGHT(O$1,1),女子エントリー!$AF$7:$AF$406,0),3),"0000000")),"")</f>
        <v/>
      </c>
    </row>
    <row r="32" spans="1:15">
      <c r="A32" s="92" t="str">
        <f>女子エントリー!D127</f>
        <v/>
      </c>
      <c r="B32" s="1" t="str">
        <f>女子エントリー!E127&amp;"("&amp;女子エントリー!G127&amp;")"</f>
        <v>()</v>
      </c>
      <c r="C32" s="92" t="str">
        <f>女子エントリー!F127</f>
        <v/>
      </c>
      <c r="D32" s="92" t="str">
        <f>女子エントリー!E129</f>
        <v/>
      </c>
      <c r="E32" s="92" t="str">
        <f>女子エントリー!G129</f>
        <v/>
      </c>
      <c r="F32" s="1" t="str">
        <f t="shared" si="0"/>
        <v/>
      </c>
      <c r="G32" s="92" t="str">
        <f>_xlfn.IFNA(VLOOKUP(女子エントリー!G128,競技会設定!$D$3:$E$49,2,0),"")</f>
        <v/>
      </c>
      <c r="H32" s="92" t="str">
        <f>_xlfn.IFNA(INDEX(競技会設定!$J$3:$O$47,MATCH(女子エントリー!H127,競技会設定!$N$3:$N$47,0),2),"")</f>
        <v/>
      </c>
      <c r="K32" s="92">
        <f>女子エントリー!C127</f>
        <v>0</v>
      </c>
      <c r="L32" s="1" t="str">
        <f>_xlfn.IFNA(TEXT(VLOOKUP(INDEX(女子エントリー!$J$7:$AF$406,MATCH(LEFT($B32,FIND("(",$B32)-1)&amp;RIGHT(L$1,1),女子エントリー!$AF$7:$AF$406,0),1),競技会設定!$T$2:$W$22,4,0),"000")&amp;"00 "&amp;IF(VLOOKUP(INDEX(女子エントリー!$J$7:$AF$406,MATCH(LEFT($B32,FIND("(",$B32)-1)&amp;RIGHT(L$1,1),女子エントリー!$AF$7:$AF$406,0),1),競技会設定!$T$2:$W$22,4,0)&gt;70,TEXT(INDEX(女子エントリー!$J$7:$AF$406,MATCH(LEFT($B32,FIND("(",$B32)-1)&amp;RIGHT(L$1,1),女子エントリー!$AF$7:$AF$406,0),3),"00000"),TEXT(INDEX(女子エントリー!$J$7:$AF$406,MATCH(LEFT($B32,FIND("(",$B32)-1)&amp;RIGHT(L$1,1),女子エントリー!$AF$7:$AF$406,0),3),"0000000")),"")</f>
        <v/>
      </c>
      <c r="M32" s="1" t="str">
        <f>_xlfn.IFNA(TEXT(VLOOKUP(INDEX(女子エントリー!$J$7:$AF$406,MATCH(LEFT($B32,FIND("(",$B32)-1)&amp;RIGHT(M$1,1),女子エントリー!$AF$7:$AF$406,0),1),競技会設定!$T$2:$W$22,4,0),"000")&amp;"00 "&amp;IF(VLOOKUP(INDEX(女子エントリー!$J$7:$AF$406,MATCH(LEFT($B32,FIND("(",$B32)-1)&amp;RIGHT(M$1,1),女子エントリー!$AF$7:$AF$406,0),1),競技会設定!$T$2:$W$22,4,0)&gt;70,TEXT(INDEX(女子エントリー!$J$7:$AF$406,MATCH(LEFT($B32,FIND("(",$B32)-1)&amp;RIGHT(M$1,1),女子エントリー!$AF$7:$AF$406,0),3),"00000"),TEXT(INDEX(女子エントリー!$J$7:$AF$406,MATCH(LEFT($B32,FIND("(",$B32)-1)&amp;RIGHT(M$1,1),女子エントリー!$AF$7:$AF$406,0),3),"0000000")),"")</f>
        <v/>
      </c>
      <c r="N32" s="1" t="str">
        <f>_xlfn.IFNA(TEXT(VLOOKUP(INDEX(女子エントリー!$J$7:$AF$406,MATCH(LEFT($B32,FIND("(",$B32)-1)&amp;RIGHT(N$1,1),女子エントリー!$AF$7:$AF$406,0),1),競技会設定!$T$2:$W$22,4,0),"000")&amp;"00 "&amp;IF(VLOOKUP(INDEX(女子エントリー!$J$7:$AF$406,MATCH(LEFT($B32,FIND("(",$B32)-1)&amp;RIGHT(N$1,1),女子エントリー!$AF$7:$AF$406,0),1),競技会設定!$T$2:$W$22,4,0)&gt;70,TEXT(INDEX(女子エントリー!$J$7:$AF$406,MATCH(LEFT($B32,FIND("(",$B32)-1)&amp;RIGHT(N$1,1),女子エントリー!$AF$7:$AF$406,0),3),"00000"),TEXT(INDEX(女子エントリー!$J$7:$AF$406,MATCH(LEFT($B32,FIND("(",$B32)-1)&amp;RIGHT(N$1,1),女子エントリー!$AF$7:$AF$406,0),3),"0000000")),"")</f>
        <v/>
      </c>
      <c r="O32" s="1" t="str">
        <f>_xlfn.IFNA(TEXT(VLOOKUP(INDEX(女子エントリー!$J$7:$AF$406,MATCH(LEFT($B32,FIND("(",$B32)-1)&amp;RIGHT(O$1,1),女子エントリー!$AF$7:$AF$406,0),1),競技会設定!$T$2:$W$22,4,0),"000")&amp;"00 "&amp;IF(VLOOKUP(INDEX(女子エントリー!$J$7:$AF$406,MATCH(LEFT($B32,FIND("(",$B32)-1)&amp;RIGHT(O$1,1),女子エントリー!$AF$7:$AF$406,0),1),競技会設定!$T$2:$W$22,4,0)&gt;70,TEXT(INDEX(女子エントリー!$J$7:$AF$406,MATCH(LEFT($B32,FIND("(",$B32)-1)&amp;RIGHT(O$1,1),女子エントリー!$AF$7:$AF$406,0),3),"00000"),TEXT(INDEX(女子エントリー!$J$7:$AF$406,MATCH(LEFT($B32,FIND("(",$B32)-1)&amp;RIGHT(O$1,1),女子エントリー!$AF$7:$AF$406,0),3),"0000000")),"")</f>
        <v/>
      </c>
    </row>
    <row r="33" spans="1:15">
      <c r="A33" s="92" t="str">
        <f>女子エントリー!D131</f>
        <v/>
      </c>
      <c r="B33" s="1" t="str">
        <f>女子エントリー!E131&amp;"("&amp;女子エントリー!G131&amp;")"</f>
        <v>()</v>
      </c>
      <c r="C33" s="92" t="str">
        <f>女子エントリー!F131</f>
        <v/>
      </c>
      <c r="D33" s="92" t="str">
        <f>女子エントリー!E133</f>
        <v/>
      </c>
      <c r="E33" s="92" t="str">
        <f>女子エントリー!G133</f>
        <v/>
      </c>
      <c r="F33" s="1" t="str">
        <f t="shared" si="0"/>
        <v/>
      </c>
      <c r="G33" s="92" t="str">
        <f>_xlfn.IFNA(VLOOKUP(女子エントリー!G132,競技会設定!$D$3:$E$49,2,0),"")</f>
        <v/>
      </c>
      <c r="H33" s="92" t="str">
        <f>_xlfn.IFNA(INDEX(競技会設定!$J$3:$O$47,MATCH(女子エントリー!H131,競技会設定!$N$3:$N$47,0),2),"")</f>
        <v/>
      </c>
      <c r="K33" s="92">
        <f>女子エントリー!C131</f>
        <v>0</v>
      </c>
      <c r="L33" s="1" t="str">
        <f>_xlfn.IFNA(TEXT(VLOOKUP(INDEX(女子エントリー!$J$7:$AF$406,MATCH(LEFT($B33,FIND("(",$B33)-1)&amp;RIGHT(L$1,1),女子エントリー!$AF$7:$AF$406,0),1),競技会設定!$T$2:$W$22,4,0),"000")&amp;"00 "&amp;IF(VLOOKUP(INDEX(女子エントリー!$J$7:$AF$406,MATCH(LEFT($B33,FIND("(",$B33)-1)&amp;RIGHT(L$1,1),女子エントリー!$AF$7:$AF$406,0),1),競技会設定!$T$2:$W$22,4,0)&gt;70,TEXT(INDEX(女子エントリー!$J$7:$AF$406,MATCH(LEFT($B33,FIND("(",$B33)-1)&amp;RIGHT(L$1,1),女子エントリー!$AF$7:$AF$406,0),3),"00000"),TEXT(INDEX(女子エントリー!$J$7:$AF$406,MATCH(LEFT($B33,FIND("(",$B33)-1)&amp;RIGHT(L$1,1),女子エントリー!$AF$7:$AF$406,0),3),"0000000")),"")</f>
        <v/>
      </c>
      <c r="M33" s="1" t="str">
        <f>_xlfn.IFNA(TEXT(VLOOKUP(INDEX(女子エントリー!$J$7:$AF$406,MATCH(LEFT($B33,FIND("(",$B33)-1)&amp;RIGHT(M$1,1),女子エントリー!$AF$7:$AF$406,0),1),競技会設定!$T$2:$W$22,4,0),"000")&amp;"00 "&amp;IF(VLOOKUP(INDEX(女子エントリー!$J$7:$AF$406,MATCH(LEFT($B33,FIND("(",$B33)-1)&amp;RIGHT(M$1,1),女子エントリー!$AF$7:$AF$406,0),1),競技会設定!$T$2:$W$22,4,0)&gt;70,TEXT(INDEX(女子エントリー!$J$7:$AF$406,MATCH(LEFT($B33,FIND("(",$B33)-1)&amp;RIGHT(M$1,1),女子エントリー!$AF$7:$AF$406,0),3),"00000"),TEXT(INDEX(女子エントリー!$J$7:$AF$406,MATCH(LEFT($B33,FIND("(",$B33)-1)&amp;RIGHT(M$1,1),女子エントリー!$AF$7:$AF$406,0),3),"0000000")),"")</f>
        <v/>
      </c>
      <c r="N33" s="1" t="str">
        <f>_xlfn.IFNA(TEXT(VLOOKUP(INDEX(女子エントリー!$J$7:$AF$406,MATCH(LEFT($B33,FIND("(",$B33)-1)&amp;RIGHT(N$1,1),女子エントリー!$AF$7:$AF$406,0),1),競技会設定!$T$2:$W$22,4,0),"000")&amp;"00 "&amp;IF(VLOOKUP(INDEX(女子エントリー!$J$7:$AF$406,MATCH(LEFT($B33,FIND("(",$B33)-1)&amp;RIGHT(N$1,1),女子エントリー!$AF$7:$AF$406,0),1),競技会設定!$T$2:$W$22,4,0)&gt;70,TEXT(INDEX(女子エントリー!$J$7:$AF$406,MATCH(LEFT($B33,FIND("(",$B33)-1)&amp;RIGHT(N$1,1),女子エントリー!$AF$7:$AF$406,0),3),"00000"),TEXT(INDEX(女子エントリー!$J$7:$AF$406,MATCH(LEFT($B33,FIND("(",$B33)-1)&amp;RIGHT(N$1,1),女子エントリー!$AF$7:$AF$406,0),3),"0000000")),"")</f>
        <v/>
      </c>
      <c r="O33" s="1" t="str">
        <f>_xlfn.IFNA(TEXT(VLOOKUP(INDEX(女子エントリー!$J$7:$AF$406,MATCH(LEFT($B33,FIND("(",$B33)-1)&amp;RIGHT(O$1,1),女子エントリー!$AF$7:$AF$406,0),1),競技会設定!$T$2:$W$22,4,0),"000")&amp;"00 "&amp;IF(VLOOKUP(INDEX(女子エントリー!$J$7:$AF$406,MATCH(LEFT($B33,FIND("(",$B33)-1)&amp;RIGHT(O$1,1),女子エントリー!$AF$7:$AF$406,0),1),競技会設定!$T$2:$W$22,4,0)&gt;70,TEXT(INDEX(女子エントリー!$J$7:$AF$406,MATCH(LEFT($B33,FIND("(",$B33)-1)&amp;RIGHT(O$1,1),女子エントリー!$AF$7:$AF$406,0),3),"00000"),TEXT(INDEX(女子エントリー!$J$7:$AF$406,MATCH(LEFT($B33,FIND("(",$B33)-1)&amp;RIGHT(O$1,1),女子エントリー!$AF$7:$AF$406,0),3),"0000000")),"")</f>
        <v/>
      </c>
    </row>
    <row r="34" spans="1:15">
      <c r="A34" s="92" t="str">
        <f>女子エントリー!D135</f>
        <v/>
      </c>
      <c r="B34" s="1" t="str">
        <f>女子エントリー!E135&amp;"("&amp;女子エントリー!G135&amp;")"</f>
        <v>()</v>
      </c>
      <c r="C34" s="92" t="str">
        <f>女子エントリー!F135</f>
        <v/>
      </c>
      <c r="D34" s="92" t="str">
        <f>女子エントリー!E137</f>
        <v/>
      </c>
      <c r="E34" s="92" t="str">
        <f>女子エントリー!G137</f>
        <v/>
      </c>
      <c r="F34" s="1" t="str">
        <f t="shared" si="0"/>
        <v/>
      </c>
      <c r="G34" s="92" t="str">
        <f>_xlfn.IFNA(VLOOKUP(女子エントリー!G136,競技会設定!$D$3:$E$49,2,0),"")</f>
        <v/>
      </c>
      <c r="H34" s="92" t="str">
        <f>_xlfn.IFNA(INDEX(競技会設定!$J$3:$O$47,MATCH(女子エントリー!H135,競技会設定!$N$3:$N$47,0),2),"")</f>
        <v/>
      </c>
      <c r="K34" s="92">
        <f>女子エントリー!C135</f>
        <v>0</v>
      </c>
      <c r="L34" s="1" t="str">
        <f>_xlfn.IFNA(TEXT(VLOOKUP(INDEX(女子エントリー!$J$7:$AF$406,MATCH(LEFT($B34,FIND("(",$B34)-1)&amp;RIGHT(L$1,1),女子エントリー!$AF$7:$AF$406,0),1),競技会設定!$T$2:$W$22,4,0),"000")&amp;"00 "&amp;IF(VLOOKUP(INDEX(女子エントリー!$J$7:$AF$406,MATCH(LEFT($B34,FIND("(",$B34)-1)&amp;RIGHT(L$1,1),女子エントリー!$AF$7:$AF$406,0),1),競技会設定!$T$2:$W$22,4,0)&gt;70,TEXT(INDEX(女子エントリー!$J$7:$AF$406,MATCH(LEFT($B34,FIND("(",$B34)-1)&amp;RIGHT(L$1,1),女子エントリー!$AF$7:$AF$406,0),3),"00000"),TEXT(INDEX(女子エントリー!$J$7:$AF$406,MATCH(LEFT($B34,FIND("(",$B34)-1)&amp;RIGHT(L$1,1),女子エントリー!$AF$7:$AF$406,0),3),"0000000")),"")</f>
        <v/>
      </c>
      <c r="M34" s="1" t="str">
        <f>_xlfn.IFNA(TEXT(VLOOKUP(INDEX(女子エントリー!$J$7:$AF$406,MATCH(LEFT($B34,FIND("(",$B34)-1)&amp;RIGHT(M$1,1),女子エントリー!$AF$7:$AF$406,0),1),競技会設定!$T$2:$W$22,4,0),"000")&amp;"00 "&amp;IF(VLOOKUP(INDEX(女子エントリー!$J$7:$AF$406,MATCH(LEFT($B34,FIND("(",$B34)-1)&amp;RIGHT(M$1,1),女子エントリー!$AF$7:$AF$406,0),1),競技会設定!$T$2:$W$22,4,0)&gt;70,TEXT(INDEX(女子エントリー!$J$7:$AF$406,MATCH(LEFT($B34,FIND("(",$B34)-1)&amp;RIGHT(M$1,1),女子エントリー!$AF$7:$AF$406,0),3),"00000"),TEXT(INDEX(女子エントリー!$J$7:$AF$406,MATCH(LEFT($B34,FIND("(",$B34)-1)&amp;RIGHT(M$1,1),女子エントリー!$AF$7:$AF$406,0),3),"0000000")),"")</f>
        <v/>
      </c>
      <c r="N34" s="1" t="str">
        <f>_xlfn.IFNA(TEXT(VLOOKUP(INDEX(女子エントリー!$J$7:$AF$406,MATCH(LEFT($B34,FIND("(",$B34)-1)&amp;RIGHT(N$1,1),女子エントリー!$AF$7:$AF$406,0),1),競技会設定!$T$2:$W$22,4,0),"000")&amp;"00 "&amp;IF(VLOOKUP(INDEX(女子エントリー!$J$7:$AF$406,MATCH(LEFT($B34,FIND("(",$B34)-1)&amp;RIGHT(N$1,1),女子エントリー!$AF$7:$AF$406,0),1),競技会設定!$T$2:$W$22,4,0)&gt;70,TEXT(INDEX(女子エントリー!$J$7:$AF$406,MATCH(LEFT($B34,FIND("(",$B34)-1)&amp;RIGHT(N$1,1),女子エントリー!$AF$7:$AF$406,0),3),"00000"),TEXT(INDEX(女子エントリー!$J$7:$AF$406,MATCH(LEFT($B34,FIND("(",$B34)-1)&amp;RIGHT(N$1,1),女子エントリー!$AF$7:$AF$406,0),3),"0000000")),"")</f>
        <v/>
      </c>
      <c r="O34" s="1" t="str">
        <f>_xlfn.IFNA(TEXT(VLOOKUP(INDEX(女子エントリー!$J$7:$AF$406,MATCH(LEFT($B34,FIND("(",$B34)-1)&amp;RIGHT(O$1,1),女子エントリー!$AF$7:$AF$406,0),1),競技会設定!$T$2:$W$22,4,0),"000")&amp;"00 "&amp;IF(VLOOKUP(INDEX(女子エントリー!$J$7:$AF$406,MATCH(LEFT($B34,FIND("(",$B34)-1)&amp;RIGHT(O$1,1),女子エントリー!$AF$7:$AF$406,0),1),競技会設定!$T$2:$W$22,4,0)&gt;70,TEXT(INDEX(女子エントリー!$J$7:$AF$406,MATCH(LEFT($B34,FIND("(",$B34)-1)&amp;RIGHT(O$1,1),女子エントリー!$AF$7:$AF$406,0),3),"00000"),TEXT(INDEX(女子エントリー!$J$7:$AF$406,MATCH(LEFT($B34,FIND("(",$B34)-1)&amp;RIGHT(O$1,1),女子エントリー!$AF$7:$AF$406,0),3),"0000000")),"")</f>
        <v/>
      </c>
    </row>
    <row r="35" spans="1:15">
      <c r="A35" s="92" t="str">
        <f>女子エントリー!D139</f>
        <v/>
      </c>
      <c r="B35" s="1" t="str">
        <f>女子エントリー!E139&amp;"("&amp;女子エントリー!G139&amp;")"</f>
        <v>()</v>
      </c>
      <c r="C35" s="92" t="str">
        <f>女子エントリー!F139</f>
        <v/>
      </c>
      <c r="D35" s="92" t="str">
        <f>女子エントリー!E141</f>
        <v/>
      </c>
      <c r="E35" s="92" t="str">
        <f>女子エントリー!G141</f>
        <v/>
      </c>
      <c r="F35" s="1" t="str">
        <f t="shared" si="0"/>
        <v/>
      </c>
      <c r="G35" s="92" t="str">
        <f>_xlfn.IFNA(VLOOKUP(女子エントリー!G140,競技会設定!$D$3:$E$49,2,0),"")</f>
        <v/>
      </c>
      <c r="H35" s="92" t="str">
        <f>_xlfn.IFNA(INDEX(競技会設定!$J$3:$O$47,MATCH(女子エントリー!H139,競技会設定!$N$3:$N$47,0),2),"")</f>
        <v/>
      </c>
      <c r="K35" s="92">
        <f>女子エントリー!C139</f>
        <v>0</v>
      </c>
      <c r="L35" s="1" t="str">
        <f>_xlfn.IFNA(TEXT(VLOOKUP(INDEX(女子エントリー!$J$7:$AF$406,MATCH(LEFT($B35,FIND("(",$B35)-1)&amp;RIGHT(L$1,1),女子エントリー!$AF$7:$AF$406,0),1),競技会設定!$T$2:$W$22,4,0),"000")&amp;"00 "&amp;IF(VLOOKUP(INDEX(女子エントリー!$J$7:$AF$406,MATCH(LEFT($B35,FIND("(",$B35)-1)&amp;RIGHT(L$1,1),女子エントリー!$AF$7:$AF$406,0),1),競技会設定!$T$2:$W$22,4,0)&gt;70,TEXT(INDEX(女子エントリー!$J$7:$AF$406,MATCH(LEFT($B35,FIND("(",$B35)-1)&amp;RIGHT(L$1,1),女子エントリー!$AF$7:$AF$406,0),3),"00000"),TEXT(INDEX(女子エントリー!$J$7:$AF$406,MATCH(LEFT($B35,FIND("(",$B35)-1)&amp;RIGHT(L$1,1),女子エントリー!$AF$7:$AF$406,0),3),"0000000")),"")</f>
        <v/>
      </c>
      <c r="M35" s="1" t="str">
        <f>_xlfn.IFNA(TEXT(VLOOKUP(INDEX(女子エントリー!$J$7:$AF$406,MATCH(LEFT($B35,FIND("(",$B35)-1)&amp;RIGHT(M$1,1),女子エントリー!$AF$7:$AF$406,0),1),競技会設定!$T$2:$W$22,4,0),"000")&amp;"00 "&amp;IF(VLOOKUP(INDEX(女子エントリー!$J$7:$AF$406,MATCH(LEFT($B35,FIND("(",$B35)-1)&amp;RIGHT(M$1,1),女子エントリー!$AF$7:$AF$406,0),1),競技会設定!$T$2:$W$22,4,0)&gt;70,TEXT(INDEX(女子エントリー!$J$7:$AF$406,MATCH(LEFT($B35,FIND("(",$B35)-1)&amp;RIGHT(M$1,1),女子エントリー!$AF$7:$AF$406,0),3),"00000"),TEXT(INDEX(女子エントリー!$J$7:$AF$406,MATCH(LEFT($B35,FIND("(",$B35)-1)&amp;RIGHT(M$1,1),女子エントリー!$AF$7:$AF$406,0),3),"0000000")),"")</f>
        <v/>
      </c>
      <c r="N35" s="1" t="str">
        <f>_xlfn.IFNA(TEXT(VLOOKUP(INDEX(女子エントリー!$J$7:$AF$406,MATCH(LEFT($B35,FIND("(",$B35)-1)&amp;RIGHT(N$1,1),女子エントリー!$AF$7:$AF$406,0),1),競技会設定!$T$2:$W$22,4,0),"000")&amp;"00 "&amp;IF(VLOOKUP(INDEX(女子エントリー!$J$7:$AF$406,MATCH(LEFT($B35,FIND("(",$B35)-1)&amp;RIGHT(N$1,1),女子エントリー!$AF$7:$AF$406,0),1),競技会設定!$T$2:$W$22,4,0)&gt;70,TEXT(INDEX(女子エントリー!$J$7:$AF$406,MATCH(LEFT($B35,FIND("(",$B35)-1)&amp;RIGHT(N$1,1),女子エントリー!$AF$7:$AF$406,0),3),"00000"),TEXT(INDEX(女子エントリー!$J$7:$AF$406,MATCH(LEFT($B35,FIND("(",$B35)-1)&amp;RIGHT(N$1,1),女子エントリー!$AF$7:$AF$406,0),3),"0000000")),"")</f>
        <v/>
      </c>
      <c r="O35" s="1" t="str">
        <f>_xlfn.IFNA(TEXT(VLOOKUP(INDEX(女子エントリー!$J$7:$AF$406,MATCH(LEFT($B35,FIND("(",$B35)-1)&amp;RIGHT(O$1,1),女子エントリー!$AF$7:$AF$406,0),1),競技会設定!$T$2:$W$22,4,0),"000")&amp;"00 "&amp;IF(VLOOKUP(INDEX(女子エントリー!$J$7:$AF$406,MATCH(LEFT($B35,FIND("(",$B35)-1)&amp;RIGHT(O$1,1),女子エントリー!$AF$7:$AF$406,0),1),競技会設定!$T$2:$W$22,4,0)&gt;70,TEXT(INDEX(女子エントリー!$J$7:$AF$406,MATCH(LEFT($B35,FIND("(",$B35)-1)&amp;RIGHT(O$1,1),女子エントリー!$AF$7:$AF$406,0),3),"00000"),TEXT(INDEX(女子エントリー!$J$7:$AF$406,MATCH(LEFT($B35,FIND("(",$B35)-1)&amp;RIGHT(O$1,1),女子エントリー!$AF$7:$AF$406,0),3),"0000000")),"")</f>
        <v/>
      </c>
    </row>
    <row r="36" spans="1:15">
      <c r="A36" s="92" t="str">
        <f>女子エントリー!D143</f>
        <v/>
      </c>
      <c r="B36" s="1" t="str">
        <f>女子エントリー!E143&amp;"("&amp;女子エントリー!G143&amp;")"</f>
        <v>()</v>
      </c>
      <c r="C36" s="92" t="str">
        <f>女子エントリー!F143</f>
        <v/>
      </c>
      <c r="D36" s="92" t="str">
        <f>女子エントリー!E145</f>
        <v/>
      </c>
      <c r="E36" s="92" t="str">
        <f>女子エントリー!G145</f>
        <v/>
      </c>
      <c r="F36" s="1" t="str">
        <f t="shared" si="0"/>
        <v/>
      </c>
      <c r="G36" s="92" t="str">
        <f>_xlfn.IFNA(VLOOKUP(女子エントリー!G144,競技会設定!$D$3:$E$49,2,0),"")</f>
        <v/>
      </c>
      <c r="H36" s="92" t="str">
        <f>_xlfn.IFNA(INDEX(競技会設定!$J$3:$O$47,MATCH(女子エントリー!H143,競技会設定!$N$3:$N$47,0),2),"")</f>
        <v/>
      </c>
      <c r="K36" s="92">
        <f>女子エントリー!C143</f>
        <v>0</v>
      </c>
      <c r="L36" s="1" t="str">
        <f>_xlfn.IFNA(TEXT(VLOOKUP(INDEX(女子エントリー!$J$7:$AF$406,MATCH(LEFT($B36,FIND("(",$B36)-1)&amp;RIGHT(L$1,1),女子エントリー!$AF$7:$AF$406,0),1),競技会設定!$T$2:$W$22,4,0),"000")&amp;"00 "&amp;IF(VLOOKUP(INDEX(女子エントリー!$J$7:$AF$406,MATCH(LEFT($B36,FIND("(",$B36)-1)&amp;RIGHT(L$1,1),女子エントリー!$AF$7:$AF$406,0),1),競技会設定!$T$2:$W$22,4,0)&gt;70,TEXT(INDEX(女子エントリー!$J$7:$AF$406,MATCH(LEFT($B36,FIND("(",$B36)-1)&amp;RIGHT(L$1,1),女子エントリー!$AF$7:$AF$406,0),3),"00000"),TEXT(INDEX(女子エントリー!$J$7:$AF$406,MATCH(LEFT($B36,FIND("(",$B36)-1)&amp;RIGHT(L$1,1),女子エントリー!$AF$7:$AF$406,0),3),"0000000")),"")</f>
        <v/>
      </c>
      <c r="M36" s="1" t="str">
        <f>_xlfn.IFNA(TEXT(VLOOKUP(INDEX(女子エントリー!$J$7:$AF$406,MATCH(LEFT($B36,FIND("(",$B36)-1)&amp;RIGHT(M$1,1),女子エントリー!$AF$7:$AF$406,0),1),競技会設定!$T$2:$W$22,4,0),"000")&amp;"00 "&amp;IF(VLOOKUP(INDEX(女子エントリー!$J$7:$AF$406,MATCH(LEFT($B36,FIND("(",$B36)-1)&amp;RIGHT(M$1,1),女子エントリー!$AF$7:$AF$406,0),1),競技会設定!$T$2:$W$22,4,0)&gt;70,TEXT(INDEX(女子エントリー!$J$7:$AF$406,MATCH(LEFT($B36,FIND("(",$B36)-1)&amp;RIGHT(M$1,1),女子エントリー!$AF$7:$AF$406,0),3),"00000"),TEXT(INDEX(女子エントリー!$J$7:$AF$406,MATCH(LEFT($B36,FIND("(",$B36)-1)&amp;RIGHT(M$1,1),女子エントリー!$AF$7:$AF$406,0),3),"0000000")),"")</f>
        <v/>
      </c>
      <c r="N36" s="1" t="str">
        <f>_xlfn.IFNA(TEXT(VLOOKUP(INDEX(女子エントリー!$J$7:$AF$406,MATCH(LEFT($B36,FIND("(",$B36)-1)&amp;RIGHT(N$1,1),女子エントリー!$AF$7:$AF$406,0),1),競技会設定!$T$2:$W$22,4,0),"000")&amp;"00 "&amp;IF(VLOOKUP(INDEX(女子エントリー!$J$7:$AF$406,MATCH(LEFT($B36,FIND("(",$B36)-1)&amp;RIGHT(N$1,1),女子エントリー!$AF$7:$AF$406,0),1),競技会設定!$T$2:$W$22,4,0)&gt;70,TEXT(INDEX(女子エントリー!$J$7:$AF$406,MATCH(LEFT($B36,FIND("(",$B36)-1)&amp;RIGHT(N$1,1),女子エントリー!$AF$7:$AF$406,0),3),"00000"),TEXT(INDEX(女子エントリー!$J$7:$AF$406,MATCH(LEFT($B36,FIND("(",$B36)-1)&amp;RIGHT(N$1,1),女子エントリー!$AF$7:$AF$406,0),3),"0000000")),"")</f>
        <v/>
      </c>
      <c r="O36" s="1" t="str">
        <f>_xlfn.IFNA(TEXT(VLOOKUP(INDEX(女子エントリー!$J$7:$AF$406,MATCH(LEFT($B36,FIND("(",$B36)-1)&amp;RIGHT(O$1,1),女子エントリー!$AF$7:$AF$406,0),1),競技会設定!$T$2:$W$22,4,0),"000")&amp;"00 "&amp;IF(VLOOKUP(INDEX(女子エントリー!$J$7:$AF$406,MATCH(LEFT($B36,FIND("(",$B36)-1)&amp;RIGHT(O$1,1),女子エントリー!$AF$7:$AF$406,0),1),競技会設定!$T$2:$W$22,4,0)&gt;70,TEXT(INDEX(女子エントリー!$J$7:$AF$406,MATCH(LEFT($B36,FIND("(",$B36)-1)&amp;RIGHT(O$1,1),女子エントリー!$AF$7:$AF$406,0),3),"00000"),TEXT(INDEX(女子エントリー!$J$7:$AF$406,MATCH(LEFT($B36,FIND("(",$B36)-1)&amp;RIGHT(O$1,1),女子エントリー!$AF$7:$AF$406,0),3),"0000000")),"")</f>
        <v/>
      </c>
    </row>
    <row r="37" spans="1:15">
      <c r="A37" s="92" t="str">
        <f>女子エントリー!D147</f>
        <v/>
      </c>
      <c r="B37" s="1" t="str">
        <f>女子エントリー!E147&amp;"("&amp;女子エントリー!G147&amp;")"</f>
        <v>()</v>
      </c>
      <c r="C37" s="92" t="str">
        <f>女子エントリー!F147</f>
        <v/>
      </c>
      <c r="D37" s="92" t="str">
        <f>女子エントリー!E149</f>
        <v/>
      </c>
      <c r="E37" s="92" t="str">
        <f>女子エントリー!G149</f>
        <v/>
      </c>
      <c r="F37" s="1" t="str">
        <f t="shared" si="0"/>
        <v/>
      </c>
      <c r="G37" s="92" t="str">
        <f>_xlfn.IFNA(VLOOKUP(女子エントリー!G148,競技会設定!$D$3:$E$49,2,0),"")</f>
        <v/>
      </c>
      <c r="H37" s="92" t="str">
        <f>_xlfn.IFNA(INDEX(競技会設定!$J$3:$O$47,MATCH(女子エントリー!H147,競技会設定!$N$3:$N$47,0),2),"")</f>
        <v/>
      </c>
      <c r="K37" s="92">
        <f>女子エントリー!C147</f>
        <v>0</v>
      </c>
      <c r="L37" s="1" t="str">
        <f>_xlfn.IFNA(TEXT(VLOOKUP(INDEX(女子エントリー!$J$7:$AF$406,MATCH(LEFT($B37,FIND("(",$B37)-1)&amp;RIGHT(L$1,1),女子エントリー!$AF$7:$AF$406,0),1),競技会設定!$T$2:$W$22,4,0),"000")&amp;"00 "&amp;IF(VLOOKUP(INDEX(女子エントリー!$J$7:$AF$406,MATCH(LEFT($B37,FIND("(",$B37)-1)&amp;RIGHT(L$1,1),女子エントリー!$AF$7:$AF$406,0),1),競技会設定!$T$2:$W$22,4,0)&gt;70,TEXT(INDEX(女子エントリー!$J$7:$AF$406,MATCH(LEFT($B37,FIND("(",$B37)-1)&amp;RIGHT(L$1,1),女子エントリー!$AF$7:$AF$406,0),3),"00000"),TEXT(INDEX(女子エントリー!$J$7:$AF$406,MATCH(LEFT($B37,FIND("(",$B37)-1)&amp;RIGHT(L$1,1),女子エントリー!$AF$7:$AF$406,0),3),"0000000")),"")</f>
        <v/>
      </c>
      <c r="M37" s="1" t="str">
        <f>_xlfn.IFNA(TEXT(VLOOKUP(INDEX(女子エントリー!$J$7:$AF$406,MATCH(LEFT($B37,FIND("(",$B37)-1)&amp;RIGHT(M$1,1),女子エントリー!$AF$7:$AF$406,0),1),競技会設定!$T$2:$W$22,4,0),"000")&amp;"00 "&amp;IF(VLOOKUP(INDEX(女子エントリー!$J$7:$AF$406,MATCH(LEFT($B37,FIND("(",$B37)-1)&amp;RIGHT(M$1,1),女子エントリー!$AF$7:$AF$406,0),1),競技会設定!$T$2:$W$22,4,0)&gt;70,TEXT(INDEX(女子エントリー!$J$7:$AF$406,MATCH(LEFT($B37,FIND("(",$B37)-1)&amp;RIGHT(M$1,1),女子エントリー!$AF$7:$AF$406,0),3),"00000"),TEXT(INDEX(女子エントリー!$J$7:$AF$406,MATCH(LEFT($B37,FIND("(",$B37)-1)&amp;RIGHT(M$1,1),女子エントリー!$AF$7:$AF$406,0),3),"0000000")),"")</f>
        <v/>
      </c>
      <c r="N37" s="1" t="str">
        <f>_xlfn.IFNA(TEXT(VLOOKUP(INDEX(女子エントリー!$J$7:$AF$406,MATCH(LEFT($B37,FIND("(",$B37)-1)&amp;RIGHT(N$1,1),女子エントリー!$AF$7:$AF$406,0),1),競技会設定!$T$2:$W$22,4,0),"000")&amp;"00 "&amp;IF(VLOOKUP(INDEX(女子エントリー!$J$7:$AF$406,MATCH(LEFT($B37,FIND("(",$B37)-1)&amp;RIGHT(N$1,1),女子エントリー!$AF$7:$AF$406,0),1),競技会設定!$T$2:$W$22,4,0)&gt;70,TEXT(INDEX(女子エントリー!$J$7:$AF$406,MATCH(LEFT($B37,FIND("(",$B37)-1)&amp;RIGHT(N$1,1),女子エントリー!$AF$7:$AF$406,0),3),"00000"),TEXT(INDEX(女子エントリー!$J$7:$AF$406,MATCH(LEFT($B37,FIND("(",$B37)-1)&amp;RIGHT(N$1,1),女子エントリー!$AF$7:$AF$406,0),3),"0000000")),"")</f>
        <v/>
      </c>
      <c r="O37" s="1" t="str">
        <f>_xlfn.IFNA(TEXT(VLOOKUP(INDEX(女子エントリー!$J$7:$AF$406,MATCH(LEFT($B37,FIND("(",$B37)-1)&amp;RIGHT(O$1,1),女子エントリー!$AF$7:$AF$406,0),1),競技会設定!$T$2:$W$22,4,0),"000")&amp;"00 "&amp;IF(VLOOKUP(INDEX(女子エントリー!$J$7:$AF$406,MATCH(LEFT($B37,FIND("(",$B37)-1)&amp;RIGHT(O$1,1),女子エントリー!$AF$7:$AF$406,0),1),競技会設定!$T$2:$W$22,4,0)&gt;70,TEXT(INDEX(女子エントリー!$J$7:$AF$406,MATCH(LEFT($B37,FIND("(",$B37)-1)&amp;RIGHT(O$1,1),女子エントリー!$AF$7:$AF$406,0),3),"00000"),TEXT(INDEX(女子エントリー!$J$7:$AF$406,MATCH(LEFT($B37,FIND("(",$B37)-1)&amp;RIGHT(O$1,1),女子エントリー!$AF$7:$AF$406,0),3),"0000000")),"")</f>
        <v/>
      </c>
    </row>
    <row r="38" spans="1:15">
      <c r="A38" s="92" t="str">
        <f>女子エントリー!D151</f>
        <v/>
      </c>
      <c r="B38" s="1" t="str">
        <f>女子エントリー!E151&amp;"("&amp;女子エントリー!G151&amp;")"</f>
        <v>()</v>
      </c>
      <c r="C38" s="92" t="str">
        <f>女子エントリー!F151</f>
        <v/>
      </c>
      <c r="D38" s="92" t="str">
        <f>女子エントリー!E153</f>
        <v/>
      </c>
      <c r="E38" s="92" t="str">
        <f>女子エントリー!G153</f>
        <v/>
      </c>
      <c r="F38" s="1" t="str">
        <f t="shared" si="0"/>
        <v/>
      </c>
      <c r="G38" s="92" t="str">
        <f>_xlfn.IFNA(VLOOKUP(女子エントリー!G152,競技会設定!$D$3:$E$49,2,0),"")</f>
        <v/>
      </c>
      <c r="H38" s="92" t="str">
        <f>_xlfn.IFNA(INDEX(競技会設定!$J$3:$O$47,MATCH(女子エントリー!H151,競技会設定!$N$3:$N$47,0),2),"")</f>
        <v/>
      </c>
      <c r="K38" s="92">
        <f>女子エントリー!C151</f>
        <v>0</v>
      </c>
      <c r="L38" s="1" t="str">
        <f>_xlfn.IFNA(TEXT(VLOOKUP(INDEX(女子エントリー!$J$7:$AF$406,MATCH(LEFT($B38,FIND("(",$B38)-1)&amp;RIGHT(L$1,1),女子エントリー!$AF$7:$AF$406,0),1),競技会設定!$T$2:$W$22,4,0),"000")&amp;"00 "&amp;IF(VLOOKUP(INDEX(女子エントリー!$J$7:$AF$406,MATCH(LEFT($B38,FIND("(",$B38)-1)&amp;RIGHT(L$1,1),女子エントリー!$AF$7:$AF$406,0),1),競技会設定!$T$2:$W$22,4,0)&gt;70,TEXT(INDEX(女子エントリー!$J$7:$AF$406,MATCH(LEFT($B38,FIND("(",$B38)-1)&amp;RIGHT(L$1,1),女子エントリー!$AF$7:$AF$406,0),3),"00000"),TEXT(INDEX(女子エントリー!$J$7:$AF$406,MATCH(LEFT($B38,FIND("(",$B38)-1)&amp;RIGHT(L$1,1),女子エントリー!$AF$7:$AF$406,0),3),"0000000")),"")</f>
        <v/>
      </c>
      <c r="M38" s="1" t="str">
        <f>_xlfn.IFNA(TEXT(VLOOKUP(INDEX(女子エントリー!$J$7:$AF$406,MATCH(LEFT($B38,FIND("(",$B38)-1)&amp;RIGHT(M$1,1),女子エントリー!$AF$7:$AF$406,0),1),競技会設定!$T$2:$W$22,4,0),"000")&amp;"00 "&amp;IF(VLOOKUP(INDEX(女子エントリー!$J$7:$AF$406,MATCH(LEFT($B38,FIND("(",$B38)-1)&amp;RIGHT(M$1,1),女子エントリー!$AF$7:$AF$406,0),1),競技会設定!$T$2:$W$22,4,0)&gt;70,TEXT(INDEX(女子エントリー!$J$7:$AF$406,MATCH(LEFT($B38,FIND("(",$B38)-1)&amp;RIGHT(M$1,1),女子エントリー!$AF$7:$AF$406,0),3),"00000"),TEXT(INDEX(女子エントリー!$J$7:$AF$406,MATCH(LEFT($B38,FIND("(",$B38)-1)&amp;RIGHT(M$1,1),女子エントリー!$AF$7:$AF$406,0),3),"0000000")),"")</f>
        <v/>
      </c>
      <c r="N38" s="1" t="str">
        <f>_xlfn.IFNA(TEXT(VLOOKUP(INDEX(女子エントリー!$J$7:$AF$406,MATCH(LEFT($B38,FIND("(",$B38)-1)&amp;RIGHT(N$1,1),女子エントリー!$AF$7:$AF$406,0),1),競技会設定!$T$2:$W$22,4,0),"000")&amp;"00 "&amp;IF(VLOOKUP(INDEX(女子エントリー!$J$7:$AF$406,MATCH(LEFT($B38,FIND("(",$B38)-1)&amp;RIGHT(N$1,1),女子エントリー!$AF$7:$AF$406,0),1),競技会設定!$T$2:$W$22,4,0)&gt;70,TEXT(INDEX(女子エントリー!$J$7:$AF$406,MATCH(LEFT($B38,FIND("(",$B38)-1)&amp;RIGHT(N$1,1),女子エントリー!$AF$7:$AF$406,0),3),"00000"),TEXT(INDEX(女子エントリー!$J$7:$AF$406,MATCH(LEFT($B38,FIND("(",$B38)-1)&amp;RIGHT(N$1,1),女子エントリー!$AF$7:$AF$406,0),3),"0000000")),"")</f>
        <v/>
      </c>
      <c r="O38" s="1" t="str">
        <f>_xlfn.IFNA(TEXT(VLOOKUP(INDEX(女子エントリー!$J$7:$AF$406,MATCH(LEFT($B38,FIND("(",$B38)-1)&amp;RIGHT(O$1,1),女子エントリー!$AF$7:$AF$406,0),1),競技会設定!$T$2:$W$22,4,0),"000")&amp;"00 "&amp;IF(VLOOKUP(INDEX(女子エントリー!$J$7:$AF$406,MATCH(LEFT($B38,FIND("(",$B38)-1)&amp;RIGHT(O$1,1),女子エントリー!$AF$7:$AF$406,0),1),競技会設定!$T$2:$W$22,4,0)&gt;70,TEXT(INDEX(女子エントリー!$J$7:$AF$406,MATCH(LEFT($B38,FIND("(",$B38)-1)&amp;RIGHT(O$1,1),女子エントリー!$AF$7:$AF$406,0),3),"00000"),TEXT(INDEX(女子エントリー!$J$7:$AF$406,MATCH(LEFT($B38,FIND("(",$B38)-1)&amp;RIGHT(O$1,1),女子エントリー!$AF$7:$AF$406,0),3),"0000000")),"")</f>
        <v/>
      </c>
    </row>
    <row r="39" spans="1:15">
      <c r="A39" s="92" t="str">
        <f>女子エントリー!D155</f>
        <v/>
      </c>
      <c r="B39" s="1" t="str">
        <f>女子エントリー!E155&amp;"("&amp;女子エントリー!G155&amp;")"</f>
        <v>()</v>
      </c>
      <c r="C39" s="92" t="str">
        <f>女子エントリー!F155</f>
        <v/>
      </c>
      <c r="D39" s="92" t="str">
        <f>女子エントリー!E157</f>
        <v/>
      </c>
      <c r="E39" s="92" t="str">
        <f>女子エントリー!G157</f>
        <v/>
      </c>
      <c r="F39" s="1" t="str">
        <f t="shared" si="0"/>
        <v/>
      </c>
      <c r="G39" s="92" t="str">
        <f>_xlfn.IFNA(VLOOKUP(女子エントリー!G156,競技会設定!$D$3:$E$49,2,0),"")</f>
        <v/>
      </c>
      <c r="H39" s="92" t="str">
        <f>_xlfn.IFNA(INDEX(競技会設定!$J$3:$O$47,MATCH(女子エントリー!H155,競技会設定!$N$3:$N$47,0),2),"")</f>
        <v/>
      </c>
      <c r="K39" s="92">
        <f>女子エントリー!C155</f>
        <v>0</v>
      </c>
      <c r="L39" s="1" t="str">
        <f>_xlfn.IFNA(TEXT(VLOOKUP(INDEX(女子エントリー!$J$7:$AF$406,MATCH(LEFT($B39,FIND("(",$B39)-1)&amp;RIGHT(L$1,1),女子エントリー!$AF$7:$AF$406,0),1),競技会設定!$T$2:$W$22,4,0),"000")&amp;"00 "&amp;IF(VLOOKUP(INDEX(女子エントリー!$J$7:$AF$406,MATCH(LEFT($B39,FIND("(",$B39)-1)&amp;RIGHT(L$1,1),女子エントリー!$AF$7:$AF$406,0),1),競技会設定!$T$2:$W$22,4,0)&gt;70,TEXT(INDEX(女子エントリー!$J$7:$AF$406,MATCH(LEFT($B39,FIND("(",$B39)-1)&amp;RIGHT(L$1,1),女子エントリー!$AF$7:$AF$406,0),3),"00000"),TEXT(INDEX(女子エントリー!$J$7:$AF$406,MATCH(LEFT($B39,FIND("(",$B39)-1)&amp;RIGHT(L$1,1),女子エントリー!$AF$7:$AF$406,0),3),"0000000")),"")</f>
        <v/>
      </c>
      <c r="M39" s="1" t="str">
        <f>_xlfn.IFNA(TEXT(VLOOKUP(INDEX(女子エントリー!$J$7:$AF$406,MATCH(LEFT($B39,FIND("(",$B39)-1)&amp;RIGHT(M$1,1),女子エントリー!$AF$7:$AF$406,0),1),競技会設定!$T$2:$W$22,4,0),"000")&amp;"00 "&amp;IF(VLOOKUP(INDEX(女子エントリー!$J$7:$AF$406,MATCH(LEFT($B39,FIND("(",$B39)-1)&amp;RIGHT(M$1,1),女子エントリー!$AF$7:$AF$406,0),1),競技会設定!$T$2:$W$22,4,0)&gt;70,TEXT(INDEX(女子エントリー!$J$7:$AF$406,MATCH(LEFT($B39,FIND("(",$B39)-1)&amp;RIGHT(M$1,1),女子エントリー!$AF$7:$AF$406,0),3),"00000"),TEXT(INDEX(女子エントリー!$J$7:$AF$406,MATCH(LEFT($B39,FIND("(",$B39)-1)&amp;RIGHT(M$1,1),女子エントリー!$AF$7:$AF$406,0),3),"0000000")),"")</f>
        <v/>
      </c>
      <c r="N39" s="1" t="str">
        <f>_xlfn.IFNA(TEXT(VLOOKUP(INDEX(女子エントリー!$J$7:$AF$406,MATCH(LEFT($B39,FIND("(",$B39)-1)&amp;RIGHT(N$1,1),女子エントリー!$AF$7:$AF$406,0),1),競技会設定!$T$2:$W$22,4,0),"000")&amp;"00 "&amp;IF(VLOOKUP(INDEX(女子エントリー!$J$7:$AF$406,MATCH(LEFT($B39,FIND("(",$B39)-1)&amp;RIGHT(N$1,1),女子エントリー!$AF$7:$AF$406,0),1),競技会設定!$T$2:$W$22,4,0)&gt;70,TEXT(INDEX(女子エントリー!$J$7:$AF$406,MATCH(LEFT($B39,FIND("(",$B39)-1)&amp;RIGHT(N$1,1),女子エントリー!$AF$7:$AF$406,0),3),"00000"),TEXT(INDEX(女子エントリー!$J$7:$AF$406,MATCH(LEFT($B39,FIND("(",$B39)-1)&amp;RIGHT(N$1,1),女子エントリー!$AF$7:$AF$406,0),3),"0000000")),"")</f>
        <v/>
      </c>
      <c r="O39" s="1" t="str">
        <f>_xlfn.IFNA(TEXT(VLOOKUP(INDEX(女子エントリー!$J$7:$AF$406,MATCH(LEFT($B39,FIND("(",$B39)-1)&amp;RIGHT(O$1,1),女子エントリー!$AF$7:$AF$406,0),1),競技会設定!$T$2:$W$22,4,0),"000")&amp;"00 "&amp;IF(VLOOKUP(INDEX(女子エントリー!$J$7:$AF$406,MATCH(LEFT($B39,FIND("(",$B39)-1)&amp;RIGHT(O$1,1),女子エントリー!$AF$7:$AF$406,0),1),競技会設定!$T$2:$W$22,4,0)&gt;70,TEXT(INDEX(女子エントリー!$J$7:$AF$406,MATCH(LEFT($B39,FIND("(",$B39)-1)&amp;RIGHT(O$1,1),女子エントリー!$AF$7:$AF$406,0),3),"00000"),TEXT(INDEX(女子エントリー!$J$7:$AF$406,MATCH(LEFT($B39,FIND("(",$B39)-1)&amp;RIGHT(O$1,1),女子エントリー!$AF$7:$AF$406,0),3),"0000000")),"")</f>
        <v/>
      </c>
    </row>
    <row r="40" spans="1:15">
      <c r="A40" s="92" t="str">
        <f>女子エントリー!D159</f>
        <v/>
      </c>
      <c r="B40" s="1" t="str">
        <f>女子エントリー!E159&amp;"("&amp;女子エントリー!G159&amp;")"</f>
        <v>()</v>
      </c>
      <c r="C40" s="92" t="str">
        <f>女子エントリー!F159</f>
        <v/>
      </c>
      <c r="D40" s="92" t="str">
        <f>女子エントリー!E161</f>
        <v/>
      </c>
      <c r="E40" s="92" t="str">
        <f>女子エントリー!G161</f>
        <v/>
      </c>
      <c r="F40" s="1" t="str">
        <f t="shared" si="0"/>
        <v/>
      </c>
      <c r="G40" s="92" t="str">
        <f>_xlfn.IFNA(VLOOKUP(女子エントリー!G160,競技会設定!$D$3:$E$49,2,0),"")</f>
        <v/>
      </c>
      <c r="H40" s="92" t="str">
        <f>_xlfn.IFNA(INDEX(競技会設定!$J$3:$O$47,MATCH(女子エントリー!H159,競技会設定!$N$3:$N$47,0),2),"")</f>
        <v/>
      </c>
      <c r="K40" s="92">
        <f>女子エントリー!C159</f>
        <v>0</v>
      </c>
      <c r="L40" s="1" t="str">
        <f>_xlfn.IFNA(TEXT(VLOOKUP(INDEX(女子エントリー!$J$7:$AF$406,MATCH(LEFT($B40,FIND("(",$B40)-1)&amp;RIGHT(L$1,1),女子エントリー!$AF$7:$AF$406,0),1),競技会設定!$T$2:$W$22,4,0),"000")&amp;"00 "&amp;IF(VLOOKUP(INDEX(女子エントリー!$J$7:$AF$406,MATCH(LEFT($B40,FIND("(",$B40)-1)&amp;RIGHT(L$1,1),女子エントリー!$AF$7:$AF$406,0),1),競技会設定!$T$2:$W$22,4,0)&gt;70,TEXT(INDEX(女子エントリー!$J$7:$AF$406,MATCH(LEFT($B40,FIND("(",$B40)-1)&amp;RIGHT(L$1,1),女子エントリー!$AF$7:$AF$406,0),3),"00000"),TEXT(INDEX(女子エントリー!$J$7:$AF$406,MATCH(LEFT($B40,FIND("(",$B40)-1)&amp;RIGHT(L$1,1),女子エントリー!$AF$7:$AF$406,0),3),"0000000")),"")</f>
        <v/>
      </c>
      <c r="M40" s="1" t="str">
        <f>_xlfn.IFNA(TEXT(VLOOKUP(INDEX(女子エントリー!$J$7:$AF$406,MATCH(LEFT($B40,FIND("(",$B40)-1)&amp;RIGHT(M$1,1),女子エントリー!$AF$7:$AF$406,0),1),競技会設定!$T$2:$W$22,4,0),"000")&amp;"00 "&amp;IF(VLOOKUP(INDEX(女子エントリー!$J$7:$AF$406,MATCH(LEFT($B40,FIND("(",$B40)-1)&amp;RIGHT(M$1,1),女子エントリー!$AF$7:$AF$406,0),1),競技会設定!$T$2:$W$22,4,0)&gt;70,TEXT(INDEX(女子エントリー!$J$7:$AF$406,MATCH(LEFT($B40,FIND("(",$B40)-1)&amp;RIGHT(M$1,1),女子エントリー!$AF$7:$AF$406,0),3),"00000"),TEXT(INDEX(女子エントリー!$J$7:$AF$406,MATCH(LEFT($B40,FIND("(",$B40)-1)&amp;RIGHT(M$1,1),女子エントリー!$AF$7:$AF$406,0),3),"0000000")),"")</f>
        <v/>
      </c>
      <c r="N40" s="1" t="str">
        <f>_xlfn.IFNA(TEXT(VLOOKUP(INDEX(女子エントリー!$J$7:$AF$406,MATCH(LEFT($B40,FIND("(",$B40)-1)&amp;RIGHT(N$1,1),女子エントリー!$AF$7:$AF$406,0),1),競技会設定!$T$2:$W$22,4,0),"000")&amp;"00 "&amp;IF(VLOOKUP(INDEX(女子エントリー!$J$7:$AF$406,MATCH(LEFT($B40,FIND("(",$B40)-1)&amp;RIGHT(N$1,1),女子エントリー!$AF$7:$AF$406,0),1),競技会設定!$T$2:$W$22,4,0)&gt;70,TEXT(INDEX(女子エントリー!$J$7:$AF$406,MATCH(LEFT($B40,FIND("(",$B40)-1)&amp;RIGHT(N$1,1),女子エントリー!$AF$7:$AF$406,0),3),"00000"),TEXT(INDEX(女子エントリー!$J$7:$AF$406,MATCH(LEFT($B40,FIND("(",$B40)-1)&amp;RIGHT(N$1,1),女子エントリー!$AF$7:$AF$406,0),3),"0000000")),"")</f>
        <v/>
      </c>
      <c r="O40" s="1" t="str">
        <f>_xlfn.IFNA(TEXT(VLOOKUP(INDEX(女子エントリー!$J$7:$AF$406,MATCH(LEFT($B40,FIND("(",$B40)-1)&amp;RIGHT(O$1,1),女子エントリー!$AF$7:$AF$406,0),1),競技会設定!$T$2:$W$22,4,0),"000")&amp;"00 "&amp;IF(VLOOKUP(INDEX(女子エントリー!$J$7:$AF$406,MATCH(LEFT($B40,FIND("(",$B40)-1)&amp;RIGHT(O$1,1),女子エントリー!$AF$7:$AF$406,0),1),競技会設定!$T$2:$W$22,4,0)&gt;70,TEXT(INDEX(女子エントリー!$J$7:$AF$406,MATCH(LEFT($B40,FIND("(",$B40)-1)&amp;RIGHT(O$1,1),女子エントリー!$AF$7:$AF$406,0),3),"00000"),TEXT(INDEX(女子エントリー!$J$7:$AF$406,MATCH(LEFT($B40,FIND("(",$B40)-1)&amp;RIGHT(O$1,1),女子エントリー!$AF$7:$AF$406,0),3),"0000000")),"")</f>
        <v/>
      </c>
    </row>
    <row r="41" spans="1:15">
      <c r="A41" s="92" t="str">
        <f>女子エントリー!D163</f>
        <v/>
      </c>
      <c r="B41" s="1" t="str">
        <f>女子エントリー!E163&amp;"("&amp;女子エントリー!G163&amp;")"</f>
        <v>()</v>
      </c>
      <c r="C41" s="92" t="str">
        <f>女子エントリー!F163</f>
        <v/>
      </c>
      <c r="D41" s="92" t="str">
        <f>女子エントリー!E165</f>
        <v/>
      </c>
      <c r="E41" s="92" t="str">
        <f>女子エントリー!G165</f>
        <v/>
      </c>
      <c r="F41" s="1" t="str">
        <f t="shared" si="0"/>
        <v/>
      </c>
      <c r="G41" s="92" t="str">
        <f>_xlfn.IFNA(VLOOKUP(女子エントリー!G164,競技会設定!$D$3:$E$49,2,0),"")</f>
        <v/>
      </c>
      <c r="H41" s="92" t="str">
        <f>_xlfn.IFNA(INDEX(競技会設定!$J$3:$O$47,MATCH(女子エントリー!H163,競技会設定!$N$3:$N$47,0),2),"")</f>
        <v/>
      </c>
      <c r="K41" s="92">
        <f>女子エントリー!C163</f>
        <v>0</v>
      </c>
      <c r="L41" s="1" t="str">
        <f>_xlfn.IFNA(TEXT(VLOOKUP(INDEX(女子エントリー!$J$7:$AF$406,MATCH(LEFT($B41,FIND("(",$B41)-1)&amp;RIGHT(L$1,1),女子エントリー!$AF$7:$AF$406,0),1),競技会設定!$T$2:$W$22,4,0),"000")&amp;"00 "&amp;IF(VLOOKUP(INDEX(女子エントリー!$J$7:$AF$406,MATCH(LEFT($B41,FIND("(",$B41)-1)&amp;RIGHT(L$1,1),女子エントリー!$AF$7:$AF$406,0),1),競技会設定!$T$2:$W$22,4,0)&gt;70,TEXT(INDEX(女子エントリー!$J$7:$AF$406,MATCH(LEFT($B41,FIND("(",$B41)-1)&amp;RIGHT(L$1,1),女子エントリー!$AF$7:$AF$406,0),3),"00000"),TEXT(INDEX(女子エントリー!$J$7:$AF$406,MATCH(LEFT($B41,FIND("(",$B41)-1)&amp;RIGHT(L$1,1),女子エントリー!$AF$7:$AF$406,0),3),"0000000")),"")</f>
        <v/>
      </c>
      <c r="M41" s="1" t="str">
        <f>_xlfn.IFNA(TEXT(VLOOKUP(INDEX(女子エントリー!$J$7:$AF$406,MATCH(LEFT($B41,FIND("(",$B41)-1)&amp;RIGHT(M$1,1),女子エントリー!$AF$7:$AF$406,0),1),競技会設定!$T$2:$W$22,4,0),"000")&amp;"00 "&amp;IF(VLOOKUP(INDEX(女子エントリー!$J$7:$AF$406,MATCH(LEFT($B41,FIND("(",$B41)-1)&amp;RIGHT(M$1,1),女子エントリー!$AF$7:$AF$406,0),1),競技会設定!$T$2:$W$22,4,0)&gt;70,TEXT(INDEX(女子エントリー!$J$7:$AF$406,MATCH(LEFT($B41,FIND("(",$B41)-1)&amp;RIGHT(M$1,1),女子エントリー!$AF$7:$AF$406,0),3),"00000"),TEXT(INDEX(女子エントリー!$J$7:$AF$406,MATCH(LEFT($B41,FIND("(",$B41)-1)&amp;RIGHT(M$1,1),女子エントリー!$AF$7:$AF$406,0),3),"0000000")),"")</f>
        <v/>
      </c>
      <c r="N41" s="1" t="str">
        <f>_xlfn.IFNA(TEXT(VLOOKUP(INDEX(女子エントリー!$J$7:$AF$406,MATCH(LEFT($B41,FIND("(",$B41)-1)&amp;RIGHT(N$1,1),女子エントリー!$AF$7:$AF$406,0),1),競技会設定!$T$2:$W$22,4,0),"000")&amp;"00 "&amp;IF(VLOOKUP(INDEX(女子エントリー!$J$7:$AF$406,MATCH(LEFT($B41,FIND("(",$B41)-1)&amp;RIGHT(N$1,1),女子エントリー!$AF$7:$AF$406,0),1),競技会設定!$T$2:$W$22,4,0)&gt;70,TEXT(INDEX(女子エントリー!$J$7:$AF$406,MATCH(LEFT($B41,FIND("(",$B41)-1)&amp;RIGHT(N$1,1),女子エントリー!$AF$7:$AF$406,0),3),"00000"),TEXT(INDEX(女子エントリー!$J$7:$AF$406,MATCH(LEFT($B41,FIND("(",$B41)-1)&amp;RIGHT(N$1,1),女子エントリー!$AF$7:$AF$406,0),3),"0000000")),"")</f>
        <v/>
      </c>
      <c r="O41" s="1" t="str">
        <f>_xlfn.IFNA(TEXT(VLOOKUP(INDEX(女子エントリー!$J$7:$AF$406,MATCH(LEFT($B41,FIND("(",$B41)-1)&amp;RIGHT(O$1,1),女子エントリー!$AF$7:$AF$406,0),1),競技会設定!$T$2:$W$22,4,0),"000")&amp;"00 "&amp;IF(VLOOKUP(INDEX(女子エントリー!$J$7:$AF$406,MATCH(LEFT($B41,FIND("(",$B41)-1)&amp;RIGHT(O$1,1),女子エントリー!$AF$7:$AF$406,0),1),競技会設定!$T$2:$W$22,4,0)&gt;70,TEXT(INDEX(女子エントリー!$J$7:$AF$406,MATCH(LEFT($B41,FIND("(",$B41)-1)&amp;RIGHT(O$1,1),女子エントリー!$AF$7:$AF$406,0),3),"00000"),TEXT(INDEX(女子エントリー!$J$7:$AF$406,MATCH(LEFT($B41,FIND("(",$B41)-1)&amp;RIGHT(O$1,1),女子エントリー!$AF$7:$AF$406,0),3),"0000000")),"")</f>
        <v/>
      </c>
    </row>
    <row r="42" spans="1:15">
      <c r="A42" s="92" t="str">
        <f>女子エントリー!D167</f>
        <v/>
      </c>
      <c r="B42" s="1" t="str">
        <f>女子エントリー!E167&amp;"("&amp;女子エントリー!G167&amp;")"</f>
        <v>()</v>
      </c>
      <c r="C42" s="92" t="str">
        <f>女子エントリー!F167</f>
        <v/>
      </c>
      <c r="D42" s="92" t="str">
        <f>女子エントリー!E169</f>
        <v/>
      </c>
      <c r="E42" s="92" t="str">
        <f>女子エントリー!G169</f>
        <v/>
      </c>
      <c r="F42" s="1" t="str">
        <f t="shared" si="0"/>
        <v/>
      </c>
      <c r="G42" s="92" t="str">
        <f>_xlfn.IFNA(VLOOKUP(女子エントリー!G168,競技会設定!$D$3:$E$49,2,0),"")</f>
        <v/>
      </c>
      <c r="H42" s="92" t="str">
        <f>_xlfn.IFNA(INDEX(競技会設定!$J$3:$O$47,MATCH(女子エントリー!H167,競技会設定!$N$3:$N$47,0),2),"")</f>
        <v/>
      </c>
      <c r="K42" s="92">
        <f>女子エントリー!C167</f>
        <v>0</v>
      </c>
      <c r="L42" s="1" t="str">
        <f>_xlfn.IFNA(TEXT(VLOOKUP(INDEX(女子エントリー!$J$7:$AF$406,MATCH(LEFT($B42,FIND("(",$B42)-1)&amp;RIGHT(L$1,1),女子エントリー!$AF$7:$AF$406,0),1),競技会設定!$T$2:$W$22,4,0),"000")&amp;"00 "&amp;IF(VLOOKUP(INDEX(女子エントリー!$J$7:$AF$406,MATCH(LEFT($B42,FIND("(",$B42)-1)&amp;RIGHT(L$1,1),女子エントリー!$AF$7:$AF$406,0),1),競技会設定!$T$2:$W$22,4,0)&gt;70,TEXT(INDEX(女子エントリー!$J$7:$AF$406,MATCH(LEFT($B42,FIND("(",$B42)-1)&amp;RIGHT(L$1,1),女子エントリー!$AF$7:$AF$406,0),3),"00000"),TEXT(INDEX(女子エントリー!$J$7:$AF$406,MATCH(LEFT($B42,FIND("(",$B42)-1)&amp;RIGHT(L$1,1),女子エントリー!$AF$7:$AF$406,0),3),"0000000")),"")</f>
        <v/>
      </c>
      <c r="M42" s="1" t="str">
        <f>_xlfn.IFNA(TEXT(VLOOKUP(INDEX(女子エントリー!$J$7:$AF$406,MATCH(LEFT($B42,FIND("(",$B42)-1)&amp;RIGHT(M$1,1),女子エントリー!$AF$7:$AF$406,0),1),競技会設定!$T$2:$W$22,4,0),"000")&amp;"00 "&amp;IF(VLOOKUP(INDEX(女子エントリー!$J$7:$AF$406,MATCH(LEFT($B42,FIND("(",$B42)-1)&amp;RIGHT(M$1,1),女子エントリー!$AF$7:$AF$406,0),1),競技会設定!$T$2:$W$22,4,0)&gt;70,TEXT(INDEX(女子エントリー!$J$7:$AF$406,MATCH(LEFT($B42,FIND("(",$B42)-1)&amp;RIGHT(M$1,1),女子エントリー!$AF$7:$AF$406,0),3),"00000"),TEXT(INDEX(女子エントリー!$J$7:$AF$406,MATCH(LEFT($B42,FIND("(",$B42)-1)&amp;RIGHT(M$1,1),女子エントリー!$AF$7:$AF$406,0),3),"0000000")),"")</f>
        <v/>
      </c>
      <c r="N42" s="1" t="str">
        <f>_xlfn.IFNA(TEXT(VLOOKUP(INDEX(女子エントリー!$J$7:$AF$406,MATCH(LEFT($B42,FIND("(",$B42)-1)&amp;RIGHT(N$1,1),女子エントリー!$AF$7:$AF$406,0),1),競技会設定!$T$2:$W$22,4,0),"000")&amp;"00 "&amp;IF(VLOOKUP(INDEX(女子エントリー!$J$7:$AF$406,MATCH(LEFT($B42,FIND("(",$B42)-1)&amp;RIGHT(N$1,1),女子エントリー!$AF$7:$AF$406,0),1),競技会設定!$T$2:$W$22,4,0)&gt;70,TEXT(INDEX(女子エントリー!$J$7:$AF$406,MATCH(LEFT($B42,FIND("(",$B42)-1)&amp;RIGHT(N$1,1),女子エントリー!$AF$7:$AF$406,0),3),"00000"),TEXT(INDEX(女子エントリー!$J$7:$AF$406,MATCH(LEFT($B42,FIND("(",$B42)-1)&amp;RIGHT(N$1,1),女子エントリー!$AF$7:$AF$406,0),3),"0000000")),"")</f>
        <v/>
      </c>
      <c r="O42" s="1" t="str">
        <f>_xlfn.IFNA(TEXT(VLOOKUP(INDEX(女子エントリー!$J$7:$AF$406,MATCH(LEFT($B42,FIND("(",$B42)-1)&amp;RIGHT(O$1,1),女子エントリー!$AF$7:$AF$406,0),1),競技会設定!$T$2:$W$22,4,0),"000")&amp;"00 "&amp;IF(VLOOKUP(INDEX(女子エントリー!$J$7:$AF$406,MATCH(LEFT($B42,FIND("(",$B42)-1)&amp;RIGHT(O$1,1),女子エントリー!$AF$7:$AF$406,0),1),競技会設定!$T$2:$W$22,4,0)&gt;70,TEXT(INDEX(女子エントリー!$J$7:$AF$406,MATCH(LEFT($B42,FIND("(",$B42)-1)&amp;RIGHT(O$1,1),女子エントリー!$AF$7:$AF$406,0),3),"00000"),TEXT(INDEX(女子エントリー!$J$7:$AF$406,MATCH(LEFT($B42,FIND("(",$B42)-1)&amp;RIGHT(O$1,1),女子エントリー!$AF$7:$AF$406,0),3),"0000000")),"")</f>
        <v/>
      </c>
    </row>
    <row r="43" spans="1:15">
      <c r="A43" s="92" t="str">
        <f>女子エントリー!D171</f>
        <v/>
      </c>
      <c r="B43" s="1" t="str">
        <f>女子エントリー!E171&amp;"("&amp;女子エントリー!G171&amp;")"</f>
        <v>()</v>
      </c>
      <c r="C43" s="92" t="str">
        <f>女子エントリー!F171</f>
        <v/>
      </c>
      <c r="D43" s="92" t="str">
        <f>女子エントリー!E173</f>
        <v/>
      </c>
      <c r="E43" s="92" t="str">
        <f>女子エントリー!G173</f>
        <v/>
      </c>
      <c r="F43" s="1" t="str">
        <f t="shared" si="0"/>
        <v/>
      </c>
      <c r="G43" s="92" t="str">
        <f>_xlfn.IFNA(VLOOKUP(女子エントリー!G172,競技会設定!$D$3:$E$49,2,0),"")</f>
        <v/>
      </c>
      <c r="H43" s="92" t="str">
        <f>_xlfn.IFNA(INDEX(競技会設定!$J$3:$O$47,MATCH(女子エントリー!H171,競技会設定!$N$3:$N$47,0),2),"")</f>
        <v/>
      </c>
      <c r="K43" s="92">
        <f>女子エントリー!C171</f>
        <v>0</v>
      </c>
      <c r="L43" s="1" t="str">
        <f>_xlfn.IFNA(TEXT(VLOOKUP(INDEX(女子エントリー!$J$7:$AF$406,MATCH(LEFT($B43,FIND("(",$B43)-1)&amp;RIGHT(L$1,1),女子エントリー!$AF$7:$AF$406,0),1),競技会設定!$T$2:$W$22,4,0),"000")&amp;"00 "&amp;IF(VLOOKUP(INDEX(女子エントリー!$J$7:$AF$406,MATCH(LEFT($B43,FIND("(",$B43)-1)&amp;RIGHT(L$1,1),女子エントリー!$AF$7:$AF$406,0),1),競技会設定!$T$2:$W$22,4,0)&gt;70,TEXT(INDEX(女子エントリー!$J$7:$AF$406,MATCH(LEFT($B43,FIND("(",$B43)-1)&amp;RIGHT(L$1,1),女子エントリー!$AF$7:$AF$406,0),3),"00000"),TEXT(INDEX(女子エントリー!$J$7:$AF$406,MATCH(LEFT($B43,FIND("(",$B43)-1)&amp;RIGHT(L$1,1),女子エントリー!$AF$7:$AF$406,0),3),"0000000")),"")</f>
        <v/>
      </c>
      <c r="M43" s="1" t="str">
        <f>_xlfn.IFNA(TEXT(VLOOKUP(INDEX(女子エントリー!$J$7:$AF$406,MATCH(LEFT($B43,FIND("(",$B43)-1)&amp;RIGHT(M$1,1),女子エントリー!$AF$7:$AF$406,0),1),競技会設定!$T$2:$W$22,4,0),"000")&amp;"00 "&amp;IF(VLOOKUP(INDEX(女子エントリー!$J$7:$AF$406,MATCH(LEFT($B43,FIND("(",$B43)-1)&amp;RIGHT(M$1,1),女子エントリー!$AF$7:$AF$406,0),1),競技会設定!$T$2:$W$22,4,0)&gt;70,TEXT(INDEX(女子エントリー!$J$7:$AF$406,MATCH(LEFT($B43,FIND("(",$B43)-1)&amp;RIGHT(M$1,1),女子エントリー!$AF$7:$AF$406,0),3),"00000"),TEXT(INDEX(女子エントリー!$J$7:$AF$406,MATCH(LEFT($B43,FIND("(",$B43)-1)&amp;RIGHT(M$1,1),女子エントリー!$AF$7:$AF$406,0),3),"0000000")),"")</f>
        <v/>
      </c>
      <c r="N43" s="1" t="str">
        <f>_xlfn.IFNA(TEXT(VLOOKUP(INDEX(女子エントリー!$J$7:$AF$406,MATCH(LEFT($B43,FIND("(",$B43)-1)&amp;RIGHT(N$1,1),女子エントリー!$AF$7:$AF$406,0),1),競技会設定!$T$2:$W$22,4,0),"000")&amp;"00 "&amp;IF(VLOOKUP(INDEX(女子エントリー!$J$7:$AF$406,MATCH(LEFT($B43,FIND("(",$B43)-1)&amp;RIGHT(N$1,1),女子エントリー!$AF$7:$AF$406,0),1),競技会設定!$T$2:$W$22,4,0)&gt;70,TEXT(INDEX(女子エントリー!$J$7:$AF$406,MATCH(LEFT($B43,FIND("(",$B43)-1)&amp;RIGHT(N$1,1),女子エントリー!$AF$7:$AF$406,0),3),"00000"),TEXT(INDEX(女子エントリー!$J$7:$AF$406,MATCH(LEFT($B43,FIND("(",$B43)-1)&amp;RIGHT(N$1,1),女子エントリー!$AF$7:$AF$406,0),3),"0000000")),"")</f>
        <v/>
      </c>
      <c r="O43" s="1" t="str">
        <f>_xlfn.IFNA(TEXT(VLOOKUP(INDEX(女子エントリー!$J$7:$AF$406,MATCH(LEFT($B43,FIND("(",$B43)-1)&amp;RIGHT(O$1,1),女子エントリー!$AF$7:$AF$406,0),1),競技会設定!$T$2:$W$22,4,0),"000")&amp;"00 "&amp;IF(VLOOKUP(INDEX(女子エントリー!$J$7:$AF$406,MATCH(LEFT($B43,FIND("(",$B43)-1)&amp;RIGHT(O$1,1),女子エントリー!$AF$7:$AF$406,0),1),競技会設定!$T$2:$W$22,4,0)&gt;70,TEXT(INDEX(女子エントリー!$J$7:$AF$406,MATCH(LEFT($B43,FIND("(",$B43)-1)&amp;RIGHT(O$1,1),女子エントリー!$AF$7:$AF$406,0),3),"00000"),TEXT(INDEX(女子エントリー!$J$7:$AF$406,MATCH(LEFT($B43,FIND("(",$B43)-1)&amp;RIGHT(O$1,1),女子エントリー!$AF$7:$AF$406,0),3),"0000000")),"")</f>
        <v/>
      </c>
    </row>
    <row r="44" spans="1:15">
      <c r="A44" s="92" t="str">
        <f>女子エントリー!D175</f>
        <v/>
      </c>
      <c r="B44" s="1" t="str">
        <f>女子エントリー!E175&amp;"("&amp;女子エントリー!G175&amp;")"</f>
        <v>()</v>
      </c>
      <c r="C44" s="92" t="str">
        <f>女子エントリー!F175</f>
        <v/>
      </c>
      <c r="D44" s="92" t="str">
        <f>女子エントリー!E177</f>
        <v/>
      </c>
      <c r="E44" s="92" t="str">
        <f>女子エントリー!G177</f>
        <v/>
      </c>
      <c r="F44" s="1" t="str">
        <f t="shared" si="0"/>
        <v/>
      </c>
      <c r="G44" s="92" t="str">
        <f>_xlfn.IFNA(VLOOKUP(女子エントリー!G176,競技会設定!$D$3:$E$49,2,0),"")</f>
        <v/>
      </c>
      <c r="H44" s="92" t="str">
        <f>_xlfn.IFNA(INDEX(競技会設定!$J$3:$O$47,MATCH(女子エントリー!H175,競技会設定!$N$3:$N$47,0),2),"")</f>
        <v/>
      </c>
      <c r="K44" s="92">
        <f>女子エントリー!C175</f>
        <v>0</v>
      </c>
      <c r="L44" s="1" t="str">
        <f>_xlfn.IFNA(TEXT(VLOOKUP(INDEX(女子エントリー!$J$7:$AF$406,MATCH(LEFT($B44,FIND("(",$B44)-1)&amp;RIGHT(L$1,1),女子エントリー!$AF$7:$AF$406,0),1),競技会設定!$T$2:$W$22,4,0),"000")&amp;"00 "&amp;IF(VLOOKUP(INDEX(女子エントリー!$J$7:$AF$406,MATCH(LEFT($B44,FIND("(",$B44)-1)&amp;RIGHT(L$1,1),女子エントリー!$AF$7:$AF$406,0),1),競技会設定!$T$2:$W$22,4,0)&gt;70,TEXT(INDEX(女子エントリー!$J$7:$AF$406,MATCH(LEFT($B44,FIND("(",$B44)-1)&amp;RIGHT(L$1,1),女子エントリー!$AF$7:$AF$406,0),3),"00000"),TEXT(INDEX(女子エントリー!$J$7:$AF$406,MATCH(LEFT($B44,FIND("(",$B44)-1)&amp;RIGHT(L$1,1),女子エントリー!$AF$7:$AF$406,0),3),"0000000")),"")</f>
        <v/>
      </c>
      <c r="M44" s="1" t="str">
        <f>_xlfn.IFNA(TEXT(VLOOKUP(INDEX(女子エントリー!$J$7:$AF$406,MATCH(LEFT($B44,FIND("(",$B44)-1)&amp;RIGHT(M$1,1),女子エントリー!$AF$7:$AF$406,0),1),競技会設定!$T$2:$W$22,4,0),"000")&amp;"00 "&amp;IF(VLOOKUP(INDEX(女子エントリー!$J$7:$AF$406,MATCH(LEFT($B44,FIND("(",$B44)-1)&amp;RIGHT(M$1,1),女子エントリー!$AF$7:$AF$406,0),1),競技会設定!$T$2:$W$22,4,0)&gt;70,TEXT(INDEX(女子エントリー!$J$7:$AF$406,MATCH(LEFT($B44,FIND("(",$B44)-1)&amp;RIGHT(M$1,1),女子エントリー!$AF$7:$AF$406,0),3),"00000"),TEXT(INDEX(女子エントリー!$J$7:$AF$406,MATCH(LEFT($B44,FIND("(",$B44)-1)&amp;RIGHT(M$1,1),女子エントリー!$AF$7:$AF$406,0),3),"0000000")),"")</f>
        <v/>
      </c>
      <c r="N44" s="1" t="str">
        <f>_xlfn.IFNA(TEXT(VLOOKUP(INDEX(女子エントリー!$J$7:$AF$406,MATCH(LEFT($B44,FIND("(",$B44)-1)&amp;RIGHT(N$1,1),女子エントリー!$AF$7:$AF$406,0),1),競技会設定!$T$2:$W$22,4,0),"000")&amp;"00 "&amp;IF(VLOOKUP(INDEX(女子エントリー!$J$7:$AF$406,MATCH(LEFT($B44,FIND("(",$B44)-1)&amp;RIGHT(N$1,1),女子エントリー!$AF$7:$AF$406,0),1),競技会設定!$T$2:$W$22,4,0)&gt;70,TEXT(INDEX(女子エントリー!$J$7:$AF$406,MATCH(LEFT($B44,FIND("(",$B44)-1)&amp;RIGHT(N$1,1),女子エントリー!$AF$7:$AF$406,0),3),"00000"),TEXT(INDEX(女子エントリー!$J$7:$AF$406,MATCH(LEFT($B44,FIND("(",$B44)-1)&amp;RIGHT(N$1,1),女子エントリー!$AF$7:$AF$406,0),3),"0000000")),"")</f>
        <v/>
      </c>
      <c r="O44" s="1" t="str">
        <f>_xlfn.IFNA(TEXT(VLOOKUP(INDEX(女子エントリー!$J$7:$AF$406,MATCH(LEFT($B44,FIND("(",$B44)-1)&amp;RIGHT(O$1,1),女子エントリー!$AF$7:$AF$406,0),1),競技会設定!$T$2:$W$22,4,0),"000")&amp;"00 "&amp;IF(VLOOKUP(INDEX(女子エントリー!$J$7:$AF$406,MATCH(LEFT($B44,FIND("(",$B44)-1)&amp;RIGHT(O$1,1),女子エントリー!$AF$7:$AF$406,0),1),競技会設定!$T$2:$W$22,4,0)&gt;70,TEXT(INDEX(女子エントリー!$J$7:$AF$406,MATCH(LEFT($B44,FIND("(",$B44)-1)&amp;RIGHT(O$1,1),女子エントリー!$AF$7:$AF$406,0),3),"00000"),TEXT(INDEX(女子エントリー!$J$7:$AF$406,MATCH(LEFT($B44,FIND("(",$B44)-1)&amp;RIGHT(O$1,1),女子エントリー!$AF$7:$AF$406,0),3),"0000000")),"")</f>
        <v/>
      </c>
    </row>
    <row r="45" spans="1:15">
      <c r="A45" s="92" t="str">
        <f>女子エントリー!D179</f>
        <v/>
      </c>
      <c r="B45" s="1" t="str">
        <f>女子エントリー!E179&amp;"("&amp;女子エントリー!G179&amp;")"</f>
        <v>()</v>
      </c>
      <c r="C45" s="92" t="str">
        <f>女子エントリー!F179</f>
        <v/>
      </c>
      <c r="D45" s="92" t="str">
        <f>女子エントリー!E181</f>
        <v/>
      </c>
      <c r="E45" s="92" t="str">
        <f>女子エントリー!G181</f>
        <v/>
      </c>
      <c r="F45" s="1" t="str">
        <f t="shared" si="0"/>
        <v/>
      </c>
      <c r="G45" s="92" t="str">
        <f>_xlfn.IFNA(VLOOKUP(女子エントリー!G180,競技会設定!$D$3:$E$49,2,0),"")</f>
        <v/>
      </c>
      <c r="H45" s="92" t="str">
        <f>_xlfn.IFNA(INDEX(競技会設定!$J$3:$O$47,MATCH(女子エントリー!H179,競技会設定!$N$3:$N$47,0),2),"")</f>
        <v/>
      </c>
      <c r="K45" s="92">
        <f>女子エントリー!C179</f>
        <v>0</v>
      </c>
      <c r="L45" s="1" t="str">
        <f>_xlfn.IFNA(TEXT(VLOOKUP(INDEX(女子エントリー!$J$7:$AF$406,MATCH(LEFT($B45,FIND("(",$B45)-1)&amp;RIGHT(L$1,1),女子エントリー!$AF$7:$AF$406,0),1),競技会設定!$T$2:$W$22,4,0),"000")&amp;"00 "&amp;IF(VLOOKUP(INDEX(女子エントリー!$J$7:$AF$406,MATCH(LEFT($B45,FIND("(",$B45)-1)&amp;RIGHT(L$1,1),女子エントリー!$AF$7:$AF$406,0),1),競技会設定!$T$2:$W$22,4,0)&gt;70,TEXT(INDEX(女子エントリー!$J$7:$AF$406,MATCH(LEFT($B45,FIND("(",$B45)-1)&amp;RIGHT(L$1,1),女子エントリー!$AF$7:$AF$406,0),3),"00000"),TEXT(INDEX(女子エントリー!$J$7:$AF$406,MATCH(LEFT($B45,FIND("(",$B45)-1)&amp;RIGHT(L$1,1),女子エントリー!$AF$7:$AF$406,0),3),"0000000")),"")</f>
        <v/>
      </c>
      <c r="M45" s="1" t="str">
        <f>_xlfn.IFNA(TEXT(VLOOKUP(INDEX(女子エントリー!$J$7:$AF$406,MATCH(LEFT($B45,FIND("(",$B45)-1)&amp;RIGHT(M$1,1),女子エントリー!$AF$7:$AF$406,0),1),競技会設定!$T$2:$W$22,4,0),"000")&amp;"00 "&amp;IF(VLOOKUP(INDEX(女子エントリー!$J$7:$AF$406,MATCH(LEFT($B45,FIND("(",$B45)-1)&amp;RIGHT(M$1,1),女子エントリー!$AF$7:$AF$406,0),1),競技会設定!$T$2:$W$22,4,0)&gt;70,TEXT(INDEX(女子エントリー!$J$7:$AF$406,MATCH(LEFT($B45,FIND("(",$B45)-1)&amp;RIGHT(M$1,1),女子エントリー!$AF$7:$AF$406,0),3),"00000"),TEXT(INDEX(女子エントリー!$J$7:$AF$406,MATCH(LEFT($B45,FIND("(",$B45)-1)&amp;RIGHT(M$1,1),女子エントリー!$AF$7:$AF$406,0),3),"0000000")),"")</f>
        <v/>
      </c>
      <c r="N45" s="1" t="str">
        <f>_xlfn.IFNA(TEXT(VLOOKUP(INDEX(女子エントリー!$J$7:$AF$406,MATCH(LEFT($B45,FIND("(",$B45)-1)&amp;RIGHT(N$1,1),女子エントリー!$AF$7:$AF$406,0),1),競技会設定!$T$2:$W$22,4,0),"000")&amp;"00 "&amp;IF(VLOOKUP(INDEX(女子エントリー!$J$7:$AF$406,MATCH(LEFT($B45,FIND("(",$B45)-1)&amp;RIGHT(N$1,1),女子エントリー!$AF$7:$AF$406,0),1),競技会設定!$T$2:$W$22,4,0)&gt;70,TEXT(INDEX(女子エントリー!$J$7:$AF$406,MATCH(LEFT($B45,FIND("(",$B45)-1)&amp;RIGHT(N$1,1),女子エントリー!$AF$7:$AF$406,0),3),"00000"),TEXT(INDEX(女子エントリー!$J$7:$AF$406,MATCH(LEFT($B45,FIND("(",$B45)-1)&amp;RIGHT(N$1,1),女子エントリー!$AF$7:$AF$406,0),3),"0000000")),"")</f>
        <v/>
      </c>
      <c r="O45" s="1" t="str">
        <f>_xlfn.IFNA(TEXT(VLOOKUP(INDEX(女子エントリー!$J$7:$AF$406,MATCH(LEFT($B45,FIND("(",$B45)-1)&amp;RIGHT(O$1,1),女子エントリー!$AF$7:$AF$406,0),1),競技会設定!$T$2:$W$22,4,0),"000")&amp;"00 "&amp;IF(VLOOKUP(INDEX(女子エントリー!$J$7:$AF$406,MATCH(LEFT($B45,FIND("(",$B45)-1)&amp;RIGHT(O$1,1),女子エントリー!$AF$7:$AF$406,0),1),競技会設定!$T$2:$W$22,4,0)&gt;70,TEXT(INDEX(女子エントリー!$J$7:$AF$406,MATCH(LEFT($B45,FIND("(",$B45)-1)&amp;RIGHT(O$1,1),女子エントリー!$AF$7:$AF$406,0),3),"00000"),TEXT(INDEX(女子エントリー!$J$7:$AF$406,MATCH(LEFT($B45,FIND("(",$B45)-1)&amp;RIGHT(O$1,1),女子エントリー!$AF$7:$AF$406,0),3),"0000000")),"")</f>
        <v/>
      </c>
    </row>
    <row r="46" spans="1:15">
      <c r="A46" s="92" t="str">
        <f>女子エントリー!D183</f>
        <v/>
      </c>
      <c r="B46" s="1" t="str">
        <f>女子エントリー!E183&amp;"("&amp;女子エントリー!G183&amp;")"</f>
        <v>()</v>
      </c>
      <c r="C46" s="92" t="str">
        <f>女子エントリー!F183</f>
        <v/>
      </c>
      <c r="D46" s="92" t="str">
        <f>女子エントリー!E185</f>
        <v/>
      </c>
      <c r="E46" s="92" t="str">
        <f>女子エントリー!G185</f>
        <v/>
      </c>
      <c r="F46" s="1" t="str">
        <f t="shared" si="0"/>
        <v/>
      </c>
      <c r="G46" s="92" t="str">
        <f>_xlfn.IFNA(VLOOKUP(女子エントリー!G184,競技会設定!$D$3:$E$49,2,0),"")</f>
        <v/>
      </c>
      <c r="H46" s="92" t="str">
        <f>_xlfn.IFNA(INDEX(競技会設定!$J$3:$O$47,MATCH(女子エントリー!H183,競技会設定!$N$3:$N$47,0),2),"")</f>
        <v/>
      </c>
      <c r="K46" s="92">
        <f>女子エントリー!C183</f>
        <v>0</v>
      </c>
      <c r="L46" s="1" t="str">
        <f>_xlfn.IFNA(TEXT(VLOOKUP(INDEX(女子エントリー!$J$7:$AF$406,MATCH(LEFT($B46,FIND("(",$B46)-1)&amp;RIGHT(L$1,1),女子エントリー!$AF$7:$AF$406,0),1),競技会設定!$T$2:$W$22,4,0),"000")&amp;"00 "&amp;IF(VLOOKUP(INDEX(女子エントリー!$J$7:$AF$406,MATCH(LEFT($B46,FIND("(",$B46)-1)&amp;RIGHT(L$1,1),女子エントリー!$AF$7:$AF$406,0),1),競技会設定!$T$2:$W$22,4,0)&gt;70,TEXT(INDEX(女子エントリー!$J$7:$AF$406,MATCH(LEFT($B46,FIND("(",$B46)-1)&amp;RIGHT(L$1,1),女子エントリー!$AF$7:$AF$406,0),3),"00000"),TEXT(INDEX(女子エントリー!$J$7:$AF$406,MATCH(LEFT($B46,FIND("(",$B46)-1)&amp;RIGHT(L$1,1),女子エントリー!$AF$7:$AF$406,0),3),"0000000")),"")</f>
        <v/>
      </c>
      <c r="M46" s="1" t="str">
        <f>_xlfn.IFNA(TEXT(VLOOKUP(INDEX(女子エントリー!$J$7:$AF$406,MATCH(LEFT($B46,FIND("(",$B46)-1)&amp;RIGHT(M$1,1),女子エントリー!$AF$7:$AF$406,0),1),競技会設定!$T$2:$W$22,4,0),"000")&amp;"00 "&amp;IF(VLOOKUP(INDEX(女子エントリー!$J$7:$AF$406,MATCH(LEFT($B46,FIND("(",$B46)-1)&amp;RIGHT(M$1,1),女子エントリー!$AF$7:$AF$406,0),1),競技会設定!$T$2:$W$22,4,0)&gt;70,TEXT(INDEX(女子エントリー!$J$7:$AF$406,MATCH(LEFT($B46,FIND("(",$B46)-1)&amp;RIGHT(M$1,1),女子エントリー!$AF$7:$AF$406,0),3),"00000"),TEXT(INDEX(女子エントリー!$J$7:$AF$406,MATCH(LEFT($B46,FIND("(",$B46)-1)&amp;RIGHT(M$1,1),女子エントリー!$AF$7:$AF$406,0),3),"0000000")),"")</f>
        <v/>
      </c>
      <c r="N46" s="1" t="str">
        <f>_xlfn.IFNA(TEXT(VLOOKUP(INDEX(女子エントリー!$J$7:$AF$406,MATCH(LEFT($B46,FIND("(",$B46)-1)&amp;RIGHT(N$1,1),女子エントリー!$AF$7:$AF$406,0),1),競技会設定!$T$2:$W$22,4,0),"000")&amp;"00 "&amp;IF(VLOOKUP(INDEX(女子エントリー!$J$7:$AF$406,MATCH(LEFT($B46,FIND("(",$B46)-1)&amp;RIGHT(N$1,1),女子エントリー!$AF$7:$AF$406,0),1),競技会設定!$T$2:$W$22,4,0)&gt;70,TEXT(INDEX(女子エントリー!$J$7:$AF$406,MATCH(LEFT($B46,FIND("(",$B46)-1)&amp;RIGHT(N$1,1),女子エントリー!$AF$7:$AF$406,0),3),"00000"),TEXT(INDEX(女子エントリー!$J$7:$AF$406,MATCH(LEFT($B46,FIND("(",$B46)-1)&amp;RIGHT(N$1,1),女子エントリー!$AF$7:$AF$406,0),3),"0000000")),"")</f>
        <v/>
      </c>
      <c r="O46" s="1" t="str">
        <f>_xlfn.IFNA(TEXT(VLOOKUP(INDEX(女子エントリー!$J$7:$AF$406,MATCH(LEFT($B46,FIND("(",$B46)-1)&amp;RIGHT(O$1,1),女子エントリー!$AF$7:$AF$406,0),1),競技会設定!$T$2:$W$22,4,0),"000")&amp;"00 "&amp;IF(VLOOKUP(INDEX(女子エントリー!$J$7:$AF$406,MATCH(LEFT($B46,FIND("(",$B46)-1)&amp;RIGHT(O$1,1),女子エントリー!$AF$7:$AF$406,0),1),競技会設定!$T$2:$W$22,4,0)&gt;70,TEXT(INDEX(女子エントリー!$J$7:$AF$406,MATCH(LEFT($B46,FIND("(",$B46)-1)&amp;RIGHT(O$1,1),女子エントリー!$AF$7:$AF$406,0),3),"00000"),TEXT(INDEX(女子エントリー!$J$7:$AF$406,MATCH(LEFT($B46,FIND("(",$B46)-1)&amp;RIGHT(O$1,1),女子エントリー!$AF$7:$AF$406,0),3),"0000000")),"")</f>
        <v/>
      </c>
    </row>
    <row r="47" spans="1:15">
      <c r="A47" s="92" t="str">
        <f>女子エントリー!D187</f>
        <v/>
      </c>
      <c r="B47" s="1" t="str">
        <f>女子エントリー!E187&amp;"("&amp;女子エントリー!G187&amp;")"</f>
        <v>()</v>
      </c>
      <c r="C47" s="92" t="str">
        <f>女子エントリー!F187</f>
        <v/>
      </c>
      <c r="D47" s="92" t="str">
        <f>女子エントリー!E189</f>
        <v/>
      </c>
      <c r="E47" s="92" t="str">
        <f>女子エントリー!G189</f>
        <v/>
      </c>
      <c r="F47" s="1" t="str">
        <f t="shared" si="0"/>
        <v/>
      </c>
      <c r="G47" s="92" t="str">
        <f>_xlfn.IFNA(VLOOKUP(女子エントリー!G188,競技会設定!$D$3:$E$49,2,0),"")</f>
        <v/>
      </c>
      <c r="H47" s="92" t="str">
        <f>_xlfn.IFNA(INDEX(競技会設定!$J$3:$O$47,MATCH(女子エントリー!H187,競技会設定!$N$3:$N$47,0),2),"")</f>
        <v/>
      </c>
      <c r="K47" s="92">
        <f>女子エントリー!C187</f>
        <v>0</v>
      </c>
      <c r="L47" s="1" t="str">
        <f>_xlfn.IFNA(TEXT(VLOOKUP(INDEX(女子エントリー!$J$7:$AF$406,MATCH(LEFT($B47,FIND("(",$B47)-1)&amp;RIGHT(L$1,1),女子エントリー!$AF$7:$AF$406,0),1),競技会設定!$T$2:$W$22,4,0),"000")&amp;"00 "&amp;IF(VLOOKUP(INDEX(女子エントリー!$J$7:$AF$406,MATCH(LEFT($B47,FIND("(",$B47)-1)&amp;RIGHT(L$1,1),女子エントリー!$AF$7:$AF$406,0),1),競技会設定!$T$2:$W$22,4,0)&gt;70,TEXT(INDEX(女子エントリー!$J$7:$AF$406,MATCH(LEFT($B47,FIND("(",$B47)-1)&amp;RIGHT(L$1,1),女子エントリー!$AF$7:$AF$406,0),3),"00000"),TEXT(INDEX(女子エントリー!$J$7:$AF$406,MATCH(LEFT($B47,FIND("(",$B47)-1)&amp;RIGHT(L$1,1),女子エントリー!$AF$7:$AF$406,0),3),"0000000")),"")</f>
        <v/>
      </c>
      <c r="M47" s="1" t="str">
        <f>_xlfn.IFNA(TEXT(VLOOKUP(INDEX(女子エントリー!$J$7:$AF$406,MATCH(LEFT($B47,FIND("(",$B47)-1)&amp;RIGHT(M$1,1),女子エントリー!$AF$7:$AF$406,0),1),競技会設定!$T$2:$W$22,4,0),"000")&amp;"00 "&amp;IF(VLOOKUP(INDEX(女子エントリー!$J$7:$AF$406,MATCH(LEFT($B47,FIND("(",$B47)-1)&amp;RIGHT(M$1,1),女子エントリー!$AF$7:$AF$406,0),1),競技会設定!$T$2:$W$22,4,0)&gt;70,TEXT(INDEX(女子エントリー!$J$7:$AF$406,MATCH(LEFT($B47,FIND("(",$B47)-1)&amp;RIGHT(M$1,1),女子エントリー!$AF$7:$AF$406,0),3),"00000"),TEXT(INDEX(女子エントリー!$J$7:$AF$406,MATCH(LEFT($B47,FIND("(",$B47)-1)&amp;RIGHT(M$1,1),女子エントリー!$AF$7:$AF$406,0),3),"0000000")),"")</f>
        <v/>
      </c>
      <c r="N47" s="1" t="str">
        <f>_xlfn.IFNA(TEXT(VLOOKUP(INDEX(女子エントリー!$J$7:$AF$406,MATCH(LEFT($B47,FIND("(",$B47)-1)&amp;RIGHT(N$1,1),女子エントリー!$AF$7:$AF$406,0),1),競技会設定!$T$2:$W$22,4,0),"000")&amp;"00 "&amp;IF(VLOOKUP(INDEX(女子エントリー!$J$7:$AF$406,MATCH(LEFT($B47,FIND("(",$B47)-1)&amp;RIGHT(N$1,1),女子エントリー!$AF$7:$AF$406,0),1),競技会設定!$T$2:$W$22,4,0)&gt;70,TEXT(INDEX(女子エントリー!$J$7:$AF$406,MATCH(LEFT($B47,FIND("(",$B47)-1)&amp;RIGHT(N$1,1),女子エントリー!$AF$7:$AF$406,0),3),"00000"),TEXT(INDEX(女子エントリー!$J$7:$AF$406,MATCH(LEFT($B47,FIND("(",$B47)-1)&amp;RIGHT(N$1,1),女子エントリー!$AF$7:$AF$406,0),3),"0000000")),"")</f>
        <v/>
      </c>
      <c r="O47" s="1" t="str">
        <f>_xlfn.IFNA(TEXT(VLOOKUP(INDEX(女子エントリー!$J$7:$AF$406,MATCH(LEFT($B47,FIND("(",$B47)-1)&amp;RIGHT(O$1,1),女子エントリー!$AF$7:$AF$406,0),1),競技会設定!$T$2:$W$22,4,0),"000")&amp;"00 "&amp;IF(VLOOKUP(INDEX(女子エントリー!$J$7:$AF$406,MATCH(LEFT($B47,FIND("(",$B47)-1)&amp;RIGHT(O$1,1),女子エントリー!$AF$7:$AF$406,0),1),競技会設定!$T$2:$W$22,4,0)&gt;70,TEXT(INDEX(女子エントリー!$J$7:$AF$406,MATCH(LEFT($B47,FIND("(",$B47)-1)&amp;RIGHT(O$1,1),女子エントリー!$AF$7:$AF$406,0),3),"00000"),TEXT(INDEX(女子エントリー!$J$7:$AF$406,MATCH(LEFT($B47,FIND("(",$B47)-1)&amp;RIGHT(O$1,1),女子エントリー!$AF$7:$AF$406,0),3),"0000000")),"")</f>
        <v/>
      </c>
    </row>
    <row r="48" spans="1:15">
      <c r="A48" s="92" t="str">
        <f>女子エントリー!D191</f>
        <v/>
      </c>
      <c r="B48" s="1" t="str">
        <f>女子エントリー!E191&amp;"("&amp;女子エントリー!G191&amp;")"</f>
        <v>()</v>
      </c>
      <c r="C48" s="92" t="str">
        <f>女子エントリー!F191</f>
        <v/>
      </c>
      <c r="D48" s="92" t="str">
        <f>女子エントリー!E193</f>
        <v/>
      </c>
      <c r="E48" s="92" t="str">
        <f>女子エントリー!G193</f>
        <v/>
      </c>
      <c r="F48" s="1" t="str">
        <f t="shared" si="0"/>
        <v/>
      </c>
      <c r="G48" s="92" t="str">
        <f>_xlfn.IFNA(VLOOKUP(女子エントリー!G192,競技会設定!$D$3:$E$49,2,0),"")</f>
        <v/>
      </c>
      <c r="H48" s="92" t="str">
        <f>_xlfn.IFNA(INDEX(競技会設定!$J$3:$O$47,MATCH(女子エントリー!H191,競技会設定!$N$3:$N$47,0),2),"")</f>
        <v/>
      </c>
      <c r="K48" s="92">
        <f>女子エントリー!C191</f>
        <v>0</v>
      </c>
      <c r="L48" s="1" t="str">
        <f>_xlfn.IFNA(TEXT(VLOOKUP(INDEX(女子エントリー!$J$7:$AF$406,MATCH(LEFT($B48,FIND("(",$B48)-1)&amp;RIGHT(L$1,1),女子エントリー!$AF$7:$AF$406,0),1),競技会設定!$T$2:$W$22,4,0),"000")&amp;"00 "&amp;IF(VLOOKUP(INDEX(女子エントリー!$J$7:$AF$406,MATCH(LEFT($B48,FIND("(",$B48)-1)&amp;RIGHT(L$1,1),女子エントリー!$AF$7:$AF$406,0),1),競技会設定!$T$2:$W$22,4,0)&gt;70,TEXT(INDEX(女子エントリー!$J$7:$AF$406,MATCH(LEFT($B48,FIND("(",$B48)-1)&amp;RIGHT(L$1,1),女子エントリー!$AF$7:$AF$406,0),3),"00000"),TEXT(INDEX(女子エントリー!$J$7:$AF$406,MATCH(LEFT($B48,FIND("(",$B48)-1)&amp;RIGHT(L$1,1),女子エントリー!$AF$7:$AF$406,0),3),"0000000")),"")</f>
        <v/>
      </c>
      <c r="M48" s="1" t="str">
        <f>_xlfn.IFNA(TEXT(VLOOKUP(INDEX(女子エントリー!$J$7:$AF$406,MATCH(LEFT($B48,FIND("(",$B48)-1)&amp;RIGHT(M$1,1),女子エントリー!$AF$7:$AF$406,0),1),競技会設定!$T$2:$W$22,4,0),"000")&amp;"00 "&amp;IF(VLOOKUP(INDEX(女子エントリー!$J$7:$AF$406,MATCH(LEFT($B48,FIND("(",$B48)-1)&amp;RIGHT(M$1,1),女子エントリー!$AF$7:$AF$406,0),1),競技会設定!$T$2:$W$22,4,0)&gt;70,TEXT(INDEX(女子エントリー!$J$7:$AF$406,MATCH(LEFT($B48,FIND("(",$B48)-1)&amp;RIGHT(M$1,1),女子エントリー!$AF$7:$AF$406,0),3),"00000"),TEXT(INDEX(女子エントリー!$J$7:$AF$406,MATCH(LEFT($B48,FIND("(",$B48)-1)&amp;RIGHT(M$1,1),女子エントリー!$AF$7:$AF$406,0),3),"0000000")),"")</f>
        <v/>
      </c>
      <c r="N48" s="1" t="str">
        <f>_xlfn.IFNA(TEXT(VLOOKUP(INDEX(女子エントリー!$J$7:$AF$406,MATCH(LEFT($B48,FIND("(",$B48)-1)&amp;RIGHT(N$1,1),女子エントリー!$AF$7:$AF$406,0),1),競技会設定!$T$2:$W$22,4,0),"000")&amp;"00 "&amp;IF(VLOOKUP(INDEX(女子エントリー!$J$7:$AF$406,MATCH(LEFT($B48,FIND("(",$B48)-1)&amp;RIGHT(N$1,1),女子エントリー!$AF$7:$AF$406,0),1),競技会設定!$T$2:$W$22,4,0)&gt;70,TEXT(INDEX(女子エントリー!$J$7:$AF$406,MATCH(LEFT($B48,FIND("(",$B48)-1)&amp;RIGHT(N$1,1),女子エントリー!$AF$7:$AF$406,0),3),"00000"),TEXT(INDEX(女子エントリー!$J$7:$AF$406,MATCH(LEFT($B48,FIND("(",$B48)-1)&amp;RIGHT(N$1,1),女子エントリー!$AF$7:$AF$406,0),3),"0000000")),"")</f>
        <v/>
      </c>
      <c r="O48" s="1" t="str">
        <f>_xlfn.IFNA(TEXT(VLOOKUP(INDEX(女子エントリー!$J$7:$AF$406,MATCH(LEFT($B48,FIND("(",$B48)-1)&amp;RIGHT(O$1,1),女子エントリー!$AF$7:$AF$406,0),1),競技会設定!$T$2:$W$22,4,0),"000")&amp;"00 "&amp;IF(VLOOKUP(INDEX(女子エントリー!$J$7:$AF$406,MATCH(LEFT($B48,FIND("(",$B48)-1)&amp;RIGHT(O$1,1),女子エントリー!$AF$7:$AF$406,0),1),競技会設定!$T$2:$W$22,4,0)&gt;70,TEXT(INDEX(女子エントリー!$J$7:$AF$406,MATCH(LEFT($B48,FIND("(",$B48)-1)&amp;RIGHT(O$1,1),女子エントリー!$AF$7:$AF$406,0),3),"00000"),TEXT(INDEX(女子エントリー!$J$7:$AF$406,MATCH(LEFT($B48,FIND("(",$B48)-1)&amp;RIGHT(O$1,1),女子エントリー!$AF$7:$AF$406,0),3),"0000000")),"")</f>
        <v/>
      </c>
    </row>
    <row r="49" spans="1:15">
      <c r="A49" s="92" t="str">
        <f>女子エントリー!D195</f>
        <v/>
      </c>
      <c r="B49" s="1" t="str">
        <f>女子エントリー!E195&amp;"("&amp;女子エントリー!G195&amp;")"</f>
        <v>()</v>
      </c>
      <c r="C49" s="92" t="str">
        <f>女子エントリー!F195</f>
        <v/>
      </c>
      <c r="D49" s="92" t="str">
        <f>女子エントリー!E197</f>
        <v/>
      </c>
      <c r="E49" s="92" t="str">
        <f>女子エントリー!G197</f>
        <v/>
      </c>
      <c r="F49" s="1" t="str">
        <f t="shared" si="0"/>
        <v/>
      </c>
      <c r="G49" s="92" t="str">
        <f>_xlfn.IFNA(VLOOKUP(女子エントリー!G196,競技会設定!$D$3:$E$49,2,0),"")</f>
        <v/>
      </c>
      <c r="H49" s="92" t="str">
        <f>_xlfn.IFNA(INDEX(競技会設定!$J$3:$O$47,MATCH(女子エントリー!H195,競技会設定!$N$3:$N$47,0),2),"")</f>
        <v/>
      </c>
      <c r="K49" s="92">
        <f>女子エントリー!C195</f>
        <v>0</v>
      </c>
      <c r="L49" s="1" t="str">
        <f>_xlfn.IFNA(TEXT(VLOOKUP(INDEX(女子エントリー!$J$7:$AF$406,MATCH(LEFT($B49,FIND("(",$B49)-1)&amp;RIGHT(L$1,1),女子エントリー!$AF$7:$AF$406,0),1),競技会設定!$T$2:$W$22,4,0),"000")&amp;"00 "&amp;IF(VLOOKUP(INDEX(女子エントリー!$J$7:$AF$406,MATCH(LEFT($B49,FIND("(",$B49)-1)&amp;RIGHT(L$1,1),女子エントリー!$AF$7:$AF$406,0),1),競技会設定!$T$2:$W$22,4,0)&gt;70,TEXT(INDEX(女子エントリー!$J$7:$AF$406,MATCH(LEFT($B49,FIND("(",$B49)-1)&amp;RIGHT(L$1,1),女子エントリー!$AF$7:$AF$406,0),3),"00000"),TEXT(INDEX(女子エントリー!$J$7:$AF$406,MATCH(LEFT($B49,FIND("(",$B49)-1)&amp;RIGHT(L$1,1),女子エントリー!$AF$7:$AF$406,0),3),"0000000")),"")</f>
        <v/>
      </c>
      <c r="M49" s="1" t="str">
        <f>_xlfn.IFNA(TEXT(VLOOKUP(INDEX(女子エントリー!$J$7:$AF$406,MATCH(LEFT($B49,FIND("(",$B49)-1)&amp;RIGHT(M$1,1),女子エントリー!$AF$7:$AF$406,0),1),競技会設定!$T$2:$W$22,4,0),"000")&amp;"00 "&amp;IF(VLOOKUP(INDEX(女子エントリー!$J$7:$AF$406,MATCH(LEFT($B49,FIND("(",$B49)-1)&amp;RIGHT(M$1,1),女子エントリー!$AF$7:$AF$406,0),1),競技会設定!$T$2:$W$22,4,0)&gt;70,TEXT(INDEX(女子エントリー!$J$7:$AF$406,MATCH(LEFT($B49,FIND("(",$B49)-1)&amp;RIGHT(M$1,1),女子エントリー!$AF$7:$AF$406,0),3),"00000"),TEXT(INDEX(女子エントリー!$J$7:$AF$406,MATCH(LEFT($B49,FIND("(",$B49)-1)&amp;RIGHT(M$1,1),女子エントリー!$AF$7:$AF$406,0),3),"0000000")),"")</f>
        <v/>
      </c>
      <c r="N49" s="1" t="str">
        <f>_xlfn.IFNA(TEXT(VLOOKUP(INDEX(女子エントリー!$J$7:$AF$406,MATCH(LEFT($B49,FIND("(",$B49)-1)&amp;RIGHT(N$1,1),女子エントリー!$AF$7:$AF$406,0),1),競技会設定!$T$2:$W$22,4,0),"000")&amp;"00 "&amp;IF(VLOOKUP(INDEX(女子エントリー!$J$7:$AF$406,MATCH(LEFT($B49,FIND("(",$B49)-1)&amp;RIGHT(N$1,1),女子エントリー!$AF$7:$AF$406,0),1),競技会設定!$T$2:$W$22,4,0)&gt;70,TEXT(INDEX(女子エントリー!$J$7:$AF$406,MATCH(LEFT($B49,FIND("(",$B49)-1)&amp;RIGHT(N$1,1),女子エントリー!$AF$7:$AF$406,0),3),"00000"),TEXT(INDEX(女子エントリー!$J$7:$AF$406,MATCH(LEFT($B49,FIND("(",$B49)-1)&amp;RIGHT(N$1,1),女子エントリー!$AF$7:$AF$406,0),3),"0000000")),"")</f>
        <v/>
      </c>
      <c r="O49" s="1" t="str">
        <f>_xlfn.IFNA(TEXT(VLOOKUP(INDEX(女子エントリー!$J$7:$AF$406,MATCH(LEFT($B49,FIND("(",$B49)-1)&amp;RIGHT(O$1,1),女子エントリー!$AF$7:$AF$406,0),1),競技会設定!$T$2:$W$22,4,0),"000")&amp;"00 "&amp;IF(VLOOKUP(INDEX(女子エントリー!$J$7:$AF$406,MATCH(LEFT($B49,FIND("(",$B49)-1)&amp;RIGHT(O$1,1),女子エントリー!$AF$7:$AF$406,0),1),競技会設定!$T$2:$W$22,4,0)&gt;70,TEXT(INDEX(女子エントリー!$J$7:$AF$406,MATCH(LEFT($B49,FIND("(",$B49)-1)&amp;RIGHT(O$1,1),女子エントリー!$AF$7:$AF$406,0),3),"00000"),TEXT(INDEX(女子エントリー!$J$7:$AF$406,MATCH(LEFT($B49,FIND("(",$B49)-1)&amp;RIGHT(O$1,1),女子エントリー!$AF$7:$AF$406,0),3),"0000000")),"")</f>
        <v/>
      </c>
    </row>
    <row r="50" spans="1:15">
      <c r="A50" s="92" t="str">
        <f>女子エントリー!D199</f>
        <v/>
      </c>
      <c r="B50" s="1" t="str">
        <f>女子エントリー!E199&amp;"("&amp;女子エントリー!G199&amp;")"</f>
        <v>()</v>
      </c>
      <c r="C50" s="92" t="str">
        <f>女子エントリー!F199</f>
        <v/>
      </c>
      <c r="D50" s="92" t="str">
        <f>女子エントリー!E201</f>
        <v/>
      </c>
      <c r="E50" s="92" t="str">
        <f>女子エントリー!G201</f>
        <v/>
      </c>
      <c r="F50" s="1" t="str">
        <f t="shared" si="0"/>
        <v/>
      </c>
      <c r="G50" s="92" t="str">
        <f>_xlfn.IFNA(VLOOKUP(女子エントリー!G200,競技会設定!$D$3:$E$49,2,0),"")</f>
        <v/>
      </c>
      <c r="H50" s="92" t="str">
        <f>_xlfn.IFNA(INDEX(競技会設定!$J$3:$O$47,MATCH(女子エントリー!H199,競技会設定!$N$3:$N$47,0),2),"")</f>
        <v/>
      </c>
      <c r="K50" s="92">
        <f>女子エントリー!C199</f>
        <v>0</v>
      </c>
      <c r="L50" s="1" t="str">
        <f>_xlfn.IFNA(TEXT(VLOOKUP(INDEX(女子エントリー!$J$7:$AF$406,MATCH(LEFT($B50,FIND("(",$B50)-1)&amp;RIGHT(L$1,1),女子エントリー!$AF$7:$AF$406,0),1),競技会設定!$T$2:$W$22,4,0),"000")&amp;"00 "&amp;IF(VLOOKUP(INDEX(女子エントリー!$J$7:$AF$406,MATCH(LEFT($B50,FIND("(",$B50)-1)&amp;RIGHT(L$1,1),女子エントリー!$AF$7:$AF$406,0),1),競技会設定!$T$2:$W$22,4,0)&gt;70,TEXT(INDEX(女子エントリー!$J$7:$AF$406,MATCH(LEFT($B50,FIND("(",$B50)-1)&amp;RIGHT(L$1,1),女子エントリー!$AF$7:$AF$406,0),3),"00000"),TEXT(INDEX(女子エントリー!$J$7:$AF$406,MATCH(LEFT($B50,FIND("(",$B50)-1)&amp;RIGHT(L$1,1),女子エントリー!$AF$7:$AF$406,0),3),"0000000")),"")</f>
        <v/>
      </c>
      <c r="M50" s="1" t="str">
        <f>_xlfn.IFNA(TEXT(VLOOKUP(INDEX(女子エントリー!$J$7:$AF$406,MATCH(LEFT($B50,FIND("(",$B50)-1)&amp;RIGHT(M$1,1),女子エントリー!$AF$7:$AF$406,0),1),競技会設定!$T$2:$W$22,4,0),"000")&amp;"00 "&amp;IF(VLOOKUP(INDEX(女子エントリー!$J$7:$AF$406,MATCH(LEFT($B50,FIND("(",$B50)-1)&amp;RIGHT(M$1,1),女子エントリー!$AF$7:$AF$406,0),1),競技会設定!$T$2:$W$22,4,0)&gt;70,TEXT(INDEX(女子エントリー!$J$7:$AF$406,MATCH(LEFT($B50,FIND("(",$B50)-1)&amp;RIGHT(M$1,1),女子エントリー!$AF$7:$AF$406,0),3),"00000"),TEXT(INDEX(女子エントリー!$J$7:$AF$406,MATCH(LEFT($B50,FIND("(",$B50)-1)&amp;RIGHT(M$1,1),女子エントリー!$AF$7:$AF$406,0),3),"0000000")),"")</f>
        <v/>
      </c>
      <c r="N50" s="1" t="str">
        <f>_xlfn.IFNA(TEXT(VLOOKUP(INDEX(女子エントリー!$J$7:$AF$406,MATCH(LEFT($B50,FIND("(",$B50)-1)&amp;RIGHT(N$1,1),女子エントリー!$AF$7:$AF$406,0),1),競技会設定!$T$2:$W$22,4,0),"000")&amp;"00 "&amp;IF(VLOOKUP(INDEX(女子エントリー!$J$7:$AF$406,MATCH(LEFT($B50,FIND("(",$B50)-1)&amp;RIGHT(N$1,1),女子エントリー!$AF$7:$AF$406,0),1),競技会設定!$T$2:$W$22,4,0)&gt;70,TEXT(INDEX(女子エントリー!$J$7:$AF$406,MATCH(LEFT($B50,FIND("(",$B50)-1)&amp;RIGHT(N$1,1),女子エントリー!$AF$7:$AF$406,0),3),"00000"),TEXT(INDEX(女子エントリー!$J$7:$AF$406,MATCH(LEFT($B50,FIND("(",$B50)-1)&amp;RIGHT(N$1,1),女子エントリー!$AF$7:$AF$406,0),3),"0000000")),"")</f>
        <v/>
      </c>
      <c r="O50" s="1" t="str">
        <f>_xlfn.IFNA(TEXT(VLOOKUP(INDEX(女子エントリー!$J$7:$AF$406,MATCH(LEFT($B50,FIND("(",$B50)-1)&amp;RIGHT(O$1,1),女子エントリー!$AF$7:$AF$406,0),1),競技会設定!$T$2:$W$22,4,0),"000")&amp;"00 "&amp;IF(VLOOKUP(INDEX(女子エントリー!$J$7:$AF$406,MATCH(LEFT($B50,FIND("(",$B50)-1)&amp;RIGHT(O$1,1),女子エントリー!$AF$7:$AF$406,0),1),競技会設定!$T$2:$W$22,4,0)&gt;70,TEXT(INDEX(女子エントリー!$J$7:$AF$406,MATCH(LEFT($B50,FIND("(",$B50)-1)&amp;RIGHT(O$1,1),女子エントリー!$AF$7:$AF$406,0),3),"00000"),TEXT(INDEX(女子エントリー!$J$7:$AF$406,MATCH(LEFT($B50,FIND("(",$B50)-1)&amp;RIGHT(O$1,1),女子エントリー!$AF$7:$AF$406,0),3),"0000000")),"")</f>
        <v/>
      </c>
    </row>
    <row r="51" spans="1:15">
      <c r="A51" s="92" t="str">
        <f>女子エントリー!D203</f>
        <v/>
      </c>
      <c r="B51" s="1" t="str">
        <f>女子エントリー!E203&amp;"("&amp;女子エントリー!G203&amp;")"</f>
        <v>()</v>
      </c>
      <c r="C51" s="92" t="str">
        <f>女子エントリー!F203</f>
        <v/>
      </c>
      <c r="D51" s="92" t="str">
        <f>女子エントリー!E205</f>
        <v/>
      </c>
      <c r="E51" s="92" t="str">
        <f>女子エントリー!G205</f>
        <v/>
      </c>
      <c r="F51" s="1" t="str">
        <f t="shared" si="0"/>
        <v/>
      </c>
      <c r="G51" s="92" t="str">
        <f>_xlfn.IFNA(VLOOKUP(女子エントリー!G204,競技会設定!$D$3:$E$49,2,0),"")</f>
        <v/>
      </c>
      <c r="H51" s="92" t="str">
        <f>_xlfn.IFNA(INDEX(競技会設定!$J$3:$O$47,MATCH(女子エントリー!H203,競技会設定!$N$3:$N$47,0),2),"")</f>
        <v/>
      </c>
      <c r="K51" s="92">
        <f>女子エントリー!C203</f>
        <v>0</v>
      </c>
      <c r="L51" s="1" t="str">
        <f>_xlfn.IFNA(TEXT(VLOOKUP(INDEX(女子エントリー!$J$7:$AF$406,MATCH(LEFT($B51,FIND("(",$B51)-1)&amp;RIGHT(L$1,1),女子エントリー!$AF$7:$AF$406,0),1),競技会設定!$T$2:$W$22,4,0),"000")&amp;"00 "&amp;IF(VLOOKUP(INDEX(女子エントリー!$J$7:$AF$406,MATCH(LEFT($B51,FIND("(",$B51)-1)&amp;RIGHT(L$1,1),女子エントリー!$AF$7:$AF$406,0),1),競技会設定!$T$2:$W$22,4,0)&gt;70,TEXT(INDEX(女子エントリー!$J$7:$AF$406,MATCH(LEFT($B51,FIND("(",$B51)-1)&amp;RIGHT(L$1,1),女子エントリー!$AF$7:$AF$406,0),3),"00000"),TEXT(INDEX(女子エントリー!$J$7:$AF$406,MATCH(LEFT($B51,FIND("(",$B51)-1)&amp;RIGHT(L$1,1),女子エントリー!$AF$7:$AF$406,0),3),"0000000")),"")</f>
        <v/>
      </c>
      <c r="M51" s="1" t="str">
        <f>_xlfn.IFNA(TEXT(VLOOKUP(INDEX(女子エントリー!$J$7:$AF$406,MATCH(LEFT($B51,FIND("(",$B51)-1)&amp;RIGHT(M$1,1),女子エントリー!$AF$7:$AF$406,0),1),競技会設定!$T$2:$W$22,4,0),"000")&amp;"00 "&amp;IF(VLOOKUP(INDEX(女子エントリー!$J$7:$AF$406,MATCH(LEFT($B51,FIND("(",$B51)-1)&amp;RIGHT(M$1,1),女子エントリー!$AF$7:$AF$406,0),1),競技会設定!$T$2:$W$22,4,0)&gt;70,TEXT(INDEX(女子エントリー!$J$7:$AF$406,MATCH(LEFT($B51,FIND("(",$B51)-1)&amp;RIGHT(M$1,1),女子エントリー!$AF$7:$AF$406,0),3),"00000"),TEXT(INDEX(女子エントリー!$J$7:$AF$406,MATCH(LEFT($B51,FIND("(",$B51)-1)&amp;RIGHT(M$1,1),女子エントリー!$AF$7:$AF$406,0),3),"0000000")),"")</f>
        <v/>
      </c>
      <c r="N51" s="1" t="str">
        <f>_xlfn.IFNA(TEXT(VLOOKUP(INDEX(女子エントリー!$J$7:$AF$406,MATCH(LEFT($B51,FIND("(",$B51)-1)&amp;RIGHT(N$1,1),女子エントリー!$AF$7:$AF$406,0),1),競技会設定!$T$2:$W$22,4,0),"000")&amp;"00 "&amp;IF(VLOOKUP(INDEX(女子エントリー!$J$7:$AF$406,MATCH(LEFT($B51,FIND("(",$B51)-1)&amp;RIGHT(N$1,1),女子エントリー!$AF$7:$AF$406,0),1),競技会設定!$T$2:$W$22,4,0)&gt;70,TEXT(INDEX(女子エントリー!$J$7:$AF$406,MATCH(LEFT($B51,FIND("(",$B51)-1)&amp;RIGHT(N$1,1),女子エントリー!$AF$7:$AF$406,0),3),"00000"),TEXT(INDEX(女子エントリー!$J$7:$AF$406,MATCH(LEFT($B51,FIND("(",$B51)-1)&amp;RIGHT(N$1,1),女子エントリー!$AF$7:$AF$406,0),3),"0000000")),"")</f>
        <v/>
      </c>
      <c r="O51" s="1" t="str">
        <f>_xlfn.IFNA(TEXT(VLOOKUP(INDEX(女子エントリー!$J$7:$AF$406,MATCH(LEFT($B51,FIND("(",$B51)-1)&amp;RIGHT(O$1,1),女子エントリー!$AF$7:$AF$406,0),1),競技会設定!$T$2:$W$22,4,0),"000")&amp;"00 "&amp;IF(VLOOKUP(INDEX(女子エントリー!$J$7:$AF$406,MATCH(LEFT($B51,FIND("(",$B51)-1)&amp;RIGHT(O$1,1),女子エントリー!$AF$7:$AF$406,0),1),競技会設定!$T$2:$W$22,4,0)&gt;70,TEXT(INDEX(女子エントリー!$J$7:$AF$406,MATCH(LEFT($B51,FIND("(",$B51)-1)&amp;RIGHT(O$1,1),女子エントリー!$AF$7:$AF$406,0),3),"00000"),TEXT(INDEX(女子エントリー!$J$7:$AF$406,MATCH(LEFT($B51,FIND("(",$B51)-1)&amp;RIGHT(O$1,1),女子エントリー!$AF$7:$AF$406,0),3),"0000000")),"")</f>
        <v/>
      </c>
    </row>
    <row r="52" spans="1:15">
      <c r="A52" s="92" t="str">
        <f>女子エントリー!D207</f>
        <v/>
      </c>
      <c r="B52" s="1" t="str">
        <f>女子エントリー!E207&amp;"("&amp;女子エントリー!G207&amp;")"</f>
        <v>()</v>
      </c>
      <c r="C52" s="92" t="str">
        <f>女子エントリー!F207</f>
        <v/>
      </c>
      <c r="D52" s="92" t="str">
        <f>女子エントリー!E209</f>
        <v/>
      </c>
      <c r="E52" s="92" t="str">
        <f>女子エントリー!G209</f>
        <v/>
      </c>
      <c r="F52" s="1" t="str">
        <f t="shared" si="0"/>
        <v/>
      </c>
      <c r="G52" s="92" t="str">
        <f>_xlfn.IFNA(VLOOKUP(女子エントリー!G208,競技会設定!$D$3:$E$49,2,0),"")</f>
        <v/>
      </c>
      <c r="H52" s="92" t="str">
        <f>_xlfn.IFNA(INDEX(競技会設定!$J$3:$O$47,MATCH(女子エントリー!H207,競技会設定!$N$3:$N$47,0),2),"")</f>
        <v/>
      </c>
      <c r="K52" s="92">
        <f>女子エントリー!C207</f>
        <v>0</v>
      </c>
      <c r="L52" s="1" t="str">
        <f>_xlfn.IFNA(TEXT(VLOOKUP(INDEX(女子エントリー!$J$7:$AF$406,MATCH(LEFT($B52,FIND("(",$B52)-1)&amp;RIGHT(L$1,1),女子エントリー!$AF$7:$AF$406,0),1),競技会設定!$T$2:$W$22,4,0),"000")&amp;"00 "&amp;IF(VLOOKUP(INDEX(女子エントリー!$J$7:$AF$406,MATCH(LEFT($B52,FIND("(",$B52)-1)&amp;RIGHT(L$1,1),女子エントリー!$AF$7:$AF$406,0),1),競技会設定!$T$2:$W$22,4,0)&gt;70,TEXT(INDEX(女子エントリー!$J$7:$AF$406,MATCH(LEFT($B52,FIND("(",$B52)-1)&amp;RIGHT(L$1,1),女子エントリー!$AF$7:$AF$406,0),3),"00000"),TEXT(INDEX(女子エントリー!$J$7:$AF$406,MATCH(LEFT($B52,FIND("(",$B52)-1)&amp;RIGHT(L$1,1),女子エントリー!$AF$7:$AF$406,0),3),"0000000")),"")</f>
        <v/>
      </c>
      <c r="M52" s="1" t="str">
        <f>_xlfn.IFNA(TEXT(VLOOKUP(INDEX(女子エントリー!$J$7:$AF$406,MATCH(LEFT($B52,FIND("(",$B52)-1)&amp;RIGHT(M$1,1),女子エントリー!$AF$7:$AF$406,0),1),競技会設定!$T$2:$W$22,4,0),"000")&amp;"00 "&amp;IF(VLOOKUP(INDEX(女子エントリー!$J$7:$AF$406,MATCH(LEFT($B52,FIND("(",$B52)-1)&amp;RIGHT(M$1,1),女子エントリー!$AF$7:$AF$406,0),1),競技会設定!$T$2:$W$22,4,0)&gt;70,TEXT(INDEX(女子エントリー!$J$7:$AF$406,MATCH(LEFT($B52,FIND("(",$B52)-1)&amp;RIGHT(M$1,1),女子エントリー!$AF$7:$AF$406,0),3),"00000"),TEXT(INDEX(女子エントリー!$J$7:$AF$406,MATCH(LEFT($B52,FIND("(",$B52)-1)&amp;RIGHT(M$1,1),女子エントリー!$AF$7:$AF$406,0),3),"0000000")),"")</f>
        <v/>
      </c>
      <c r="N52" s="1" t="str">
        <f>_xlfn.IFNA(TEXT(VLOOKUP(INDEX(女子エントリー!$J$7:$AF$406,MATCH(LEFT($B52,FIND("(",$B52)-1)&amp;RIGHT(N$1,1),女子エントリー!$AF$7:$AF$406,0),1),競技会設定!$T$2:$W$22,4,0),"000")&amp;"00 "&amp;IF(VLOOKUP(INDEX(女子エントリー!$J$7:$AF$406,MATCH(LEFT($B52,FIND("(",$B52)-1)&amp;RIGHT(N$1,1),女子エントリー!$AF$7:$AF$406,0),1),競技会設定!$T$2:$W$22,4,0)&gt;70,TEXT(INDEX(女子エントリー!$J$7:$AF$406,MATCH(LEFT($B52,FIND("(",$B52)-1)&amp;RIGHT(N$1,1),女子エントリー!$AF$7:$AF$406,0),3),"00000"),TEXT(INDEX(女子エントリー!$J$7:$AF$406,MATCH(LEFT($B52,FIND("(",$B52)-1)&amp;RIGHT(N$1,1),女子エントリー!$AF$7:$AF$406,0),3),"0000000")),"")</f>
        <v/>
      </c>
      <c r="O52" s="1" t="str">
        <f>_xlfn.IFNA(TEXT(VLOOKUP(INDEX(女子エントリー!$J$7:$AF$406,MATCH(LEFT($B52,FIND("(",$B52)-1)&amp;RIGHT(O$1,1),女子エントリー!$AF$7:$AF$406,0),1),競技会設定!$T$2:$W$22,4,0),"000")&amp;"00 "&amp;IF(VLOOKUP(INDEX(女子エントリー!$J$7:$AF$406,MATCH(LEFT($B52,FIND("(",$B52)-1)&amp;RIGHT(O$1,1),女子エントリー!$AF$7:$AF$406,0),1),競技会設定!$T$2:$W$22,4,0)&gt;70,TEXT(INDEX(女子エントリー!$J$7:$AF$406,MATCH(LEFT($B52,FIND("(",$B52)-1)&amp;RIGHT(O$1,1),女子エントリー!$AF$7:$AF$406,0),3),"00000"),TEXT(INDEX(女子エントリー!$J$7:$AF$406,MATCH(LEFT($B52,FIND("(",$B52)-1)&amp;RIGHT(O$1,1),女子エントリー!$AF$7:$AF$406,0),3),"0000000")),"")</f>
        <v/>
      </c>
    </row>
    <row r="53" spans="1:15">
      <c r="A53" s="92" t="str">
        <f>女子エントリー!D211</f>
        <v/>
      </c>
      <c r="B53" s="1" t="str">
        <f>女子エントリー!E211&amp;"("&amp;女子エントリー!G211&amp;")"</f>
        <v>()</v>
      </c>
      <c r="C53" s="92" t="str">
        <f>女子エントリー!F211</f>
        <v/>
      </c>
      <c r="D53" s="92" t="str">
        <f>女子エントリー!E213</f>
        <v/>
      </c>
      <c r="E53" s="92" t="str">
        <f>女子エントリー!G213</f>
        <v/>
      </c>
      <c r="F53" s="1" t="str">
        <f t="shared" si="0"/>
        <v/>
      </c>
      <c r="G53" s="92" t="str">
        <f>_xlfn.IFNA(VLOOKUP(女子エントリー!G212,競技会設定!$D$3:$E$49,2,0),"")</f>
        <v/>
      </c>
      <c r="H53" s="92" t="str">
        <f>_xlfn.IFNA(INDEX(競技会設定!$J$3:$O$47,MATCH(女子エントリー!H211,競技会設定!$N$3:$N$47,0),2),"")</f>
        <v/>
      </c>
      <c r="K53" s="92">
        <f>女子エントリー!C211</f>
        <v>0</v>
      </c>
      <c r="L53" s="1" t="str">
        <f>_xlfn.IFNA(TEXT(VLOOKUP(INDEX(女子エントリー!$J$7:$AF$406,MATCH(LEFT($B53,FIND("(",$B53)-1)&amp;RIGHT(L$1,1),女子エントリー!$AF$7:$AF$406,0),1),競技会設定!$T$2:$W$22,4,0),"000")&amp;"00 "&amp;IF(VLOOKUP(INDEX(女子エントリー!$J$7:$AF$406,MATCH(LEFT($B53,FIND("(",$B53)-1)&amp;RIGHT(L$1,1),女子エントリー!$AF$7:$AF$406,0),1),競技会設定!$T$2:$W$22,4,0)&gt;70,TEXT(INDEX(女子エントリー!$J$7:$AF$406,MATCH(LEFT($B53,FIND("(",$B53)-1)&amp;RIGHT(L$1,1),女子エントリー!$AF$7:$AF$406,0),3),"00000"),TEXT(INDEX(女子エントリー!$J$7:$AF$406,MATCH(LEFT($B53,FIND("(",$B53)-1)&amp;RIGHT(L$1,1),女子エントリー!$AF$7:$AF$406,0),3),"0000000")),"")</f>
        <v/>
      </c>
      <c r="M53" s="1" t="str">
        <f>_xlfn.IFNA(TEXT(VLOOKUP(INDEX(女子エントリー!$J$7:$AF$406,MATCH(LEFT($B53,FIND("(",$B53)-1)&amp;RIGHT(M$1,1),女子エントリー!$AF$7:$AF$406,0),1),競技会設定!$T$2:$W$22,4,0),"000")&amp;"00 "&amp;IF(VLOOKUP(INDEX(女子エントリー!$J$7:$AF$406,MATCH(LEFT($B53,FIND("(",$B53)-1)&amp;RIGHT(M$1,1),女子エントリー!$AF$7:$AF$406,0),1),競技会設定!$T$2:$W$22,4,0)&gt;70,TEXT(INDEX(女子エントリー!$J$7:$AF$406,MATCH(LEFT($B53,FIND("(",$B53)-1)&amp;RIGHT(M$1,1),女子エントリー!$AF$7:$AF$406,0),3),"00000"),TEXT(INDEX(女子エントリー!$J$7:$AF$406,MATCH(LEFT($B53,FIND("(",$B53)-1)&amp;RIGHT(M$1,1),女子エントリー!$AF$7:$AF$406,0),3),"0000000")),"")</f>
        <v/>
      </c>
      <c r="N53" s="1" t="str">
        <f>_xlfn.IFNA(TEXT(VLOOKUP(INDEX(女子エントリー!$J$7:$AF$406,MATCH(LEFT($B53,FIND("(",$B53)-1)&amp;RIGHT(N$1,1),女子エントリー!$AF$7:$AF$406,0),1),競技会設定!$T$2:$W$22,4,0),"000")&amp;"00 "&amp;IF(VLOOKUP(INDEX(女子エントリー!$J$7:$AF$406,MATCH(LEFT($B53,FIND("(",$B53)-1)&amp;RIGHT(N$1,1),女子エントリー!$AF$7:$AF$406,0),1),競技会設定!$T$2:$W$22,4,0)&gt;70,TEXT(INDEX(女子エントリー!$J$7:$AF$406,MATCH(LEFT($B53,FIND("(",$B53)-1)&amp;RIGHT(N$1,1),女子エントリー!$AF$7:$AF$406,0),3),"00000"),TEXT(INDEX(女子エントリー!$J$7:$AF$406,MATCH(LEFT($B53,FIND("(",$B53)-1)&amp;RIGHT(N$1,1),女子エントリー!$AF$7:$AF$406,0),3),"0000000")),"")</f>
        <v/>
      </c>
      <c r="O53" s="1" t="str">
        <f>_xlfn.IFNA(TEXT(VLOOKUP(INDEX(女子エントリー!$J$7:$AF$406,MATCH(LEFT($B53,FIND("(",$B53)-1)&amp;RIGHT(O$1,1),女子エントリー!$AF$7:$AF$406,0),1),競技会設定!$T$2:$W$22,4,0),"000")&amp;"00 "&amp;IF(VLOOKUP(INDEX(女子エントリー!$J$7:$AF$406,MATCH(LEFT($B53,FIND("(",$B53)-1)&amp;RIGHT(O$1,1),女子エントリー!$AF$7:$AF$406,0),1),競技会設定!$T$2:$W$22,4,0)&gt;70,TEXT(INDEX(女子エントリー!$J$7:$AF$406,MATCH(LEFT($B53,FIND("(",$B53)-1)&amp;RIGHT(O$1,1),女子エントリー!$AF$7:$AF$406,0),3),"00000"),TEXT(INDEX(女子エントリー!$J$7:$AF$406,MATCH(LEFT($B53,FIND("(",$B53)-1)&amp;RIGHT(O$1,1),女子エントリー!$AF$7:$AF$406,0),3),"0000000")),"")</f>
        <v/>
      </c>
    </row>
    <row r="54" spans="1:15">
      <c r="A54" s="92" t="str">
        <f>女子エントリー!D215</f>
        <v/>
      </c>
      <c r="B54" s="1" t="str">
        <f>女子エントリー!E215&amp;"("&amp;女子エントリー!G215&amp;")"</f>
        <v>()</v>
      </c>
      <c r="C54" s="92" t="str">
        <f>女子エントリー!F215</f>
        <v/>
      </c>
      <c r="D54" s="92" t="str">
        <f>女子エントリー!E217</f>
        <v/>
      </c>
      <c r="E54" s="92" t="str">
        <f>女子エントリー!G217</f>
        <v/>
      </c>
      <c r="F54" s="1" t="str">
        <f t="shared" si="0"/>
        <v/>
      </c>
      <c r="G54" s="92" t="str">
        <f>_xlfn.IFNA(VLOOKUP(女子エントリー!G216,競技会設定!$D$3:$E$49,2,0),"")</f>
        <v/>
      </c>
      <c r="H54" s="92" t="str">
        <f>_xlfn.IFNA(INDEX(競技会設定!$J$3:$O$47,MATCH(女子エントリー!H215,競技会設定!$N$3:$N$47,0),2),"")</f>
        <v/>
      </c>
      <c r="K54" s="92">
        <f>女子エントリー!C215</f>
        <v>0</v>
      </c>
      <c r="L54" s="1" t="str">
        <f>_xlfn.IFNA(TEXT(VLOOKUP(INDEX(女子エントリー!$J$7:$AF$406,MATCH(LEFT($B54,FIND("(",$B54)-1)&amp;RIGHT(L$1,1),女子エントリー!$AF$7:$AF$406,0),1),競技会設定!$T$2:$W$22,4,0),"000")&amp;"00 "&amp;IF(VLOOKUP(INDEX(女子エントリー!$J$7:$AF$406,MATCH(LEFT($B54,FIND("(",$B54)-1)&amp;RIGHT(L$1,1),女子エントリー!$AF$7:$AF$406,0),1),競技会設定!$T$2:$W$22,4,0)&gt;70,TEXT(INDEX(女子エントリー!$J$7:$AF$406,MATCH(LEFT($B54,FIND("(",$B54)-1)&amp;RIGHT(L$1,1),女子エントリー!$AF$7:$AF$406,0),3),"00000"),TEXT(INDEX(女子エントリー!$J$7:$AF$406,MATCH(LEFT($B54,FIND("(",$B54)-1)&amp;RIGHT(L$1,1),女子エントリー!$AF$7:$AF$406,0),3),"0000000")),"")</f>
        <v/>
      </c>
      <c r="M54" s="1" t="str">
        <f>_xlfn.IFNA(TEXT(VLOOKUP(INDEX(女子エントリー!$J$7:$AF$406,MATCH(LEFT($B54,FIND("(",$B54)-1)&amp;RIGHT(M$1,1),女子エントリー!$AF$7:$AF$406,0),1),競技会設定!$T$2:$W$22,4,0),"000")&amp;"00 "&amp;IF(VLOOKUP(INDEX(女子エントリー!$J$7:$AF$406,MATCH(LEFT($B54,FIND("(",$B54)-1)&amp;RIGHT(M$1,1),女子エントリー!$AF$7:$AF$406,0),1),競技会設定!$T$2:$W$22,4,0)&gt;70,TEXT(INDEX(女子エントリー!$J$7:$AF$406,MATCH(LEFT($B54,FIND("(",$B54)-1)&amp;RIGHT(M$1,1),女子エントリー!$AF$7:$AF$406,0),3),"00000"),TEXT(INDEX(女子エントリー!$J$7:$AF$406,MATCH(LEFT($B54,FIND("(",$B54)-1)&amp;RIGHT(M$1,1),女子エントリー!$AF$7:$AF$406,0),3),"0000000")),"")</f>
        <v/>
      </c>
      <c r="N54" s="1" t="str">
        <f>_xlfn.IFNA(TEXT(VLOOKUP(INDEX(女子エントリー!$J$7:$AF$406,MATCH(LEFT($B54,FIND("(",$B54)-1)&amp;RIGHT(N$1,1),女子エントリー!$AF$7:$AF$406,0),1),競技会設定!$T$2:$W$22,4,0),"000")&amp;"00 "&amp;IF(VLOOKUP(INDEX(女子エントリー!$J$7:$AF$406,MATCH(LEFT($B54,FIND("(",$B54)-1)&amp;RIGHT(N$1,1),女子エントリー!$AF$7:$AF$406,0),1),競技会設定!$T$2:$W$22,4,0)&gt;70,TEXT(INDEX(女子エントリー!$J$7:$AF$406,MATCH(LEFT($B54,FIND("(",$B54)-1)&amp;RIGHT(N$1,1),女子エントリー!$AF$7:$AF$406,0),3),"00000"),TEXT(INDEX(女子エントリー!$J$7:$AF$406,MATCH(LEFT($B54,FIND("(",$B54)-1)&amp;RIGHT(N$1,1),女子エントリー!$AF$7:$AF$406,0),3),"0000000")),"")</f>
        <v/>
      </c>
      <c r="O54" s="1" t="str">
        <f>_xlfn.IFNA(TEXT(VLOOKUP(INDEX(女子エントリー!$J$7:$AF$406,MATCH(LEFT($B54,FIND("(",$B54)-1)&amp;RIGHT(O$1,1),女子エントリー!$AF$7:$AF$406,0),1),競技会設定!$T$2:$W$22,4,0),"000")&amp;"00 "&amp;IF(VLOOKUP(INDEX(女子エントリー!$J$7:$AF$406,MATCH(LEFT($B54,FIND("(",$B54)-1)&amp;RIGHT(O$1,1),女子エントリー!$AF$7:$AF$406,0),1),競技会設定!$T$2:$W$22,4,0)&gt;70,TEXT(INDEX(女子エントリー!$J$7:$AF$406,MATCH(LEFT($B54,FIND("(",$B54)-1)&amp;RIGHT(O$1,1),女子エントリー!$AF$7:$AF$406,0),3),"00000"),TEXT(INDEX(女子エントリー!$J$7:$AF$406,MATCH(LEFT($B54,FIND("(",$B54)-1)&amp;RIGHT(O$1,1),女子エントリー!$AF$7:$AF$406,0),3),"0000000")),"")</f>
        <v/>
      </c>
    </row>
    <row r="55" spans="1:15">
      <c r="A55" s="92" t="str">
        <f>女子エントリー!D219</f>
        <v/>
      </c>
      <c r="B55" s="1" t="str">
        <f>女子エントリー!E219&amp;"("&amp;女子エントリー!G219&amp;")"</f>
        <v>()</v>
      </c>
      <c r="C55" s="92" t="str">
        <f>女子エントリー!F219</f>
        <v/>
      </c>
      <c r="D55" s="92" t="str">
        <f>女子エントリー!E221</f>
        <v/>
      </c>
      <c r="E55" s="92" t="str">
        <f>女子エントリー!G221</f>
        <v/>
      </c>
      <c r="F55" s="1" t="str">
        <f t="shared" si="0"/>
        <v/>
      </c>
      <c r="G55" s="92" t="str">
        <f>_xlfn.IFNA(VLOOKUP(女子エントリー!G220,競技会設定!$D$3:$E$49,2,0),"")</f>
        <v/>
      </c>
      <c r="H55" s="92" t="str">
        <f>_xlfn.IFNA(INDEX(競技会設定!$J$3:$O$47,MATCH(女子エントリー!H219,競技会設定!$N$3:$N$47,0),2),"")</f>
        <v/>
      </c>
      <c r="K55" s="92">
        <f>女子エントリー!C219</f>
        <v>0</v>
      </c>
      <c r="L55" s="1" t="str">
        <f>_xlfn.IFNA(TEXT(VLOOKUP(INDEX(女子エントリー!$J$7:$AF$406,MATCH(LEFT($B55,FIND("(",$B55)-1)&amp;RIGHT(L$1,1),女子エントリー!$AF$7:$AF$406,0),1),競技会設定!$T$2:$W$22,4,0),"000")&amp;"00 "&amp;IF(VLOOKUP(INDEX(女子エントリー!$J$7:$AF$406,MATCH(LEFT($B55,FIND("(",$B55)-1)&amp;RIGHT(L$1,1),女子エントリー!$AF$7:$AF$406,0),1),競技会設定!$T$2:$W$22,4,0)&gt;70,TEXT(INDEX(女子エントリー!$J$7:$AF$406,MATCH(LEFT($B55,FIND("(",$B55)-1)&amp;RIGHT(L$1,1),女子エントリー!$AF$7:$AF$406,0),3),"00000"),TEXT(INDEX(女子エントリー!$J$7:$AF$406,MATCH(LEFT($B55,FIND("(",$B55)-1)&amp;RIGHT(L$1,1),女子エントリー!$AF$7:$AF$406,0),3),"0000000")),"")</f>
        <v/>
      </c>
      <c r="M55" s="1" t="str">
        <f>_xlfn.IFNA(TEXT(VLOOKUP(INDEX(女子エントリー!$J$7:$AF$406,MATCH(LEFT($B55,FIND("(",$B55)-1)&amp;RIGHT(M$1,1),女子エントリー!$AF$7:$AF$406,0),1),競技会設定!$T$2:$W$22,4,0),"000")&amp;"00 "&amp;IF(VLOOKUP(INDEX(女子エントリー!$J$7:$AF$406,MATCH(LEFT($B55,FIND("(",$B55)-1)&amp;RIGHT(M$1,1),女子エントリー!$AF$7:$AF$406,0),1),競技会設定!$T$2:$W$22,4,0)&gt;70,TEXT(INDEX(女子エントリー!$J$7:$AF$406,MATCH(LEFT($B55,FIND("(",$B55)-1)&amp;RIGHT(M$1,1),女子エントリー!$AF$7:$AF$406,0),3),"00000"),TEXT(INDEX(女子エントリー!$J$7:$AF$406,MATCH(LEFT($B55,FIND("(",$B55)-1)&amp;RIGHT(M$1,1),女子エントリー!$AF$7:$AF$406,0),3),"0000000")),"")</f>
        <v/>
      </c>
      <c r="N55" s="1" t="str">
        <f>_xlfn.IFNA(TEXT(VLOOKUP(INDEX(女子エントリー!$J$7:$AF$406,MATCH(LEFT($B55,FIND("(",$B55)-1)&amp;RIGHT(N$1,1),女子エントリー!$AF$7:$AF$406,0),1),競技会設定!$T$2:$W$22,4,0),"000")&amp;"00 "&amp;IF(VLOOKUP(INDEX(女子エントリー!$J$7:$AF$406,MATCH(LEFT($B55,FIND("(",$B55)-1)&amp;RIGHT(N$1,1),女子エントリー!$AF$7:$AF$406,0),1),競技会設定!$T$2:$W$22,4,0)&gt;70,TEXT(INDEX(女子エントリー!$J$7:$AF$406,MATCH(LEFT($B55,FIND("(",$B55)-1)&amp;RIGHT(N$1,1),女子エントリー!$AF$7:$AF$406,0),3),"00000"),TEXT(INDEX(女子エントリー!$J$7:$AF$406,MATCH(LEFT($B55,FIND("(",$B55)-1)&amp;RIGHT(N$1,1),女子エントリー!$AF$7:$AF$406,0),3),"0000000")),"")</f>
        <v/>
      </c>
      <c r="O55" s="1" t="str">
        <f>_xlfn.IFNA(TEXT(VLOOKUP(INDEX(女子エントリー!$J$7:$AF$406,MATCH(LEFT($B55,FIND("(",$B55)-1)&amp;RIGHT(O$1,1),女子エントリー!$AF$7:$AF$406,0),1),競技会設定!$T$2:$W$22,4,0),"000")&amp;"00 "&amp;IF(VLOOKUP(INDEX(女子エントリー!$J$7:$AF$406,MATCH(LEFT($B55,FIND("(",$B55)-1)&amp;RIGHT(O$1,1),女子エントリー!$AF$7:$AF$406,0),1),競技会設定!$T$2:$W$22,4,0)&gt;70,TEXT(INDEX(女子エントリー!$J$7:$AF$406,MATCH(LEFT($B55,FIND("(",$B55)-1)&amp;RIGHT(O$1,1),女子エントリー!$AF$7:$AF$406,0),3),"00000"),TEXT(INDEX(女子エントリー!$J$7:$AF$406,MATCH(LEFT($B55,FIND("(",$B55)-1)&amp;RIGHT(O$1,1),女子エントリー!$AF$7:$AF$406,0),3),"0000000")),"")</f>
        <v/>
      </c>
    </row>
    <row r="56" spans="1:15">
      <c r="A56" s="92" t="str">
        <f>女子エントリー!D223</f>
        <v/>
      </c>
      <c r="B56" s="1" t="str">
        <f>女子エントリー!E223&amp;"("&amp;女子エントリー!G223&amp;")"</f>
        <v>()</v>
      </c>
      <c r="C56" s="92" t="str">
        <f>女子エントリー!F223</f>
        <v/>
      </c>
      <c r="D56" s="92" t="str">
        <f>女子エントリー!E225</f>
        <v/>
      </c>
      <c r="E56" s="92" t="str">
        <f>女子エントリー!G225</f>
        <v/>
      </c>
      <c r="F56" s="1" t="str">
        <f t="shared" si="0"/>
        <v/>
      </c>
      <c r="G56" s="92" t="str">
        <f>_xlfn.IFNA(VLOOKUP(女子エントリー!G224,競技会設定!$D$3:$E$49,2,0),"")</f>
        <v/>
      </c>
      <c r="H56" s="92" t="str">
        <f>_xlfn.IFNA(INDEX(競技会設定!$J$3:$O$47,MATCH(女子エントリー!H223,競技会設定!$N$3:$N$47,0),2),"")</f>
        <v/>
      </c>
      <c r="K56" s="92">
        <f>女子エントリー!C223</f>
        <v>0</v>
      </c>
      <c r="L56" s="1" t="str">
        <f>_xlfn.IFNA(TEXT(VLOOKUP(INDEX(女子エントリー!$J$7:$AF$406,MATCH(LEFT($B56,FIND("(",$B56)-1)&amp;RIGHT(L$1,1),女子エントリー!$AF$7:$AF$406,0),1),競技会設定!$T$2:$W$22,4,0),"000")&amp;"00 "&amp;IF(VLOOKUP(INDEX(女子エントリー!$J$7:$AF$406,MATCH(LEFT($B56,FIND("(",$B56)-1)&amp;RIGHT(L$1,1),女子エントリー!$AF$7:$AF$406,0),1),競技会設定!$T$2:$W$22,4,0)&gt;70,TEXT(INDEX(女子エントリー!$J$7:$AF$406,MATCH(LEFT($B56,FIND("(",$B56)-1)&amp;RIGHT(L$1,1),女子エントリー!$AF$7:$AF$406,0),3),"00000"),TEXT(INDEX(女子エントリー!$J$7:$AF$406,MATCH(LEFT($B56,FIND("(",$B56)-1)&amp;RIGHT(L$1,1),女子エントリー!$AF$7:$AF$406,0),3),"0000000")),"")</f>
        <v/>
      </c>
      <c r="M56" s="1" t="str">
        <f>_xlfn.IFNA(TEXT(VLOOKUP(INDEX(女子エントリー!$J$7:$AF$406,MATCH(LEFT($B56,FIND("(",$B56)-1)&amp;RIGHT(M$1,1),女子エントリー!$AF$7:$AF$406,0),1),競技会設定!$T$2:$W$22,4,0),"000")&amp;"00 "&amp;IF(VLOOKUP(INDEX(女子エントリー!$J$7:$AF$406,MATCH(LEFT($B56,FIND("(",$B56)-1)&amp;RIGHT(M$1,1),女子エントリー!$AF$7:$AF$406,0),1),競技会設定!$T$2:$W$22,4,0)&gt;70,TEXT(INDEX(女子エントリー!$J$7:$AF$406,MATCH(LEFT($B56,FIND("(",$B56)-1)&amp;RIGHT(M$1,1),女子エントリー!$AF$7:$AF$406,0),3),"00000"),TEXT(INDEX(女子エントリー!$J$7:$AF$406,MATCH(LEFT($B56,FIND("(",$B56)-1)&amp;RIGHT(M$1,1),女子エントリー!$AF$7:$AF$406,0),3),"0000000")),"")</f>
        <v/>
      </c>
      <c r="N56" s="1" t="str">
        <f>_xlfn.IFNA(TEXT(VLOOKUP(INDEX(女子エントリー!$J$7:$AF$406,MATCH(LEFT($B56,FIND("(",$B56)-1)&amp;RIGHT(N$1,1),女子エントリー!$AF$7:$AF$406,0),1),競技会設定!$T$2:$W$22,4,0),"000")&amp;"00 "&amp;IF(VLOOKUP(INDEX(女子エントリー!$J$7:$AF$406,MATCH(LEFT($B56,FIND("(",$B56)-1)&amp;RIGHT(N$1,1),女子エントリー!$AF$7:$AF$406,0),1),競技会設定!$T$2:$W$22,4,0)&gt;70,TEXT(INDEX(女子エントリー!$J$7:$AF$406,MATCH(LEFT($B56,FIND("(",$B56)-1)&amp;RIGHT(N$1,1),女子エントリー!$AF$7:$AF$406,0),3),"00000"),TEXT(INDEX(女子エントリー!$J$7:$AF$406,MATCH(LEFT($B56,FIND("(",$B56)-1)&amp;RIGHT(N$1,1),女子エントリー!$AF$7:$AF$406,0),3),"0000000")),"")</f>
        <v/>
      </c>
      <c r="O56" s="1" t="str">
        <f>_xlfn.IFNA(TEXT(VLOOKUP(INDEX(女子エントリー!$J$7:$AF$406,MATCH(LEFT($B56,FIND("(",$B56)-1)&amp;RIGHT(O$1,1),女子エントリー!$AF$7:$AF$406,0),1),競技会設定!$T$2:$W$22,4,0),"000")&amp;"00 "&amp;IF(VLOOKUP(INDEX(女子エントリー!$J$7:$AF$406,MATCH(LEFT($B56,FIND("(",$B56)-1)&amp;RIGHT(O$1,1),女子エントリー!$AF$7:$AF$406,0),1),競技会設定!$T$2:$W$22,4,0)&gt;70,TEXT(INDEX(女子エントリー!$J$7:$AF$406,MATCH(LEFT($B56,FIND("(",$B56)-1)&amp;RIGHT(O$1,1),女子エントリー!$AF$7:$AF$406,0),3),"00000"),TEXT(INDEX(女子エントリー!$J$7:$AF$406,MATCH(LEFT($B56,FIND("(",$B56)-1)&amp;RIGHT(O$1,1),女子エントリー!$AF$7:$AF$406,0),3),"0000000")),"")</f>
        <v/>
      </c>
    </row>
    <row r="57" spans="1:15">
      <c r="A57" s="92" t="str">
        <f>女子エントリー!D227</f>
        <v/>
      </c>
      <c r="B57" s="1" t="str">
        <f>女子エントリー!E227&amp;"("&amp;女子エントリー!G227&amp;")"</f>
        <v>()</v>
      </c>
      <c r="C57" s="92" t="str">
        <f>女子エントリー!F227</f>
        <v/>
      </c>
      <c r="D57" s="92" t="str">
        <f>女子エントリー!E229</f>
        <v/>
      </c>
      <c r="E57" s="92" t="str">
        <f>女子エントリー!G229</f>
        <v/>
      </c>
      <c r="F57" s="1" t="str">
        <f t="shared" si="0"/>
        <v/>
      </c>
      <c r="G57" s="92" t="str">
        <f>_xlfn.IFNA(VLOOKUP(女子エントリー!G228,競技会設定!$D$3:$E$49,2,0),"")</f>
        <v/>
      </c>
      <c r="H57" s="92" t="str">
        <f>_xlfn.IFNA(INDEX(競技会設定!$J$3:$O$47,MATCH(女子エントリー!H227,競技会設定!$N$3:$N$47,0),2),"")</f>
        <v/>
      </c>
      <c r="K57" s="92">
        <f>女子エントリー!C227</f>
        <v>0</v>
      </c>
      <c r="L57" s="1" t="str">
        <f>_xlfn.IFNA(TEXT(VLOOKUP(INDEX(女子エントリー!$J$7:$AF$406,MATCH(LEFT($B57,FIND("(",$B57)-1)&amp;RIGHT(L$1,1),女子エントリー!$AF$7:$AF$406,0),1),競技会設定!$T$2:$W$22,4,0),"000")&amp;"00 "&amp;IF(VLOOKUP(INDEX(女子エントリー!$J$7:$AF$406,MATCH(LEFT($B57,FIND("(",$B57)-1)&amp;RIGHT(L$1,1),女子エントリー!$AF$7:$AF$406,0),1),競技会設定!$T$2:$W$22,4,0)&gt;70,TEXT(INDEX(女子エントリー!$J$7:$AF$406,MATCH(LEFT($B57,FIND("(",$B57)-1)&amp;RIGHT(L$1,1),女子エントリー!$AF$7:$AF$406,0),3),"00000"),TEXT(INDEX(女子エントリー!$J$7:$AF$406,MATCH(LEFT($B57,FIND("(",$B57)-1)&amp;RIGHT(L$1,1),女子エントリー!$AF$7:$AF$406,0),3),"0000000")),"")</f>
        <v/>
      </c>
      <c r="M57" s="1" t="str">
        <f>_xlfn.IFNA(TEXT(VLOOKUP(INDEX(女子エントリー!$J$7:$AF$406,MATCH(LEFT($B57,FIND("(",$B57)-1)&amp;RIGHT(M$1,1),女子エントリー!$AF$7:$AF$406,0),1),競技会設定!$T$2:$W$22,4,0),"000")&amp;"00 "&amp;IF(VLOOKUP(INDEX(女子エントリー!$J$7:$AF$406,MATCH(LEFT($B57,FIND("(",$B57)-1)&amp;RIGHT(M$1,1),女子エントリー!$AF$7:$AF$406,0),1),競技会設定!$T$2:$W$22,4,0)&gt;70,TEXT(INDEX(女子エントリー!$J$7:$AF$406,MATCH(LEFT($B57,FIND("(",$B57)-1)&amp;RIGHT(M$1,1),女子エントリー!$AF$7:$AF$406,0),3),"00000"),TEXT(INDEX(女子エントリー!$J$7:$AF$406,MATCH(LEFT($B57,FIND("(",$B57)-1)&amp;RIGHT(M$1,1),女子エントリー!$AF$7:$AF$406,0),3),"0000000")),"")</f>
        <v/>
      </c>
      <c r="N57" s="1" t="str">
        <f>_xlfn.IFNA(TEXT(VLOOKUP(INDEX(女子エントリー!$J$7:$AF$406,MATCH(LEFT($B57,FIND("(",$B57)-1)&amp;RIGHT(N$1,1),女子エントリー!$AF$7:$AF$406,0),1),競技会設定!$T$2:$W$22,4,0),"000")&amp;"00 "&amp;IF(VLOOKUP(INDEX(女子エントリー!$J$7:$AF$406,MATCH(LEFT($B57,FIND("(",$B57)-1)&amp;RIGHT(N$1,1),女子エントリー!$AF$7:$AF$406,0),1),競技会設定!$T$2:$W$22,4,0)&gt;70,TEXT(INDEX(女子エントリー!$J$7:$AF$406,MATCH(LEFT($B57,FIND("(",$B57)-1)&amp;RIGHT(N$1,1),女子エントリー!$AF$7:$AF$406,0),3),"00000"),TEXT(INDEX(女子エントリー!$J$7:$AF$406,MATCH(LEFT($B57,FIND("(",$B57)-1)&amp;RIGHT(N$1,1),女子エントリー!$AF$7:$AF$406,0),3),"0000000")),"")</f>
        <v/>
      </c>
      <c r="O57" s="1" t="str">
        <f>_xlfn.IFNA(TEXT(VLOOKUP(INDEX(女子エントリー!$J$7:$AF$406,MATCH(LEFT($B57,FIND("(",$B57)-1)&amp;RIGHT(O$1,1),女子エントリー!$AF$7:$AF$406,0),1),競技会設定!$T$2:$W$22,4,0),"000")&amp;"00 "&amp;IF(VLOOKUP(INDEX(女子エントリー!$J$7:$AF$406,MATCH(LEFT($B57,FIND("(",$B57)-1)&amp;RIGHT(O$1,1),女子エントリー!$AF$7:$AF$406,0),1),競技会設定!$T$2:$W$22,4,0)&gt;70,TEXT(INDEX(女子エントリー!$J$7:$AF$406,MATCH(LEFT($B57,FIND("(",$B57)-1)&amp;RIGHT(O$1,1),女子エントリー!$AF$7:$AF$406,0),3),"00000"),TEXT(INDEX(女子エントリー!$J$7:$AF$406,MATCH(LEFT($B57,FIND("(",$B57)-1)&amp;RIGHT(O$1,1),女子エントリー!$AF$7:$AF$406,0),3),"0000000")),"")</f>
        <v/>
      </c>
    </row>
    <row r="58" spans="1:15">
      <c r="A58" s="92" t="str">
        <f>女子エントリー!D231</f>
        <v/>
      </c>
      <c r="B58" s="1" t="str">
        <f>女子エントリー!E231&amp;"("&amp;女子エントリー!G231&amp;")"</f>
        <v>()</v>
      </c>
      <c r="C58" s="92" t="str">
        <f>女子エントリー!F231</f>
        <v/>
      </c>
      <c r="D58" s="92" t="str">
        <f>女子エントリー!E233</f>
        <v/>
      </c>
      <c r="E58" s="92" t="str">
        <f>女子エントリー!G233</f>
        <v/>
      </c>
      <c r="F58" s="1" t="str">
        <f t="shared" si="0"/>
        <v/>
      </c>
      <c r="G58" s="92" t="str">
        <f>_xlfn.IFNA(VLOOKUP(女子エントリー!G232,競技会設定!$D$3:$E$49,2,0),"")</f>
        <v/>
      </c>
      <c r="H58" s="92" t="str">
        <f>_xlfn.IFNA(INDEX(競技会設定!$J$3:$O$47,MATCH(女子エントリー!H231,競技会設定!$N$3:$N$47,0),2),"")</f>
        <v/>
      </c>
      <c r="K58" s="92">
        <f>女子エントリー!C231</f>
        <v>0</v>
      </c>
      <c r="L58" s="1" t="str">
        <f>_xlfn.IFNA(TEXT(VLOOKUP(INDEX(女子エントリー!$J$7:$AF$406,MATCH(LEFT($B58,FIND("(",$B58)-1)&amp;RIGHT(L$1,1),女子エントリー!$AF$7:$AF$406,0),1),競技会設定!$T$2:$W$22,4,0),"000")&amp;"00 "&amp;IF(VLOOKUP(INDEX(女子エントリー!$J$7:$AF$406,MATCH(LEFT($B58,FIND("(",$B58)-1)&amp;RIGHT(L$1,1),女子エントリー!$AF$7:$AF$406,0),1),競技会設定!$T$2:$W$22,4,0)&gt;70,TEXT(INDEX(女子エントリー!$J$7:$AF$406,MATCH(LEFT($B58,FIND("(",$B58)-1)&amp;RIGHT(L$1,1),女子エントリー!$AF$7:$AF$406,0),3),"00000"),TEXT(INDEX(女子エントリー!$J$7:$AF$406,MATCH(LEFT($B58,FIND("(",$B58)-1)&amp;RIGHT(L$1,1),女子エントリー!$AF$7:$AF$406,0),3),"0000000")),"")</f>
        <v/>
      </c>
      <c r="M58" s="1" t="str">
        <f>_xlfn.IFNA(TEXT(VLOOKUP(INDEX(女子エントリー!$J$7:$AF$406,MATCH(LEFT($B58,FIND("(",$B58)-1)&amp;RIGHT(M$1,1),女子エントリー!$AF$7:$AF$406,0),1),競技会設定!$T$2:$W$22,4,0),"000")&amp;"00 "&amp;IF(VLOOKUP(INDEX(女子エントリー!$J$7:$AF$406,MATCH(LEFT($B58,FIND("(",$B58)-1)&amp;RIGHT(M$1,1),女子エントリー!$AF$7:$AF$406,0),1),競技会設定!$T$2:$W$22,4,0)&gt;70,TEXT(INDEX(女子エントリー!$J$7:$AF$406,MATCH(LEFT($B58,FIND("(",$B58)-1)&amp;RIGHT(M$1,1),女子エントリー!$AF$7:$AF$406,0),3),"00000"),TEXT(INDEX(女子エントリー!$J$7:$AF$406,MATCH(LEFT($B58,FIND("(",$B58)-1)&amp;RIGHT(M$1,1),女子エントリー!$AF$7:$AF$406,0),3),"0000000")),"")</f>
        <v/>
      </c>
      <c r="N58" s="1" t="str">
        <f>_xlfn.IFNA(TEXT(VLOOKUP(INDEX(女子エントリー!$J$7:$AF$406,MATCH(LEFT($B58,FIND("(",$B58)-1)&amp;RIGHT(N$1,1),女子エントリー!$AF$7:$AF$406,0),1),競技会設定!$T$2:$W$22,4,0),"000")&amp;"00 "&amp;IF(VLOOKUP(INDEX(女子エントリー!$J$7:$AF$406,MATCH(LEFT($B58,FIND("(",$B58)-1)&amp;RIGHT(N$1,1),女子エントリー!$AF$7:$AF$406,0),1),競技会設定!$T$2:$W$22,4,0)&gt;70,TEXT(INDEX(女子エントリー!$J$7:$AF$406,MATCH(LEFT($B58,FIND("(",$B58)-1)&amp;RIGHT(N$1,1),女子エントリー!$AF$7:$AF$406,0),3),"00000"),TEXT(INDEX(女子エントリー!$J$7:$AF$406,MATCH(LEFT($B58,FIND("(",$B58)-1)&amp;RIGHT(N$1,1),女子エントリー!$AF$7:$AF$406,0),3),"0000000")),"")</f>
        <v/>
      </c>
      <c r="O58" s="1" t="str">
        <f>_xlfn.IFNA(TEXT(VLOOKUP(INDEX(女子エントリー!$J$7:$AF$406,MATCH(LEFT($B58,FIND("(",$B58)-1)&amp;RIGHT(O$1,1),女子エントリー!$AF$7:$AF$406,0),1),競技会設定!$T$2:$W$22,4,0),"000")&amp;"00 "&amp;IF(VLOOKUP(INDEX(女子エントリー!$J$7:$AF$406,MATCH(LEFT($B58,FIND("(",$B58)-1)&amp;RIGHT(O$1,1),女子エントリー!$AF$7:$AF$406,0),1),競技会設定!$T$2:$W$22,4,0)&gt;70,TEXT(INDEX(女子エントリー!$J$7:$AF$406,MATCH(LEFT($B58,FIND("(",$B58)-1)&amp;RIGHT(O$1,1),女子エントリー!$AF$7:$AF$406,0),3),"00000"),TEXT(INDEX(女子エントリー!$J$7:$AF$406,MATCH(LEFT($B58,FIND("(",$B58)-1)&amp;RIGHT(O$1,1),女子エントリー!$AF$7:$AF$406,0),3),"0000000")),"")</f>
        <v/>
      </c>
    </row>
    <row r="59" spans="1:15">
      <c r="A59" s="92" t="str">
        <f>女子エントリー!D235</f>
        <v/>
      </c>
      <c r="B59" s="1" t="str">
        <f>女子エントリー!E235&amp;"("&amp;女子エントリー!G235&amp;")"</f>
        <v>()</v>
      </c>
      <c r="C59" s="92" t="str">
        <f>女子エントリー!F235</f>
        <v/>
      </c>
      <c r="D59" s="92" t="str">
        <f>女子エントリー!E237</f>
        <v/>
      </c>
      <c r="E59" s="92" t="str">
        <f>女子エントリー!G237</f>
        <v/>
      </c>
      <c r="F59" s="1" t="str">
        <f t="shared" si="0"/>
        <v/>
      </c>
      <c r="G59" s="92" t="str">
        <f>_xlfn.IFNA(VLOOKUP(女子エントリー!G236,競技会設定!$D$3:$E$49,2,0),"")</f>
        <v/>
      </c>
      <c r="H59" s="92" t="str">
        <f>_xlfn.IFNA(INDEX(競技会設定!$J$3:$O$47,MATCH(女子エントリー!H235,競技会設定!$N$3:$N$47,0),2),"")</f>
        <v/>
      </c>
      <c r="K59" s="92">
        <f>女子エントリー!C235</f>
        <v>0</v>
      </c>
      <c r="L59" s="1" t="str">
        <f>_xlfn.IFNA(TEXT(VLOOKUP(INDEX(女子エントリー!$J$7:$AF$406,MATCH(LEFT($B59,FIND("(",$B59)-1)&amp;RIGHT(L$1,1),女子エントリー!$AF$7:$AF$406,0),1),競技会設定!$T$2:$W$22,4,0),"000")&amp;"00 "&amp;IF(VLOOKUP(INDEX(女子エントリー!$J$7:$AF$406,MATCH(LEFT($B59,FIND("(",$B59)-1)&amp;RIGHT(L$1,1),女子エントリー!$AF$7:$AF$406,0),1),競技会設定!$T$2:$W$22,4,0)&gt;70,TEXT(INDEX(女子エントリー!$J$7:$AF$406,MATCH(LEFT($B59,FIND("(",$B59)-1)&amp;RIGHT(L$1,1),女子エントリー!$AF$7:$AF$406,0),3),"00000"),TEXT(INDEX(女子エントリー!$J$7:$AF$406,MATCH(LEFT($B59,FIND("(",$B59)-1)&amp;RIGHT(L$1,1),女子エントリー!$AF$7:$AF$406,0),3),"0000000")),"")</f>
        <v/>
      </c>
      <c r="M59" s="1" t="str">
        <f>_xlfn.IFNA(TEXT(VLOOKUP(INDEX(女子エントリー!$J$7:$AF$406,MATCH(LEFT($B59,FIND("(",$B59)-1)&amp;RIGHT(M$1,1),女子エントリー!$AF$7:$AF$406,0),1),競技会設定!$T$2:$W$22,4,0),"000")&amp;"00 "&amp;IF(VLOOKUP(INDEX(女子エントリー!$J$7:$AF$406,MATCH(LEFT($B59,FIND("(",$B59)-1)&amp;RIGHT(M$1,1),女子エントリー!$AF$7:$AF$406,0),1),競技会設定!$T$2:$W$22,4,0)&gt;70,TEXT(INDEX(女子エントリー!$J$7:$AF$406,MATCH(LEFT($B59,FIND("(",$B59)-1)&amp;RIGHT(M$1,1),女子エントリー!$AF$7:$AF$406,0),3),"00000"),TEXT(INDEX(女子エントリー!$J$7:$AF$406,MATCH(LEFT($B59,FIND("(",$B59)-1)&amp;RIGHT(M$1,1),女子エントリー!$AF$7:$AF$406,0),3),"0000000")),"")</f>
        <v/>
      </c>
      <c r="N59" s="1" t="str">
        <f>_xlfn.IFNA(TEXT(VLOOKUP(INDEX(女子エントリー!$J$7:$AF$406,MATCH(LEFT($B59,FIND("(",$B59)-1)&amp;RIGHT(N$1,1),女子エントリー!$AF$7:$AF$406,0),1),競技会設定!$T$2:$W$22,4,0),"000")&amp;"00 "&amp;IF(VLOOKUP(INDEX(女子エントリー!$J$7:$AF$406,MATCH(LEFT($B59,FIND("(",$B59)-1)&amp;RIGHT(N$1,1),女子エントリー!$AF$7:$AF$406,0),1),競技会設定!$T$2:$W$22,4,0)&gt;70,TEXT(INDEX(女子エントリー!$J$7:$AF$406,MATCH(LEFT($B59,FIND("(",$B59)-1)&amp;RIGHT(N$1,1),女子エントリー!$AF$7:$AF$406,0),3),"00000"),TEXT(INDEX(女子エントリー!$J$7:$AF$406,MATCH(LEFT($B59,FIND("(",$B59)-1)&amp;RIGHT(N$1,1),女子エントリー!$AF$7:$AF$406,0),3),"0000000")),"")</f>
        <v/>
      </c>
      <c r="O59" s="1" t="str">
        <f>_xlfn.IFNA(TEXT(VLOOKUP(INDEX(女子エントリー!$J$7:$AF$406,MATCH(LEFT($B59,FIND("(",$B59)-1)&amp;RIGHT(O$1,1),女子エントリー!$AF$7:$AF$406,0),1),競技会設定!$T$2:$W$22,4,0),"000")&amp;"00 "&amp;IF(VLOOKUP(INDEX(女子エントリー!$J$7:$AF$406,MATCH(LEFT($B59,FIND("(",$B59)-1)&amp;RIGHT(O$1,1),女子エントリー!$AF$7:$AF$406,0),1),競技会設定!$T$2:$W$22,4,0)&gt;70,TEXT(INDEX(女子エントリー!$J$7:$AF$406,MATCH(LEFT($B59,FIND("(",$B59)-1)&amp;RIGHT(O$1,1),女子エントリー!$AF$7:$AF$406,0),3),"00000"),TEXT(INDEX(女子エントリー!$J$7:$AF$406,MATCH(LEFT($B59,FIND("(",$B59)-1)&amp;RIGHT(O$1,1),女子エントリー!$AF$7:$AF$406,0),3),"0000000")),"")</f>
        <v/>
      </c>
    </row>
    <row r="60" spans="1:15">
      <c r="A60" s="92" t="str">
        <f>女子エントリー!D239</f>
        <v/>
      </c>
      <c r="B60" s="1" t="str">
        <f>女子エントリー!E239&amp;"("&amp;女子エントリー!G239&amp;")"</f>
        <v>()</v>
      </c>
      <c r="C60" s="92" t="str">
        <f>女子エントリー!F239</f>
        <v/>
      </c>
      <c r="D60" s="92" t="str">
        <f>女子エントリー!E241</f>
        <v/>
      </c>
      <c r="E60" s="92" t="str">
        <f>女子エントリー!G241</f>
        <v/>
      </c>
      <c r="F60" s="1" t="str">
        <f t="shared" si="0"/>
        <v/>
      </c>
      <c r="G60" s="92" t="str">
        <f>_xlfn.IFNA(VLOOKUP(女子エントリー!G240,競技会設定!$D$3:$E$49,2,0),"")</f>
        <v/>
      </c>
      <c r="H60" s="92" t="str">
        <f>_xlfn.IFNA(INDEX(競技会設定!$J$3:$O$47,MATCH(女子エントリー!H239,競技会設定!$N$3:$N$47,0),2),"")</f>
        <v/>
      </c>
      <c r="K60" s="92">
        <f>女子エントリー!C239</f>
        <v>0</v>
      </c>
      <c r="L60" s="1" t="str">
        <f>_xlfn.IFNA(TEXT(VLOOKUP(INDEX(女子エントリー!$J$7:$AF$406,MATCH(LEFT($B60,FIND("(",$B60)-1)&amp;RIGHT(L$1,1),女子エントリー!$AF$7:$AF$406,0),1),競技会設定!$T$2:$W$22,4,0),"000")&amp;"00 "&amp;IF(VLOOKUP(INDEX(女子エントリー!$J$7:$AF$406,MATCH(LEFT($B60,FIND("(",$B60)-1)&amp;RIGHT(L$1,1),女子エントリー!$AF$7:$AF$406,0),1),競技会設定!$T$2:$W$22,4,0)&gt;70,TEXT(INDEX(女子エントリー!$J$7:$AF$406,MATCH(LEFT($B60,FIND("(",$B60)-1)&amp;RIGHT(L$1,1),女子エントリー!$AF$7:$AF$406,0),3),"00000"),TEXT(INDEX(女子エントリー!$J$7:$AF$406,MATCH(LEFT($B60,FIND("(",$B60)-1)&amp;RIGHT(L$1,1),女子エントリー!$AF$7:$AF$406,0),3),"0000000")),"")</f>
        <v/>
      </c>
      <c r="M60" s="1" t="str">
        <f>_xlfn.IFNA(TEXT(VLOOKUP(INDEX(女子エントリー!$J$7:$AF$406,MATCH(LEFT($B60,FIND("(",$B60)-1)&amp;RIGHT(M$1,1),女子エントリー!$AF$7:$AF$406,0),1),競技会設定!$T$2:$W$22,4,0),"000")&amp;"00 "&amp;IF(VLOOKUP(INDEX(女子エントリー!$J$7:$AF$406,MATCH(LEFT($B60,FIND("(",$B60)-1)&amp;RIGHT(M$1,1),女子エントリー!$AF$7:$AF$406,0),1),競技会設定!$T$2:$W$22,4,0)&gt;70,TEXT(INDEX(女子エントリー!$J$7:$AF$406,MATCH(LEFT($B60,FIND("(",$B60)-1)&amp;RIGHT(M$1,1),女子エントリー!$AF$7:$AF$406,0),3),"00000"),TEXT(INDEX(女子エントリー!$J$7:$AF$406,MATCH(LEFT($B60,FIND("(",$B60)-1)&amp;RIGHT(M$1,1),女子エントリー!$AF$7:$AF$406,0),3),"0000000")),"")</f>
        <v/>
      </c>
      <c r="N60" s="1" t="str">
        <f>_xlfn.IFNA(TEXT(VLOOKUP(INDEX(女子エントリー!$J$7:$AF$406,MATCH(LEFT($B60,FIND("(",$B60)-1)&amp;RIGHT(N$1,1),女子エントリー!$AF$7:$AF$406,0),1),競技会設定!$T$2:$W$22,4,0),"000")&amp;"00 "&amp;IF(VLOOKUP(INDEX(女子エントリー!$J$7:$AF$406,MATCH(LEFT($B60,FIND("(",$B60)-1)&amp;RIGHT(N$1,1),女子エントリー!$AF$7:$AF$406,0),1),競技会設定!$T$2:$W$22,4,0)&gt;70,TEXT(INDEX(女子エントリー!$J$7:$AF$406,MATCH(LEFT($B60,FIND("(",$B60)-1)&amp;RIGHT(N$1,1),女子エントリー!$AF$7:$AF$406,0),3),"00000"),TEXT(INDEX(女子エントリー!$J$7:$AF$406,MATCH(LEFT($B60,FIND("(",$B60)-1)&amp;RIGHT(N$1,1),女子エントリー!$AF$7:$AF$406,0),3),"0000000")),"")</f>
        <v/>
      </c>
      <c r="O60" s="1" t="str">
        <f>_xlfn.IFNA(TEXT(VLOOKUP(INDEX(女子エントリー!$J$7:$AF$406,MATCH(LEFT($B60,FIND("(",$B60)-1)&amp;RIGHT(O$1,1),女子エントリー!$AF$7:$AF$406,0),1),競技会設定!$T$2:$W$22,4,0),"000")&amp;"00 "&amp;IF(VLOOKUP(INDEX(女子エントリー!$J$7:$AF$406,MATCH(LEFT($B60,FIND("(",$B60)-1)&amp;RIGHT(O$1,1),女子エントリー!$AF$7:$AF$406,0),1),競技会設定!$T$2:$W$22,4,0)&gt;70,TEXT(INDEX(女子エントリー!$J$7:$AF$406,MATCH(LEFT($B60,FIND("(",$B60)-1)&amp;RIGHT(O$1,1),女子エントリー!$AF$7:$AF$406,0),3),"00000"),TEXT(INDEX(女子エントリー!$J$7:$AF$406,MATCH(LEFT($B60,FIND("(",$B60)-1)&amp;RIGHT(O$1,1),女子エントリー!$AF$7:$AF$406,0),3),"0000000")),"")</f>
        <v/>
      </c>
    </row>
    <row r="61" spans="1:15">
      <c r="A61" s="92" t="str">
        <f>女子エントリー!D243</f>
        <v/>
      </c>
      <c r="B61" s="1" t="str">
        <f>女子エントリー!E243&amp;"("&amp;女子エントリー!G243&amp;")"</f>
        <v>()</v>
      </c>
      <c r="C61" s="92" t="str">
        <f>女子エントリー!F243</f>
        <v/>
      </c>
      <c r="D61" s="92" t="str">
        <f>女子エントリー!E245</f>
        <v/>
      </c>
      <c r="E61" s="92" t="str">
        <f>女子エントリー!G245</f>
        <v/>
      </c>
      <c r="F61" s="1" t="str">
        <f t="shared" si="0"/>
        <v/>
      </c>
      <c r="G61" s="92" t="str">
        <f>_xlfn.IFNA(VLOOKUP(女子エントリー!G244,競技会設定!$D$3:$E$49,2,0),"")</f>
        <v/>
      </c>
      <c r="H61" s="92" t="str">
        <f>_xlfn.IFNA(INDEX(競技会設定!$J$3:$O$47,MATCH(女子エントリー!H243,競技会設定!$N$3:$N$47,0),2),"")</f>
        <v/>
      </c>
      <c r="K61" s="92">
        <f>女子エントリー!C243</f>
        <v>0</v>
      </c>
      <c r="L61" s="1" t="str">
        <f>_xlfn.IFNA(TEXT(VLOOKUP(INDEX(女子エントリー!$J$7:$AF$406,MATCH(LEFT($B61,FIND("(",$B61)-1)&amp;RIGHT(L$1,1),女子エントリー!$AF$7:$AF$406,0),1),競技会設定!$T$2:$W$22,4,0),"000")&amp;"00 "&amp;IF(VLOOKUP(INDEX(女子エントリー!$J$7:$AF$406,MATCH(LEFT($B61,FIND("(",$B61)-1)&amp;RIGHT(L$1,1),女子エントリー!$AF$7:$AF$406,0),1),競技会設定!$T$2:$W$22,4,0)&gt;70,TEXT(INDEX(女子エントリー!$J$7:$AF$406,MATCH(LEFT($B61,FIND("(",$B61)-1)&amp;RIGHT(L$1,1),女子エントリー!$AF$7:$AF$406,0),3),"00000"),TEXT(INDEX(女子エントリー!$J$7:$AF$406,MATCH(LEFT($B61,FIND("(",$B61)-1)&amp;RIGHT(L$1,1),女子エントリー!$AF$7:$AF$406,0),3),"0000000")),"")</f>
        <v/>
      </c>
      <c r="M61" s="1" t="str">
        <f>_xlfn.IFNA(TEXT(VLOOKUP(INDEX(女子エントリー!$J$7:$AF$406,MATCH(LEFT($B61,FIND("(",$B61)-1)&amp;RIGHT(M$1,1),女子エントリー!$AF$7:$AF$406,0),1),競技会設定!$T$2:$W$22,4,0),"000")&amp;"00 "&amp;IF(VLOOKUP(INDEX(女子エントリー!$J$7:$AF$406,MATCH(LEFT($B61,FIND("(",$B61)-1)&amp;RIGHT(M$1,1),女子エントリー!$AF$7:$AF$406,0),1),競技会設定!$T$2:$W$22,4,0)&gt;70,TEXT(INDEX(女子エントリー!$J$7:$AF$406,MATCH(LEFT($B61,FIND("(",$B61)-1)&amp;RIGHT(M$1,1),女子エントリー!$AF$7:$AF$406,0),3),"00000"),TEXT(INDEX(女子エントリー!$J$7:$AF$406,MATCH(LEFT($B61,FIND("(",$B61)-1)&amp;RIGHT(M$1,1),女子エントリー!$AF$7:$AF$406,0),3),"0000000")),"")</f>
        <v/>
      </c>
      <c r="N61" s="1" t="str">
        <f>_xlfn.IFNA(TEXT(VLOOKUP(INDEX(女子エントリー!$J$7:$AF$406,MATCH(LEFT($B61,FIND("(",$B61)-1)&amp;RIGHT(N$1,1),女子エントリー!$AF$7:$AF$406,0),1),競技会設定!$T$2:$W$22,4,0),"000")&amp;"00 "&amp;IF(VLOOKUP(INDEX(女子エントリー!$J$7:$AF$406,MATCH(LEFT($B61,FIND("(",$B61)-1)&amp;RIGHT(N$1,1),女子エントリー!$AF$7:$AF$406,0),1),競技会設定!$T$2:$W$22,4,0)&gt;70,TEXT(INDEX(女子エントリー!$J$7:$AF$406,MATCH(LEFT($B61,FIND("(",$B61)-1)&amp;RIGHT(N$1,1),女子エントリー!$AF$7:$AF$406,0),3),"00000"),TEXT(INDEX(女子エントリー!$J$7:$AF$406,MATCH(LEFT($B61,FIND("(",$B61)-1)&amp;RIGHT(N$1,1),女子エントリー!$AF$7:$AF$406,0),3),"0000000")),"")</f>
        <v/>
      </c>
      <c r="O61" s="1" t="str">
        <f>_xlfn.IFNA(TEXT(VLOOKUP(INDEX(女子エントリー!$J$7:$AF$406,MATCH(LEFT($B61,FIND("(",$B61)-1)&amp;RIGHT(O$1,1),女子エントリー!$AF$7:$AF$406,0),1),競技会設定!$T$2:$W$22,4,0),"000")&amp;"00 "&amp;IF(VLOOKUP(INDEX(女子エントリー!$J$7:$AF$406,MATCH(LEFT($B61,FIND("(",$B61)-1)&amp;RIGHT(O$1,1),女子エントリー!$AF$7:$AF$406,0),1),競技会設定!$T$2:$W$22,4,0)&gt;70,TEXT(INDEX(女子エントリー!$J$7:$AF$406,MATCH(LEFT($B61,FIND("(",$B61)-1)&amp;RIGHT(O$1,1),女子エントリー!$AF$7:$AF$406,0),3),"00000"),TEXT(INDEX(女子エントリー!$J$7:$AF$406,MATCH(LEFT($B61,FIND("(",$B61)-1)&amp;RIGHT(O$1,1),女子エントリー!$AF$7:$AF$406,0),3),"0000000")),"")</f>
        <v/>
      </c>
    </row>
    <row r="62" spans="1:15">
      <c r="A62" s="92" t="str">
        <f>女子エントリー!D247</f>
        <v/>
      </c>
      <c r="B62" s="1" t="str">
        <f>女子エントリー!E247&amp;"("&amp;女子エントリー!G247&amp;")"</f>
        <v>()</v>
      </c>
      <c r="C62" s="92" t="str">
        <f>女子エントリー!F247</f>
        <v/>
      </c>
      <c r="D62" s="92" t="str">
        <f>女子エントリー!E249</f>
        <v/>
      </c>
      <c r="E62" s="92" t="str">
        <f>女子エントリー!G249</f>
        <v/>
      </c>
      <c r="F62" s="1" t="str">
        <f t="shared" si="0"/>
        <v/>
      </c>
      <c r="G62" s="92" t="str">
        <f>_xlfn.IFNA(VLOOKUP(女子エントリー!G248,競技会設定!$D$3:$E$49,2,0),"")</f>
        <v/>
      </c>
      <c r="H62" s="92" t="str">
        <f>_xlfn.IFNA(INDEX(競技会設定!$J$3:$O$47,MATCH(女子エントリー!H247,競技会設定!$N$3:$N$47,0),2),"")</f>
        <v/>
      </c>
      <c r="K62" s="92">
        <f>女子エントリー!C247</f>
        <v>0</v>
      </c>
      <c r="L62" s="1" t="str">
        <f>_xlfn.IFNA(TEXT(VLOOKUP(INDEX(女子エントリー!$J$7:$AF$406,MATCH(LEFT($B62,FIND("(",$B62)-1)&amp;RIGHT(L$1,1),女子エントリー!$AF$7:$AF$406,0),1),競技会設定!$T$2:$W$22,4,0),"000")&amp;"00 "&amp;IF(VLOOKUP(INDEX(女子エントリー!$J$7:$AF$406,MATCH(LEFT($B62,FIND("(",$B62)-1)&amp;RIGHT(L$1,1),女子エントリー!$AF$7:$AF$406,0),1),競技会設定!$T$2:$W$22,4,0)&gt;70,TEXT(INDEX(女子エントリー!$J$7:$AF$406,MATCH(LEFT($B62,FIND("(",$B62)-1)&amp;RIGHT(L$1,1),女子エントリー!$AF$7:$AF$406,0),3),"00000"),TEXT(INDEX(女子エントリー!$J$7:$AF$406,MATCH(LEFT($B62,FIND("(",$B62)-1)&amp;RIGHT(L$1,1),女子エントリー!$AF$7:$AF$406,0),3),"0000000")),"")</f>
        <v/>
      </c>
      <c r="M62" s="1" t="str">
        <f>_xlfn.IFNA(TEXT(VLOOKUP(INDEX(女子エントリー!$J$7:$AF$406,MATCH(LEFT($B62,FIND("(",$B62)-1)&amp;RIGHT(M$1,1),女子エントリー!$AF$7:$AF$406,0),1),競技会設定!$T$2:$W$22,4,0),"000")&amp;"00 "&amp;IF(VLOOKUP(INDEX(女子エントリー!$J$7:$AF$406,MATCH(LEFT($B62,FIND("(",$B62)-1)&amp;RIGHT(M$1,1),女子エントリー!$AF$7:$AF$406,0),1),競技会設定!$T$2:$W$22,4,0)&gt;70,TEXT(INDEX(女子エントリー!$J$7:$AF$406,MATCH(LEFT($B62,FIND("(",$B62)-1)&amp;RIGHT(M$1,1),女子エントリー!$AF$7:$AF$406,0),3),"00000"),TEXT(INDEX(女子エントリー!$J$7:$AF$406,MATCH(LEFT($B62,FIND("(",$B62)-1)&amp;RIGHT(M$1,1),女子エントリー!$AF$7:$AF$406,0),3),"0000000")),"")</f>
        <v/>
      </c>
      <c r="N62" s="1" t="str">
        <f>_xlfn.IFNA(TEXT(VLOOKUP(INDEX(女子エントリー!$J$7:$AF$406,MATCH(LEFT($B62,FIND("(",$B62)-1)&amp;RIGHT(N$1,1),女子エントリー!$AF$7:$AF$406,0),1),競技会設定!$T$2:$W$22,4,0),"000")&amp;"00 "&amp;IF(VLOOKUP(INDEX(女子エントリー!$J$7:$AF$406,MATCH(LEFT($B62,FIND("(",$B62)-1)&amp;RIGHT(N$1,1),女子エントリー!$AF$7:$AF$406,0),1),競技会設定!$T$2:$W$22,4,0)&gt;70,TEXT(INDEX(女子エントリー!$J$7:$AF$406,MATCH(LEFT($B62,FIND("(",$B62)-1)&amp;RIGHT(N$1,1),女子エントリー!$AF$7:$AF$406,0),3),"00000"),TEXT(INDEX(女子エントリー!$J$7:$AF$406,MATCH(LEFT($B62,FIND("(",$B62)-1)&amp;RIGHT(N$1,1),女子エントリー!$AF$7:$AF$406,0),3),"0000000")),"")</f>
        <v/>
      </c>
      <c r="O62" s="1" t="str">
        <f>_xlfn.IFNA(TEXT(VLOOKUP(INDEX(女子エントリー!$J$7:$AF$406,MATCH(LEFT($B62,FIND("(",$B62)-1)&amp;RIGHT(O$1,1),女子エントリー!$AF$7:$AF$406,0),1),競技会設定!$T$2:$W$22,4,0),"000")&amp;"00 "&amp;IF(VLOOKUP(INDEX(女子エントリー!$J$7:$AF$406,MATCH(LEFT($B62,FIND("(",$B62)-1)&amp;RIGHT(O$1,1),女子エントリー!$AF$7:$AF$406,0),1),競技会設定!$T$2:$W$22,4,0)&gt;70,TEXT(INDEX(女子エントリー!$J$7:$AF$406,MATCH(LEFT($B62,FIND("(",$B62)-1)&amp;RIGHT(O$1,1),女子エントリー!$AF$7:$AF$406,0),3),"00000"),TEXT(INDEX(女子エントリー!$J$7:$AF$406,MATCH(LEFT($B62,FIND("(",$B62)-1)&amp;RIGHT(O$1,1),女子エントリー!$AF$7:$AF$406,0),3),"0000000")),"")</f>
        <v/>
      </c>
    </row>
    <row r="63" spans="1:15">
      <c r="A63" s="92" t="str">
        <f>女子エントリー!D251</f>
        <v/>
      </c>
      <c r="B63" s="1" t="str">
        <f>女子エントリー!E251&amp;"("&amp;女子エントリー!G251&amp;")"</f>
        <v>()</v>
      </c>
      <c r="C63" s="92" t="str">
        <f>女子エントリー!F251</f>
        <v/>
      </c>
      <c r="D63" s="92" t="str">
        <f>女子エントリー!E253</f>
        <v/>
      </c>
      <c r="E63" s="92" t="str">
        <f>女子エントリー!G253</f>
        <v/>
      </c>
      <c r="F63" s="1" t="str">
        <f t="shared" si="0"/>
        <v/>
      </c>
      <c r="G63" s="92" t="str">
        <f>_xlfn.IFNA(VLOOKUP(女子エントリー!G252,競技会設定!$D$3:$E$49,2,0),"")</f>
        <v/>
      </c>
      <c r="H63" s="92" t="str">
        <f>_xlfn.IFNA(INDEX(競技会設定!$J$3:$O$47,MATCH(女子エントリー!H251,競技会設定!$N$3:$N$47,0),2),"")</f>
        <v/>
      </c>
      <c r="K63" s="92">
        <f>女子エントリー!C251</f>
        <v>0</v>
      </c>
      <c r="L63" s="1" t="str">
        <f>_xlfn.IFNA(TEXT(VLOOKUP(INDEX(女子エントリー!$J$7:$AF$406,MATCH(LEFT($B63,FIND("(",$B63)-1)&amp;RIGHT(L$1,1),女子エントリー!$AF$7:$AF$406,0),1),競技会設定!$T$2:$W$22,4,0),"000")&amp;"00 "&amp;IF(VLOOKUP(INDEX(女子エントリー!$J$7:$AF$406,MATCH(LEFT($B63,FIND("(",$B63)-1)&amp;RIGHT(L$1,1),女子エントリー!$AF$7:$AF$406,0),1),競技会設定!$T$2:$W$22,4,0)&gt;70,TEXT(INDEX(女子エントリー!$J$7:$AF$406,MATCH(LEFT($B63,FIND("(",$B63)-1)&amp;RIGHT(L$1,1),女子エントリー!$AF$7:$AF$406,0),3),"00000"),TEXT(INDEX(女子エントリー!$J$7:$AF$406,MATCH(LEFT($B63,FIND("(",$B63)-1)&amp;RIGHT(L$1,1),女子エントリー!$AF$7:$AF$406,0),3),"0000000")),"")</f>
        <v/>
      </c>
      <c r="M63" s="1" t="str">
        <f>_xlfn.IFNA(TEXT(VLOOKUP(INDEX(女子エントリー!$J$7:$AF$406,MATCH(LEFT($B63,FIND("(",$B63)-1)&amp;RIGHT(M$1,1),女子エントリー!$AF$7:$AF$406,0),1),競技会設定!$T$2:$W$22,4,0),"000")&amp;"00 "&amp;IF(VLOOKUP(INDEX(女子エントリー!$J$7:$AF$406,MATCH(LEFT($B63,FIND("(",$B63)-1)&amp;RIGHT(M$1,1),女子エントリー!$AF$7:$AF$406,0),1),競技会設定!$T$2:$W$22,4,0)&gt;70,TEXT(INDEX(女子エントリー!$J$7:$AF$406,MATCH(LEFT($B63,FIND("(",$B63)-1)&amp;RIGHT(M$1,1),女子エントリー!$AF$7:$AF$406,0),3),"00000"),TEXT(INDEX(女子エントリー!$J$7:$AF$406,MATCH(LEFT($B63,FIND("(",$B63)-1)&amp;RIGHT(M$1,1),女子エントリー!$AF$7:$AF$406,0),3),"0000000")),"")</f>
        <v/>
      </c>
      <c r="N63" s="1" t="str">
        <f>_xlfn.IFNA(TEXT(VLOOKUP(INDEX(女子エントリー!$J$7:$AF$406,MATCH(LEFT($B63,FIND("(",$B63)-1)&amp;RIGHT(N$1,1),女子エントリー!$AF$7:$AF$406,0),1),競技会設定!$T$2:$W$22,4,0),"000")&amp;"00 "&amp;IF(VLOOKUP(INDEX(女子エントリー!$J$7:$AF$406,MATCH(LEFT($B63,FIND("(",$B63)-1)&amp;RIGHT(N$1,1),女子エントリー!$AF$7:$AF$406,0),1),競技会設定!$T$2:$W$22,4,0)&gt;70,TEXT(INDEX(女子エントリー!$J$7:$AF$406,MATCH(LEFT($B63,FIND("(",$B63)-1)&amp;RIGHT(N$1,1),女子エントリー!$AF$7:$AF$406,0),3),"00000"),TEXT(INDEX(女子エントリー!$J$7:$AF$406,MATCH(LEFT($B63,FIND("(",$B63)-1)&amp;RIGHT(N$1,1),女子エントリー!$AF$7:$AF$406,0),3),"0000000")),"")</f>
        <v/>
      </c>
      <c r="O63" s="1" t="str">
        <f>_xlfn.IFNA(TEXT(VLOOKUP(INDEX(女子エントリー!$J$7:$AF$406,MATCH(LEFT($B63,FIND("(",$B63)-1)&amp;RIGHT(O$1,1),女子エントリー!$AF$7:$AF$406,0),1),競技会設定!$T$2:$W$22,4,0),"000")&amp;"00 "&amp;IF(VLOOKUP(INDEX(女子エントリー!$J$7:$AF$406,MATCH(LEFT($B63,FIND("(",$B63)-1)&amp;RIGHT(O$1,1),女子エントリー!$AF$7:$AF$406,0),1),競技会設定!$T$2:$W$22,4,0)&gt;70,TEXT(INDEX(女子エントリー!$J$7:$AF$406,MATCH(LEFT($B63,FIND("(",$B63)-1)&amp;RIGHT(O$1,1),女子エントリー!$AF$7:$AF$406,0),3),"00000"),TEXT(INDEX(女子エントリー!$J$7:$AF$406,MATCH(LEFT($B63,FIND("(",$B63)-1)&amp;RIGHT(O$1,1),女子エントリー!$AF$7:$AF$406,0),3),"0000000")),"")</f>
        <v/>
      </c>
    </row>
    <row r="64" spans="1:15">
      <c r="A64" s="92" t="str">
        <f>女子エントリー!D255</f>
        <v/>
      </c>
      <c r="B64" s="1" t="str">
        <f>女子エントリー!E255&amp;"("&amp;女子エントリー!G255&amp;")"</f>
        <v>()</v>
      </c>
      <c r="C64" s="92" t="str">
        <f>女子エントリー!F255</f>
        <v/>
      </c>
      <c r="D64" s="92" t="str">
        <f>女子エントリー!E257</f>
        <v/>
      </c>
      <c r="E64" s="92" t="str">
        <f>女子エントリー!G257</f>
        <v/>
      </c>
      <c r="F64" s="1" t="str">
        <f t="shared" si="0"/>
        <v/>
      </c>
      <c r="G64" s="92" t="str">
        <f>_xlfn.IFNA(VLOOKUP(女子エントリー!G256,競技会設定!$D$3:$E$49,2,0),"")</f>
        <v/>
      </c>
      <c r="H64" s="92" t="str">
        <f>_xlfn.IFNA(INDEX(競技会設定!$J$3:$O$47,MATCH(女子エントリー!H255,競技会設定!$N$3:$N$47,0),2),"")</f>
        <v/>
      </c>
      <c r="K64" s="92">
        <f>女子エントリー!C255</f>
        <v>0</v>
      </c>
      <c r="L64" s="1" t="str">
        <f>_xlfn.IFNA(TEXT(VLOOKUP(INDEX(女子エントリー!$J$7:$AF$406,MATCH(LEFT($B64,FIND("(",$B64)-1)&amp;RIGHT(L$1,1),女子エントリー!$AF$7:$AF$406,0),1),競技会設定!$T$2:$W$22,4,0),"000")&amp;"00 "&amp;IF(VLOOKUP(INDEX(女子エントリー!$J$7:$AF$406,MATCH(LEFT($B64,FIND("(",$B64)-1)&amp;RIGHT(L$1,1),女子エントリー!$AF$7:$AF$406,0),1),競技会設定!$T$2:$W$22,4,0)&gt;70,TEXT(INDEX(女子エントリー!$J$7:$AF$406,MATCH(LEFT($B64,FIND("(",$B64)-1)&amp;RIGHT(L$1,1),女子エントリー!$AF$7:$AF$406,0),3),"00000"),TEXT(INDEX(女子エントリー!$J$7:$AF$406,MATCH(LEFT($B64,FIND("(",$B64)-1)&amp;RIGHT(L$1,1),女子エントリー!$AF$7:$AF$406,0),3),"0000000")),"")</f>
        <v/>
      </c>
      <c r="M64" s="1" t="str">
        <f>_xlfn.IFNA(TEXT(VLOOKUP(INDEX(女子エントリー!$J$7:$AF$406,MATCH(LEFT($B64,FIND("(",$B64)-1)&amp;RIGHT(M$1,1),女子エントリー!$AF$7:$AF$406,0),1),競技会設定!$T$2:$W$22,4,0),"000")&amp;"00 "&amp;IF(VLOOKUP(INDEX(女子エントリー!$J$7:$AF$406,MATCH(LEFT($B64,FIND("(",$B64)-1)&amp;RIGHT(M$1,1),女子エントリー!$AF$7:$AF$406,0),1),競技会設定!$T$2:$W$22,4,0)&gt;70,TEXT(INDEX(女子エントリー!$J$7:$AF$406,MATCH(LEFT($B64,FIND("(",$B64)-1)&amp;RIGHT(M$1,1),女子エントリー!$AF$7:$AF$406,0),3),"00000"),TEXT(INDEX(女子エントリー!$J$7:$AF$406,MATCH(LEFT($B64,FIND("(",$B64)-1)&amp;RIGHT(M$1,1),女子エントリー!$AF$7:$AF$406,0),3),"0000000")),"")</f>
        <v/>
      </c>
      <c r="N64" s="1" t="str">
        <f>_xlfn.IFNA(TEXT(VLOOKUP(INDEX(女子エントリー!$J$7:$AF$406,MATCH(LEFT($B64,FIND("(",$B64)-1)&amp;RIGHT(N$1,1),女子エントリー!$AF$7:$AF$406,0),1),競技会設定!$T$2:$W$22,4,0),"000")&amp;"00 "&amp;IF(VLOOKUP(INDEX(女子エントリー!$J$7:$AF$406,MATCH(LEFT($B64,FIND("(",$B64)-1)&amp;RIGHT(N$1,1),女子エントリー!$AF$7:$AF$406,0),1),競技会設定!$T$2:$W$22,4,0)&gt;70,TEXT(INDEX(女子エントリー!$J$7:$AF$406,MATCH(LEFT($B64,FIND("(",$B64)-1)&amp;RIGHT(N$1,1),女子エントリー!$AF$7:$AF$406,0),3),"00000"),TEXT(INDEX(女子エントリー!$J$7:$AF$406,MATCH(LEFT($B64,FIND("(",$B64)-1)&amp;RIGHT(N$1,1),女子エントリー!$AF$7:$AF$406,0),3),"0000000")),"")</f>
        <v/>
      </c>
      <c r="O64" s="1" t="str">
        <f>_xlfn.IFNA(TEXT(VLOOKUP(INDEX(女子エントリー!$J$7:$AF$406,MATCH(LEFT($B64,FIND("(",$B64)-1)&amp;RIGHT(O$1,1),女子エントリー!$AF$7:$AF$406,0),1),競技会設定!$T$2:$W$22,4,0),"000")&amp;"00 "&amp;IF(VLOOKUP(INDEX(女子エントリー!$J$7:$AF$406,MATCH(LEFT($B64,FIND("(",$B64)-1)&amp;RIGHT(O$1,1),女子エントリー!$AF$7:$AF$406,0),1),競技会設定!$T$2:$W$22,4,0)&gt;70,TEXT(INDEX(女子エントリー!$J$7:$AF$406,MATCH(LEFT($B64,FIND("(",$B64)-1)&amp;RIGHT(O$1,1),女子エントリー!$AF$7:$AF$406,0),3),"00000"),TEXT(INDEX(女子エントリー!$J$7:$AF$406,MATCH(LEFT($B64,FIND("(",$B64)-1)&amp;RIGHT(O$1,1),女子エントリー!$AF$7:$AF$406,0),3),"0000000")),"")</f>
        <v/>
      </c>
    </row>
    <row r="65" spans="1:15">
      <c r="A65" s="92" t="str">
        <f>女子エントリー!D259</f>
        <v/>
      </c>
      <c r="B65" s="1" t="str">
        <f>女子エントリー!E259&amp;"("&amp;女子エントリー!G259&amp;")"</f>
        <v>()</v>
      </c>
      <c r="C65" s="92" t="str">
        <f>女子エントリー!F259</f>
        <v/>
      </c>
      <c r="D65" s="92" t="str">
        <f>女子エントリー!E261</f>
        <v/>
      </c>
      <c r="E65" s="92" t="str">
        <f>女子エントリー!G261</f>
        <v/>
      </c>
      <c r="F65" s="1" t="str">
        <f t="shared" si="0"/>
        <v/>
      </c>
      <c r="G65" s="92" t="str">
        <f>_xlfn.IFNA(VLOOKUP(女子エントリー!G260,競技会設定!$D$3:$E$49,2,0),"")</f>
        <v/>
      </c>
      <c r="H65" s="92" t="str">
        <f>_xlfn.IFNA(INDEX(競技会設定!$J$3:$O$47,MATCH(女子エントリー!H259,競技会設定!$N$3:$N$47,0),2),"")</f>
        <v/>
      </c>
      <c r="K65" s="92">
        <f>女子エントリー!C259</f>
        <v>0</v>
      </c>
      <c r="L65" s="1" t="str">
        <f>_xlfn.IFNA(TEXT(VLOOKUP(INDEX(女子エントリー!$J$7:$AF$406,MATCH(LEFT($B65,FIND("(",$B65)-1)&amp;RIGHT(L$1,1),女子エントリー!$AF$7:$AF$406,0),1),競技会設定!$T$2:$W$22,4,0),"000")&amp;"00 "&amp;IF(VLOOKUP(INDEX(女子エントリー!$J$7:$AF$406,MATCH(LEFT($B65,FIND("(",$B65)-1)&amp;RIGHT(L$1,1),女子エントリー!$AF$7:$AF$406,0),1),競技会設定!$T$2:$W$22,4,0)&gt;70,TEXT(INDEX(女子エントリー!$J$7:$AF$406,MATCH(LEFT($B65,FIND("(",$B65)-1)&amp;RIGHT(L$1,1),女子エントリー!$AF$7:$AF$406,0),3),"00000"),TEXT(INDEX(女子エントリー!$J$7:$AF$406,MATCH(LEFT($B65,FIND("(",$B65)-1)&amp;RIGHT(L$1,1),女子エントリー!$AF$7:$AF$406,0),3),"0000000")),"")</f>
        <v/>
      </c>
      <c r="M65" s="1" t="str">
        <f>_xlfn.IFNA(TEXT(VLOOKUP(INDEX(女子エントリー!$J$7:$AF$406,MATCH(LEFT($B65,FIND("(",$B65)-1)&amp;RIGHT(M$1,1),女子エントリー!$AF$7:$AF$406,0),1),競技会設定!$T$2:$W$22,4,0),"000")&amp;"00 "&amp;IF(VLOOKUP(INDEX(女子エントリー!$J$7:$AF$406,MATCH(LEFT($B65,FIND("(",$B65)-1)&amp;RIGHT(M$1,1),女子エントリー!$AF$7:$AF$406,0),1),競技会設定!$T$2:$W$22,4,0)&gt;70,TEXT(INDEX(女子エントリー!$J$7:$AF$406,MATCH(LEFT($B65,FIND("(",$B65)-1)&amp;RIGHT(M$1,1),女子エントリー!$AF$7:$AF$406,0),3),"00000"),TEXT(INDEX(女子エントリー!$J$7:$AF$406,MATCH(LEFT($B65,FIND("(",$B65)-1)&amp;RIGHT(M$1,1),女子エントリー!$AF$7:$AF$406,0),3),"0000000")),"")</f>
        <v/>
      </c>
      <c r="N65" s="1" t="str">
        <f>_xlfn.IFNA(TEXT(VLOOKUP(INDEX(女子エントリー!$J$7:$AF$406,MATCH(LEFT($B65,FIND("(",$B65)-1)&amp;RIGHT(N$1,1),女子エントリー!$AF$7:$AF$406,0),1),競技会設定!$T$2:$W$22,4,0),"000")&amp;"00 "&amp;IF(VLOOKUP(INDEX(女子エントリー!$J$7:$AF$406,MATCH(LEFT($B65,FIND("(",$B65)-1)&amp;RIGHT(N$1,1),女子エントリー!$AF$7:$AF$406,0),1),競技会設定!$T$2:$W$22,4,0)&gt;70,TEXT(INDEX(女子エントリー!$J$7:$AF$406,MATCH(LEFT($B65,FIND("(",$B65)-1)&amp;RIGHT(N$1,1),女子エントリー!$AF$7:$AF$406,0),3),"00000"),TEXT(INDEX(女子エントリー!$J$7:$AF$406,MATCH(LEFT($B65,FIND("(",$B65)-1)&amp;RIGHT(N$1,1),女子エントリー!$AF$7:$AF$406,0),3),"0000000")),"")</f>
        <v/>
      </c>
      <c r="O65" s="1" t="str">
        <f>_xlfn.IFNA(TEXT(VLOOKUP(INDEX(女子エントリー!$J$7:$AF$406,MATCH(LEFT($B65,FIND("(",$B65)-1)&amp;RIGHT(O$1,1),女子エントリー!$AF$7:$AF$406,0),1),競技会設定!$T$2:$W$22,4,0),"000")&amp;"00 "&amp;IF(VLOOKUP(INDEX(女子エントリー!$J$7:$AF$406,MATCH(LEFT($B65,FIND("(",$B65)-1)&amp;RIGHT(O$1,1),女子エントリー!$AF$7:$AF$406,0),1),競技会設定!$T$2:$W$22,4,0)&gt;70,TEXT(INDEX(女子エントリー!$J$7:$AF$406,MATCH(LEFT($B65,FIND("(",$B65)-1)&amp;RIGHT(O$1,1),女子エントリー!$AF$7:$AF$406,0),3),"00000"),TEXT(INDEX(女子エントリー!$J$7:$AF$406,MATCH(LEFT($B65,FIND("(",$B65)-1)&amp;RIGHT(O$1,1),女子エントリー!$AF$7:$AF$406,0),3),"0000000")),"")</f>
        <v/>
      </c>
    </row>
    <row r="66" spans="1:15">
      <c r="A66" s="92" t="str">
        <f>女子エントリー!D263</f>
        <v/>
      </c>
      <c r="B66" s="1" t="str">
        <f>女子エントリー!E263&amp;"("&amp;女子エントリー!G263&amp;")"</f>
        <v>()</v>
      </c>
      <c r="C66" s="92" t="str">
        <f>女子エントリー!F263</f>
        <v/>
      </c>
      <c r="D66" s="92" t="str">
        <f>女子エントリー!E265</f>
        <v/>
      </c>
      <c r="E66" s="92" t="str">
        <f>女子エントリー!G265</f>
        <v/>
      </c>
      <c r="F66" s="1" t="str">
        <f t="shared" si="0"/>
        <v/>
      </c>
      <c r="G66" s="92" t="str">
        <f>_xlfn.IFNA(VLOOKUP(女子エントリー!G264,競技会設定!$D$3:$E$49,2,0),"")</f>
        <v/>
      </c>
      <c r="H66" s="92" t="str">
        <f>_xlfn.IFNA(INDEX(競技会設定!$J$3:$O$47,MATCH(女子エントリー!H263,競技会設定!$N$3:$N$47,0),2),"")</f>
        <v/>
      </c>
      <c r="K66" s="92">
        <f>女子エントリー!C263</f>
        <v>0</v>
      </c>
      <c r="L66" s="1" t="str">
        <f>_xlfn.IFNA(TEXT(VLOOKUP(INDEX(女子エントリー!$J$7:$AF$406,MATCH(LEFT($B66,FIND("(",$B66)-1)&amp;RIGHT(L$1,1),女子エントリー!$AF$7:$AF$406,0),1),競技会設定!$T$2:$W$22,4,0),"000")&amp;"00 "&amp;IF(VLOOKUP(INDEX(女子エントリー!$J$7:$AF$406,MATCH(LEFT($B66,FIND("(",$B66)-1)&amp;RIGHT(L$1,1),女子エントリー!$AF$7:$AF$406,0),1),競技会設定!$T$2:$W$22,4,0)&gt;70,TEXT(INDEX(女子エントリー!$J$7:$AF$406,MATCH(LEFT($B66,FIND("(",$B66)-1)&amp;RIGHT(L$1,1),女子エントリー!$AF$7:$AF$406,0),3),"00000"),TEXT(INDEX(女子エントリー!$J$7:$AF$406,MATCH(LEFT($B66,FIND("(",$B66)-1)&amp;RIGHT(L$1,1),女子エントリー!$AF$7:$AF$406,0),3),"0000000")),"")</f>
        <v/>
      </c>
      <c r="M66" s="1" t="str">
        <f>_xlfn.IFNA(TEXT(VLOOKUP(INDEX(女子エントリー!$J$7:$AF$406,MATCH(LEFT($B66,FIND("(",$B66)-1)&amp;RIGHT(M$1,1),女子エントリー!$AF$7:$AF$406,0),1),競技会設定!$T$2:$W$22,4,0),"000")&amp;"00 "&amp;IF(VLOOKUP(INDEX(女子エントリー!$J$7:$AF$406,MATCH(LEFT($B66,FIND("(",$B66)-1)&amp;RIGHT(M$1,1),女子エントリー!$AF$7:$AF$406,0),1),競技会設定!$T$2:$W$22,4,0)&gt;70,TEXT(INDEX(女子エントリー!$J$7:$AF$406,MATCH(LEFT($B66,FIND("(",$B66)-1)&amp;RIGHT(M$1,1),女子エントリー!$AF$7:$AF$406,0),3),"00000"),TEXT(INDEX(女子エントリー!$J$7:$AF$406,MATCH(LEFT($B66,FIND("(",$B66)-1)&amp;RIGHT(M$1,1),女子エントリー!$AF$7:$AF$406,0),3),"0000000")),"")</f>
        <v/>
      </c>
      <c r="N66" s="1" t="str">
        <f>_xlfn.IFNA(TEXT(VLOOKUP(INDEX(女子エントリー!$J$7:$AF$406,MATCH(LEFT($B66,FIND("(",$B66)-1)&amp;RIGHT(N$1,1),女子エントリー!$AF$7:$AF$406,0),1),競技会設定!$T$2:$W$22,4,0),"000")&amp;"00 "&amp;IF(VLOOKUP(INDEX(女子エントリー!$J$7:$AF$406,MATCH(LEFT($B66,FIND("(",$B66)-1)&amp;RIGHT(N$1,1),女子エントリー!$AF$7:$AF$406,0),1),競技会設定!$T$2:$W$22,4,0)&gt;70,TEXT(INDEX(女子エントリー!$J$7:$AF$406,MATCH(LEFT($B66,FIND("(",$B66)-1)&amp;RIGHT(N$1,1),女子エントリー!$AF$7:$AF$406,0),3),"00000"),TEXT(INDEX(女子エントリー!$J$7:$AF$406,MATCH(LEFT($B66,FIND("(",$B66)-1)&amp;RIGHT(N$1,1),女子エントリー!$AF$7:$AF$406,0),3),"0000000")),"")</f>
        <v/>
      </c>
      <c r="O66" s="1" t="str">
        <f>_xlfn.IFNA(TEXT(VLOOKUP(INDEX(女子エントリー!$J$7:$AF$406,MATCH(LEFT($B66,FIND("(",$B66)-1)&amp;RIGHT(O$1,1),女子エントリー!$AF$7:$AF$406,0),1),競技会設定!$T$2:$W$22,4,0),"000")&amp;"00 "&amp;IF(VLOOKUP(INDEX(女子エントリー!$J$7:$AF$406,MATCH(LEFT($B66,FIND("(",$B66)-1)&amp;RIGHT(O$1,1),女子エントリー!$AF$7:$AF$406,0),1),競技会設定!$T$2:$W$22,4,0)&gt;70,TEXT(INDEX(女子エントリー!$J$7:$AF$406,MATCH(LEFT($B66,FIND("(",$B66)-1)&amp;RIGHT(O$1,1),女子エントリー!$AF$7:$AF$406,0),3),"00000"),TEXT(INDEX(女子エントリー!$J$7:$AF$406,MATCH(LEFT($B66,FIND("(",$B66)-1)&amp;RIGHT(O$1,1),女子エントリー!$AF$7:$AF$406,0),3),"0000000")),"")</f>
        <v/>
      </c>
    </row>
    <row r="67" spans="1:15">
      <c r="A67" s="92" t="str">
        <f>女子エントリー!D267</f>
        <v/>
      </c>
      <c r="B67" s="1" t="str">
        <f>女子エントリー!E267&amp;"("&amp;女子エントリー!G267&amp;")"</f>
        <v>()</v>
      </c>
      <c r="C67" s="92" t="str">
        <f>女子エントリー!F267</f>
        <v/>
      </c>
      <c r="D67" s="92" t="str">
        <f>女子エントリー!E269</f>
        <v/>
      </c>
      <c r="E67" s="92" t="str">
        <f>女子エントリー!G269</f>
        <v/>
      </c>
      <c r="F67" s="1" t="str">
        <f t="shared" ref="F67:F101" si="1">IF(C67="","",2)</f>
        <v/>
      </c>
      <c r="G67" s="92" t="str">
        <f>_xlfn.IFNA(VLOOKUP(女子エントリー!G268,競技会設定!$D$3:$E$49,2,0),"")</f>
        <v/>
      </c>
      <c r="H67" s="92" t="str">
        <f>_xlfn.IFNA(INDEX(競技会設定!$J$3:$O$47,MATCH(女子エントリー!H267,競技会設定!$N$3:$N$47,0),2),"")</f>
        <v/>
      </c>
      <c r="K67" s="92">
        <f>女子エントリー!C267</f>
        <v>0</v>
      </c>
      <c r="L67" s="1" t="str">
        <f>_xlfn.IFNA(TEXT(VLOOKUP(INDEX(女子エントリー!$J$7:$AF$406,MATCH(LEFT($B67,FIND("(",$B67)-1)&amp;RIGHT(L$1,1),女子エントリー!$AF$7:$AF$406,0),1),競技会設定!$T$2:$W$22,4,0),"000")&amp;"00 "&amp;IF(VLOOKUP(INDEX(女子エントリー!$J$7:$AF$406,MATCH(LEFT($B67,FIND("(",$B67)-1)&amp;RIGHT(L$1,1),女子エントリー!$AF$7:$AF$406,0),1),競技会設定!$T$2:$W$22,4,0)&gt;70,TEXT(INDEX(女子エントリー!$J$7:$AF$406,MATCH(LEFT($B67,FIND("(",$B67)-1)&amp;RIGHT(L$1,1),女子エントリー!$AF$7:$AF$406,0),3),"00000"),TEXT(INDEX(女子エントリー!$J$7:$AF$406,MATCH(LEFT($B67,FIND("(",$B67)-1)&amp;RIGHT(L$1,1),女子エントリー!$AF$7:$AF$406,0),3),"0000000")),"")</f>
        <v/>
      </c>
      <c r="M67" s="1" t="str">
        <f>_xlfn.IFNA(TEXT(VLOOKUP(INDEX(女子エントリー!$J$7:$AF$406,MATCH(LEFT($B67,FIND("(",$B67)-1)&amp;RIGHT(M$1,1),女子エントリー!$AF$7:$AF$406,0),1),競技会設定!$T$2:$W$22,4,0),"000")&amp;"00 "&amp;IF(VLOOKUP(INDEX(女子エントリー!$J$7:$AF$406,MATCH(LEFT($B67,FIND("(",$B67)-1)&amp;RIGHT(M$1,1),女子エントリー!$AF$7:$AF$406,0),1),競技会設定!$T$2:$W$22,4,0)&gt;70,TEXT(INDEX(女子エントリー!$J$7:$AF$406,MATCH(LEFT($B67,FIND("(",$B67)-1)&amp;RIGHT(M$1,1),女子エントリー!$AF$7:$AF$406,0),3),"00000"),TEXT(INDEX(女子エントリー!$J$7:$AF$406,MATCH(LEFT($B67,FIND("(",$B67)-1)&amp;RIGHT(M$1,1),女子エントリー!$AF$7:$AF$406,0),3),"0000000")),"")</f>
        <v/>
      </c>
      <c r="N67" s="1" t="str">
        <f>_xlfn.IFNA(TEXT(VLOOKUP(INDEX(女子エントリー!$J$7:$AF$406,MATCH(LEFT($B67,FIND("(",$B67)-1)&amp;RIGHT(N$1,1),女子エントリー!$AF$7:$AF$406,0),1),競技会設定!$T$2:$W$22,4,0),"000")&amp;"00 "&amp;IF(VLOOKUP(INDEX(女子エントリー!$J$7:$AF$406,MATCH(LEFT($B67,FIND("(",$B67)-1)&amp;RIGHT(N$1,1),女子エントリー!$AF$7:$AF$406,0),1),競技会設定!$T$2:$W$22,4,0)&gt;70,TEXT(INDEX(女子エントリー!$J$7:$AF$406,MATCH(LEFT($B67,FIND("(",$B67)-1)&amp;RIGHT(N$1,1),女子エントリー!$AF$7:$AF$406,0),3),"00000"),TEXT(INDEX(女子エントリー!$J$7:$AF$406,MATCH(LEFT($B67,FIND("(",$B67)-1)&amp;RIGHT(N$1,1),女子エントリー!$AF$7:$AF$406,0),3),"0000000")),"")</f>
        <v/>
      </c>
      <c r="O67" s="1" t="str">
        <f>_xlfn.IFNA(TEXT(VLOOKUP(INDEX(女子エントリー!$J$7:$AF$406,MATCH(LEFT($B67,FIND("(",$B67)-1)&amp;RIGHT(O$1,1),女子エントリー!$AF$7:$AF$406,0),1),競技会設定!$T$2:$W$22,4,0),"000")&amp;"00 "&amp;IF(VLOOKUP(INDEX(女子エントリー!$J$7:$AF$406,MATCH(LEFT($B67,FIND("(",$B67)-1)&amp;RIGHT(O$1,1),女子エントリー!$AF$7:$AF$406,0),1),競技会設定!$T$2:$W$22,4,0)&gt;70,TEXT(INDEX(女子エントリー!$J$7:$AF$406,MATCH(LEFT($B67,FIND("(",$B67)-1)&amp;RIGHT(O$1,1),女子エントリー!$AF$7:$AF$406,0),3),"00000"),TEXT(INDEX(女子エントリー!$J$7:$AF$406,MATCH(LEFT($B67,FIND("(",$B67)-1)&amp;RIGHT(O$1,1),女子エントリー!$AF$7:$AF$406,0),3),"0000000")),"")</f>
        <v/>
      </c>
    </row>
    <row r="68" spans="1:15">
      <c r="A68" s="92" t="str">
        <f>女子エントリー!D271</f>
        <v/>
      </c>
      <c r="B68" s="1" t="str">
        <f>女子エントリー!E271&amp;"("&amp;女子エントリー!G271&amp;")"</f>
        <v>()</v>
      </c>
      <c r="C68" s="92" t="str">
        <f>女子エントリー!F271</f>
        <v/>
      </c>
      <c r="D68" s="92" t="str">
        <f>女子エントリー!E273</f>
        <v/>
      </c>
      <c r="E68" s="92" t="str">
        <f>女子エントリー!G273</f>
        <v/>
      </c>
      <c r="F68" s="1" t="str">
        <f t="shared" si="1"/>
        <v/>
      </c>
      <c r="G68" s="92" t="str">
        <f>_xlfn.IFNA(VLOOKUP(女子エントリー!G272,競技会設定!$D$3:$E$49,2,0),"")</f>
        <v/>
      </c>
      <c r="H68" s="92" t="str">
        <f>_xlfn.IFNA(INDEX(競技会設定!$J$3:$O$47,MATCH(女子エントリー!H271,競技会設定!$N$3:$N$47,0),2),"")</f>
        <v/>
      </c>
      <c r="K68" s="92">
        <f>女子エントリー!C271</f>
        <v>0</v>
      </c>
      <c r="L68" s="1" t="str">
        <f>_xlfn.IFNA(TEXT(VLOOKUP(INDEX(女子エントリー!$J$7:$AF$406,MATCH(LEFT($B68,FIND("(",$B68)-1)&amp;RIGHT(L$1,1),女子エントリー!$AF$7:$AF$406,0),1),競技会設定!$T$2:$W$22,4,0),"000")&amp;"00 "&amp;IF(VLOOKUP(INDEX(女子エントリー!$J$7:$AF$406,MATCH(LEFT($B68,FIND("(",$B68)-1)&amp;RIGHT(L$1,1),女子エントリー!$AF$7:$AF$406,0),1),競技会設定!$T$2:$W$22,4,0)&gt;70,TEXT(INDEX(女子エントリー!$J$7:$AF$406,MATCH(LEFT($B68,FIND("(",$B68)-1)&amp;RIGHT(L$1,1),女子エントリー!$AF$7:$AF$406,0),3),"00000"),TEXT(INDEX(女子エントリー!$J$7:$AF$406,MATCH(LEFT($B68,FIND("(",$B68)-1)&amp;RIGHT(L$1,1),女子エントリー!$AF$7:$AF$406,0),3),"0000000")),"")</f>
        <v/>
      </c>
      <c r="M68" s="1" t="str">
        <f>_xlfn.IFNA(TEXT(VLOOKUP(INDEX(女子エントリー!$J$7:$AF$406,MATCH(LEFT($B68,FIND("(",$B68)-1)&amp;RIGHT(M$1,1),女子エントリー!$AF$7:$AF$406,0),1),競技会設定!$T$2:$W$22,4,0),"000")&amp;"00 "&amp;IF(VLOOKUP(INDEX(女子エントリー!$J$7:$AF$406,MATCH(LEFT($B68,FIND("(",$B68)-1)&amp;RIGHT(M$1,1),女子エントリー!$AF$7:$AF$406,0),1),競技会設定!$T$2:$W$22,4,0)&gt;70,TEXT(INDEX(女子エントリー!$J$7:$AF$406,MATCH(LEFT($B68,FIND("(",$B68)-1)&amp;RIGHT(M$1,1),女子エントリー!$AF$7:$AF$406,0),3),"00000"),TEXT(INDEX(女子エントリー!$J$7:$AF$406,MATCH(LEFT($B68,FIND("(",$B68)-1)&amp;RIGHT(M$1,1),女子エントリー!$AF$7:$AF$406,0),3),"0000000")),"")</f>
        <v/>
      </c>
      <c r="N68" s="1" t="str">
        <f>_xlfn.IFNA(TEXT(VLOOKUP(INDEX(女子エントリー!$J$7:$AF$406,MATCH(LEFT($B68,FIND("(",$B68)-1)&amp;RIGHT(N$1,1),女子エントリー!$AF$7:$AF$406,0),1),競技会設定!$T$2:$W$22,4,0),"000")&amp;"00 "&amp;IF(VLOOKUP(INDEX(女子エントリー!$J$7:$AF$406,MATCH(LEFT($B68,FIND("(",$B68)-1)&amp;RIGHT(N$1,1),女子エントリー!$AF$7:$AF$406,0),1),競技会設定!$T$2:$W$22,4,0)&gt;70,TEXT(INDEX(女子エントリー!$J$7:$AF$406,MATCH(LEFT($B68,FIND("(",$B68)-1)&amp;RIGHT(N$1,1),女子エントリー!$AF$7:$AF$406,0),3),"00000"),TEXT(INDEX(女子エントリー!$J$7:$AF$406,MATCH(LEFT($B68,FIND("(",$B68)-1)&amp;RIGHT(N$1,1),女子エントリー!$AF$7:$AF$406,0),3),"0000000")),"")</f>
        <v/>
      </c>
      <c r="O68" s="1" t="str">
        <f>_xlfn.IFNA(TEXT(VLOOKUP(INDEX(女子エントリー!$J$7:$AF$406,MATCH(LEFT($B68,FIND("(",$B68)-1)&amp;RIGHT(O$1,1),女子エントリー!$AF$7:$AF$406,0),1),競技会設定!$T$2:$W$22,4,0),"000")&amp;"00 "&amp;IF(VLOOKUP(INDEX(女子エントリー!$J$7:$AF$406,MATCH(LEFT($B68,FIND("(",$B68)-1)&amp;RIGHT(O$1,1),女子エントリー!$AF$7:$AF$406,0),1),競技会設定!$T$2:$W$22,4,0)&gt;70,TEXT(INDEX(女子エントリー!$J$7:$AF$406,MATCH(LEFT($B68,FIND("(",$B68)-1)&amp;RIGHT(O$1,1),女子エントリー!$AF$7:$AF$406,0),3),"00000"),TEXT(INDEX(女子エントリー!$J$7:$AF$406,MATCH(LEFT($B68,FIND("(",$B68)-1)&amp;RIGHT(O$1,1),女子エントリー!$AF$7:$AF$406,0),3),"0000000")),"")</f>
        <v/>
      </c>
    </row>
    <row r="69" spans="1:15">
      <c r="A69" s="92" t="str">
        <f>女子エントリー!D275</f>
        <v/>
      </c>
      <c r="B69" s="1" t="str">
        <f>女子エントリー!E275&amp;"("&amp;女子エントリー!G275&amp;")"</f>
        <v>()</v>
      </c>
      <c r="C69" s="92" t="str">
        <f>女子エントリー!F275</f>
        <v/>
      </c>
      <c r="D69" s="92" t="str">
        <f>女子エントリー!E277</f>
        <v/>
      </c>
      <c r="E69" s="92" t="str">
        <f>女子エントリー!G277</f>
        <v/>
      </c>
      <c r="F69" s="1" t="str">
        <f t="shared" si="1"/>
        <v/>
      </c>
      <c r="G69" s="92" t="str">
        <f>_xlfn.IFNA(VLOOKUP(女子エントリー!G276,競技会設定!$D$3:$E$49,2,0),"")</f>
        <v/>
      </c>
      <c r="H69" s="92" t="str">
        <f>_xlfn.IFNA(INDEX(競技会設定!$J$3:$O$47,MATCH(女子エントリー!H275,競技会設定!$N$3:$N$47,0),2),"")</f>
        <v/>
      </c>
      <c r="K69" s="92">
        <f>女子エントリー!C275</f>
        <v>0</v>
      </c>
      <c r="L69" s="1" t="str">
        <f>_xlfn.IFNA(TEXT(VLOOKUP(INDEX(女子エントリー!$J$7:$AF$406,MATCH(LEFT($B69,FIND("(",$B69)-1)&amp;RIGHT(L$1,1),女子エントリー!$AF$7:$AF$406,0),1),競技会設定!$T$2:$W$22,4,0),"000")&amp;"00 "&amp;IF(VLOOKUP(INDEX(女子エントリー!$J$7:$AF$406,MATCH(LEFT($B69,FIND("(",$B69)-1)&amp;RIGHT(L$1,1),女子エントリー!$AF$7:$AF$406,0),1),競技会設定!$T$2:$W$22,4,0)&gt;70,TEXT(INDEX(女子エントリー!$J$7:$AF$406,MATCH(LEFT($B69,FIND("(",$B69)-1)&amp;RIGHT(L$1,1),女子エントリー!$AF$7:$AF$406,0),3),"00000"),TEXT(INDEX(女子エントリー!$J$7:$AF$406,MATCH(LEFT($B69,FIND("(",$B69)-1)&amp;RIGHT(L$1,1),女子エントリー!$AF$7:$AF$406,0),3),"0000000")),"")</f>
        <v/>
      </c>
      <c r="M69" s="1" t="str">
        <f>_xlfn.IFNA(TEXT(VLOOKUP(INDEX(女子エントリー!$J$7:$AF$406,MATCH(LEFT($B69,FIND("(",$B69)-1)&amp;RIGHT(M$1,1),女子エントリー!$AF$7:$AF$406,0),1),競技会設定!$T$2:$W$22,4,0),"000")&amp;"00 "&amp;IF(VLOOKUP(INDEX(女子エントリー!$J$7:$AF$406,MATCH(LEFT($B69,FIND("(",$B69)-1)&amp;RIGHT(M$1,1),女子エントリー!$AF$7:$AF$406,0),1),競技会設定!$T$2:$W$22,4,0)&gt;70,TEXT(INDEX(女子エントリー!$J$7:$AF$406,MATCH(LEFT($B69,FIND("(",$B69)-1)&amp;RIGHT(M$1,1),女子エントリー!$AF$7:$AF$406,0),3),"00000"),TEXT(INDEX(女子エントリー!$J$7:$AF$406,MATCH(LEFT($B69,FIND("(",$B69)-1)&amp;RIGHT(M$1,1),女子エントリー!$AF$7:$AF$406,0),3),"0000000")),"")</f>
        <v/>
      </c>
      <c r="N69" s="1" t="str">
        <f>_xlfn.IFNA(TEXT(VLOOKUP(INDEX(女子エントリー!$J$7:$AF$406,MATCH(LEFT($B69,FIND("(",$B69)-1)&amp;RIGHT(N$1,1),女子エントリー!$AF$7:$AF$406,0),1),競技会設定!$T$2:$W$22,4,0),"000")&amp;"00 "&amp;IF(VLOOKUP(INDEX(女子エントリー!$J$7:$AF$406,MATCH(LEFT($B69,FIND("(",$B69)-1)&amp;RIGHT(N$1,1),女子エントリー!$AF$7:$AF$406,0),1),競技会設定!$T$2:$W$22,4,0)&gt;70,TEXT(INDEX(女子エントリー!$J$7:$AF$406,MATCH(LEFT($B69,FIND("(",$B69)-1)&amp;RIGHT(N$1,1),女子エントリー!$AF$7:$AF$406,0),3),"00000"),TEXT(INDEX(女子エントリー!$J$7:$AF$406,MATCH(LEFT($B69,FIND("(",$B69)-1)&amp;RIGHT(N$1,1),女子エントリー!$AF$7:$AF$406,0),3),"0000000")),"")</f>
        <v/>
      </c>
      <c r="O69" s="1" t="str">
        <f>_xlfn.IFNA(TEXT(VLOOKUP(INDEX(女子エントリー!$J$7:$AF$406,MATCH(LEFT($B69,FIND("(",$B69)-1)&amp;RIGHT(O$1,1),女子エントリー!$AF$7:$AF$406,0),1),競技会設定!$T$2:$W$22,4,0),"000")&amp;"00 "&amp;IF(VLOOKUP(INDEX(女子エントリー!$J$7:$AF$406,MATCH(LEFT($B69,FIND("(",$B69)-1)&amp;RIGHT(O$1,1),女子エントリー!$AF$7:$AF$406,0),1),競技会設定!$T$2:$W$22,4,0)&gt;70,TEXT(INDEX(女子エントリー!$J$7:$AF$406,MATCH(LEFT($B69,FIND("(",$B69)-1)&amp;RIGHT(O$1,1),女子エントリー!$AF$7:$AF$406,0),3),"00000"),TEXT(INDEX(女子エントリー!$J$7:$AF$406,MATCH(LEFT($B69,FIND("(",$B69)-1)&amp;RIGHT(O$1,1),女子エントリー!$AF$7:$AF$406,0),3),"0000000")),"")</f>
        <v/>
      </c>
    </row>
    <row r="70" spans="1:15">
      <c r="A70" s="92" t="str">
        <f>女子エントリー!D279</f>
        <v/>
      </c>
      <c r="B70" s="1" t="str">
        <f>女子エントリー!E279&amp;"("&amp;女子エントリー!G279&amp;")"</f>
        <v>()</v>
      </c>
      <c r="C70" s="92" t="str">
        <f>女子エントリー!F279</f>
        <v/>
      </c>
      <c r="D70" s="92" t="str">
        <f>女子エントリー!E281</f>
        <v/>
      </c>
      <c r="E70" s="92" t="str">
        <f>女子エントリー!G281</f>
        <v/>
      </c>
      <c r="F70" s="1" t="str">
        <f t="shared" si="1"/>
        <v/>
      </c>
      <c r="G70" s="92" t="str">
        <f>_xlfn.IFNA(VLOOKUP(女子エントリー!G280,競技会設定!$D$3:$E$49,2,0),"")</f>
        <v/>
      </c>
      <c r="H70" s="92" t="str">
        <f>_xlfn.IFNA(INDEX(競技会設定!$J$3:$O$47,MATCH(女子エントリー!H279,競技会設定!$N$3:$N$47,0),2),"")</f>
        <v/>
      </c>
      <c r="K70" s="92">
        <f>女子エントリー!C279</f>
        <v>0</v>
      </c>
      <c r="L70" s="1" t="str">
        <f>_xlfn.IFNA(TEXT(VLOOKUP(INDEX(女子エントリー!$J$7:$AF$406,MATCH(LEFT($B70,FIND("(",$B70)-1)&amp;RIGHT(L$1,1),女子エントリー!$AF$7:$AF$406,0),1),競技会設定!$T$2:$W$22,4,0),"000")&amp;"00 "&amp;IF(VLOOKUP(INDEX(女子エントリー!$J$7:$AF$406,MATCH(LEFT($B70,FIND("(",$B70)-1)&amp;RIGHT(L$1,1),女子エントリー!$AF$7:$AF$406,0),1),競技会設定!$T$2:$W$22,4,0)&gt;70,TEXT(INDEX(女子エントリー!$J$7:$AF$406,MATCH(LEFT($B70,FIND("(",$B70)-1)&amp;RIGHT(L$1,1),女子エントリー!$AF$7:$AF$406,0),3),"00000"),TEXT(INDEX(女子エントリー!$J$7:$AF$406,MATCH(LEFT($B70,FIND("(",$B70)-1)&amp;RIGHT(L$1,1),女子エントリー!$AF$7:$AF$406,0),3),"0000000")),"")</f>
        <v/>
      </c>
      <c r="M70" s="1" t="str">
        <f>_xlfn.IFNA(TEXT(VLOOKUP(INDEX(女子エントリー!$J$7:$AF$406,MATCH(LEFT($B70,FIND("(",$B70)-1)&amp;RIGHT(M$1,1),女子エントリー!$AF$7:$AF$406,0),1),競技会設定!$T$2:$W$22,4,0),"000")&amp;"00 "&amp;IF(VLOOKUP(INDEX(女子エントリー!$J$7:$AF$406,MATCH(LEFT($B70,FIND("(",$B70)-1)&amp;RIGHT(M$1,1),女子エントリー!$AF$7:$AF$406,0),1),競技会設定!$T$2:$W$22,4,0)&gt;70,TEXT(INDEX(女子エントリー!$J$7:$AF$406,MATCH(LEFT($B70,FIND("(",$B70)-1)&amp;RIGHT(M$1,1),女子エントリー!$AF$7:$AF$406,0),3),"00000"),TEXT(INDEX(女子エントリー!$J$7:$AF$406,MATCH(LEFT($B70,FIND("(",$B70)-1)&amp;RIGHT(M$1,1),女子エントリー!$AF$7:$AF$406,0),3),"0000000")),"")</f>
        <v/>
      </c>
      <c r="N70" s="1" t="str">
        <f>_xlfn.IFNA(TEXT(VLOOKUP(INDEX(女子エントリー!$J$7:$AF$406,MATCH(LEFT($B70,FIND("(",$B70)-1)&amp;RIGHT(N$1,1),女子エントリー!$AF$7:$AF$406,0),1),競技会設定!$T$2:$W$22,4,0),"000")&amp;"00 "&amp;IF(VLOOKUP(INDEX(女子エントリー!$J$7:$AF$406,MATCH(LEFT($B70,FIND("(",$B70)-1)&amp;RIGHT(N$1,1),女子エントリー!$AF$7:$AF$406,0),1),競技会設定!$T$2:$W$22,4,0)&gt;70,TEXT(INDEX(女子エントリー!$J$7:$AF$406,MATCH(LEFT($B70,FIND("(",$B70)-1)&amp;RIGHT(N$1,1),女子エントリー!$AF$7:$AF$406,0),3),"00000"),TEXT(INDEX(女子エントリー!$J$7:$AF$406,MATCH(LEFT($B70,FIND("(",$B70)-1)&amp;RIGHT(N$1,1),女子エントリー!$AF$7:$AF$406,0),3),"0000000")),"")</f>
        <v/>
      </c>
      <c r="O70" s="1" t="str">
        <f>_xlfn.IFNA(TEXT(VLOOKUP(INDEX(女子エントリー!$J$7:$AF$406,MATCH(LEFT($B70,FIND("(",$B70)-1)&amp;RIGHT(O$1,1),女子エントリー!$AF$7:$AF$406,0),1),競技会設定!$T$2:$W$22,4,0),"000")&amp;"00 "&amp;IF(VLOOKUP(INDEX(女子エントリー!$J$7:$AF$406,MATCH(LEFT($B70,FIND("(",$B70)-1)&amp;RIGHT(O$1,1),女子エントリー!$AF$7:$AF$406,0),1),競技会設定!$T$2:$W$22,4,0)&gt;70,TEXT(INDEX(女子エントリー!$J$7:$AF$406,MATCH(LEFT($B70,FIND("(",$B70)-1)&amp;RIGHT(O$1,1),女子エントリー!$AF$7:$AF$406,0),3),"00000"),TEXT(INDEX(女子エントリー!$J$7:$AF$406,MATCH(LEFT($B70,FIND("(",$B70)-1)&amp;RIGHT(O$1,1),女子エントリー!$AF$7:$AF$406,0),3),"0000000")),"")</f>
        <v/>
      </c>
    </row>
    <row r="71" spans="1:15">
      <c r="A71" s="92" t="str">
        <f>女子エントリー!D283</f>
        <v/>
      </c>
      <c r="B71" s="1" t="str">
        <f>女子エントリー!E283&amp;"("&amp;女子エントリー!G283&amp;")"</f>
        <v>()</v>
      </c>
      <c r="C71" s="92" t="str">
        <f>女子エントリー!F283</f>
        <v/>
      </c>
      <c r="D71" s="92" t="str">
        <f>女子エントリー!E285</f>
        <v/>
      </c>
      <c r="E71" s="92" t="str">
        <f>女子エントリー!G285</f>
        <v/>
      </c>
      <c r="F71" s="1" t="str">
        <f t="shared" si="1"/>
        <v/>
      </c>
      <c r="G71" s="92" t="str">
        <f>_xlfn.IFNA(VLOOKUP(女子エントリー!G284,競技会設定!$D$3:$E$49,2,0),"")</f>
        <v/>
      </c>
      <c r="H71" s="92" t="str">
        <f>_xlfn.IFNA(INDEX(競技会設定!$J$3:$O$47,MATCH(女子エントリー!H283,競技会設定!$N$3:$N$47,0),2),"")</f>
        <v/>
      </c>
      <c r="K71" s="92">
        <f>女子エントリー!C283</f>
        <v>0</v>
      </c>
      <c r="L71" s="1" t="str">
        <f>_xlfn.IFNA(TEXT(VLOOKUP(INDEX(女子エントリー!$J$7:$AF$406,MATCH(LEFT($B71,FIND("(",$B71)-1)&amp;RIGHT(L$1,1),女子エントリー!$AF$7:$AF$406,0),1),競技会設定!$T$2:$W$22,4,0),"000")&amp;"00 "&amp;IF(VLOOKUP(INDEX(女子エントリー!$J$7:$AF$406,MATCH(LEFT($B71,FIND("(",$B71)-1)&amp;RIGHT(L$1,1),女子エントリー!$AF$7:$AF$406,0),1),競技会設定!$T$2:$W$22,4,0)&gt;70,TEXT(INDEX(女子エントリー!$J$7:$AF$406,MATCH(LEFT($B71,FIND("(",$B71)-1)&amp;RIGHT(L$1,1),女子エントリー!$AF$7:$AF$406,0),3),"00000"),TEXT(INDEX(女子エントリー!$J$7:$AF$406,MATCH(LEFT($B71,FIND("(",$B71)-1)&amp;RIGHT(L$1,1),女子エントリー!$AF$7:$AF$406,0),3),"0000000")),"")</f>
        <v/>
      </c>
      <c r="M71" s="1" t="str">
        <f>_xlfn.IFNA(TEXT(VLOOKUP(INDEX(女子エントリー!$J$7:$AF$406,MATCH(LEFT($B71,FIND("(",$B71)-1)&amp;RIGHT(M$1,1),女子エントリー!$AF$7:$AF$406,0),1),競技会設定!$T$2:$W$22,4,0),"000")&amp;"00 "&amp;IF(VLOOKUP(INDEX(女子エントリー!$J$7:$AF$406,MATCH(LEFT($B71,FIND("(",$B71)-1)&amp;RIGHT(M$1,1),女子エントリー!$AF$7:$AF$406,0),1),競技会設定!$T$2:$W$22,4,0)&gt;70,TEXT(INDEX(女子エントリー!$J$7:$AF$406,MATCH(LEFT($B71,FIND("(",$B71)-1)&amp;RIGHT(M$1,1),女子エントリー!$AF$7:$AF$406,0),3),"00000"),TEXT(INDEX(女子エントリー!$J$7:$AF$406,MATCH(LEFT($B71,FIND("(",$B71)-1)&amp;RIGHT(M$1,1),女子エントリー!$AF$7:$AF$406,0),3),"0000000")),"")</f>
        <v/>
      </c>
      <c r="N71" s="1" t="str">
        <f>_xlfn.IFNA(TEXT(VLOOKUP(INDEX(女子エントリー!$J$7:$AF$406,MATCH(LEFT($B71,FIND("(",$B71)-1)&amp;RIGHT(N$1,1),女子エントリー!$AF$7:$AF$406,0),1),競技会設定!$T$2:$W$22,4,0),"000")&amp;"00 "&amp;IF(VLOOKUP(INDEX(女子エントリー!$J$7:$AF$406,MATCH(LEFT($B71,FIND("(",$B71)-1)&amp;RIGHT(N$1,1),女子エントリー!$AF$7:$AF$406,0),1),競技会設定!$T$2:$W$22,4,0)&gt;70,TEXT(INDEX(女子エントリー!$J$7:$AF$406,MATCH(LEFT($B71,FIND("(",$B71)-1)&amp;RIGHT(N$1,1),女子エントリー!$AF$7:$AF$406,0),3),"00000"),TEXT(INDEX(女子エントリー!$J$7:$AF$406,MATCH(LEFT($B71,FIND("(",$B71)-1)&amp;RIGHT(N$1,1),女子エントリー!$AF$7:$AF$406,0),3),"0000000")),"")</f>
        <v/>
      </c>
      <c r="O71" s="1" t="str">
        <f>_xlfn.IFNA(TEXT(VLOOKUP(INDEX(女子エントリー!$J$7:$AF$406,MATCH(LEFT($B71,FIND("(",$B71)-1)&amp;RIGHT(O$1,1),女子エントリー!$AF$7:$AF$406,0),1),競技会設定!$T$2:$W$22,4,0),"000")&amp;"00 "&amp;IF(VLOOKUP(INDEX(女子エントリー!$J$7:$AF$406,MATCH(LEFT($B71,FIND("(",$B71)-1)&amp;RIGHT(O$1,1),女子エントリー!$AF$7:$AF$406,0),1),競技会設定!$T$2:$W$22,4,0)&gt;70,TEXT(INDEX(女子エントリー!$J$7:$AF$406,MATCH(LEFT($B71,FIND("(",$B71)-1)&amp;RIGHT(O$1,1),女子エントリー!$AF$7:$AF$406,0),3),"00000"),TEXT(INDEX(女子エントリー!$J$7:$AF$406,MATCH(LEFT($B71,FIND("(",$B71)-1)&amp;RIGHT(O$1,1),女子エントリー!$AF$7:$AF$406,0),3),"0000000")),"")</f>
        <v/>
      </c>
    </row>
    <row r="72" spans="1:15">
      <c r="A72" s="92" t="str">
        <f>女子エントリー!D287</f>
        <v/>
      </c>
      <c r="B72" s="1" t="str">
        <f>女子エントリー!E287&amp;"("&amp;女子エントリー!G287&amp;")"</f>
        <v>()</v>
      </c>
      <c r="C72" s="92" t="str">
        <f>女子エントリー!F287</f>
        <v/>
      </c>
      <c r="D72" s="92" t="str">
        <f>女子エントリー!E289</f>
        <v/>
      </c>
      <c r="E72" s="92" t="str">
        <f>女子エントリー!G289</f>
        <v/>
      </c>
      <c r="F72" s="1" t="str">
        <f t="shared" si="1"/>
        <v/>
      </c>
      <c r="G72" s="92" t="str">
        <f>_xlfn.IFNA(VLOOKUP(女子エントリー!G288,競技会設定!$D$3:$E$49,2,0),"")</f>
        <v/>
      </c>
      <c r="H72" s="92" t="str">
        <f>_xlfn.IFNA(INDEX(競技会設定!$J$3:$O$47,MATCH(女子エントリー!H287,競技会設定!$N$3:$N$47,0),2),"")</f>
        <v/>
      </c>
      <c r="K72" s="92">
        <f>女子エントリー!C287</f>
        <v>0</v>
      </c>
      <c r="L72" s="1" t="str">
        <f>_xlfn.IFNA(TEXT(VLOOKUP(INDEX(女子エントリー!$J$7:$AF$406,MATCH(LEFT($B72,FIND("(",$B72)-1)&amp;RIGHT(L$1,1),女子エントリー!$AF$7:$AF$406,0),1),競技会設定!$T$2:$W$22,4,0),"000")&amp;"00 "&amp;IF(VLOOKUP(INDEX(女子エントリー!$J$7:$AF$406,MATCH(LEFT($B72,FIND("(",$B72)-1)&amp;RIGHT(L$1,1),女子エントリー!$AF$7:$AF$406,0),1),競技会設定!$T$2:$W$22,4,0)&gt;70,TEXT(INDEX(女子エントリー!$J$7:$AF$406,MATCH(LEFT($B72,FIND("(",$B72)-1)&amp;RIGHT(L$1,1),女子エントリー!$AF$7:$AF$406,0),3),"00000"),TEXT(INDEX(女子エントリー!$J$7:$AF$406,MATCH(LEFT($B72,FIND("(",$B72)-1)&amp;RIGHT(L$1,1),女子エントリー!$AF$7:$AF$406,0),3),"0000000")),"")</f>
        <v/>
      </c>
      <c r="M72" s="1" t="str">
        <f>_xlfn.IFNA(TEXT(VLOOKUP(INDEX(女子エントリー!$J$7:$AF$406,MATCH(LEFT($B72,FIND("(",$B72)-1)&amp;RIGHT(M$1,1),女子エントリー!$AF$7:$AF$406,0),1),競技会設定!$T$2:$W$22,4,0),"000")&amp;"00 "&amp;IF(VLOOKUP(INDEX(女子エントリー!$J$7:$AF$406,MATCH(LEFT($B72,FIND("(",$B72)-1)&amp;RIGHT(M$1,1),女子エントリー!$AF$7:$AF$406,0),1),競技会設定!$T$2:$W$22,4,0)&gt;70,TEXT(INDEX(女子エントリー!$J$7:$AF$406,MATCH(LEFT($B72,FIND("(",$B72)-1)&amp;RIGHT(M$1,1),女子エントリー!$AF$7:$AF$406,0),3),"00000"),TEXT(INDEX(女子エントリー!$J$7:$AF$406,MATCH(LEFT($B72,FIND("(",$B72)-1)&amp;RIGHT(M$1,1),女子エントリー!$AF$7:$AF$406,0),3),"0000000")),"")</f>
        <v/>
      </c>
      <c r="N72" s="1" t="str">
        <f>_xlfn.IFNA(TEXT(VLOOKUP(INDEX(女子エントリー!$J$7:$AF$406,MATCH(LEFT($B72,FIND("(",$B72)-1)&amp;RIGHT(N$1,1),女子エントリー!$AF$7:$AF$406,0),1),競技会設定!$T$2:$W$22,4,0),"000")&amp;"00 "&amp;IF(VLOOKUP(INDEX(女子エントリー!$J$7:$AF$406,MATCH(LEFT($B72,FIND("(",$B72)-1)&amp;RIGHT(N$1,1),女子エントリー!$AF$7:$AF$406,0),1),競技会設定!$T$2:$W$22,4,0)&gt;70,TEXT(INDEX(女子エントリー!$J$7:$AF$406,MATCH(LEFT($B72,FIND("(",$B72)-1)&amp;RIGHT(N$1,1),女子エントリー!$AF$7:$AF$406,0),3),"00000"),TEXT(INDEX(女子エントリー!$J$7:$AF$406,MATCH(LEFT($B72,FIND("(",$B72)-1)&amp;RIGHT(N$1,1),女子エントリー!$AF$7:$AF$406,0),3),"0000000")),"")</f>
        <v/>
      </c>
      <c r="O72" s="1" t="str">
        <f>_xlfn.IFNA(TEXT(VLOOKUP(INDEX(女子エントリー!$J$7:$AF$406,MATCH(LEFT($B72,FIND("(",$B72)-1)&amp;RIGHT(O$1,1),女子エントリー!$AF$7:$AF$406,0),1),競技会設定!$T$2:$W$22,4,0),"000")&amp;"00 "&amp;IF(VLOOKUP(INDEX(女子エントリー!$J$7:$AF$406,MATCH(LEFT($B72,FIND("(",$B72)-1)&amp;RIGHT(O$1,1),女子エントリー!$AF$7:$AF$406,0),1),競技会設定!$T$2:$W$22,4,0)&gt;70,TEXT(INDEX(女子エントリー!$J$7:$AF$406,MATCH(LEFT($B72,FIND("(",$B72)-1)&amp;RIGHT(O$1,1),女子エントリー!$AF$7:$AF$406,0),3),"00000"),TEXT(INDEX(女子エントリー!$J$7:$AF$406,MATCH(LEFT($B72,FIND("(",$B72)-1)&amp;RIGHT(O$1,1),女子エントリー!$AF$7:$AF$406,0),3),"0000000")),"")</f>
        <v/>
      </c>
    </row>
    <row r="73" spans="1:15">
      <c r="A73" s="92" t="str">
        <f>女子エントリー!D291</f>
        <v/>
      </c>
      <c r="B73" s="1" t="str">
        <f>女子エントリー!E291&amp;"("&amp;女子エントリー!G291&amp;")"</f>
        <v>()</v>
      </c>
      <c r="C73" s="92" t="str">
        <f>女子エントリー!F291</f>
        <v/>
      </c>
      <c r="D73" s="92" t="str">
        <f>女子エントリー!E293</f>
        <v/>
      </c>
      <c r="E73" s="92" t="str">
        <f>女子エントリー!G293</f>
        <v/>
      </c>
      <c r="F73" s="1" t="str">
        <f t="shared" si="1"/>
        <v/>
      </c>
      <c r="G73" s="92" t="str">
        <f>_xlfn.IFNA(VLOOKUP(女子エントリー!G292,競技会設定!$D$3:$E$49,2,0),"")</f>
        <v/>
      </c>
      <c r="H73" s="92" t="str">
        <f>_xlfn.IFNA(INDEX(競技会設定!$J$3:$O$47,MATCH(女子エントリー!H291,競技会設定!$N$3:$N$47,0),2),"")</f>
        <v/>
      </c>
      <c r="K73" s="92">
        <f>女子エントリー!C291</f>
        <v>0</v>
      </c>
      <c r="L73" s="1" t="str">
        <f>_xlfn.IFNA(TEXT(VLOOKUP(INDEX(女子エントリー!$J$7:$AF$406,MATCH(LEFT($B73,FIND("(",$B73)-1)&amp;RIGHT(L$1,1),女子エントリー!$AF$7:$AF$406,0),1),競技会設定!$T$2:$W$22,4,0),"000")&amp;"00 "&amp;IF(VLOOKUP(INDEX(女子エントリー!$J$7:$AF$406,MATCH(LEFT($B73,FIND("(",$B73)-1)&amp;RIGHT(L$1,1),女子エントリー!$AF$7:$AF$406,0),1),競技会設定!$T$2:$W$22,4,0)&gt;70,TEXT(INDEX(女子エントリー!$J$7:$AF$406,MATCH(LEFT($B73,FIND("(",$B73)-1)&amp;RIGHT(L$1,1),女子エントリー!$AF$7:$AF$406,0),3),"00000"),TEXT(INDEX(女子エントリー!$J$7:$AF$406,MATCH(LEFT($B73,FIND("(",$B73)-1)&amp;RIGHT(L$1,1),女子エントリー!$AF$7:$AF$406,0),3),"0000000")),"")</f>
        <v/>
      </c>
      <c r="M73" s="1" t="str">
        <f>_xlfn.IFNA(TEXT(VLOOKUP(INDEX(女子エントリー!$J$7:$AF$406,MATCH(LEFT($B73,FIND("(",$B73)-1)&amp;RIGHT(M$1,1),女子エントリー!$AF$7:$AF$406,0),1),競技会設定!$T$2:$W$22,4,0),"000")&amp;"00 "&amp;IF(VLOOKUP(INDEX(女子エントリー!$J$7:$AF$406,MATCH(LEFT($B73,FIND("(",$B73)-1)&amp;RIGHT(M$1,1),女子エントリー!$AF$7:$AF$406,0),1),競技会設定!$T$2:$W$22,4,0)&gt;70,TEXT(INDEX(女子エントリー!$J$7:$AF$406,MATCH(LEFT($B73,FIND("(",$B73)-1)&amp;RIGHT(M$1,1),女子エントリー!$AF$7:$AF$406,0),3),"00000"),TEXT(INDEX(女子エントリー!$J$7:$AF$406,MATCH(LEFT($B73,FIND("(",$B73)-1)&amp;RIGHT(M$1,1),女子エントリー!$AF$7:$AF$406,0),3),"0000000")),"")</f>
        <v/>
      </c>
      <c r="N73" s="1" t="str">
        <f>_xlfn.IFNA(TEXT(VLOOKUP(INDEX(女子エントリー!$J$7:$AF$406,MATCH(LEFT($B73,FIND("(",$B73)-1)&amp;RIGHT(N$1,1),女子エントリー!$AF$7:$AF$406,0),1),競技会設定!$T$2:$W$22,4,0),"000")&amp;"00 "&amp;IF(VLOOKUP(INDEX(女子エントリー!$J$7:$AF$406,MATCH(LEFT($B73,FIND("(",$B73)-1)&amp;RIGHT(N$1,1),女子エントリー!$AF$7:$AF$406,0),1),競技会設定!$T$2:$W$22,4,0)&gt;70,TEXT(INDEX(女子エントリー!$J$7:$AF$406,MATCH(LEFT($B73,FIND("(",$B73)-1)&amp;RIGHT(N$1,1),女子エントリー!$AF$7:$AF$406,0),3),"00000"),TEXT(INDEX(女子エントリー!$J$7:$AF$406,MATCH(LEFT($B73,FIND("(",$B73)-1)&amp;RIGHT(N$1,1),女子エントリー!$AF$7:$AF$406,0),3),"0000000")),"")</f>
        <v/>
      </c>
      <c r="O73" s="1" t="str">
        <f>_xlfn.IFNA(TEXT(VLOOKUP(INDEX(女子エントリー!$J$7:$AF$406,MATCH(LEFT($B73,FIND("(",$B73)-1)&amp;RIGHT(O$1,1),女子エントリー!$AF$7:$AF$406,0),1),競技会設定!$T$2:$W$22,4,0),"000")&amp;"00 "&amp;IF(VLOOKUP(INDEX(女子エントリー!$J$7:$AF$406,MATCH(LEFT($B73,FIND("(",$B73)-1)&amp;RIGHT(O$1,1),女子エントリー!$AF$7:$AF$406,0),1),競技会設定!$T$2:$W$22,4,0)&gt;70,TEXT(INDEX(女子エントリー!$J$7:$AF$406,MATCH(LEFT($B73,FIND("(",$B73)-1)&amp;RIGHT(O$1,1),女子エントリー!$AF$7:$AF$406,0),3),"00000"),TEXT(INDEX(女子エントリー!$J$7:$AF$406,MATCH(LEFT($B73,FIND("(",$B73)-1)&amp;RIGHT(O$1,1),女子エントリー!$AF$7:$AF$406,0),3),"0000000")),"")</f>
        <v/>
      </c>
    </row>
    <row r="74" spans="1:15">
      <c r="A74" s="92" t="str">
        <f>女子エントリー!D295</f>
        <v/>
      </c>
      <c r="B74" s="1" t="str">
        <f>女子エントリー!E295&amp;"("&amp;女子エントリー!G295&amp;")"</f>
        <v>()</v>
      </c>
      <c r="C74" s="92" t="str">
        <f>女子エントリー!F295</f>
        <v/>
      </c>
      <c r="D74" s="92" t="str">
        <f>女子エントリー!E297</f>
        <v/>
      </c>
      <c r="E74" s="92" t="str">
        <f>女子エントリー!G297</f>
        <v/>
      </c>
      <c r="F74" s="1" t="str">
        <f t="shared" si="1"/>
        <v/>
      </c>
      <c r="G74" s="92" t="str">
        <f>_xlfn.IFNA(VLOOKUP(女子エントリー!G296,競技会設定!$D$3:$E$49,2,0),"")</f>
        <v/>
      </c>
      <c r="H74" s="92" t="str">
        <f>_xlfn.IFNA(INDEX(競技会設定!$J$3:$O$47,MATCH(女子エントリー!H295,競技会設定!$N$3:$N$47,0),2),"")</f>
        <v/>
      </c>
      <c r="K74" s="92">
        <f>女子エントリー!C295</f>
        <v>0</v>
      </c>
      <c r="L74" s="1" t="str">
        <f>_xlfn.IFNA(TEXT(VLOOKUP(INDEX(女子エントリー!$J$7:$AF$406,MATCH(LEFT($B74,FIND("(",$B74)-1)&amp;RIGHT(L$1,1),女子エントリー!$AF$7:$AF$406,0),1),競技会設定!$T$2:$W$22,4,0),"000")&amp;"00 "&amp;IF(VLOOKUP(INDEX(女子エントリー!$J$7:$AF$406,MATCH(LEFT($B74,FIND("(",$B74)-1)&amp;RIGHT(L$1,1),女子エントリー!$AF$7:$AF$406,0),1),競技会設定!$T$2:$W$22,4,0)&gt;70,TEXT(INDEX(女子エントリー!$J$7:$AF$406,MATCH(LEFT($B74,FIND("(",$B74)-1)&amp;RIGHT(L$1,1),女子エントリー!$AF$7:$AF$406,0),3),"00000"),TEXT(INDEX(女子エントリー!$J$7:$AF$406,MATCH(LEFT($B74,FIND("(",$B74)-1)&amp;RIGHT(L$1,1),女子エントリー!$AF$7:$AF$406,0),3),"0000000")),"")</f>
        <v/>
      </c>
      <c r="M74" s="1" t="str">
        <f>_xlfn.IFNA(TEXT(VLOOKUP(INDEX(女子エントリー!$J$7:$AF$406,MATCH(LEFT($B74,FIND("(",$B74)-1)&amp;RIGHT(M$1,1),女子エントリー!$AF$7:$AF$406,0),1),競技会設定!$T$2:$W$22,4,0),"000")&amp;"00 "&amp;IF(VLOOKUP(INDEX(女子エントリー!$J$7:$AF$406,MATCH(LEFT($B74,FIND("(",$B74)-1)&amp;RIGHT(M$1,1),女子エントリー!$AF$7:$AF$406,0),1),競技会設定!$T$2:$W$22,4,0)&gt;70,TEXT(INDEX(女子エントリー!$J$7:$AF$406,MATCH(LEFT($B74,FIND("(",$B74)-1)&amp;RIGHT(M$1,1),女子エントリー!$AF$7:$AF$406,0),3),"00000"),TEXT(INDEX(女子エントリー!$J$7:$AF$406,MATCH(LEFT($B74,FIND("(",$B74)-1)&amp;RIGHT(M$1,1),女子エントリー!$AF$7:$AF$406,0),3),"0000000")),"")</f>
        <v/>
      </c>
      <c r="N74" s="1" t="str">
        <f>_xlfn.IFNA(TEXT(VLOOKUP(INDEX(女子エントリー!$J$7:$AF$406,MATCH(LEFT($B74,FIND("(",$B74)-1)&amp;RIGHT(N$1,1),女子エントリー!$AF$7:$AF$406,0),1),競技会設定!$T$2:$W$22,4,0),"000")&amp;"00 "&amp;IF(VLOOKUP(INDEX(女子エントリー!$J$7:$AF$406,MATCH(LEFT($B74,FIND("(",$B74)-1)&amp;RIGHT(N$1,1),女子エントリー!$AF$7:$AF$406,0),1),競技会設定!$T$2:$W$22,4,0)&gt;70,TEXT(INDEX(女子エントリー!$J$7:$AF$406,MATCH(LEFT($B74,FIND("(",$B74)-1)&amp;RIGHT(N$1,1),女子エントリー!$AF$7:$AF$406,0),3),"00000"),TEXT(INDEX(女子エントリー!$J$7:$AF$406,MATCH(LEFT($B74,FIND("(",$B74)-1)&amp;RIGHT(N$1,1),女子エントリー!$AF$7:$AF$406,0),3),"0000000")),"")</f>
        <v/>
      </c>
      <c r="O74" s="1" t="str">
        <f>_xlfn.IFNA(TEXT(VLOOKUP(INDEX(女子エントリー!$J$7:$AF$406,MATCH(LEFT($B74,FIND("(",$B74)-1)&amp;RIGHT(O$1,1),女子エントリー!$AF$7:$AF$406,0),1),競技会設定!$T$2:$W$22,4,0),"000")&amp;"00 "&amp;IF(VLOOKUP(INDEX(女子エントリー!$J$7:$AF$406,MATCH(LEFT($B74,FIND("(",$B74)-1)&amp;RIGHT(O$1,1),女子エントリー!$AF$7:$AF$406,0),1),競技会設定!$T$2:$W$22,4,0)&gt;70,TEXT(INDEX(女子エントリー!$J$7:$AF$406,MATCH(LEFT($B74,FIND("(",$B74)-1)&amp;RIGHT(O$1,1),女子エントリー!$AF$7:$AF$406,0),3),"00000"),TEXT(INDEX(女子エントリー!$J$7:$AF$406,MATCH(LEFT($B74,FIND("(",$B74)-1)&amp;RIGHT(O$1,1),女子エントリー!$AF$7:$AF$406,0),3),"0000000")),"")</f>
        <v/>
      </c>
    </row>
    <row r="75" spans="1:15">
      <c r="A75" s="92" t="str">
        <f>女子エントリー!D299</f>
        <v/>
      </c>
      <c r="B75" s="1" t="str">
        <f>女子エントリー!E299&amp;"("&amp;女子エントリー!G299&amp;")"</f>
        <v>()</v>
      </c>
      <c r="C75" s="92" t="str">
        <f>女子エントリー!F299</f>
        <v/>
      </c>
      <c r="D75" s="92" t="str">
        <f>女子エントリー!E301</f>
        <v/>
      </c>
      <c r="E75" s="92" t="str">
        <f>女子エントリー!G301</f>
        <v/>
      </c>
      <c r="F75" s="1" t="str">
        <f t="shared" si="1"/>
        <v/>
      </c>
      <c r="G75" s="92" t="str">
        <f>_xlfn.IFNA(VLOOKUP(女子エントリー!G300,競技会設定!$D$3:$E$49,2,0),"")</f>
        <v/>
      </c>
      <c r="H75" s="92" t="str">
        <f>_xlfn.IFNA(INDEX(競技会設定!$J$3:$O$47,MATCH(女子エントリー!H299,競技会設定!$N$3:$N$47,0),2),"")</f>
        <v/>
      </c>
      <c r="K75" s="92">
        <f>女子エントリー!C299</f>
        <v>0</v>
      </c>
      <c r="L75" s="1" t="str">
        <f>_xlfn.IFNA(TEXT(VLOOKUP(INDEX(女子エントリー!$J$7:$AF$406,MATCH(LEFT($B75,FIND("(",$B75)-1)&amp;RIGHT(L$1,1),女子エントリー!$AF$7:$AF$406,0),1),競技会設定!$T$2:$W$22,4,0),"000")&amp;"00 "&amp;IF(VLOOKUP(INDEX(女子エントリー!$J$7:$AF$406,MATCH(LEFT($B75,FIND("(",$B75)-1)&amp;RIGHT(L$1,1),女子エントリー!$AF$7:$AF$406,0),1),競技会設定!$T$2:$W$22,4,0)&gt;70,TEXT(INDEX(女子エントリー!$J$7:$AF$406,MATCH(LEFT($B75,FIND("(",$B75)-1)&amp;RIGHT(L$1,1),女子エントリー!$AF$7:$AF$406,0),3),"00000"),TEXT(INDEX(女子エントリー!$J$7:$AF$406,MATCH(LEFT($B75,FIND("(",$B75)-1)&amp;RIGHT(L$1,1),女子エントリー!$AF$7:$AF$406,0),3),"0000000")),"")</f>
        <v/>
      </c>
      <c r="M75" s="1" t="str">
        <f>_xlfn.IFNA(TEXT(VLOOKUP(INDEX(女子エントリー!$J$7:$AF$406,MATCH(LEFT($B75,FIND("(",$B75)-1)&amp;RIGHT(M$1,1),女子エントリー!$AF$7:$AF$406,0),1),競技会設定!$T$2:$W$22,4,0),"000")&amp;"00 "&amp;IF(VLOOKUP(INDEX(女子エントリー!$J$7:$AF$406,MATCH(LEFT($B75,FIND("(",$B75)-1)&amp;RIGHT(M$1,1),女子エントリー!$AF$7:$AF$406,0),1),競技会設定!$T$2:$W$22,4,0)&gt;70,TEXT(INDEX(女子エントリー!$J$7:$AF$406,MATCH(LEFT($B75,FIND("(",$B75)-1)&amp;RIGHT(M$1,1),女子エントリー!$AF$7:$AF$406,0),3),"00000"),TEXT(INDEX(女子エントリー!$J$7:$AF$406,MATCH(LEFT($B75,FIND("(",$B75)-1)&amp;RIGHT(M$1,1),女子エントリー!$AF$7:$AF$406,0),3),"0000000")),"")</f>
        <v/>
      </c>
      <c r="N75" s="1" t="str">
        <f>_xlfn.IFNA(TEXT(VLOOKUP(INDEX(女子エントリー!$J$7:$AF$406,MATCH(LEFT($B75,FIND("(",$B75)-1)&amp;RIGHT(N$1,1),女子エントリー!$AF$7:$AF$406,0),1),競技会設定!$T$2:$W$22,4,0),"000")&amp;"00 "&amp;IF(VLOOKUP(INDEX(女子エントリー!$J$7:$AF$406,MATCH(LEFT($B75,FIND("(",$B75)-1)&amp;RIGHT(N$1,1),女子エントリー!$AF$7:$AF$406,0),1),競技会設定!$T$2:$W$22,4,0)&gt;70,TEXT(INDEX(女子エントリー!$J$7:$AF$406,MATCH(LEFT($B75,FIND("(",$B75)-1)&amp;RIGHT(N$1,1),女子エントリー!$AF$7:$AF$406,0),3),"00000"),TEXT(INDEX(女子エントリー!$J$7:$AF$406,MATCH(LEFT($B75,FIND("(",$B75)-1)&amp;RIGHT(N$1,1),女子エントリー!$AF$7:$AF$406,0),3),"0000000")),"")</f>
        <v/>
      </c>
      <c r="O75" s="1" t="str">
        <f>_xlfn.IFNA(TEXT(VLOOKUP(INDEX(女子エントリー!$J$7:$AF$406,MATCH(LEFT($B75,FIND("(",$B75)-1)&amp;RIGHT(O$1,1),女子エントリー!$AF$7:$AF$406,0),1),競技会設定!$T$2:$W$22,4,0),"000")&amp;"00 "&amp;IF(VLOOKUP(INDEX(女子エントリー!$J$7:$AF$406,MATCH(LEFT($B75,FIND("(",$B75)-1)&amp;RIGHT(O$1,1),女子エントリー!$AF$7:$AF$406,0),1),競技会設定!$T$2:$W$22,4,0)&gt;70,TEXT(INDEX(女子エントリー!$J$7:$AF$406,MATCH(LEFT($B75,FIND("(",$B75)-1)&amp;RIGHT(O$1,1),女子エントリー!$AF$7:$AF$406,0),3),"00000"),TEXT(INDEX(女子エントリー!$J$7:$AF$406,MATCH(LEFT($B75,FIND("(",$B75)-1)&amp;RIGHT(O$1,1),女子エントリー!$AF$7:$AF$406,0),3),"0000000")),"")</f>
        <v/>
      </c>
    </row>
    <row r="76" spans="1:15">
      <c r="A76" s="92" t="str">
        <f>女子エントリー!D303</f>
        <v/>
      </c>
      <c r="B76" s="1" t="str">
        <f>女子エントリー!E303&amp;"("&amp;女子エントリー!G303&amp;")"</f>
        <v>()</v>
      </c>
      <c r="C76" s="92" t="str">
        <f>女子エントリー!F303</f>
        <v/>
      </c>
      <c r="D76" s="92" t="str">
        <f>女子エントリー!E305</f>
        <v/>
      </c>
      <c r="E76" s="92" t="str">
        <f>女子エントリー!G305</f>
        <v/>
      </c>
      <c r="F76" s="1" t="str">
        <f t="shared" si="1"/>
        <v/>
      </c>
      <c r="G76" s="92" t="str">
        <f>_xlfn.IFNA(VLOOKUP(女子エントリー!G304,競技会設定!$D$3:$E$49,2,0),"")</f>
        <v/>
      </c>
      <c r="H76" s="92" t="str">
        <f>_xlfn.IFNA(INDEX(競技会設定!$J$3:$O$47,MATCH(女子エントリー!H303,競技会設定!$N$3:$N$47,0),2),"")</f>
        <v/>
      </c>
      <c r="K76" s="92">
        <f>女子エントリー!C303</f>
        <v>0</v>
      </c>
      <c r="L76" s="1" t="str">
        <f>_xlfn.IFNA(TEXT(VLOOKUP(INDEX(女子エントリー!$J$7:$AF$406,MATCH(LEFT($B76,FIND("(",$B76)-1)&amp;RIGHT(L$1,1),女子エントリー!$AF$7:$AF$406,0),1),競技会設定!$T$2:$W$22,4,0),"000")&amp;"00 "&amp;IF(VLOOKUP(INDEX(女子エントリー!$J$7:$AF$406,MATCH(LEFT($B76,FIND("(",$B76)-1)&amp;RIGHT(L$1,1),女子エントリー!$AF$7:$AF$406,0),1),競技会設定!$T$2:$W$22,4,0)&gt;70,TEXT(INDEX(女子エントリー!$J$7:$AF$406,MATCH(LEFT($B76,FIND("(",$B76)-1)&amp;RIGHT(L$1,1),女子エントリー!$AF$7:$AF$406,0),3),"00000"),TEXT(INDEX(女子エントリー!$J$7:$AF$406,MATCH(LEFT($B76,FIND("(",$B76)-1)&amp;RIGHT(L$1,1),女子エントリー!$AF$7:$AF$406,0),3),"0000000")),"")</f>
        <v/>
      </c>
      <c r="M76" s="1" t="str">
        <f>_xlfn.IFNA(TEXT(VLOOKUP(INDEX(女子エントリー!$J$7:$AF$406,MATCH(LEFT($B76,FIND("(",$B76)-1)&amp;RIGHT(M$1,1),女子エントリー!$AF$7:$AF$406,0),1),競技会設定!$T$2:$W$22,4,0),"000")&amp;"00 "&amp;IF(VLOOKUP(INDEX(女子エントリー!$J$7:$AF$406,MATCH(LEFT($B76,FIND("(",$B76)-1)&amp;RIGHT(M$1,1),女子エントリー!$AF$7:$AF$406,0),1),競技会設定!$T$2:$W$22,4,0)&gt;70,TEXT(INDEX(女子エントリー!$J$7:$AF$406,MATCH(LEFT($B76,FIND("(",$B76)-1)&amp;RIGHT(M$1,1),女子エントリー!$AF$7:$AF$406,0),3),"00000"),TEXT(INDEX(女子エントリー!$J$7:$AF$406,MATCH(LEFT($B76,FIND("(",$B76)-1)&amp;RIGHT(M$1,1),女子エントリー!$AF$7:$AF$406,0),3),"0000000")),"")</f>
        <v/>
      </c>
      <c r="N76" s="1" t="str">
        <f>_xlfn.IFNA(TEXT(VLOOKUP(INDEX(女子エントリー!$J$7:$AF$406,MATCH(LEFT($B76,FIND("(",$B76)-1)&amp;RIGHT(N$1,1),女子エントリー!$AF$7:$AF$406,0),1),競技会設定!$T$2:$W$22,4,0),"000")&amp;"00 "&amp;IF(VLOOKUP(INDEX(女子エントリー!$J$7:$AF$406,MATCH(LEFT($B76,FIND("(",$B76)-1)&amp;RIGHT(N$1,1),女子エントリー!$AF$7:$AF$406,0),1),競技会設定!$T$2:$W$22,4,0)&gt;70,TEXT(INDEX(女子エントリー!$J$7:$AF$406,MATCH(LEFT($B76,FIND("(",$B76)-1)&amp;RIGHT(N$1,1),女子エントリー!$AF$7:$AF$406,0),3),"00000"),TEXT(INDEX(女子エントリー!$J$7:$AF$406,MATCH(LEFT($B76,FIND("(",$B76)-1)&amp;RIGHT(N$1,1),女子エントリー!$AF$7:$AF$406,0),3),"0000000")),"")</f>
        <v/>
      </c>
      <c r="O76" s="1" t="str">
        <f>_xlfn.IFNA(TEXT(VLOOKUP(INDEX(女子エントリー!$J$7:$AF$406,MATCH(LEFT($B76,FIND("(",$B76)-1)&amp;RIGHT(O$1,1),女子エントリー!$AF$7:$AF$406,0),1),競技会設定!$T$2:$W$22,4,0),"000")&amp;"00 "&amp;IF(VLOOKUP(INDEX(女子エントリー!$J$7:$AF$406,MATCH(LEFT($B76,FIND("(",$B76)-1)&amp;RIGHT(O$1,1),女子エントリー!$AF$7:$AF$406,0),1),競技会設定!$T$2:$W$22,4,0)&gt;70,TEXT(INDEX(女子エントリー!$J$7:$AF$406,MATCH(LEFT($B76,FIND("(",$B76)-1)&amp;RIGHT(O$1,1),女子エントリー!$AF$7:$AF$406,0),3),"00000"),TEXT(INDEX(女子エントリー!$J$7:$AF$406,MATCH(LEFT($B76,FIND("(",$B76)-1)&amp;RIGHT(O$1,1),女子エントリー!$AF$7:$AF$406,0),3),"0000000")),"")</f>
        <v/>
      </c>
    </row>
    <row r="77" spans="1:15">
      <c r="A77" s="92" t="str">
        <f>女子エントリー!D307</f>
        <v/>
      </c>
      <c r="B77" s="1" t="str">
        <f>女子エントリー!E307&amp;"("&amp;女子エントリー!G307&amp;")"</f>
        <v>()</v>
      </c>
      <c r="C77" s="92" t="str">
        <f>女子エントリー!F307</f>
        <v/>
      </c>
      <c r="D77" s="92" t="str">
        <f>女子エントリー!E309</f>
        <v/>
      </c>
      <c r="E77" s="92" t="str">
        <f>女子エントリー!G309</f>
        <v/>
      </c>
      <c r="F77" s="1" t="str">
        <f t="shared" si="1"/>
        <v/>
      </c>
      <c r="G77" s="92" t="str">
        <f>_xlfn.IFNA(VLOOKUP(女子エントリー!G308,競技会設定!$D$3:$E$49,2,0),"")</f>
        <v/>
      </c>
      <c r="H77" s="92" t="str">
        <f>_xlfn.IFNA(INDEX(競技会設定!$J$3:$O$47,MATCH(女子エントリー!H307,競技会設定!$N$3:$N$47,0),2),"")</f>
        <v/>
      </c>
      <c r="K77" s="92">
        <f>女子エントリー!C307</f>
        <v>0</v>
      </c>
      <c r="L77" s="1" t="str">
        <f>_xlfn.IFNA(TEXT(VLOOKUP(INDEX(女子エントリー!$J$7:$AF$406,MATCH(LEFT($B77,FIND("(",$B77)-1)&amp;RIGHT(L$1,1),女子エントリー!$AF$7:$AF$406,0),1),競技会設定!$T$2:$W$22,4,0),"000")&amp;"00 "&amp;IF(VLOOKUP(INDEX(女子エントリー!$J$7:$AF$406,MATCH(LEFT($B77,FIND("(",$B77)-1)&amp;RIGHT(L$1,1),女子エントリー!$AF$7:$AF$406,0),1),競技会設定!$T$2:$W$22,4,0)&gt;70,TEXT(INDEX(女子エントリー!$J$7:$AF$406,MATCH(LEFT($B77,FIND("(",$B77)-1)&amp;RIGHT(L$1,1),女子エントリー!$AF$7:$AF$406,0),3),"00000"),TEXT(INDEX(女子エントリー!$J$7:$AF$406,MATCH(LEFT($B77,FIND("(",$B77)-1)&amp;RIGHT(L$1,1),女子エントリー!$AF$7:$AF$406,0),3),"0000000")),"")</f>
        <v/>
      </c>
      <c r="M77" s="1" t="str">
        <f>_xlfn.IFNA(TEXT(VLOOKUP(INDEX(女子エントリー!$J$7:$AF$406,MATCH(LEFT($B77,FIND("(",$B77)-1)&amp;RIGHT(M$1,1),女子エントリー!$AF$7:$AF$406,0),1),競技会設定!$T$2:$W$22,4,0),"000")&amp;"00 "&amp;IF(VLOOKUP(INDEX(女子エントリー!$J$7:$AF$406,MATCH(LEFT($B77,FIND("(",$B77)-1)&amp;RIGHT(M$1,1),女子エントリー!$AF$7:$AF$406,0),1),競技会設定!$T$2:$W$22,4,0)&gt;70,TEXT(INDEX(女子エントリー!$J$7:$AF$406,MATCH(LEFT($B77,FIND("(",$B77)-1)&amp;RIGHT(M$1,1),女子エントリー!$AF$7:$AF$406,0),3),"00000"),TEXT(INDEX(女子エントリー!$J$7:$AF$406,MATCH(LEFT($B77,FIND("(",$B77)-1)&amp;RIGHT(M$1,1),女子エントリー!$AF$7:$AF$406,0),3),"0000000")),"")</f>
        <v/>
      </c>
      <c r="N77" s="1" t="str">
        <f>_xlfn.IFNA(TEXT(VLOOKUP(INDEX(女子エントリー!$J$7:$AF$406,MATCH(LEFT($B77,FIND("(",$B77)-1)&amp;RIGHT(N$1,1),女子エントリー!$AF$7:$AF$406,0),1),競技会設定!$T$2:$W$22,4,0),"000")&amp;"00 "&amp;IF(VLOOKUP(INDEX(女子エントリー!$J$7:$AF$406,MATCH(LEFT($B77,FIND("(",$B77)-1)&amp;RIGHT(N$1,1),女子エントリー!$AF$7:$AF$406,0),1),競技会設定!$T$2:$W$22,4,0)&gt;70,TEXT(INDEX(女子エントリー!$J$7:$AF$406,MATCH(LEFT($B77,FIND("(",$B77)-1)&amp;RIGHT(N$1,1),女子エントリー!$AF$7:$AF$406,0),3),"00000"),TEXT(INDEX(女子エントリー!$J$7:$AF$406,MATCH(LEFT($B77,FIND("(",$B77)-1)&amp;RIGHT(N$1,1),女子エントリー!$AF$7:$AF$406,0),3),"0000000")),"")</f>
        <v/>
      </c>
      <c r="O77" s="1" t="str">
        <f>_xlfn.IFNA(TEXT(VLOOKUP(INDEX(女子エントリー!$J$7:$AF$406,MATCH(LEFT($B77,FIND("(",$B77)-1)&amp;RIGHT(O$1,1),女子エントリー!$AF$7:$AF$406,0),1),競技会設定!$T$2:$W$22,4,0),"000")&amp;"00 "&amp;IF(VLOOKUP(INDEX(女子エントリー!$J$7:$AF$406,MATCH(LEFT($B77,FIND("(",$B77)-1)&amp;RIGHT(O$1,1),女子エントリー!$AF$7:$AF$406,0),1),競技会設定!$T$2:$W$22,4,0)&gt;70,TEXT(INDEX(女子エントリー!$J$7:$AF$406,MATCH(LEFT($B77,FIND("(",$B77)-1)&amp;RIGHT(O$1,1),女子エントリー!$AF$7:$AF$406,0),3),"00000"),TEXT(INDEX(女子エントリー!$J$7:$AF$406,MATCH(LEFT($B77,FIND("(",$B77)-1)&amp;RIGHT(O$1,1),女子エントリー!$AF$7:$AF$406,0),3),"0000000")),"")</f>
        <v/>
      </c>
    </row>
    <row r="78" spans="1:15">
      <c r="A78" s="92" t="str">
        <f>女子エントリー!D311</f>
        <v/>
      </c>
      <c r="B78" s="1" t="str">
        <f>女子エントリー!E311&amp;"("&amp;女子エントリー!G311&amp;")"</f>
        <v>()</v>
      </c>
      <c r="C78" s="92" t="str">
        <f>女子エントリー!F311</f>
        <v/>
      </c>
      <c r="D78" s="92" t="str">
        <f>女子エントリー!E313</f>
        <v/>
      </c>
      <c r="E78" s="92" t="str">
        <f>女子エントリー!G313</f>
        <v/>
      </c>
      <c r="F78" s="1" t="str">
        <f t="shared" si="1"/>
        <v/>
      </c>
      <c r="G78" s="92" t="str">
        <f>_xlfn.IFNA(VLOOKUP(女子エントリー!G312,競技会設定!$D$3:$E$49,2,0),"")</f>
        <v/>
      </c>
      <c r="H78" s="92" t="str">
        <f>_xlfn.IFNA(INDEX(競技会設定!$J$3:$O$47,MATCH(女子エントリー!H311,競技会設定!$N$3:$N$47,0),2),"")</f>
        <v/>
      </c>
      <c r="K78" s="92">
        <f>女子エントリー!C311</f>
        <v>0</v>
      </c>
      <c r="L78" s="1" t="str">
        <f>_xlfn.IFNA(TEXT(VLOOKUP(INDEX(女子エントリー!$J$7:$AF$406,MATCH(LEFT($B78,FIND("(",$B78)-1)&amp;RIGHT(L$1,1),女子エントリー!$AF$7:$AF$406,0),1),競技会設定!$T$2:$W$22,4,0),"000")&amp;"00 "&amp;IF(VLOOKUP(INDEX(女子エントリー!$J$7:$AF$406,MATCH(LEFT($B78,FIND("(",$B78)-1)&amp;RIGHT(L$1,1),女子エントリー!$AF$7:$AF$406,0),1),競技会設定!$T$2:$W$22,4,0)&gt;70,TEXT(INDEX(女子エントリー!$J$7:$AF$406,MATCH(LEFT($B78,FIND("(",$B78)-1)&amp;RIGHT(L$1,1),女子エントリー!$AF$7:$AF$406,0),3),"00000"),TEXT(INDEX(女子エントリー!$J$7:$AF$406,MATCH(LEFT($B78,FIND("(",$B78)-1)&amp;RIGHT(L$1,1),女子エントリー!$AF$7:$AF$406,0),3),"0000000")),"")</f>
        <v/>
      </c>
      <c r="M78" s="1" t="str">
        <f>_xlfn.IFNA(TEXT(VLOOKUP(INDEX(女子エントリー!$J$7:$AF$406,MATCH(LEFT($B78,FIND("(",$B78)-1)&amp;RIGHT(M$1,1),女子エントリー!$AF$7:$AF$406,0),1),競技会設定!$T$2:$W$22,4,0),"000")&amp;"00 "&amp;IF(VLOOKUP(INDEX(女子エントリー!$J$7:$AF$406,MATCH(LEFT($B78,FIND("(",$B78)-1)&amp;RIGHT(M$1,1),女子エントリー!$AF$7:$AF$406,0),1),競技会設定!$T$2:$W$22,4,0)&gt;70,TEXT(INDEX(女子エントリー!$J$7:$AF$406,MATCH(LEFT($B78,FIND("(",$B78)-1)&amp;RIGHT(M$1,1),女子エントリー!$AF$7:$AF$406,0),3),"00000"),TEXT(INDEX(女子エントリー!$J$7:$AF$406,MATCH(LEFT($B78,FIND("(",$B78)-1)&amp;RIGHT(M$1,1),女子エントリー!$AF$7:$AF$406,0),3),"0000000")),"")</f>
        <v/>
      </c>
      <c r="N78" s="1" t="str">
        <f>_xlfn.IFNA(TEXT(VLOOKUP(INDEX(女子エントリー!$J$7:$AF$406,MATCH(LEFT($B78,FIND("(",$B78)-1)&amp;RIGHT(N$1,1),女子エントリー!$AF$7:$AF$406,0),1),競技会設定!$T$2:$W$22,4,0),"000")&amp;"00 "&amp;IF(VLOOKUP(INDEX(女子エントリー!$J$7:$AF$406,MATCH(LEFT($B78,FIND("(",$B78)-1)&amp;RIGHT(N$1,1),女子エントリー!$AF$7:$AF$406,0),1),競技会設定!$T$2:$W$22,4,0)&gt;70,TEXT(INDEX(女子エントリー!$J$7:$AF$406,MATCH(LEFT($B78,FIND("(",$B78)-1)&amp;RIGHT(N$1,1),女子エントリー!$AF$7:$AF$406,0),3),"00000"),TEXT(INDEX(女子エントリー!$J$7:$AF$406,MATCH(LEFT($B78,FIND("(",$B78)-1)&amp;RIGHT(N$1,1),女子エントリー!$AF$7:$AF$406,0),3),"0000000")),"")</f>
        <v/>
      </c>
      <c r="O78" s="1" t="str">
        <f>_xlfn.IFNA(TEXT(VLOOKUP(INDEX(女子エントリー!$J$7:$AF$406,MATCH(LEFT($B78,FIND("(",$B78)-1)&amp;RIGHT(O$1,1),女子エントリー!$AF$7:$AF$406,0),1),競技会設定!$T$2:$W$22,4,0),"000")&amp;"00 "&amp;IF(VLOOKUP(INDEX(女子エントリー!$J$7:$AF$406,MATCH(LEFT($B78,FIND("(",$B78)-1)&amp;RIGHT(O$1,1),女子エントリー!$AF$7:$AF$406,0),1),競技会設定!$T$2:$W$22,4,0)&gt;70,TEXT(INDEX(女子エントリー!$J$7:$AF$406,MATCH(LEFT($B78,FIND("(",$B78)-1)&amp;RIGHT(O$1,1),女子エントリー!$AF$7:$AF$406,0),3),"00000"),TEXT(INDEX(女子エントリー!$J$7:$AF$406,MATCH(LEFT($B78,FIND("(",$B78)-1)&amp;RIGHT(O$1,1),女子エントリー!$AF$7:$AF$406,0),3),"0000000")),"")</f>
        <v/>
      </c>
    </row>
    <row r="79" spans="1:15">
      <c r="A79" s="92" t="str">
        <f>女子エントリー!D315</f>
        <v/>
      </c>
      <c r="B79" s="1" t="str">
        <f>女子エントリー!E315&amp;"("&amp;女子エントリー!G315&amp;")"</f>
        <v>()</v>
      </c>
      <c r="C79" s="92" t="str">
        <f>女子エントリー!F315</f>
        <v/>
      </c>
      <c r="D79" s="92" t="str">
        <f>女子エントリー!E317</f>
        <v/>
      </c>
      <c r="E79" s="92" t="str">
        <f>女子エントリー!G317</f>
        <v/>
      </c>
      <c r="F79" s="1" t="str">
        <f t="shared" si="1"/>
        <v/>
      </c>
      <c r="G79" s="92" t="str">
        <f>_xlfn.IFNA(VLOOKUP(女子エントリー!G316,競技会設定!$D$3:$E$49,2,0),"")</f>
        <v/>
      </c>
      <c r="H79" s="92" t="str">
        <f>_xlfn.IFNA(INDEX(競技会設定!$J$3:$O$47,MATCH(女子エントリー!H315,競技会設定!$N$3:$N$47,0),2),"")</f>
        <v/>
      </c>
      <c r="K79" s="92">
        <f>女子エントリー!C315</f>
        <v>0</v>
      </c>
      <c r="L79" s="1" t="str">
        <f>_xlfn.IFNA(TEXT(VLOOKUP(INDEX(女子エントリー!$J$7:$AF$406,MATCH(LEFT($B79,FIND("(",$B79)-1)&amp;RIGHT(L$1,1),女子エントリー!$AF$7:$AF$406,0),1),競技会設定!$T$2:$W$22,4,0),"000")&amp;"00 "&amp;IF(VLOOKUP(INDEX(女子エントリー!$J$7:$AF$406,MATCH(LEFT($B79,FIND("(",$B79)-1)&amp;RIGHT(L$1,1),女子エントリー!$AF$7:$AF$406,0),1),競技会設定!$T$2:$W$22,4,0)&gt;70,TEXT(INDEX(女子エントリー!$J$7:$AF$406,MATCH(LEFT($B79,FIND("(",$B79)-1)&amp;RIGHT(L$1,1),女子エントリー!$AF$7:$AF$406,0),3),"00000"),TEXT(INDEX(女子エントリー!$J$7:$AF$406,MATCH(LEFT($B79,FIND("(",$B79)-1)&amp;RIGHT(L$1,1),女子エントリー!$AF$7:$AF$406,0),3),"0000000")),"")</f>
        <v/>
      </c>
      <c r="M79" s="1" t="str">
        <f>_xlfn.IFNA(TEXT(VLOOKUP(INDEX(女子エントリー!$J$7:$AF$406,MATCH(LEFT($B79,FIND("(",$B79)-1)&amp;RIGHT(M$1,1),女子エントリー!$AF$7:$AF$406,0),1),競技会設定!$T$2:$W$22,4,0),"000")&amp;"00 "&amp;IF(VLOOKUP(INDEX(女子エントリー!$J$7:$AF$406,MATCH(LEFT($B79,FIND("(",$B79)-1)&amp;RIGHT(M$1,1),女子エントリー!$AF$7:$AF$406,0),1),競技会設定!$T$2:$W$22,4,0)&gt;70,TEXT(INDEX(女子エントリー!$J$7:$AF$406,MATCH(LEFT($B79,FIND("(",$B79)-1)&amp;RIGHT(M$1,1),女子エントリー!$AF$7:$AF$406,0),3),"00000"),TEXT(INDEX(女子エントリー!$J$7:$AF$406,MATCH(LEFT($B79,FIND("(",$B79)-1)&amp;RIGHT(M$1,1),女子エントリー!$AF$7:$AF$406,0),3),"0000000")),"")</f>
        <v/>
      </c>
      <c r="N79" s="1" t="str">
        <f>_xlfn.IFNA(TEXT(VLOOKUP(INDEX(女子エントリー!$J$7:$AF$406,MATCH(LEFT($B79,FIND("(",$B79)-1)&amp;RIGHT(N$1,1),女子エントリー!$AF$7:$AF$406,0),1),競技会設定!$T$2:$W$22,4,0),"000")&amp;"00 "&amp;IF(VLOOKUP(INDEX(女子エントリー!$J$7:$AF$406,MATCH(LEFT($B79,FIND("(",$B79)-1)&amp;RIGHT(N$1,1),女子エントリー!$AF$7:$AF$406,0),1),競技会設定!$T$2:$W$22,4,0)&gt;70,TEXT(INDEX(女子エントリー!$J$7:$AF$406,MATCH(LEFT($B79,FIND("(",$B79)-1)&amp;RIGHT(N$1,1),女子エントリー!$AF$7:$AF$406,0),3),"00000"),TEXT(INDEX(女子エントリー!$J$7:$AF$406,MATCH(LEFT($B79,FIND("(",$B79)-1)&amp;RIGHT(N$1,1),女子エントリー!$AF$7:$AF$406,0),3),"0000000")),"")</f>
        <v/>
      </c>
      <c r="O79" s="1" t="str">
        <f>_xlfn.IFNA(TEXT(VLOOKUP(INDEX(女子エントリー!$J$7:$AF$406,MATCH(LEFT($B79,FIND("(",$B79)-1)&amp;RIGHT(O$1,1),女子エントリー!$AF$7:$AF$406,0),1),競技会設定!$T$2:$W$22,4,0),"000")&amp;"00 "&amp;IF(VLOOKUP(INDEX(女子エントリー!$J$7:$AF$406,MATCH(LEFT($B79,FIND("(",$B79)-1)&amp;RIGHT(O$1,1),女子エントリー!$AF$7:$AF$406,0),1),競技会設定!$T$2:$W$22,4,0)&gt;70,TEXT(INDEX(女子エントリー!$J$7:$AF$406,MATCH(LEFT($B79,FIND("(",$B79)-1)&amp;RIGHT(O$1,1),女子エントリー!$AF$7:$AF$406,0),3),"00000"),TEXT(INDEX(女子エントリー!$J$7:$AF$406,MATCH(LEFT($B79,FIND("(",$B79)-1)&amp;RIGHT(O$1,1),女子エントリー!$AF$7:$AF$406,0),3),"0000000")),"")</f>
        <v/>
      </c>
    </row>
    <row r="80" spans="1:15">
      <c r="A80" s="92" t="str">
        <f>女子エントリー!D319</f>
        <v/>
      </c>
      <c r="B80" s="1" t="str">
        <f>女子エントリー!E319&amp;"("&amp;女子エントリー!G319&amp;")"</f>
        <v>()</v>
      </c>
      <c r="C80" s="92" t="str">
        <f>女子エントリー!F319</f>
        <v/>
      </c>
      <c r="D80" s="92" t="str">
        <f>女子エントリー!E321</f>
        <v/>
      </c>
      <c r="E80" s="92" t="str">
        <f>女子エントリー!G321</f>
        <v/>
      </c>
      <c r="F80" s="1" t="str">
        <f t="shared" si="1"/>
        <v/>
      </c>
      <c r="G80" s="92" t="str">
        <f>_xlfn.IFNA(VLOOKUP(女子エントリー!G320,競技会設定!$D$3:$E$49,2,0),"")</f>
        <v/>
      </c>
      <c r="H80" s="92" t="str">
        <f>_xlfn.IFNA(INDEX(競技会設定!$J$3:$O$47,MATCH(女子エントリー!H319,競技会設定!$N$3:$N$47,0),2),"")</f>
        <v/>
      </c>
      <c r="K80" s="92">
        <f>女子エントリー!C319</f>
        <v>0</v>
      </c>
      <c r="L80" s="1" t="str">
        <f>_xlfn.IFNA(TEXT(VLOOKUP(INDEX(女子エントリー!$J$7:$AF$406,MATCH(LEFT($B80,FIND("(",$B80)-1)&amp;RIGHT(L$1,1),女子エントリー!$AF$7:$AF$406,0),1),競技会設定!$T$2:$W$22,4,0),"000")&amp;"00 "&amp;IF(VLOOKUP(INDEX(女子エントリー!$J$7:$AF$406,MATCH(LEFT($B80,FIND("(",$B80)-1)&amp;RIGHT(L$1,1),女子エントリー!$AF$7:$AF$406,0),1),競技会設定!$T$2:$W$22,4,0)&gt;70,TEXT(INDEX(女子エントリー!$J$7:$AF$406,MATCH(LEFT($B80,FIND("(",$B80)-1)&amp;RIGHT(L$1,1),女子エントリー!$AF$7:$AF$406,0),3),"00000"),TEXT(INDEX(女子エントリー!$J$7:$AF$406,MATCH(LEFT($B80,FIND("(",$B80)-1)&amp;RIGHT(L$1,1),女子エントリー!$AF$7:$AF$406,0),3),"0000000")),"")</f>
        <v/>
      </c>
      <c r="M80" s="1" t="str">
        <f>_xlfn.IFNA(TEXT(VLOOKUP(INDEX(女子エントリー!$J$7:$AF$406,MATCH(LEFT($B80,FIND("(",$B80)-1)&amp;RIGHT(M$1,1),女子エントリー!$AF$7:$AF$406,0),1),競技会設定!$T$2:$W$22,4,0),"000")&amp;"00 "&amp;IF(VLOOKUP(INDEX(女子エントリー!$J$7:$AF$406,MATCH(LEFT($B80,FIND("(",$B80)-1)&amp;RIGHT(M$1,1),女子エントリー!$AF$7:$AF$406,0),1),競技会設定!$T$2:$W$22,4,0)&gt;70,TEXT(INDEX(女子エントリー!$J$7:$AF$406,MATCH(LEFT($B80,FIND("(",$B80)-1)&amp;RIGHT(M$1,1),女子エントリー!$AF$7:$AF$406,0),3),"00000"),TEXT(INDEX(女子エントリー!$J$7:$AF$406,MATCH(LEFT($B80,FIND("(",$B80)-1)&amp;RIGHT(M$1,1),女子エントリー!$AF$7:$AF$406,0),3),"0000000")),"")</f>
        <v/>
      </c>
      <c r="N80" s="1" t="str">
        <f>_xlfn.IFNA(TEXT(VLOOKUP(INDEX(女子エントリー!$J$7:$AF$406,MATCH(LEFT($B80,FIND("(",$B80)-1)&amp;RIGHT(N$1,1),女子エントリー!$AF$7:$AF$406,0),1),競技会設定!$T$2:$W$22,4,0),"000")&amp;"00 "&amp;IF(VLOOKUP(INDEX(女子エントリー!$J$7:$AF$406,MATCH(LEFT($B80,FIND("(",$B80)-1)&amp;RIGHT(N$1,1),女子エントリー!$AF$7:$AF$406,0),1),競技会設定!$T$2:$W$22,4,0)&gt;70,TEXT(INDEX(女子エントリー!$J$7:$AF$406,MATCH(LEFT($B80,FIND("(",$B80)-1)&amp;RIGHT(N$1,1),女子エントリー!$AF$7:$AF$406,0),3),"00000"),TEXT(INDEX(女子エントリー!$J$7:$AF$406,MATCH(LEFT($B80,FIND("(",$B80)-1)&amp;RIGHT(N$1,1),女子エントリー!$AF$7:$AF$406,0),3),"0000000")),"")</f>
        <v/>
      </c>
      <c r="O80" s="1" t="str">
        <f>_xlfn.IFNA(TEXT(VLOOKUP(INDEX(女子エントリー!$J$7:$AF$406,MATCH(LEFT($B80,FIND("(",$B80)-1)&amp;RIGHT(O$1,1),女子エントリー!$AF$7:$AF$406,0),1),競技会設定!$T$2:$W$22,4,0),"000")&amp;"00 "&amp;IF(VLOOKUP(INDEX(女子エントリー!$J$7:$AF$406,MATCH(LEFT($B80,FIND("(",$B80)-1)&amp;RIGHT(O$1,1),女子エントリー!$AF$7:$AF$406,0),1),競技会設定!$T$2:$W$22,4,0)&gt;70,TEXT(INDEX(女子エントリー!$J$7:$AF$406,MATCH(LEFT($B80,FIND("(",$B80)-1)&amp;RIGHT(O$1,1),女子エントリー!$AF$7:$AF$406,0),3),"00000"),TEXT(INDEX(女子エントリー!$J$7:$AF$406,MATCH(LEFT($B80,FIND("(",$B80)-1)&amp;RIGHT(O$1,1),女子エントリー!$AF$7:$AF$406,0),3),"0000000")),"")</f>
        <v/>
      </c>
    </row>
    <row r="81" spans="1:15">
      <c r="A81" s="92" t="str">
        <f>女子エントリー!D323</f>
        <v/>
      </c>
      <c r="B81" s="1" t="str">
        <f>女子エントリー!E323&amp;"("&amp;女子エントリー!G323&amp;")"</f>
        <v>()</v>
      </c>
      <c r="C81" s="92" t="str">
        <f>女子エントリー!F323</f>
        <v/>
      </c>
      <c r="D81" s="92" t="str">
        <f>女子エントリー!E325</f>
        <v/>
      </c>
      <c r="E81" s="92" t="str">
        <f>女子エントリー!G325</f>
        <v/>
      </c>
      <c r="F81" s="1" t="str">
        <f t="shared" si="1"/>
        <v/>
      </c>
      <c r="G81" s="92" t="str">
        <f>_xlfn.IFNA(VLOOKUP(女子エントリー!G324,競技会設定!$D$3:$E$49,2,0),"")</f>
        <v/>
      </c>
      <c r="H81" s="92" t="str">
        <f>_xlfn.IFNA(INDEX(競技会設定!$J$3:$O$47,MATCH(女子エントリー!H323,競技会設定!$N$3:$N$47,0),2),"")</f>
        <v/>
      </c>
      <c r="K81" s="92">
        <f>女子エントリー!C323</f>
        <v>0</v>
      </c>
      <c r="L81" s="1" t="str">
        <f>_xlfn.IFNA(TEXT(VLOOKUP(INDEX(女子エントリー!$J$7:$AF$406,MATCH(LEFT($B81,FIND("(",$B81)-1)&amp;RIGHT(L$1,1),女子エントリー!$AF$7:$AF$406,0),1),競技会設定!$T$2:$W$22,4,0),"000")&amp;"00 "&amp;IF(VLOOKUP(INDEX(女子エントリー!$J$7:$AF$406,MATCH(LEFT($B81,FIND("(",$B81)-1)&amp;RIGHT(L$1,1),女子エントリー!$AF$7:$AF$406,0),1),競技会設定!$T$2:$W$22,4,0)&gt;70,TEXT(INDEX(女子エントリー!$J$7:$AF$406,MATCH(LEFT($B81,FIND("(",$B81)-1)&amp;RIGHT(L$1,1),女子エントリー!$AF$7:$AF$406,0),3),"00000"),TEXT(INDEX(女子エントリー!$J$7:$AF$406,MATCH(LEFT($B81,FIND("(",$B81)-1)&amp;RIGHT(L$1,1),女子エントリー!$AF$7:$AF$406,0),3),"0000000")),"")</f>
        <v/>
      </c>
      <c r="M81" s="1" t="str">
        <f>_xlfn.IFNA(TEXT(VLOOKUP(INDEX(女子エントリー!$J$7:$AF$406,MATCH(LEFT($B81,FIND("(",$B81)-1)&amp;RIGHT(M$1,1),女子エントリー!$AF$7:$AF$406,0),1),競技会設定!$T$2:$W$22,4,0),"000")&amp;"00 "&amp;IF(VLOOKUP(INDEX(女子エントリー!$J$7:$AF$406,MATCH(LEFT($B81,FIND("(",$B81)-1)&amp;RIGHT(M$1,1),女子エントリー!$AF$7:$AF$406,0),1),競技会設定!$T$2:$W$22,4,0)&gt;70,TEXT(INDEX(女子エントリー!$J$7:$AF$406,MATCH(LEFT($B81,FIND("(",$B81)-1)&amp;RIGHT(M$1,1),女子エントリー!$AF$7:$AF$406,0),3),"00000"),TEXT(INDEX(女子エントリー!$J$7:$AF$406,MATCH(LEFT($B81,FIND("(",$B81)-1)&amp;RIGHT(M$1,1),女子エントリー!$AF$7:$AF$406,0),3),"0000000")),"")</f>
        <v/>
      </c>
      <c r="N81" s="1" t="str">
        <f>_xlfn.IFNA(TEXT(VLOOKUP(INDEX(女子エントリー!$J$7:$AF$406,MATCH(LEFT($B81,FIND("(",$B81)-1)&amp;RIGHT(N$1,1),女子エントリー!$AF$7:$AF$406,0),1),競技会設定!$T$2:$W$22,4,0),"000")&amp;"00 "&amp;IF(VLOOKUP(INDEX(女子エントリー!$J$7:$AF$406,MATCH(LEFT($B81,FIND("(",$B81)-1)&amp;RIGHT(N$1,1),女子エントリー!$AF$7:$AF$406,0),1),競技会設定!$T$2:$W$22,4,0)&gt;70,TEXT(INDEX(女子エントリー!$J$7:$AF$406,MATCH(LEFT($B81,FIND("(",$B81)-1)&amp;RIGHT(N$1,1),女子エントリー!$AF$7:$AF$406,0),3),"00000"),TEXT(INDEX(女子エントリー!$J$7:$AF$406,MATCH(LEFT($B81,FIND("(",$B81)-1)&amp;RIGHT(N$1,1),女子エントリー!$AF$7:$AF$406,0),3),"0000000")),"")</f>
        <v/>
      </c>
      <c r="O81" s="1" t="str">
        <f>_xlfn.IFNA(TEXT(VLOOKUP(INDEX(女子エントリー!$J$7:$AF$406,MATCH(LEFT($B81,FIND("(",$B81)-1)&amp;RIGHT(O$1,1),女子エントリー!$AF$7:$AF$406,0),1),競技会設定!$T$2:$W$22,4,0),"000")&amp;"00 "&amp;IF(VLOOKUP(INDEX(女子エントリー!$J$7:$AF$406,MATCH(LEFT($B81,FIND("(",$B81)-1)&amp;RIGHT(O$1,1),女子エントリー!$AF$7:$AF$406,0),1),競技会設定!$T$2:$W$22,4,0)&gt;70,TEXT(INDEX(女子エントリー!$J$7:$AF$406,MATCH(LEFT($B81,FIND("(",$B81)-1)&amp;RIGHT(O$1,1),女子エントリー!$AF$7:$AF$406,0),3),"00000"),TEXT(INDEX(女子エントリー!$J$7:$AF$406,MATCH(LEFT($B81,FIND("(",$B81)-1)&amp;RIGHT(O$1,1),女子エントリー!$AF$7:$AF$406,0),3),"0000000")),"")</f>
        <v/>
      </c>
    </row>
    <row r="82" spans="1:15">
      <c r="A82" s="92" t="str">
        <f>女子エントリー!D327</f>
        <v/>
      </c>
      <c r="B82" s="1" t="str">
        <f>女子エントリー!E327&amp;"("&amp;女子エントリー!G327&amp;")"</f>
        <v>()</v>
      </c>
      <c r="C82" s="92" t="str">
        <f>女子エントリー!F327</f>
        <v/>
      </c>
      <c r="D82" s="92" t="str">
        <f>女子エントリー!E329</f>
        <v/>
      </c>
      <c r="E82" s="92" t="str">
        <f>女子エントリー!G329</f>
        <v/>
      </c>
      <c r="F82" s="1" t="str">
        <f t="shared" si="1"/>
        <v/>
      </c>
      <c r="G82" s="92" t="str">
        <f>_xlfn.IFNA(VLOOKUP(女子エントリー!G328,競技会設定!$D$3:$E$49,2,0),"")</f>
        <v/>
      </c>
      <c r="H82" s="92" t="str">
        <f>_xlfn.IFNA(INDEX(競技会設定!$J$3:$O$47,MATCH(女子エントリー!H327,競技会設定!$N$3:$N$47,0),2),"")</f>
        <v/>
      </c>
      <c r="K82" s="92">
        <f>女子エントリー!C327</f>
        <v>0</v>
      </c>
      <c r="L82" s="1" t="str">
        <f>_xlfn.IFNA(TEXT(VLOOKUP(INDEX(女子エントリー!$J$7:$AF$406,MATCH(LEFT($B82,FIND("(",$B82)-1)&amp;RIGHT(L$1,1),女子エントリー!$AF$7:$AF$406,0),1),競技会設定!$T$2:$W$22,4,0),"000")&amp;"00 "&amp;IF(VLOOKUP(INDEX(女子エントリー!$J$7:$AF$406,MATCH(LEFT($B82,FIND("(",$B82)-1)&amp;RIGHT(L$1,1),女子エントリー!$AF$7:$AF$406,0),1),競技会設定!$T$2:$W$22,4,0)&gt;70,TEXT(INDEX(女子エントリー!$J$7:$AF$406,MATCH(LEFT($B82,FIND("(",$B82)-1)&amp;RIGHT(L$1,1),女子エントリー!$AF$7:$AF$406,0),3),"00000"),TEXT(INDEX(女子エントリー!$J$7:$AF$406,MATCH(LEFT($B82,FIND("(",$B82)-1)&amp;RIGHT(L$1,1),女子エントリー!$AF$7:$AF$406,0),3),"0000000")),"")</f>
        <v/>
      </c>
      <c r="M82" s="1" t="str">
        <f>_xlfn.IFNA(TEXT(VLOOKUP(INDEX(女子エントリー!$J$7:$AF$406,MATCH(LEFT($B82,FIND("(",$B82)-1)&amp;RIGHT(M$1,1),女子エントリー!$AF$7:$AF$406,0),1),競技会設定!$T$2:$W$22,4,0),"000")&amp;"00 "&amp;IF(VLOOKUP(INDEX(女子エントリー!$J$7:$AF$406,MATCH(LEFT($B82,FIND("(",$B82)-1)&amp;RIGHT(M$1,1),女子エントリー!$AF$7:$AF$406,0),1),競技会設定!$T$2:$W$22,4,0)&gt;70,TEXT(INDEX(女子エントリー!$J$7:$AF$406,MATCH(LEFT($B82,FIND("(",$B82)-1)&amp;RIGHT(M$1,1),女子エントリー!$AF$7:$AF$406,0),3),"00000"),TEXT(INDEX(女子エントリー!$J$7:$AF$406,MATCH(LEFT($B82,FIND("(",$B82)-1)&amp;RIGHT(M$1,1),女子エントリー!$AF$7:$AF$406,0),3),"0000000")),"")</f>
        <v/>
      </c>
      <c r="N82" s="1" t="str">
        <f>_xlfn.IFNA(TEXT(VLOOKUP(INDEX(女子エントリー!$J$7:$AF$406,MATCH(LEFT($B82,FIND("(",$B82)-1)&amp;RIGHT(N$1,1),女子エントリー!$AF$7:$AF$406,0),1),競技会設定!$T$2:$W$22,4,0),"000")&amp;"00 "&amp;IF(VLOOKUP(INDEX(女子エントリー!$J$7:$AF$406,MATCH(LEFT($B82,FIND("(",$B82)-1)&amp;RIGHT(N$1,1),女子エントリー!$AF$7:$AF$406,0),1),競技会設定!$T$2:$W$22,4,0)&gt;70,TEXT(INDEX(女子エントリー!$J$7:$AF$406,MATCH(LEFT($B82,FIND("(",$B82)-1)&amp;RIGHT(N$1,1),女子エントリー!$AF$7:$AF$406,0),3),"00000"),TEXT(INDEX(女子エントリー!$J$7:$AF$406,MATCH(LEFT($B82,FIND("(",$B82)-1)&amp;RIGHT(N$1,1),女子エントリー!$AF$7:$AF$406,0),3),"0000000")),"")</f>
        <v/>
      </c>
      <c r="O82" s="1" t="str">
        <f>_xlfn.IFNA(TEXT(VLOOKUP(INDEX(女子エントリー!$J$7:$AF$406,MATCH(LEFT($B82,FIND("(",$B82)-1)&amp;RIGHT(O$1,1),女子エントリー!$AF$7:$AF$406,0),1),競技会設定!$T$2:$W$22,4,0),"000")&amp;"00 "&amp;IF(VLOOKUP(INDEX(女子エントリー!$J$7:$AF$406,MATCH(LEFT($B82,FIND("(",$B82)-1)&amp;RIGHT(O$1,1),女子エントリー!$AF$7:$AF$406,0),1),競技会設定!$T$2:$W$22,4,0)&gt;70,TEXT(INDEX(女子エントリー!$J$7:$AF$406,MATCH(LEFT($B82,FIND("(",$B82)-1)&amp;RIGHT(O$1,1),女子エントリー!$AF$7:$AF$406,0),3),"00000"),TEXT(INDEX(女子エントリー!$J$7:$AF$406,MATCH(LEFT($B82,FIND("(",$B82)-1)&amp;RIGHT(O$1,1),女子エントリー!$AF$7:$AF$406,0),3),"0000000")),"")</f>
        <v/>
      </c>
    </row>
    <row r="83" spans="1:15">
      <c r="A83" s="92" t="str">
        <f>女子エントリー!D331</f>
        <v/>
      </c>
      <c r="B83" s="1" t="str">
        <f>女子エントリー!E331&amp;"("&amp;女子エントリー!G331&amp;")"</f>
        <v>()</v>
      </c>
      <c r="C83" s="92" t="str">
        <f>女子エントリー!F331</f>
        <v/>
      </c>
      <c r="D83" s="92" t="str">
        <f>女子エントリー!E333</f>
        <v/>
      </c>
      <c r="E83" s="92" t="str">
        <f>女子エントリー!G333</f>
        <v/>
      </c>
      <c r="F83" s="1" t="str">
        <f t="shared" si="1"/>
        <v/>
      </c>
      <c r="G83" s="92" t="str">
        <f>_xlfn.IFNA(VLOOKUP(女子エントリー!G332,競技会設定!$D$3:$E$49,2,0),"")</f>
        <v/>
      </c>
      <c r="H83" s="92" t="str">
        <f>_xlfn.IFNA(INDEX(競技会設定!$J$3:$O$47,MATCH(女子エントリー!H331,競技会設定!$N$3:$N$47,0),2),"")</f>
        <v/>
      </c>
      <c r="K83" s="92">
        <f>女子エントリー!C331</f>
        <v>0</v>
      </c>
      <c r="L83" s="1" t="str">
        <f>_xlfn.IFNA(TEXT(VLOOKUP(INDEX(女子エントリー!$J$7:$AF$406,MATCH(LEFT($B83,FIND("(",$B83)-1)&amp;RIGHT(L$1,1),女子エントリー!$AF$7:$AF$406,0),1),競技会設定!$T$2:$W$22,4,0),"000")&amp;"00 "&amp;IF(VLOOKUP(INDEX(女子エントリー!$J$7:$AF$406,MATCH(LEFT($B83,FIND("(",$B83)-1)&amp;RIGHT(L$1,1),女子エントリー!$AF$7:$AF$406,0),1),競技会設定!$T$2:$W$22,4,0)&gt;70,TEXT(INDEX(女子エントリー!$J$7:$AF$406,MATCH(LEFT($B83,FIND("(",$B83)-1)&amp;RIGHT(L$1,1),女子エントリー!$AF$7:$AF$406,0),3),"00000"),TEXT(INDEX(女子エントリー!$J$7:$AF$406,MATCH(LEFT($B83,FIND("(",$B83)-1)&amp;RIGHT(L$1,1),女子エントリー!$AF$7:$AF$406,0),3),"0000000")),"")</f>
        <v/>
      </c>
      <c r="M83" s="1" t="str">
        <f>_xlfn.IFNA(TEXT(VLOOKUP(INDEX(女子エントリー!$J$7:$AF$406,MATCH(LEFT($B83,FIND("(",$B83)-1)&amp;RIGHT(M$1,1),女子エントリー!$AF$7:$AF$406,0),1),競技会設定!$T$2:$W$22,4,0),"000")&amp;"00 "&amp;IF(VLOOKUP(INDEX(女子エントリー!$J$7:$AF$406,MATCH(LEFT($B83,FIND("(",$B83)-1)&amp;RIGHT(M$1,1),女子エントリー!$AF$7:$AF$406,0),1),競技会設定!$T$2:$W$22,4,0)&gt;70,TEXT(INDEX(女子エントリー!$J$7:$AF$406,MATCH(LEFT($B83,FIND("(",$B83)-1)&amp;RIGHT(M$1,1),女子エントリー!$AF$7:$AF$406,0),3),"00000"),TEXT(INDEX(女子エントリー!$J$7:$AF$406,MATCH(LEFT($B83,FIND("(",$B83)-1)&amp;RIGHT(M$1,1),女子エントリー!$AF$7:$AF$406,0),3),"0000000")),"")</f>
        <v/>
      </c>
      <c r="N83" s="1" t="str">
        <f>_xlfn.IFNA(TEXT(VLOOKUP(INDEX(女子エントリー!$J$7:$AF$406,MATCH(LEFT($B83,FIND("(",$B83)-1)&amp;RIGHT(N$1,1),女子エントリー!$AF$7:$AF$406,0),1),競技会設定!$T$2:$W$22,4,0),"000")&amp;"00 "&amp;IF(VLOOKUP(INDEX(女子エントリー!$J$7:$AF$406,MATCH(LEFT($B83,FIND("(",$B83)-1)&amp;RIGHT(N$1,1),女子エントリー!$AF$7:$AF$406,0),1),競技会設定!$T$2:$W$22,4,0)&gt;70,TEXT(INDEX(女子エントリー!$J$7:$AF$406,MATCH(LEFT($B83,FIND("(",$B83)-1)&amp;RIGHT(N$1,1),女子エントリー!$AF$7:$AF$406,0),3),"00000"),TEXT(INDEX(女子エントリー!$J$7:$AF$406,MATCH(LEFT($B83,FIND("(",$B83)-1)&amp;RIGHT(N$1,1),女子エントリー!$AF$7:$AF$406,0),3),"0000000")),"")</f>
        <v/>
      </c>
      <c r="O83" s="1" t="str">
        <f>_xlfn.IFNA(TEXT(VLOOKUP(INDEX(女子エントリー!$J$7:$AF$406,MATCH(LEFT($B83,FIND("(",$B83)-1)&amp;RIGHT(O$1,1),女子エントリー!$AF$7:$AF$406,0),1),競技会設定!$T$2:$W$22,4,0),"000")&amp;"00 "&amp;IF(VLOOKUP(INDEX(女子エントリー!$J$7:$AF$406,MATCH(LEFT($B83,FIND("(",$B83)-1)&amp;RIGHT(O$1,1),女子エントリー!$AF$7:$AF$406,0),1),競技会設定!$T$2:$W$22,4,0)&gt;70,TEXT(INDEX(女子エントリー!$J$7:$AF$406,MATCH(LEFT($B83,FIND("(",$B83)-1)&amp;RIGHT(O$1,1),女子エントリー!$AF$7:$AF$406,0),3),"00000"),TEXT(INDEX(女子エントリー!$J$7:$AF$406,MATCH(LEFT($B83,FIND("(",$B83)-1)&amp;RIGHT(O$1,1),女子エントリー!$AF$7:$AF$406,0),3),"0000000")),"")</f>
        <v/>
      </c>
    </row>
    <row r="84" spans="1:15">
      <c r="A84" s="92" t="str">
        <f>女子エントリー!D335</f>
        <v/>
      </c>
      <c r="B84" s="1" t="str">
        <f>女子エントリー!E335&amp;"("&amp;女子エントリー!G335&amp;")"</f>
        <v>()</v>
      </c>
      <c r="C84" s="92" t="str">
        <f>女子エントリー!F335</f>
        <v/>
      </c>
      <c r="D84" s="92" t="str">
        <f>女子エントリー!E337</f>
        <v/>
      </c>
      <c r="E84" s="92" t="str">
        <f>女子エントリー!G337</f>
        <v/>
      </c>
      <c r="F84" s="1" t="str">
        <f t="shared" si="1"/>
        <v/>
      </c>
      <c r="G84" s="92" t="str">
        <f>_xlfn.IFNA(VLOOKUP(女子エントリー!G336,競技会設定!$D$3:$E$49,2,0),"")</f>
        <v/>
      </c>
      <c r="H84" s="92" t="str">
        <f>_xlfn.IFNA(INDEX(競技会設定!$J$3:$O$47,MATCH(女子エントリー!H335,競技会設定!$N$3:$N$47,0),2),"")</f>
        <v/>
      </c>
      <c r="K84" s="92">
        <f>女子エントリー!C335</f>
        <v>0</v>
      </c>
      <c r="L84" s="1" t="str">
        <f>_xlfn.IFNA(TEXT(VLOOKUP(INDEX(女子エントリー!$J$7:$AF$406,MATCH(LEFT($B84,FIND("(",$B84)-1)&amp;RIGHT(L$1,1),女子エントリー!$AF$7:$AF$406,0),1),競技会設定!$T$2:$W$22,4,0),"000")&amp;"00 "&amp;IF(VLOOKUP(INDEX(女子エントリー!$J$7:$AF$406,MATCH(LEFT($B84,FIND("(",$B84)-1)&amp;RIGHT(L$1,1),女子エントリー!$AF$7:$AF$406,0),1),競技会設定!$T$2:$W$22,4,0)&gt;70,TEXT(INDEX(女子エントリー!$J$7:$AF$406,MATCH(LEFT($B84,FIND("(",$B84)-1)&amp;RIGHT(L$1,1),女子エントリー!$AF$7:$AF$406,0),3),"00000"),TEXT(INDEX(女子エントリー!$J$7:$AF$406,MATCH(LEFT($B84,FIND("(",$B84)-1)&amp;RIGHT(L$1,1),女子エントリー!$AF$7:$AF$406,0),3),"0000000")),"")</f>
        <v/>
      </c>
      <c r="M84" s="1" t="str">
        <f>_xlfn.IFNA(TEXT(VLOOKUP(INDEX(女子エントリー!$J$7:$AF$406,MATCH(LEFT($B84,FIND("(",$B84)-1)&amp;RIGHT(M$1,1),女子エントリー!$AF$7:$AF$406,0),1),競技会設定!$T$2:$W$22,4,0),"000")&amp;"00 "&amp;IF(VLOOKUP(INDEX(女子エントリー!$J$7:$AF$406,MATCH(LEFT($B84,FIND("(",$B84)-1)&amp;RIGHT(M$1,1),女子エントリー!$AF$7:$AF$406,0),1),競技会設定!$T$2:$W$22,4,0)&gt;70,TEXT(INDEX(女子エントリー!$J$7:$AF$406,MATCH(LEFT($B84,FIND("(",$B84)-1)&amp;RIGHT(M$1,1),女子エントリー!$AF$7:$AF$406,0),3),"00000"),TEXT(INDEX(女子エントリー!$J$7:$AF$406,MATCH(LEFT($B84,FIND("(",$B84)-1)&amp;RIGHT(M$1,1),女子エントリー!$AF$7:$AF$406,0),3),"0000000")),"")</f>
        <v/>
      </c>
      <c r="N84" s="1" t="str">
        <f>_xlfn.IFNA(TEXT(VLOOKUP(INDEX(女子エントリー!$J$7:$AF$406,MATCH(LEFT($B84,FIND("(",$B84)-1)&amp;RIGHT(N$1,1),女子エントリー!$AF$7:$AF$406,0),1),競技会設定!$T$2:$W$22,4,0),"000")&amp;"00 "&amp;IF(VLOOKUP(INDEX(女子エントリー!$J$7:$AF$406,MATCH(LEFT($B84,FIND("(",$B84)-1)&amp;RIGHT(N$1,1),女子エントリー!$AF$7:$AF$406,0),1),競技会設定!$T$2:$W$22,4,0)&gt;70,TEXT(INDEX(女子エントリー!$J$7:$AF$406,MATCH(LEFT($B84,FIND("(",$B84)-1)&amp;RIGHT(N$1,1),女子エントリー!$AF$7:$AF$406,0),3),"00000"),TEXT(INDEX(女子エントリー!$J$7:$AF$406,MATCH(LEFT($B84,FIND("(",$B84)-1)&amp;RIGHT(N$1,1),女子エントリー!$AF$7:$AF$406,0),3),"0000000")),"")</f>
        <v/>
      </c>
      <c r="O84" s="1" t="str">
        <f>_xlfn.IFNA(TEXT(VLOOKUP(INDEX(女子エントリー!$J$7:$AF$406,MATCH(LEFT($B84,FIND("(",$B84)-1)&amp;RIGHT(O$1,1),女子エントリー!$AF$7:$AF$406,0),1),競技会設定!$T$2:$W$22,4,0),"000")&amp;"00 "&amp;IF(VLOOKUP(INDEX(女子エントリー!$J$7:$AF$406,MATCH(LEFT($B84,FIND("(",$B84)-1)&amp;RIGHT(O$1,1),女子エントリー!$AF$7:$AF$406,0),1),競技会設定!$T$2:$W$22,4,0)&gt;70,TEXT(INDEX(女子エントリー!$J$7:$AF$406,MATCH(LEFT($B84,FIND("(",$B84)-1)&amp;RIGHT(O$1,1),女子エントリー!$AF$7:$AF$406,0),3),"00000"),TEXT(INDEX(女子エントリー!$J$7:$AF$406,MATCH(LEFT($B84,FIND("(",$B84)-1)&amp;RIGHT(O$1,1),女子エントリー!$AF$7:$AF$406,0),3),"0000000")),"")</f>
        <v/>
      </c>
    </row>
    <row r="85" spans="1:15">
      <c r="A85" s="92" t="str">
        <f>女子エントリー!D339</f>
        <v/>
      </c>
      <c r="B85" s="1" t="str">
        <f>女子エントリー!E339&amp;"("&amp;女子エントリー!G339&amp;")"</f>
        <v>()</v>
      </c>
      <c r="C85" s="92" t="str">
        <f>女子エントリー!F339</f>
        <v/>
      </c>
      <c r="D85" s="92" t="str">
        <f>女子エントリー!E341</f>
        <v/>
      </c>
      <c r="E85" s="92" t="str">
        <f>女子エントリー!G341</f>
        <v/>
      </c>
      <c r="F85" s="1" t="str">
        <f t="shared" si="1"/>
        <v/>
      </c>
      <c r="G85" s="92" t="str">
        <f>_xlfn.IFNA(VLOOKUP(女子エントリー!G340,競技会設定!$D$3:$E$49,2,0),"")</f>
        <v/>
      </c>
      <c r="H85" s="92" t="str">
        <f>_xlfn.IFNA(INDEX(競技会設定!$J$3:$O$47,MATCH(女子エントリー!H339,競技会設定!$N$3:$N$47,0),2),"")</f>
        <v/>
      </c>
      <c r="K85" s="92">
        <f>女子エントリー!C339</f>
        <v>0</v>
      </c>
      <c r="L85" s="1" t="str">
        <f>_xlfn.IFNA(TEXT(VLOOKUP(INDEX(女子エントリー!$J$7:$AF$406,MATCH(LEFT($B85,FIND("(",$B85)-1)&amp;RIGHT(L$1,1),女子エントリー!$AF$7:$AF$406,0),1),競技会設定!$T$2:$W$22,4,0),"000")&amp;"00 "&amp;IF(VLOOKUP(INDEX(女子エントリー!$J$7:$AF$406,MATCH(LEFT($B85,FIND("(",$B85)-1)&amp;RIGHT(L$1,1),女子エントリー!$AF$7:$AF$406,0),1),競技会設定!$T$2:$W$22,4,0)&gt;70,TEXT(INDEX(女子エントリー!$J$7:$AF$406,MATCH(LEFT($B85,FIND("(",$B85)-1)&amp;RIGHT(L$1,1),女子エントリー!$AF$7:$AF$406,0),3),"00000"),TEXT(INDEX(女子エントリー!$J$7:$AF$406,MATCH(LEFT($B85,FIND("(",$B85)-1)&amp;RIGHT(L$1,1),女子エントリー!$AF$7:$AF$406,0),3),"0000000")),"")</f>
        <v/>
      </c>
      <c r="M85" s="1" t="str">
        <f>_xlfn.IFNA(TEXT(VLOOKUP(INDEX(女子エントリー!$J$7:$AF$406,MATCH(LEFT($B85,FIND("(",$B85)-1)&amp;RIGHT(M$1,1),女子エントリー!$AF$7:$AF$406,0),1),競技会設定!$T$2:$W$22,4,0),"000")&amp;"00 "&amp;IF(VLOOKUP(INDEX(女子エントリー!$J$7:$AF$406,MATCH(LEFT($B85,FIND("(",$B85)-1)&amp;RIGHT(M$1,1),女子エントリー!$AF$7:$AF$406,0),1),競技会設定!$T$2:$W$22,4,0)&gt;70,TEXT(INDEX(女子エントリー!$J$7:$AF$406,MATCH(LEFT($B85,FIND("(",$B85)-1)&amp;RIGHT(M$1,1),女子エントリー!$AF$7:$AF$406,0),3),"00000"),TEXT(INDEX(女子エントリー!$J$7:$AF$406,MATCH(LEFT($B85,FIND("(",$B85)-1)&amp;RIGHT(M$1,1),女子エントリー!$AF$7:$AF$406,0),3),"0000000")),"")</f>
        <v/>
      </c>
      <c r="N85" s="1" t="str">
        <f>_xlfn.IFNA(TEXT(VLOOKUP(INDEX(女子エントリー!$J$7:$AF$406,MATCH(LEFT($B85,FIND("(",$B85)-1)&amp;RIGHT(N$1,1),女子エントリー!$AF$7:$AF$406,0),1),競技会設定!$T$2:$W$22,4,0),"000")&amp;"00 "&amp;IF(VLOOKUP(INDEX(女子エントリー!$J$7:$AF$406,MATCH(LEFT($B85,FIND("(",$B85)-1)&amp;RIGHT(N$1,1),女子エントリー!$AF$7:$AF$406,0),1),競技会設定!$T$2:$W$22,4,0)&gt;70,TEXT(INDEX(女子エントリー!$J$7:$AF$406,MATCH(LEFT($B85,FIND("(",$B85)-1)&amp;RIGHT(N$1,1),女子エントリー!$AF$7:$AF$406,0),3),"00000"),TEXT(INDEX(女子エントリー!$J$7:$AF$406,MATCH(LEFT($B85,FIND("(",$B85)-1)&amp;RIGHT(N$1,1),女子エントリー!$AF$7:$AF$406,0),3),"0000000")),"")</f>
        <v/>
      </c>
      <c r="O85" s="1" t="str">
        <f>_xlfn.IFNA(TEXT(VLOOKUP(INDEX(女子エントリー!$J$7:$AF$406,MATCH(LEFT($B85,FIND("(",$B85)-1)&amp;RIGHT(O$1,1),女子エントリー!$AF$7:$AF$406,0),1),競技会設定!$T$2:$W$22,4,0),"000")&amp;"00 "&amp;IF(VLOOKUP(INDEX(女子エントリー!$J$7:$AF$406,MATCH(LEFT($B85,FIND("(",$B85)-1)&amp;RIGHT(O$1,1),女子エントリー!$AF$7:$AF$406,0),1),競技会設定!$T$2:$W$22,4,0)&gt;70,TEXT(INDEX(女子エントリー!$J$7:$AF$406,MATCH(LEFT($B85,FIND("(",$B85)-1)&amp;RIGHT(O$1,1),女子エントリー!$AF$7:$AF$406,0),3),"00000"),TEXT(INDEX(女子エントリー!$J$7:$AF$406,MATCH(LEFT($B85,FIND("(",$B85)-1)&amp;RIGHT(O$1,1),女子エントリー!$AF$7:$AF$406,0),3),"0000000")),"")</f>
        <v/>
      </c>
    </row>
    <row r="86" spans="1:15">
      <c r="A86" s="92" t="str">
        <f>女子エントリー!D343</f>
        <v/>
      </c>
      <c r="B86" s="1" t="str">
        <f>女子エントリー!E343&amp;"("&amp;女子エントリー!G343&amp;")"</f>
        <v>()</v>
      </c>
      <c r="C86" s="92" t="str">
        <f>女子エントリー!F343</f>
        <v/>
      </c>
      <c r="D86" s="92" t="str">
        <f>女子エントリー!E345</f>
        <v/>
      </c>
      <c r="E86" s="92" t="str">
        <f>女子エントリー!G345</f>
        <v/>
      </c>
      <c r="F86" s="1" t="str">
        <f t="shared" si="1"/>
        <v/>
      </c>
      <c r="G86" s="92" t="str">
        <f>_xlfn.IFNA(VLOOKUP(女子エントリー!G344,競技会設定!$D$3:$E$49,2,0),"")</f>
        <v/>
      </c>
      <c r="H86" s="92" t="str">
        <f>_xlfn.IFNA(INDEX(競技会設定!$J$3:$O$47,MATCH(女子エントリー!H343,競技会設定!$N$3:$N$47,0),2),"")</f>
        <v/>
      </c>
      <c r="K86" s="92">
        <f>女子エントリー!C343</f>
        <v>0</v>
      </c>
      <c r="L86" s="1" t="str">
        <f>_xlfn.IFNA(TEXT(VLOOKUP(INDEX(女子エントリー!$J$7:$AF$406,MATCH(LEFT($B86,FIND("(",$B86)-1)&amp;RIGHT(L$1,1),女子エントリー!$AF$7:$AF$406,0),1),競技会設定!$T$2:$W$22,4,0),"000")&amp;"00 "&amp;IF(VLOOKUP(INDEX(女子エントリー!$J$7:$AF$406,MATCH(LEFT($B86,FIND("(",$B86)-1)&amp;RIGHT(L$1,1),女子エントリー!$AF$7:$AF$406,0),1),競技会設定!$T$2:$W$22,4,0)&gt;70,TEXT(INDEX(女子エントリー!$J$7:$AF$406,MATCH(LEFT($B86,FIND("(",$B86)-1)&amp;RIGHT(L$1,1),女子エントリー!$AF$7:$AF$406,0),3),"00000"),TEXT(INDEX(女子エントリー!$J$7:$AF$406,MATCH(LEFT($B86,FIND("(",$B86)-1)&amp;RIGHT(L$1,1),女子エントリー!$AF$7:$AF$406,0),3),"0000000")),"")</f>
        <v/>
      </c>
      <c r="M86" s="1" t="str">
        <f>_xlfn.IFNA(TEXT(VLOOKUP(INDEX(女子エントリー!$J$7:$AF$406,MATCH(LEFT($B86,FIND("(",$B86)-1)&amp;RIGHT(M$1,1),女子エントリー!$AF$7:$AF$406,0),1),競技会設定!$T$2:$W$22,4,0),"000")&amp;"00 "&amp;IF(VLOOKUP(INDEX(女子エントリー!$J$7:$AF$406,MATCH(LEFT($B86,FIND("(",$B86)-1)&amp;RIGHT(M$1,1),女子エントリー!$AF$7:$AF$406,0),1),競技会設定!$T$2:$W$22,4,0)&gt;70,TEXT(INDEX(女子エントリー!$J$7:$AF$406,MATCH(LEFT($B86,FIND("(",$B86)-1)&amp;RIGHT(M$1,1),女子エントリー!$AF$7:$AF$406,0),3),"00000"),TEXT(INDEX(女子エントリー!$J$7:$AF$406,MATCH(LEFT($B86,FIND("(",$B86)-1)&amp;RIGHT(M$1,1),女子エントリー!$AF$7:$AF$406,0),3),"0000000")),"")</f>
        <v/>
      </c>
      <c r="N86" s="1" t="str">
        <f>_xlfn.IFNA(TEXT(VLOOKUP(INDEX(女子エントリー!$J$7:$AF$406,MATCH(LEFT($B86,FIND("(",$B86)-1)&amp;RIGHT(N$1,1),女子エントリー!$AF$7:$AF$406,0),1),競技会設定!$T$2:$W$22,4,0),"000")&amp;"00 "&amp;IF(VLOOKUP(INDEX(女子エントリー!$J$7:$AF$406,MATCH(LEFT($B86,FIND("(",$B86)-1)&amp;RIGHT(N$1,1),女子エントリー!$AF$7:$AF$406,0),1),競技会設定!$T$2:$W$22,4,0)&gt;70,TEXT(INDEX(女子エントリー!$J$7:$AF$406,MATCH(LEFT($B86,FIND("(",$B86)-1)&amp;RIGHT(N$1,1),女子エントリー!$AF$7:$AF$406,0),3),"00000"),TEXT(INDEX(女子エントリー!$J$7:$AF$406,MATCH(LEFT($B86,FIND("(",$B86)-1)&amp;RIGHT(N$1,1),女子エントリー!$AF$7:$AF$406,0),3),"0000000")),"")</f>
        <v/>
      </c>
      <c r="O86" s="1" t="str">
        <f>_xlfn.IFNA(TEXT(VLOOKUP(INDEX(女子エントリー!$J$7:$AF$406,MATCH(LEFT($B86,FIND("(",$B86)-1)&amp;RIGHT(O$1,1),女子エントリー!$AF$7:$AF$406,0),1),競技会設定!$T$2:$W$22,4,0),"000")&amp;"00 "&amp;IF(VLOOKUP(INDEX(女子エントリー!$J$7:$AF$406,MATCH(LEFT($B86,FIND("(",$B86)-1)&amp;RIGHT(O$1,1),女子エントリー!$AF$7:$AF$406,0),1),競技会設定!$T$2:$W$22,4,0)&gt;70,TEXT(INDEX(女子エントリー!$J$7:$AF$406,MATCH(LEFT($B86,FIND("(",$B86)-1)&amp;RIGHT(O$1,1),女子エントリー!$AF$7:$AF$406,0),3),"00000"),TEXT(INDEX(女子エントリー!$J$7:$AF$406,MATCH(LEFT($B86,FIND("(",$B86)-1)&amp;RIGHT(O$1,1),女子エントリー!$AF$7:$AF$406,0),3),"0000000")),"")</f>
        <v/>
      </c>
    </row>
    <row r="87" spans="1:15">
      <c r="A87" s="92" t="str">
        <f>女子エントリー!D347</f>
        <v/>
      </c>
      <c r="B87" s="1" t="str">
        <f>女子エントリー!E347&amp;"("&amp;女子エントリー!G347&amp;")"</f>
        <v>()</v>
      </c>
      <c r="C87" s="92" t="str">
        <f>女子エントリー!F347</f>
        <v/>
      </c>
      <c r="D87" s="92" t="str">
        <f>女子エントリー!E349</f>
        <v/>
      </c>
      <c r="E87" s="92" t="str">
        <f>女子エントリー!G349</f>
        <v/>
      </c>
      <c r="F87" s="1" t="str">
        <f t="shared" si="1"/>
        <v/>
      </c>
      <c r="G87" s="92" t="str">
        <f>_xlfn.IFNA(VLOOKUP(女子エントリー!G348,競技会設定!$D$3:$E$49,2,0),"")</f>
        <v/>
      </c>
      <c r="H87" s="92" t="str">
        <f>_xlfn.IFNA(INDEX(競技会設定!$J$3:$O$47,MATCH(女子エントリー!H347,競技会設定!$N$3:$N$47,0),2),"")</f>
        <v/>
      </c>
      <c r="K87" s="92">
        <f>女子エントリー!C347</f>
        <v>0</v>
      </c>
      <c r="L87" s="1" t="str">
        <f>_xlfn.IFNA(TEXT(VLOOKUP(INDEX(女子エントリー!$J$7:$AF$406,MATCH(LEFT($B87,FIND("(",$B87)-1)&amp;RIGHT(L$1,1),女子エントリー!$AF$7:$AF$406,0),1),競技会設定!$T$2:$W$22,4,0),"000")&amp;"00 "&amp;IF(VLOOKUP(INDEX(女子エントリー!$J$7:$AF$406,MATCH(LEFT($B87,FIND("(",$B87)-1)&amp;RIGHT(L$1,1),女子エントリー!$AF$7:$AF$406,0),1),競技会設定!$T$2:$W$22,4,0)&gt;70,TEXT(INDEX(女子エントリー!$J$7:$AF$406,MATCH(LEFT($B87,FIND("(",$B87)-1)&amp;RIGHT(L$1,1),女子エントリー!$AF$7:$AF$406,0),3),"00000"),TEXT(INDEX(女子エントリー!$J$7:$AF$406,MATCH(LEFT($B87,FIND("(",$B87)-1)&amp;RIGHT(L$1,1),女子エントリー!$AF$7:$AF$406,0),3),"0000000")),"")</f>
        <v/>
      </c>
      <c r="M87" s="1" t="str">
        <f>_xlfn.IFNA(TEXT(VLOOKUP(INDEX(女子エントリー!$J$7:$AF$406,MATCH(LEFT($B87,FIND("(",$B87)-1)&amp;RIGHT(M$1,1),女子エントリー!$AF$7:$AF$406,0),1),競技会設定!$T$2:$W$22,4,0),"000")&amp;"00 "&amp;IF(VLOOKUP(INDEX(女子エントリー!$J$7:$AF$406,MATCH(LEFT($B87,FIND("(",$B87)-1)&amp;RIGHT(M$1,1),女子エントリー!$AF$7:$AF$406,0),1),競技会設定!$T$2:$W$22,4,0)&gt;70,TEXT(INDEX(女子エントリー!$J$7:$AF$406,MATCH(LEFT($B87,FIND("(",$B87)-1)&amp;RIGHT(M$1,1),女子エントリー!$AF$7:$AF$406,0),3),"00000"),TEXT(INDEX(女子エントリー!$J$7:$AF$406,MATCH(LEFT($B87,FIND("(",$B87)-1)&amp;RIGHT(M$1,1),女子エントリー!$AF$7:$AF$406,0),3),"0000000")),"")</f>
        <v/>
      </c>
      <c r="N87" s="1" t="str">
        <f>_xlfn.IFNA(TEXT(VLOOKUP(INDEX(女子エントリー!$J$7:$AF$406,MATCH(LEFT($B87,FIND("(",$B87)-1)&amp;RIGHT(N$1,1),女子エントリー!$AF$7:$AF$406,0),1),競技会設定!$T$2:$W$22,4,0),"000")&amp;"00 "&amp;IF(VLOOKUP(INDEX(女子エントリー!$J$7:$AF$406,MATCH(LEFT($B87,FIND("(",$B87)-1)&amp;RIGHT(N$1,1),女子エントリー!$AF$7:$AF$406,0),1),競技会設定!$T$2:$W$22,4,0)&gt;70,TEXT(INDEX(女子エントリー!$J$7:$AF$406,MATCH(LEFT($B87,FIND("(",$B87)-1)&amp;RIGHT(N$1,1),女子エントリー!$AF$7:$AF$406,0),3),"00000"),TEXT(INDEX(女子エントリー!$J$7:$AF$406,MATCH(LEFT($B87,FIND("(",$B87)-1)&amp;RIGHT(N$1,1),女子エントリー!$AF$7:$AF$406,0),3),"0000000")),"")</f>
        <v/>
      </c>
      <c r="O87" s="1" t="str">
        <f>_xlfn.IFNA(TEXT(VLOOKUP(INDEX(女子エントリー!$J$7:$AF$406,MATCH(LEFT($B87,FIND("(",$B87)-1)&amp;RIGHT(O$1,1),女子エントリー!$AF$7:$AF$406,0),1),競技会設定!$T$2:$W$22,4,0),"000")&amp;"00 "&amp;IF(VLOOKUP(INDEX(女子エントリー!$J$7:$AF$406,MATCH(LEFT($B87,FIND("(",$B87)-1)&amp;RIGHT(O$1,1),女子エントリー!$AF$7:$AF$406,0),1),競技会設定!$T$2:$W$22,4,0)&gt;70,TEXT(INDEX(女子エントリー!$J$7:$AF$406,MATCH(LEFT($B87,FIND("(",$B87)-1)&amp;RIGHT(O$1,1),女子エントリー!$AF$7:$AF$406,0),3),"00000"),TEXT(INDEX(女子エントリー!$J$7:$AF$406,MATCH(LEFT($B87,FIND("(",$B87)-1)&amp;RIGHT(O$1,1),女子エントリー!$AF$7:$AF$406,0),3),"0000000")),"")</f>
        <v/>
      </c>
    </row>
    <row r="88" spans="1:15">
      <c r="A88" s="92" t="str">
        <f>女子エントリー!D351</f>
        <v/>
      </c>
      <c r="B88" s="1" t="str">
        <f>女子エントリー!E351&amp;"("&amp;女子エントリー!G351&amp;")"</f>
        <v>()</v>
      </c>
      <c r="C88" s="92" t="str">
        <f>女子エントリー!F351</f>
        <v/>
      </c>
      <c r="D88" s="92" t="str">
        <f>女子エントリー!E353</f>
        <v/>
      </c>
      <c r="E88" s="92" t="str">
        <f>女子エントリー!G353</f>
        <v/>
      </c>
      <c r="F88" s="1" t="str">
        <f t="shared" si="1"/>
        <v/>
      </c>
      <c r="G88" s="92" t="str">
        <f>_xlfn.IFNA(VLOOKUP(女子エントリー!G352,競技会設定!$D$3:$E$49,2,0),"")</f>
        <v/>
      </c>
      <c r="H88" s="92" t="str">
        <f>_xlfn.IFNA(INDEX(競技会設定!$J$3:$O$47,MATCH(女子エントリー!H351,競技会設定!$N$3:$N$47,0),2),"")</f>
        <v/>
      </c>
      <c r="K88" s="92">
        <f>女子エントリー!C351</f>
        <v>0</v>
      </c>
      <c r="L88" s="1" t="str">
        <f>_xlfn.IFNA(TEXT(VLOOKUP(INDEX(女子エントリー!$J$7:$AF$406,MATCH(LEFT($B88,FIND("(",$B88)-1)&amp;RIGHT(L$1,1),女子エントリー!$AF$7:$AF$406,0),1),競技会設定!$T$2:$W$22,4,0),"000")&amp;"00 "&amp;IF(VLOOKUP(INDEX(女子エントリー!$J$7:$AF$406,MATCH(LEFT($B88,FIND("(",$B88)-1)&amp;RIGHT(L$1,1),女子エントリー!$AF$7:$AF$406,0),1),競技会設定!$T$2:$W$22,4,0)&gt;70,TEXT(INDEX(女子エントリー!$J$7:$AF$406,MATCH(LEFT($B88,FIND("(",$B88)-1)&amp;RIGHT(L$1,1),女子エントリー!$AF$7:$AF$406,0),3),"00000"),TEXT(INDEX(女子エントリー!$J$7:$AF$406,MATCH(LEFT($B88,FIND("(",$B88)-1)&amp;RIGHT(L$1,1),女子エントリー!$AF$7:$AF$406,0),3),"0000000")),"")</f>
        <v/>
      </c>
      <c r="M88" s="1" t="str">
        <f>_xlfn.IFNA(TEXT(VLOOKUP(INDEX(女子エントリー!$J$7:$AF$406,MATCH(LEFT($B88,FIND("(",$B88)-1)&amp;RIGHT(M$1,1),女子エントリー!$AF$7:$AF$406,0),1),競技会設定!$T$2:$W$22,4,0),"000")&amp;"00 "&amp;IF(VLOOKUP(INDEX(女子エントリー!$J$7:$AF$406,MATCH(LEFT($B88,FIND("(",$B88)-1)&amp;RIGHT(M$1,1),女子エントリー!$AF$7:$AF$406,0),1),競技会設定!$T$2:$W$22,4,0)&gt;70,TEXT(INDEX(女子エントリー!$J$7:$AF$406,MATCH(LEFT($B88,FIND("(",$B88)-1)&amp;RIGHT(M$1,1),女子エントリー!$AF$7:$AF$406,0),3),"00000"),TEXT(INDEX(女子エントリー!$J$7:$AF$406,MATCH(LEFT($B88,FIND("(",$B88)-1)&amp;RIGHT(M$1,1),女子エントリー!$AF$7:$AF$406,0),3),"0000000")),"")</f>
        <v/>
      </c>
      <c r="N88" s="1" t="str">
        <f>_xlfn.IFNA(TEXT(VLOOKUP(INDEX(女子エントリー!$J$7:$AF$406,MATCH(LEFT($B88,FIND("(",$B88)-1)&amp;RIGHT(N$1,1),女子エントリー!$AF$7:$AF$406,0),1),競技会設定!$T$2:$W$22,4,0),"000")&amp;"00 "&amp;IF(VLOOKUP(INDEX(女子エントリー!$J$7:$AF$406,MATCH(LEFT($B88,FIND("(",$B88)-1)&amp;RIGHT(N$1,1),女子エントリー!$AF$7:$AF$406,0),1),競技会設定!$T$2:$W$22,4,0)&gt;70,TEXT(INDEX(女子エントリー!$J$7:$AF$406,MATCH(LEFT($B88,FIND("(",$B88)-1)&amp;RIGHT(N$1,1),女子エントリー!$AF$7:$AF$406,0),3),"00000"),TEXT(INDEX(女子エントリー!$J$7:$AF$406,MATCH(LEFT($B88,FIND("(",$B88)-1)&amp;RIGHT(N$1,1),女子エントリー!$AF$7:$AF$406,0),3),"0000000")),"")</f>
        <v/>
      </c>
      <c r="O88" s="1" t="str">
        <f>_xlfn.IFNA(TEXT(VLOOKUP(INDEX(女子エントリー!$J$7:$AF$406,MATCH(LEFT($B88,FIND("(",$B88)-1)&amp;RIGHT(O$1,1),女子エントリー!$AF$7:$AF$406,0),1),競技会設定!$T$2:$W$22,4,0),"000")&amp;"00 "&amp;IF(VLOOKUP(INDEX(女子エントリー!$J$7:$AF$406,MATCH(LEFT($B88,FIND("(",$B88)-1)&amp;RIGHT(O$1,1),女子エントリー!$AF$7:$AF$406,0),1),競技会設定!$T$2:$W$22,4,0)&gt;70,TEXT(INDEX(女子エントリー!$J$7:$AF$406,MATCH(LEFT($B88,FIND("(",$B88)-1)&amp;RIGHT(O$1,1),女子エントリー!$AF$7:$AF$406,0),3),"00000"),TEXT(INDEX(女子エントリー!$J$7:$AF$406,MATCH(LEFT($B88,FIND("(",$B88)-1)&amp;RIGHT(O$1,1),女子エントリー!$AF$7:$AF$406,0),3),"0000000")),"")</f>
        <v/>
      </c>
    </row>
    <row r="89" spans="1:15">
      <c r="A89" s="92" t="str">
        <f>女子エントリー!D355</f>
        <v/>
      </c>
      <c r="B89" s="1" t="str">
        <f>女子エントリー!E355&amp;"("&amp;女子エントリー!G355&amp;")"</f>
        <v>()</v>
      </c>
      <c r="C89" s="92" t="str">
        <f>女子エントリー!F355</f>
        <v/>
      </c>
      <c r="D89" s="92" t="str">
        <f>女子エントリー!E357</f>
        <v/>
      </c>
      <c r="E89" s="92" t="str">
        <f>女子エントリー!G357</f>
        <v/>
      </c>
      <c r="F89" s="1" t="str">
        <f t="shared" si="1"/>
        <v/>
      </c>
      <c r="G89" s="92" t="str">
        <f>_xlfn.IFNA(VLOOKUP(女子エントリー!G356,競技会設定!$D$3:$E$49,2,0),"")</f>
        <v/>
      </c>
      <c r="H89" s="92" t="str">
        <f>_xlfn.IFNA(INDEX(競技会設定!$J$3:$O$47,MATCH(女子エントリー!H355,競技会設定!$N$3:$N$47,0),2),"")</f>
        <v/>
      </c>
      <c r="K89" s="92">
        <f>女子エントリー!C355</f>
        <v>0</v>
      </c>
      <c r="L89" s="1" t="str">
        <f>_xlfn.IFNA(TEXT(VLOOKUP(INDEX(女子エントリー!$J$7:$AF$406,MATCH(LEFT($B89,FIND("(",$B89)-1)&amp;RIGHT(L$1,1),女子エントリー!$AF$7:$AF$406,0),1),競技会設定!$T$2:$W$22,4,0),"000")&amp;"00 "&amp;IF(VLOOKUP(INDEX(女子エントリー!$J$7:$AF$406,MATCH(LEFT($B89,FIND("(",$B89)-1)&amp;RIGHT(L$1,1),女子エントリー!$AF$7:$AF$406,0),1),競技会設定!$T$2:$W$22,4,0)&gt;70,TEXT(INDEX(女子エントリー!$J$7:$AF$406,MATCH(LEFT($B89,FIND("(",$B89)-1)&amp;RIGHT(L$1,1),女子エントリー!$AF$7:$AF$406,0),3),"00000"),TEXT(INDEX(女子エントリー!$J$7:$AF$406,MATCH(LEFT($B89,FIND("(",$B89)-1)&amp;RIGHT(L$1,1),女子エントリー!$AF$7:$AF$406,0),3),"0000000")),"")</f>
        <v/>
      </c>
      <c r="M89" s="1" t="str">
        <f>_xlfn.IFNA(TEXT(VLOOKUP(INDEX(女子エントリー!$J$7:$AF$406,MATCH(LEFT($B89,FIND("(",$B89)-1)&amp;RIGHT(M$1,1),女子エントリー!$AF$7:$AF$406,0),1),競技会設定!$T$2:$W$22,4,0),"000")&amp;"00 "&amp;IF(VLOOKUP(INDEX(女子エントリー!$J$7:$AF$406,MATCH(LEFT($B89,FIND("(",$B89)-1)&amp;RIGHT(M$1,1),女子エントリー!$AF$7:$AF$406,0),1),競技会設定!$T$2:$W$22,4,0)&gt;70,TEXT(INDEX(女子エントリー!$J$7:$AF$406,MATCH(LEFT($B89,FIND("(",$B89)-1)&amp;RIGHT(M$1,1),女子エントリー!$AF$7:$AF$406,0),3),"00000"),TEXT(INDEX(女子エントリー!$J$7:$AF$406,MATCH(LEFT($B89,FIND("(",$B89)-1)&amp;RIGHT(M$1,1),女子エントリー!$AF$7:$AF$406,0),3),"0000000")),"")</f>
        <v/>
      </c>
      <c r="N89" s="1" t="str">
        <f>_xlfn.IFNA(TEXT(VLOOKUP(INDEX(女子エントリー!$J$7:$AF$406,MATCH(LEFT($B89,FIND("(",$B89)-1)&amp;RIGHT(N$1,1),女子エントリー!$AF$7:$AF$406,0),1),競技会設定!$T$2:$W$22,4,0),"000")&amp;"00 "&amp;IF(VLOOKUP(INDEX(女子エントリー!$J$7:$AF$406,MATCH(LEFT($B89,FIND("(",$B89)-1)&amp;RIGHT(N$1,1),女子エントリー!$AF$7:$AF$406,0),1),競技会設定!$T$2:$W$22,4,0)&gt;70,TEXT(INDEX(女子エントリー!$J$7:$AF$406,MATCH(LEFT($B89,FIND("(",$B89)-1)&amp;RIGHT(N$1,1),女子エントリー!$AF$7:$AF$406,0),3),"00000"),TEXT(INDEX(女子エントリー!$J$7:$AF$406,MATCH(LEFT($B89,FIND("(",$B89)-1)&amp;RIGHT(N$1,1),女子エントリー!$AF$7:$AF$406,0),3),"0000000")),"")</f>
        <v/>
      </c>
      <c r="O89" s="1" t="str">
        <f>_xlfn.IFNA(TEXT(VLOOKUP(INDEX(女子エントリー!$J$7:$AF$406,MATCH(LEFT($B89,FIND("(",$B89)-1)&amp;RIGHT(O$1,1),女子エントリー!$AF$7:$AF$406,0),1),競技会設定!$T$2:$W$22,4,0),"000")&amp;"00 "&amp;IF(VLOOKUP(INDEX(女子エントリー!$J$7:$AF$406,MATCH(LEFT($B89,FIND("(",$B89)-1)&amp;RIGHT(O$1,1),女子エントリー!$AF$7:$AF$406,0),1),競技会設定!$T$2:$W$22,4,0)&gt;70,TEXT(INDEX(女子エントリー!$J$7:$AF$406,MATCH(LEFT($B89,FIND("(",$B89)-1)&amp;RIGHT(O$1,1),女子エントリー!$AF$7:$AF$406,0),3),"00000"),TEXT(INDEX(女子エントリー!$J$7:$AF$406,MATCH(LEFT($B89,FIND("(",$B89)-1)&amp;RIGHT(O$1,1),女子エントリー!$AF$7:$AF$406,0),3),"0000000")),"")</f>
        <v/>
      </c>
    </row>
    <row r="90" spans="1:15">
      <c r="A90" s="92" t="str">
        <f>女子エントリー!D359</f>
        <v/>
      </c>
      <c r="B90" s="1" t="str">
        <f>女子エントリー!E359&amp;"("&amp;女子エントリー!G359&amp;")"</f>
        <v>()</v>
      </c>
      <c r="C90" s="92" t="str">
        <f>女子エントリー!F359</f>
        <v/>
      </c>
      <c r="D90" s="92" t="str">
        <f>女子エントリー!E361</f>
        <v/>
      </c>
      <c r="E90" s="92" t="str">
        <f>女子エントリー!G361</f>
        <v/>
      </c>
      <c r="F90" s="1" t="str">
        <f t="shared" si="1"/>
        <v/>
      </c>
      <c r="G90" s="92" t="str">
        <f>_xlfn.IFNA(VLOOKUP(女子エントリー!G360,競技会設定!$D$3:$E$49,2,0),"")</f>
        <v/>
      </c>
      <c r="H90" s="92" t="str">
        <f>_xlfn.IFNA(INDEX(競技会設定!$J$3:$O$47,MATCH(女子エントリー!H359,競技会設定!$N$3:$N$47,0),2),"")</f>
        <v/>
      </c>
      <c r="K90" s="92">
        <f>女子エントリー!C359</f>
        <v>0</v>
      </c>
      <c r="L90" s="1" t="str">
        <f>_xlfn.IFNA(TEXT(VLOOKUP(INDEX(女子エントリー!$J$7:$AF$406,MATCH(LEFT($B90,FIND("(",$B90)-1)&amp;RIGHT(L$1,1),女子エントリー!$AF$7:$AF$406,0),1),競技会設定!$T$2:$W$22,4,0),"000")&amp;"00 "&amp;IF(VLOOKUP(INDEX(女子エントリー!$J$7:$AF$406,MATCH(LEFT($B90,FIND("(",$B90)-1)&amp;RIGHT(L$1,1),女子エントリー!$AF$7:$AF$406,0),1),競技会設定!$T$2:$W$22,4,0)&gt;70,TEXT(INDEX(女子エントリー!$J$7:$AF$406,MATCH(LEFT($B90,FIND("(",$B90)-1)&amp;RIGHT(L$1,1),女子エントリー!$AF$7:$AF$406,0),3),"00000"),TEXT(INDEX(女子エントリー!$J$7:$AF$406,MATCH(LEFT($B90,FIND("(",$B90)-1)&amp;RIGHT(L$1,1),女子エントリー!$AF$7:$AF$406,0),3),"0000000")),"")</f>
        <v/>
      </c>
      <c r="M90" s="1" t="str">
        <f>_xlfn.IFNA(TEXT(VLOOKUP(INDEX(女子エントリー!$J$7:$AF$406,MATCH(LEFT($B90,FIND("(",$B90)-1)&amp;RIGHT(M$1,1),女子エントリー!$AF$7:$AF$406,0),1),競技会設定!$T$2:$W$22,4,0),"000")&amp;"00 "&amp;IF(VLOOKUP(INDEX(女子エントリー!$J$7:$AF$406,MATCH(LEFT($B90,FIND("(",$B90)-1)&amp;RIGHT(M$1,1),女子エントリー!$AF$7:$AF$406,0),1),競技会設定!$T$2:$W$22,4,0)&gt;70,TEXT(INDEX(女子エントリー!$J$7:$AF$406,MATCH(LEFT($B90,FIND("(",$B90)-1)&amp;RIGHT(M$1,1),女子エントリー!$AF$7:$AF$406,0),3),"00000"),TEXT(INDEX(女子エントリー!$J$7:$AF$406,MATCH(LEFT($B90,FIND("(",$B90)-1)&amp;RIGHT(M$1,1),女子エントリー!$AF$7:$AF$406,0),3),"0000000")),"")</f>
        <v/>
      </c>
      <c r="N90" s="1" t="str">
        <f>_xlfn.IFNA(TEXT(VLOOKUP(INDEX(女子エントリー!$J$7:$AF$406,MATCH(LEFT($B90,FIND("(",$B90)-1)&amp;RIGHT(N$1,1),女子エントリー!$AF$7:$AF$406,0),1),競技会設定!$T$2:$W$22,4,0),"000")&amp;"00 "&amp;IF(VLOOKUP(INDEX(女子エントリー!$J$7:$AF$406,MATCH(LEFT($B90,FIND("(",$B90)-1)&amp;RIGHT(N$1,1),女子エントリー!$AF$7:$AF$406,0),1),競技会設定!$T$2:$W$22,4,0)&gt;70,TEXT(INDEX(女子エントリー!$J$7:$AF$406,MATCH(LEFT($B90,FIND("(",$B90)-1)&amp;RIGHT(N$1,1),女子エントリー!$AF$7:$AF$406,0),3),"00000"),TEXT(INDEX(女子エントリー!$J$7:$AF$406,MATCH(LEFT($B90,FIND("(",$B90)-1)&amp;RIGHT(N$1,1),女子エントリー!$AF$7:$AF$406,0),3),"0000000")),"")</f>
        <v/>
      </c>
      <c r="O90" s="1" t="str">
        <f>_xlfn.IFNA(TEXT(VLOOKUP(INDEX(女子エントリー!$J$7:$AF$406,MATCH(LEFT($B90,FIND("(",$B90)-1)&amp;RIGHT(O$1,1),女子エントリー!$AF$7:$AF$406,0),1),競技会設定!$T$2:$W$22,4,0),"000")&amp;"00 "&amp;IF(VLOOKUP(INDEX(女子エントリー!$J$7:$AF$406,MATCH(LEFT($B90,FIND("(",$B90)-1)&amp;RIGHT(O$1,1),女子エントリー!$AF$7:$AF$406,0),1),競技会設定!$T$2:$W$22,4,0)&gt;70,TEXT(INDEX(女子エントリー!$J$7:$AF$406,MATCH(LEFT($B90,FIND("(",$B90)-1)&amp;RIGHT(O$1,1),女子エントリー!$AF$7:$AF$406,0),3),"00000"),TEXT(INDEX(女子エントリー!$J$7:$AF$406,MATCH(LEFT($B90,FIND("(",$B90)-1)&amp;RIGHT(O$1,1),女子エントリー!$AF$7:$AF$406,0),3),"0000000")),"")</f>
        <v/>
      </c>
    </row>
    <row r="91" spans="1:15">
      <c r="A91" s="92" t="str">
        <f>女子エントリー!D363</f>
        <v/>
      </c>
      <c r="B91" s="1" t="str">
        <f>女子エントリー!E363&amp;"("&amp;女子エントリー!G363&amp;")"</f>
        <v>()</v>
      </c>
      <c r="C91" s="92" t="str">
        <f>女子エントリー!F363</f>
        <v/>
      </c>
      <c r="D91" s="92" t="str">
        <f>女子エントリー!E365</f>
        <v/>
      </c>
      <c r="E91" s="92" t="str">
        <f>女子エントリー!G365</f>
        <v/>
      </c>
      <c r="F91" s="1" t="str">
        <f t="shared" si="1"/>
        <v/>
      </c>
      <c r="G91" s="92" t="str">
        <f>_xlfn.IFNA(VLOOKUP(女子エントリー!G364,競技会設定!$D$3:$E$49,2,0),"")</f>
        <v/>
      </c>
      <c r="H91" s="92" t="str">
        <f>_xlfn.IFNA(INDEX(競技会設定!$J$3:$O$47,MATCH(女子エントリー!H363,競技会設定!$N$3:$N$47,0),2),"")</f>
        <v/>
      </c>
      <c r="K91" s="92">
        <f>女子エントリー!C363</f>
        <v>0</v>
      </c>
      <c r="L91" s="1" t="str">
        <f>_xlfn.IFNA(TEXT(VLOOKUP(INDEX(女子エントリー!$J$7:$AF$406,MATCH(LEFT($B91,FIND("(",$B91)-1)&amp;RIGHT(L$1,1),女子エントリー!$AF$7:$AF$406,0),1),競技会設定!$T$2:$W$22,4,0),"000")&amp;"00 "&amp;IF(VLOOKUP(INDEX(女子エントリー!$J$7:$AF$406,MATCH(LEFT($B91,FIND("(",$B91)-1)&amp;RIGHT(L$1,1),女子エントリー!$AF$7:$AF$406,0),1),競技会設定!$T$2:$W$22,4,0)&gt;70,TEXT(INDEX(女子エントリー!$J$7:$AF$406,MATCH(LEFT($B91,FIND("(",$B91)-1)&amp;RIGHT(L$1,1),女子エントリー!$AF$7:$AF$406,0),3),"00000"),TEXT(INDEX(女子エントリー!$J$7:$AF$406,MATCH(LEFT($B91,FIND("(",$B91)-1)&amp;RIGHT(L$1,1),女子エントリー!$AF$7:$AF$406,0),3),"0000000")),"")</f>
        <v/>
      </c>
      <c r="M91" s="1" t="str">
        <f>_xlfn.IFNA(TEXT(VLOOKUP(INDEX(女子エントリー!$J$7:$AF$406,MATCH(LEFT($B91,FIND("(",$B91)-1)&amp;RIGHT(M$1,1),女子エントリー!$AF$7:$AF$406,0),1),競技会設定!$T$2:$W$22,4,0),"000")&amp;"00 "&amp;IF(VLOOKUP(INDEX(女子エントリー!$J$7:$AF$406,MATCH(LEFT($B91,FIND("(",$B91)-1)&amp;RIGHT(M$1,1),女子エントリー!$AF$7:$AF$406,0),1),競技会設定!$T$2:$W$22,4,0)&gt;70,TEXT(INDEX(女子エントリー!$J$7:$AF$406,MATCH(LEFT($B91,FIND("(",$B91)-1)&amp;RIGHT(M$1,1),女子エントリー!$AF$7:$AF$406,0),3),"00000"),TEXT(INDEX(女子エントリー!$J$7:$AF$406,MATCH(LEFT($B91,FIND("(",$B91)-1)&amp;RIGHT(M$1,1),女子エントリー!$AF$7:$AF$406,0),3),"0000000")),"")</f>
        <v/>
      </c>
      <c r="N91" s="1" t="str">
        <f>_xlfn.IFNA(TEXT(VLOOKUP(INDEX(女子エントリー!$J$7:$AF$406,MATCH(LEFT($B91,FIND("(",$B91)-1)&amp;RIGHT(N$1,1),女子エントリー!$AF$7:$AF$406,0),1),競技会設定!$T$2:$W$22,4,0),"000")&amp;"00 "&amp;IF(VLOOKUP(INDEX(女子エントリー!$J$7:$AF$406,MATCH(LEFT($B91,FIND("(",$B91)-1)&amp;RIGHT(N$1,1),女子エントリー!$AF$7:$AF$406,0),1),競技会設定!$T$2:$W$22,4,0)&gt;70,TEXT(INDEX(女子エントリー!$J$7:$AF$406,MATCH(LEFT($B91,FIND("(",$B91)-1)&amp;RIGHT(N$1,1),女子エントリー!$AF$7:$AF$406,0),3),"00000"),TEXT(INDEX(女子エントリー!$J$7:$AF$406,MATCH(LEFT($B91,FIND("(",$B91)-1)&amp;RIGHT(N$1,1),女子エントリー!$AF$7:$AF$406,0),3),"0000000")),"")</f>
        <v/>
      </c>
      <c r="O91" s="1" t="str">
        <f>_xlfn.IFNA(TEXT(VLOOKUP(INDEX(女子エントリー!$J$7:$AF$406,MATCH(LEFT($B91,FIND("(",$B91)-1)&amp;RIGHT(O$1,1),女子エントリー!$AF$7:$AF$406,0),1),競技会設定!$T$2:$W$22,4,0),"000")&amp;"00 "&amp;IF(VLOOKUP(INDEX(女子エントリー!$J$7:$AF$406,MATCH(LEFT($B91,FIND("(",$B91)-1)&amp;RIGHT(O$1,1),女子エントリー!$AF$7:$AF$406,0),1),競技会設定!$T$2:$W$22,4,0)&gt;70,TEXT(INDEX(女子エントリー!$J$7:$AF$406,MATCH(LEFT($B91,FIND("(",$B91)-1)&amp;RIGHT(O$1,1),女子エントリー!$AF$7:$AF$406,0),3),"00000"),TEXT(INDEX(女子エントリー!$J$7:$AF$406,MATCH(LEFT($B91,FIND("(",$B91)-1)&amp;RIGHT(O$1,1),女子エントリー!$AF$7:$AF$406,0),3),"0000000")),"")</f>
        <v/>
      </c>
    </row>
    <row r="92" spans="1:15">
      <c r="A92" s="92" t="str">
        <f>女子エントリー!D367</f>
        <v/>
      </c>
      <c r="B92" s="1" t="str">
        <f>女子エントリー!E367&amp;"("&amp;女子エントリー!G367&amp;")"</f>
        <v>()</v>
      </c>
      <c r="C92" s="92" t="str">
        <f>女子エントリー!F367</f>
        <v/>
      </c>
      <c r="D92" s="92" t="str">
        <f>女子エントリー!E369</f>
        <v/>
      </c>
      <c r="E92" s="92" t="str">
        <f>女子エントリー!G369</f>
        <v/>
      </c>
      <c r="F92" s="1" t="str">
        <f t="shared" si="1"/>
        <v/>
      </c>
      <c r="G92" s="92" t="str">
        <f>_xlfn.IFNA(VLOOKUP(女子エントリー!G368,競技会設定!$D$3:$E$49,2,0),"")</f>
        <v/>
      </c>
      <c r="H92" s="92" t="str">
        <f>_xlfn.IFNA(INDEX(競技会設定!$J$3:$O$47,MATCH(女子エントリー!H367,競技会設定!$N$3:$N$47,0),2),"")</f>
        <v/>
      </c>
      <c r="K92" s="92">
        <f>女子エントリー!C367</f>
        <v>0</v>
      </c>
      <c r="L92" s="1" t="str">
        <f>_xlfn.IFNA(TEXT(VLOOKUP(INDEX(女子エントリー!$J$7:$AF$406,MATCH(LEFT($B92,FIND("(",$B92)-1)&amp;RIGHT(L$1,1),女子エントリー!$AF$7:$AF$406,0),1),競技会設定!$T$2:$W$22,4,0),"000")&amp;"00 "&amp;IF(VLOOKUP(INDEX(女子エントリー!$J$7:$AF$406,MATCH(LEFT($B92,FIND("(",$B92)-1)&amp;RIGHT(L$1,1),女子エントリー!$AF$7:$AF$406,0),1),競技会設定!$T$2:$W$22,4,0)&gt;70,TEXT(INDEX(女子エントリー!$J$7:$AF$406,MATCH(LEFT($B92,FIND("(",$B92)-1)&amp;RIGHT(L$1,1),女子エントリー!$AF$7:$AF$406,0),3),"00000"),TEXT(INDEX(女子エントリー!$J$7:$AF$406,MATCH(LEFT($B92,FIND("(",$B92)-1)&amp;RIGHT(L$1,1),女子エントリー!$AF$7:$AF$406,0),3),"0000000")),"")</f>
        <v/>
      </c>
      <c r="M92" s="1" t="str">
        <f>_xlfn.IFNA(TEXT(VLOOKUP(INDEX(女子エントリー!$J$7:$AF$406,MATCH(LEFT($B92,FIND("(",$B92)-1)&amp;RIGHT(M$1,1),女子エントリー!$AF$7:$AF$406,0),1),競技会設定!$T$2:$W$22,4,0),"000")&amp;"00 "&amp;IF(VLOOKUP(INDEX(女子エントリー!$J$7:$AF$406,MATCH(LEFT($B92,FIND("(",$B92)-1)&amp;RIGHT(M$1,1),女子エントリー!$AF$7:$AF$406,0),1),競技会設定!$T$2:$W$22,4,0)&gt;70,TEXT(INDEX(女子エントリー!$J$7:$AF$406,MATCH(LEFT($B92,FIND("(",$B92)-1)&amp;RIGHT(M$1,1),女子エントリー!$AF$7:$AF$406,0),3),"00000"),TEXT(INDEX(女子エントリー!$J$7:$AF$406,MATCH(LEFT($B92,FIND("(",$B92)-1)&amp;RIGHT(M$1,1),女子エントリー!$AF$7:$AF$406,0),3),"0000000")),"")</f>
        <v/>
      </c>
      <c r="N92" s="1" t="str">
        <f>_xlfn.IFNA(TEXT(VLOOKUP(INDEX(女子エントリー!$J$7:$AF$406,MATCH(LEFT($B92,FIND("(",$B92)-1)&amp;RIGHT(N$1,1),女子エントリー!$AF$7:$AF$406,0),1),競技会設定!$T$2:$W$22,4,0),"000")&amp;"00 "&amp;IF(VLOOKUP(INDEX(女子エントリー!$J$7:$AF$406,MATCH(LEFT($B92,FIND("(",$B92)-1)&amp;RIGHT(N$1,1),女子エントリー!$AF$7:$AF$406,0),1),競技会設定!$T$2:$W$22,4,0)&gt;70,TEXT(INDEX(女子エントリー!$J$7:$AF$406,MATCH(LEFT($B92,FIND("(",$B92)-1)&amp;RIGHT(N$1,1),女子エントリー!$AF$7:$AF$406,0),3),"00000"),TEXT(INDEX(女子エントリー!$J$7:$AF$406,MATCH(LEFT($B92,FIND("(",$B92)-1)&amp;RIGHT(N$1,1),女子エントリー!$AF$7:$AF$406,0),3),"0000000")),"")</f>
        <v/>
      </c>
      <c r="O92" s="1" t="str">
        <f>_xlfn.IFNA(TEXT(VLOOKUP(INDEX(女子エントリー!$J$7:$AF$406,MATCH(LEFT($B92,FIND("(",$B92)-1)&amp;RIGHT(O$1,1),女子エントリー!$AF$7:$AF$406,0),1),競技会設定!$T$2:$W$22,4,0),"000")&amp;"00 "&amp;IF(VLOOKUP(INDEX(女子エントリー!$J$7:$AF$406,MATCH(LEFT($B92,FIND("(",$B92)-1)&amp;RIGHT(O$1,1),女子エントリー!$AF$7:$AF$406,0),1),競技会設定!$T$2:$W$22,4,0)&gt;70,TEXT(INDEX(女子エントリー!$J$7:$AF$406,MATCH(LEFT($B92,FIND("(",$B92)-1)&amp;RIGHT(O$1,1),女子エントリー!$AF$7:$AF$406,0),3),"00000"),TEXT(INDEX(女子エントリー!$J$7:$AF$406,MATCH(LEFT($B92,FIND("(",$B92)-1)&amp;RIGHT(O$1,1),女子エントリー!$AF$7:$AF$406,0),3),"0000000")),"")</f>
        <v/>
      </c>
    </row>
    <row r="93" spans="1:15">
      <c r="A93" s="92" t="str">
        <f>女子エントリー!D371</f>
        <v/>
      </c>
      <c r="B93" s="1" t="str">
        <f>女子エントリー!E371&amp;"("&amp;女子エントリー!G371&amp;")"</f>
        <v>()</v>
      </c>
      <c r="C93" s="92" t="str">
        <f>女子エントリー!F371</f>
        <v/>
      </c>
      <c r="D93" s="92" t="str">
        <f>女子エントリー!E373</f>
        <v/>
      </c>
      <c r="E93" s="92" t="str">
        <f>女子エントリー!G373</f>
        <v/>
      </c>
      <c r="F93" s="1" t="str">
        <f t="shared" si="1"/>
        <v/>
      </c>
      <c r="G93" s="92" t="str">
        <f>_xlfn.IFNA(VLOOKUP(女子エントリー!G372,競技会設定!$D$3:$E$49,2,0),"")</f>
        <v/>
      </c>
      <c r="H93" s="92" t="str">
        <f>_xlfn.IFNA(INDEX(競技会設定!$J$3:$O$47,MATCH(女子エントリー!H371,競技会設定!$N$3:$N$47,0),2),"")</f>
        <v/>
      </c>
      <c r="K93" s="92">
        <f>女子エントリー!C371</f>
        <v>0</v>
      </c>
      <c r="L93" s="1" t="str">
        <f>_xlfn.IFNA(TEXT(VLOOKUP(INDEX(女子エントリー!$J$7:$AF$406,MATCH(LEFT($B93,FIND("(",$B93)-1)&amp;RIGHT(L$1,1),女子エントリー!$AF$7:$AF$406,0),1),競技会設定!$T$2:$W$22,4,0),"000")&amp;"00 "&amp;IF(VLOOKUP(INDEX(女子エントリー!$J$7:$AF$406,MATCH(LEFT($B93,FIND("(",$B93)-1)&amp;RIGHT(L$1,1),女子エントリー!$AF$7:$AF$406,0),1),競技会設定!$T$2:$W$22,4,0)&gt;70,TEXT(INDEX(女子エントリー!$J$7:$AF$406,MATCH(LEFT($B93,FIND("(",$B93)-1)&amp;RIGHT(L$1,1),女子エントリー!$AF$7:$AF$406,0),3),"00000"),TEXT(INDEX(女子エントリー!$J$7:$AF$406,MATCH(LEFT($B93,FIND("(",$B93)-1)&amp;RIGHT(L$1,1),女子エントリー!$AF$7:$AF$406,0),3),"0000000")),"")</f>
        <v/>
      </c>
      <c r="M93" s="1" t="str">
        <f>_xlfn.IFNA(TEXT(VLOOKUP(INDEX(女子エントリー!$J$7:$AF$406,MATCH(LEFT($B93,FIND("(",$B93)-1)&amp;RIGHT(M$1,1),女子エントリー!$AF$7:$AF$406,0),1),競技会設定!$T$2:$W$22,4,0),"000")&amp;"00 "&amp;IF(VLOOKUP(INDEX(女子エントリー!$J$7:$AF$406,MATCH(LEFT($B93,FIND("(",$B93)-1)&amp;RIGHT(M$1,1),女子エントリー!$AF$7:$AF$406,0),1),競技会設定!$T$2:$W$22,4,0)&gt;70,TEXT(INDEX(女子エントリー!$J$7:$AF$406,MATCH(LEFT($B93,FIND("(",$B93)-1)&amp;RIGHT(M$1,1),女子エントリー!$AF$7:$AF$406,0),3),"00000"),TEXT(INDEX(女子エントリー!$J$7:$AF$406,MATCH(LEFT($B93,FIND("(",$B93)-1)&amp;RIGHT(M$1,1),女子エントリー!$AF$7:$AF$406,0),3),"0000000")),"")</f>
        <v/>
      </c>
      <c r="N93" s="1" t="str">
        <f>_xlfn.IFNA(TEXT(VLOOKUP(INDEX(女子エントリー!$J$7:$AF$406,MATCH(LEFT($B93,FIND("(",$B93)-1)&amp;RIGHT(N$1,1),女子エントリー!$AF$7:$AF$406,0),1),競技会設定!$T$2:$W$22,4,0),"000")&amp;"00 "&amp;IF(VLOOKUP(INDEX(女子エントリー!$J$7:$AF$406,MATCH(LEFT($B93,FIND("(",$B93)-1)&amp;RIGHT(N$1,1),女子エントリー!$AF$7:$AF$406,0),1),競技会設定!$T$2:$W$22,4,0)&gt;70,TEXT(INDEX(女子エントリー!$J$7:$AF$406,MATCH(LEFT($B93,FIND("(",$B93)-1)&amp;RIGHT(N$1,1),女子エントリー!$AF$7:$AF$406,0),3),"00000"),TEXT(INDEX(女子エントリー!$J$7:$AF$406,MATCH(LEFT($B93,FIND("(",$B93)-1)&amp;RIGHT(N$1,1),女子エントリー!$AF$7:$AF$406,0),3),"0000000")),"")</f>
        <v/>
      </c>
      <c r="O93" s="1" t="str">
        <f>_xlfn.IFNA(TEXT(VLOOKUP(INDEX(女子エントリー!$J$7:$AF$406,MATCH(LEFT($B93,FIND("(",$B93)-1)&amp;RIGHT(O$1,1),女子エントリー!$AF$7:$AF$406,0),1),競技会設定!$T$2:$W$22,4,0),"000")&amp;"00 "&amp;IF(VLOOKUP(INDEX(女子エントリー!$J$7:$AF$406,MATCH(LEFT($B93,FIND("(",$B93)-1)&amp;RIGHT(O$1,1),女子エントリー!$AF$7:$AF$406,0),1),競技会設定!$T$2:$W$22,4,0)&gt;70,TEXT(INDEX(女子エントリー!$J$7:$AF$406,MATCH(LEFT($B93,FIND("(",$B93)-1)&amp;RIGHT(O$1,1),女子エントリー!$AF$7:$AF$406,0),3),"00000"),TEXT(INDEX(女子エントリー!$J$7:$AF$406,MATCH(LEFT($B93,FIND("(",$B93)-1)&amp;RIGHT(O$1,1),女子エントリー!$AF$7:$AF$406,0),3),"0000000")),"")</f>
        <v/>
      </c>
    </row>
    <row r="94" spans="1:15">
      <c r="A94" s="92" t="str">
        <f>女子エントリー!D375</f>
        <v/>
      </c>
      <c r="B94" s="1" t="str">
        <f>女子エントリー!E375&amp;"("&amp;女子エントリー!G375&amp;")"</f>
        <v>()</v>
      </c>
      <c r="C94" s="92" t="str">
        <f>女子エントリー!F375</f>
        <v/>
      </c>
      <c r="D94" s="92" t="str">
        <f>女子エントリー!E377</f>
        <v/>
      </c>
      <c r="E94" s="92" t="str">
        <f>女子エントリー!G377</f>
        <v/>
      </c>
      <c r="F94" s="1" t="str">
        <f t="shared" si="1"/>
        <v/>
      </c>
      <c r="G94" s="92" t="str">
        <f>_xlfn.IFNA(VLOOKUP(女子エントリー!G376,競技会設定!$D$3:$E$49,2,0),"")</f>
        <v/>
      </c>
      <c r="H94" s="92" t="str">
        <f>_xlfn.IFNA(INDEX(競技会設定!$J$3:$O$47,MATCH(女子エントリー!H375,競技会設定!$N$3:$N$47,0),2),"")</f>
        <v/>
      </c>
      <c r="K94" s="92">
        <f>女子エントリー!C375</f>
        <v>0</v>
      </c>
      <c r="L94" s="1" t="str">
        <f>_xlfn.IFNA(TEXT(VLOOKUP(INDEX(女子エントリー!$J$7:$AF$406,MATCH(LEFT($B94,FIND("(",$B94)-1)&amp;RIGHT(L$1,1),女子エントリー!$AF$7:$AF$406,0),1),競技会設定!$T$2:$W$22,4,0),"000")&amp;"00 "&amp;IF(VLOOKUP(INDEX(女子エントリー!$J$7:$AF$406,MATCH(LEFT($B94,FIND("(",$B94)-1)&amp;RIGHT(L$1,1),女子エントリー!$AF$7:$AF$406,0),1),競技会設定!$T$2:$W$22,4,0)&gt;70,TEXT(INDEX(女子エントリー!$J$7:$AF$406,MATCH(LEFT($B94,FIND("(",$B94)-1)&amp;RIGHT(L$1,1),女子エントリー!$AF$7:$AF$406,0),3),"00000"),TEXT(INDEX(女子エントリー!$J$7:$AF$406,MATCH(LEFT($B94,FIND("(",$B94)-1)&amp;RIGHT(L$1,1),女子エントリー!$AF$7:$AF$406,0),3),"0000000")),"")</f>
        <v/>
      </c>
      <c r="M94" s="1" t="str">
        <f>_xlfn.IFNA(TEXT(VLOOKUP(INDEX(女子エントリー!$J$7:$AF$406,MATCH(LEFT($B94,FIND("(",$B94)-1)&amp;RIGHT(M$1,1),女子エントリー!$AF$7:$AF$406,0),1),競技会設定!$T$2:$W$22,4,0),"000")&amp;"00 "&amp;IF(VLOOKUP(INDEX(女子エントリー!$J$7:$AF$406,MATCH(LEFT($B94,FIND("(",$B94)-1)&amp;RIGHT(M$1,1),女子エントリー!$AF$7:$AF$406,0),1),競技会設定!$T$2:$W$22,4,0)&gt;70,TEXT(INDEX(女子エントリー!$J$7:$AF$406,MATCH(LEFT($B94,FIND("(",$B94)-1)&amp;RIGHT(M$1,1),女子エントリー!$AF$7:$AF$406,0),3),"00000"),TEXT(INDEX(女子エントリー!$J$7:$AF$406,MATCH(LEFT($B94,FIND("(",$B94)-1)&amp;RIGHT(M$1,1),女子エントリー!$AF$7:$AF$406,0),3),"0000000")),"")</f>
        <v/>
      </c>
      <c r="N94" s="1" t="str">
        <f>_xlfn.IFNA(TEXT(VLOOKUP(INDEX(女子エントリー!$J$7:$AF$406,MATCH(LEFT($B94,FIND("(",$B94)-1)&amp;RIGHT(N$1,1),女子エントリー!$AF$7:$AF$406,0),1),競技会設定!$T$2:$W$22,4,0),"000")&amp;"00 "&amp;IF(VLOOKUP(INDEX(女子エントリー!$J$7:$AF$406,MATCH(LEFT($B94,FIND("(",$B94)-1)&amp;RIGHT(N$1,1),女子エントリー!$AF$7:$AF$406,0),1),競技会設定!$T$2:$W$22,4,0)&gt;70,TEXT(INDEX(女子エントリー!$J$7:$AF$406,MATCH(LEFT($B94,FIND("(",$B94)-1)&amp;RIGHT(N$1,1),女子エントリー!$AF$7:$AF$406,0),3),"00000"),TEXT(INDEX(女子エントリー!$J$7:$AF$406,MATCH(LEFT($B94,FIND("(",$B94)-1)&amp;RIGHT(N$1,1),女子エントリー!$AF$7:$AF$406,0),3),"0000000")),"")</f>
        <v/>
      </c>
      <c r="O94" s="1" t="str">
        <f>_xlfn.IFNA(TEXT(VLOOKUP(INDEX(女子エントリー!$J$7:$AF$406,MATCH(LEFT($B94,FIND("(",$B94)-1)&amp;RIGHT(O$1,1),女子エントリー!$AF$7:$AF$406,0),1),競技会設定!$T$2:$W$22,4,0),"000")&amp;"00 "&amp;IF(VLOOKUP(INDEX(女子エントリー!$J$7:$AF$406,MATCH(LEFT($B94,FIND("(",$B94)-1)&amp;RIGHT(O$1,1),女子エントリー!$AF$7:$AF$406,0),1),競技会設定!$T$2:$W$22,4,0)&gt;70,TEXT(INDEX(女子エントリー!$J$7:$AF$406,MATCH(LEFT($B94,FIND("(",$B94)-1)&amp;RIGHT(O$1,1),女子エントリー!$AF$7:$AF$406,0),3),"00000"),TEXT(INDEX(女子エントリー!$J$7:$AF$406,MATCH(LEFT($B94,FIND("(",$B94)-1)&amp;RIGHT(O$1,1),女子エントリー!$AF$7:$AF$406,0),3),"0000000")),"")</f>
        <v/>
      </c>
    </row>
    <row r="95" spans="1:15">
      <c r="A95" s="92" t="str">
        <f>女子エントリー!D379</f>
        <v/>
      </c>
      <c r="B95" s="1" t="str">
        <f>女子エントリー!E379&amp;"("&amp;女子エントリー!G379&amp;")"</f>
        <v>()</v>
      </c>
      <c r="C95" s="92" t="str">
        <f>女子エントリー!F379</f>
        <v/>
      </c>
      <c r="D95" s="92" t="str">
        <f>女子エントリー!E381</f>
        <v/>
      </c>
      <c r="E95" s="92" t="str">
        <f>女子エントリー!G381</f>
        <v/>
      </c>
      <c r="F95" s="1" t="str">
        <f t="shared" si="1"/>
        <v/>
      </c>
      <c r="G95" s="92" t="str">
        <f>_xlfn.IFNA(VLOOKUP(女子エントリー!G380,競技会設定!$D$3:$E$49,2,0),"")</f>
        <v/>
      </c>
      <c r="H95" s="92" t="str">
        <f>_xlfn.IFNA(INDEX(競技会設定!$J$3:$O$47,MATCH(女子エントリー!H379,競技会設定!$N$3:$N$47,0),2),"")</f>
        <v/>
      </c>
      <c r="K95" s="92">
        <f>女子エントリー!C379</f>
        <v>0</v>
      </c>
      <c r="L95" s="1" t="str">
        <f>_xlfn.IFNA(TEXT(VLOOKUP(INDEX(女子エントリー!$J$7:$AF$406,MATCH(LEFT($B95,FIND("(",$B95)-1)&amp;RIGHT(L$1,1),女子エントリー!$AF$7:$AF$406,0),1),競技会設定!$T$2:$W$22,4,0),"000")&amp;"00 "&amp;IF(VLOOKUP(INDEX(女子エントリー!$J$7:$AF$406,MATCH(LEFT($B95,FIND("(",$B95)-1)&amp;RIGHT(L$1,1),女子エントリー!$AF$7:$AF$406,0),1),競技会設定!$T$2:$W$22,4,0)&gt;70,TEXT(INDEX(女子エントリー!$J$7:$AF$406,MATCH(LEFT($B95,FIND("(",$B95)-1)&amp;RIGHT(L$1,1),女子エントリー!$AF$7:$AF$406,0),3),"00000"),TEXT(INDEX(女子エントリー!$J$7:$AF$406,MATCH(LEFT($B95,FIND("(",$B95)-1)&amp;RIGHT(L$1,1),女子エントリー!$AF$7:$AF$406,0),3),"0000000")),"")</f>
        <v/>
      </c>
      <c r="M95" s="1" t="str">
        <f>_xlfn.IFNA(TEXT(VLOOKUP(INDEX(女子エントリー!$J$7:$AF$406,MATCH(LEFT($B95,FIND("(",$B95)-1)&amp;RIGHT(M$1,1),女子エントリー!$AF$7:$AF$406,0),1),競技会設定!$T$2:$W$22,4,0),"000")&amp;"00 "&amp;IF(VLOOKUP(INDEX(女子エントリー!$J$7:$AF$406,MATCH(LEFT($B95,FIND("(",$B95)-1)&amp;RIGHT(M$1,1),女子エントリー!$AF$7:$AF$406,0),1),競技会設定!$T$2:$W$22,4,0)&gt;70,TEXT(INDEX(女子エントリー!$J$7:$AF$406,MATCH(LEFT($B95,FIND("(",$B95)-1)&amp;RIGHT(M$1,1),女子エントリー!$AF$7:$AF$406,0),3),"00000"),TEXT(INDEX(女子エントリー!$J$7:$AF$406,MATCH(LEFT($B95,FIND("(",$B95)-1)&amp;RIGHT(M$1,1),女子エントリー!$AF$7:$AF$406,0),3),"0000000")),"")</f>
        <v/>
      </c>
      <c r="N95" s="1" t="str">
        <f>_xlfn.IFNA(TEXT(VLOOKUP(INDEX(女子エントリー!$J$7:$AF$406,MATCH(LEFT($B95,FIND("(",$B95)-1)&amp;RIGHT(N$1,1),女子エントリー!$AF$7:$AF$406,0),1),競技会設定!$T$2:$W$22,4,0),"000")&amp;"00 "&amp;IF(VLOOKUP(INDEX(女子エントリー!$J$7:$AF$406,MATCH(LEFT($B95,FIND("(",$B95)-1)&amp;RIGHT(N$1,1),女子エントリー!$AF$7:$AF$406,0),1),競技会設定!$T$2:$W$22,4,0)&gt;70,TEXT(INDEX(女子エントリー!$J$7:$AF$406,MATCH(LEFT($B95,FIND("(",$B95)-1)&amp;RIGHT(N$1,1),女子エントリー!$AF$7:$AF$406,0),3),"00000"),TEXT(INDEX(女子エントリー!$J$7:$AF$406,MATCH(LEFT($B95,FIND("(",$B95)-1)&amp;RIGHT(N$1,1),女子エントリー!$AF$7:$AF$406,0),3),"0000000")),"")</f>
        <v/>
      </c>
      <c r="O95" s="1" t="str">
        <f>_xlfn.IFNA(TEXT(VLOOKUP(INDEX(女子エントリー!$J$7:$AF$406,MATCH(LEFT($B95,FIND("(",$B95)-1)&amp;RIGHT(O$1,1),女子エントリー!$AF$7:$AF$406,0),1),競技会設定!$T$2:$W$22,4,0),"000")&amp;"00 "&amp;IF(VLOOKUP(INDEX(女子エントリー!$J$7:$AF$406,MATCH(LEFT($B95,FIND("(",$B95)-1)&amp;RIGHT(O$1,1),女子エントリー!$AF$7:$AF$406,0),1),競技会設定!$T$2:$W$22,4,0)&gt;70,TEXT(INDEX(女子エントリー!$J$7:$AF$406,MATCH(LEFT($B95,FIND("(",$B95)-1)&amp;RIGHT(O$1,1),女子エントリー!$AF$7:$AF$406,0),3),"00000"),TEXT(INDEX(女子エントリー!$J$7:$AF$406,MATCH(LEFT($B95,FIND("(",$B95)-1)&amp;RIGHT(O$1,1),女子エントリー!$AF$7:$AF$406,0),3),"0000000")),"")</f>
        <v/>
      </c>
    </row>
    <row r="96" spans="1:15">
      <c r="A96" s="92" t="str">
        <f>女子エントリー!D383</f>
        <v/>
      </c>
      <c r="B96" s="1" t="str">
        <f>女子エントリー!E383&amp;"("&amp;女子エントリー!G383&amp;")"</f>
        <v>()</v>
      </c>
      <c r="C96" s="92" t="str">
        <f>女子エントリー!F383</f>
        <v/>
      </c>
      <c r="D96" s="92" t="str">
        <f>女子エントリー!E385</f>
        <v/>
      </c>
      <c r="E96" s="92" t="str">
        <f>女子エントリー!G385</f>
        <v/>
      </c>
      <c r="F96" s="1" t="str">
        <f t="shared" si="1"/>
        <v/>
      </c>
      <c r="G96" s="92" t="str">
        <f>_xlfn.IFNA(VLOOKUP(女子エントリー!G384,競技会設定!$D$3:$E$49,2,0),"")</f>
        <v/>
      </c>
      <c r="H96" s="92" t="str">
        <f>_xlfn.IFNA(INDEX(競技会設定!$J$3:$O$47,MATCH(女子エントリー!H383,競技会設定!$N$3:$N$47,0),2),"")</f>
        <v/>
      </c>
      <c r="K96" s="92">
        <f>女子エントリー!C383</f>
        <v>0</v>
      </c>
      <c r="L96" s="1" t="str">
        <f>_xlfn.IFNA(TEXT(VLOOKUP(INDEX(女子エントリー!$J$7:$AF$406,MATCH(LEFT($B96,FIND("(",$B96)-1)&amp;RIGHT(L$1,1),女子エントリー!$AF$7:$AF$406,0),1),競技会設定!$T$2:$W$22,4,0),"000")&amp;"00 "&amp;IF(VLOOKUP(INDEX(女子エントリー!$J$7:$AF$406,MATCH(LEFT($B96,FIND("(",$B96)-1)&amp;RIGHT(L$1,1),女子エントリー!$AF$7:$AF$406,0),1),競技会設定!$T$2:$W$22,4,0)&gt;70,TEXT(INDEX(女子エントリー!$J$7:$AF$406,MATCH(LEFT($B96,FIND("(",$B96)-1)&amp;RIGHT(L$1,1),女子エントリー!$AF$7:$AF$406,0),3),"00000"),TEXT(INDEX(女子エントリー!$J$7:$AF$406,MATCH(LEFT($B96,FIND("(",$B96)-1)&amp;RIGHT(L$1,1),女子エントリー!$AF$7:$AF$406,0),3),"0000000")),"")</f>
        <v/>
      </c>
      <c r="M96" s="1" t="str">
        <f>_xlfn.IFNA(TEXT(VLOOKUP(INDEX(女子エントリー!$J$7:$AF$406,MATCH(LEFT($B96,FIND("(",$B96)-1)&amp;RIGHT(M$1,1),女子エントリー!$AF$7:$AF$406,0),1),競技会設定!$T$2:$W$22,4,0),"000")&amp;"00 "&amp;IF(VLOOKUP(INDEX(女子エントリー!$J$7:$AF$406,MATCH(LEFT($B96,FIND("(",$B96)-1)&amp;RIGHT(M$1,1),女子エントリー!$AF$7:$AF$406,0),1),競技会設定!$T$2:$W$22,4,0)&gt;70,TEXT(INDEX(女子エントリー!$J$7:$AF$406,MATCH(LEFT($B96,FIND("(",$B96)-1)&amp;RIGHT(M$1,1),女子エントリー!$AF$7:$AF$406,0),3),"00000"),TEXT(INDEX(女子エントリー!$J$7:$AF$406,MATCH(LEFT($B96,FIND("(",$B96)-1)&amp;RIGHT(M$1,1),女子エントリー!$AF$7:$AF$406,0),3),"0000000")),"")</f>
        <v/>
      </c>
      <c r="N96" s="1" t="str">
        <f>_xlfn.IFNA(TEXT(VLOOKUP(INDEX(女子エントリー!$J$7:$AF$406,MATCH(LEFT($B96,FIND("(",$B96)-1)&amp;RIGHT(N$1,1),女子エントリー!$AF$7:$AF$406,0),1),競技会設定!$T$2:$W$22,4,0),"000")&amp;"00 "&amp;IF(VLOOKUP(INDEX(女子エントリー!$J$7:$AF$406,MATCH(LEFT($B96,FIND("(",$B96)-1)&amp;RIGHT(N$1,1),女子エントリー!$AF$7:$AF$406,0),1),競技会設定!$T$2:$W$22,4,0)&gt;70,TEXT(INDEX(女子エントリー!$J$7:$AF$406,MATCH(LEFT($B96,FIND("(",$B96)-1)&amp;RIGHT(N$1,1),女子エントリー!$AF$7:$AF$406,0),3),"00000"),TEXT(INDEX(女子エントリー!$J$7:$AF$406,MATCH(LEFT($B96,FIND("(",$B96)-1)&amp;RIGHT(N$1,1),女子エントリー!$AF$7:$AF$406,0),3),"0000000")),"")</f>
        <v/>
      </c>
      <c r="O96" s="1" t="str">
        <f>_xlfn.IFNA(TEXT(VLOOKUP(INDEX(女子エントリー!$J$7:$AF$406,MATCH(LEFT($B96,FIND("(",$B96)-1)&amp;RIGHT(O$1,1),女子エントリー!$AF$7:$AF$406,0),1),競技会設定!$T$2:$W$22,4,0),"000")&amp;"00 "&amp;IF(VLOOKUP(INDEX(女子エントリー!$J$7:$AF$406,MATCH(LEFT($B96,FIND("(",$B96)-1)&amp;RIGHT(O$1,1),女子エントリー!$AF$7:$AF$406,0),1),競技会設定!$T$2:$W$22,4,0)&gt;70,TEXT(INDEX(女子エントリー!$J$7:$AF$406,MATCH(LEFT($B96,FIND("(",$B96)-1)&amp;RIGHT(O$1,1),女子エントリー!$AF$7:$AF$406,0),3),"00000"),TEXT(INDEX(女子エントリー!$J$7:$AF$406,MATCH(LEFT($B96,FIND("(",$B96)-1)&amp;RIGHT(O$1,1),女子エントリー!$AF$7:$AF$406,0),3),"0000000")),"")</f>
        <v/>
      </c>
    </row>
    <row r="97" spans="1:15">
      <c r="A97" s="92" t="str">
        <f>女子エントリー!D387</f>
        <v/>
      </c>
      <c r="B97" s="1" t="str">
        <f>女子エントリー!E387&amp;"("&amp;女子エントリー!G387&amp;")"</f>
        <v>()</v>
      </c>
      <c r="C97" s="92" t="str">
        <f>女子エントリー!F387</f>
        <v/>
      </c>
      <c r="D97" s="92" t="str">
        <f>女子エントリー!E389</f>
        <v/>
      </c>
      <c r="E97" s="92" t="str">
        <f>女子エントリー!G389</f>
        <v/>
      </c>
      <c r="F97" s="1" t="str">
        <f t="shared" si="1"/>
        <v/>
      </c>
      <c r="G97" s="92" t="str">
        <f>_xlfn.IFNA(VLOOKUP(女子エントリー!G388,競技会設定!$D$3:$E$49,2,0),"")</f>
        <v/>
      </c>
      <c r="H97" s="92" t="str">
        <f>_xlfn.IFNA(INDEX(競技会設定!$J$3:$O$47,MATCH(女子エントリー!H387,競技会設定!$N$3:$N$47,0),2),"")</f>
        <v/>
      </c>
      <c r="K97" s="92">
        <f>女子エントリー!C387</f>
        <v>0</v>
      </c>
      <c r="L97" s="1" t="str">
        <f>_xlfn.IFNA(TEXT(VLOOKUP(INDEX(女子エントリー!$J$7:$AF$406,MATCH(LEFT($B97,FIND("(",$B97)-1)&amp;RIGHT(L$1,1),女子エントリー!$AF$7:$AF$406,0),1),競技会設定!$T$2:$W$22,4,0),"000")&amp;"00 "&amp;IF(VLOOKUP(INDEX(女子エントリー!$J$7:$AF$406,MATCH(LEFT($B97,FIND("(",$B97)-1)&amp;RIGHT(L$1,1),女子エントリー!$AF$7:$AF$406,0),1),競技会設定!$T$2:$W$22,4,0)&gt;70,TEXT(INDEX(女子エントリー!$J$7:$AF$406,MATCH(LEFT($B97,FIND("(",$B97)-1)&amp;RIGHT(L$1,1),女子エントリー!$AF$7:$AF$406,0),3),"00000"),TEXT(INDEX(女子エントリー!$J$7:$AF$406,MATCH(LEFT($B97,FIND("(",$B97)-1)&amp;RIGHT(L$1,1),女子エントリー!$AF$7:$AF$406,0),3),"0000000")),"")</f>
        <v/>
      </c>
      <c r="M97" s="1" t="str">
        <f>_xlfn.IFNA(TEXT(VLOOKUP(INDEX(女子エントリー!$J$7:$AF$406,MATCH(LEFT($B97,FIND("(",$B97)-1)&amp;RIGHT(M$1,1),女子エントリー!$AF$7:$AF$406,0),1),競技会設定!$T$2:$W$22,4,0),"000")&amp;"00 "&amp;IF(VLOOKUP(INDEX(女子エントリー!$J$7:$AF$406,MATCH(LEFT($B97,FIND("(",$B97)-1)&amp;RIGHT(M$1,1),女子エントリー!$AF$7:$AF$406,0),1),競技会設定!$T$2:$W$22,4,0)&gt;70,TEXT(INDEX(女子エントリー!$J$7:$AF$406,MATCH(LEFT($B97,FIND("(",$B97)-1)&amp;RIGHT(M$1,1),女子エントリー!$AF$7:$AF$406,0),3),"00000"),TEXT(INDEX(女子エントリー!$J$7:$AF$406,MATCH(LEFT($B97,FIND("(",$B97)-1)&amp;RIGHT(M$1,1),女子エントリー!$AF$7:$AF$406,0),3),"0000000")),"")</f>
        <v/>
      </c>
      <c r="N97" s="1" t="str">
        <f>_xlfn.IFNA(TEXT(VLOOKUP(INDEX(女子エントリー!$J$7:$AF$406,MATCH(LEFT($B97,FIND("(",$B97)-1)&amp;RIGHT(N$1,1),女子エントリー!$AF$7:$AF$406,0),1),競技会設定!$T$2:$W$22,4,0),"000")&amp;"00 "&amp;IF(VLOOKUP(INDEX(女子エントリー!$J$7:$AF$406,MATCH(LEFT($B97,FIND("(",$B97)-1)&amp;RIGHT(N$1,1),女子エントリー!$AF$7:$AF$406,0),1),競技会設定!$T$2:$W$22,4,0)&gt;70,TEXT(INDEX(女子エントリー!$J$7:$AF$406,MATCH(LEFT($B97,FIND("(",$B97)-1)&amp;RIGHT(N$1,1),女子エントリー!$AF$7:$AF$406,0),3),"00000"),TEXT(INDEX(女子エントリー!$J$7:$AF$406,MATCH(LEFT($B97,FIND("(",$B97)-1)&amp;RIGHT(N$1,1),女子エントリー!$AF$7:$AF$406,0),3),"0000000")),"")</f>
        <v/>
      </c>
      <c r="O97" s="1" t="str">
        <f>_xlfn.IFNA(TEXT(VLOOKUP(INDEX(女子エントリー!$J$7:$AF$406,MATCH(LEFT($B97,FIND("(",$B97)-1)&amp;RIGHT(O$1,1),女子エントリー!$AF$7:$AF$406,0),1),競技会設定!$T$2:$W$22,4,0),"000")&amp;"00 "&amp;IF(VLOOKUP(INDEX(女子エントリー!$J$7:$AF$406,MATCH(LEFT($B97,FIND("(",$B97)-1)&amp;RIGHT(O$1,1),女子エントリー!$AF$7:$AF$406,0),1),競技会設定!$T$2:$W$22,4,0)&gt;70,TEXT(INDEX(女子エントリー!$J$7:$AF$406,MATCH(LEFT($B97,FIND("(",$B97)-1)&amp;RIGHT(O$1,1),女子エントリー!$AF$7:$AF$406,0),3),"00000"),TEXT(INDEX(女子エントリー!$J$7:$AF$406,MATCH(LEFT($B97,FIND("(",$B97)-1)&amp;RIGHT(O$1,1),女子エントリー!$AF$7:$AF$406,0),3),"0000000")),"")</f>
        <v/>
      </c>
    </row>
    <row r="98" spans="1:15">
      <c r="A98" s="92" t="str">
        <f>女子エントリー!D391</f>
        <v/>
      </c>
      <c r="B98" s="1" t="str">
        <f>女子エントリー!E391&amp;"("&amp;女子エントリー!G391&amp;")"</f>
        <v>()</v>
      </c>
      <c r="C98" s="92" t="str">
        <f>女子エントリー!F391</f>
        <v/>
      </c>
      <c r="D98" s="92" t="str">
        <f>女子エントリー!E393</f>
        <v/>
      </c>
      <c r="E98" s="92" t="str">
        <f>女子エントリー!G393</f>
        <v/>
      </c>
      <c r="F98" s="1" t="str">
        <f t="shared" si="1"/>
        <v/>
      </c>
      <c r="G98" s="92" t="str">
        <f>_xlfn.IFNA(VLOOKUP(女子エントリー!G392,競技会設定!$D$3:$E$49,2,0),"")</f>
        <v/>
      </c>
      <c r="H98" s="92" t="str">
        <f>_xlfn.IFNA(INDEX(競技会設定!$J$3:$O$47,MATCH(女子エントリー!H391,競技会設定!$N$3:$N$47,0),2),"")</f>
        <v/>
      </c>
      <c r="K98" s="92">
        <f>女子エントリー!C391</f>
        <v>0</v>
      </c>
      <c r="L98" s="1" t="str">
        <f>_xlfn.IFNA(TEXT(VLOOKUP(INDEX(女子エントリー!$J$7:$AF$406,MATCH(LEFT($B98,FIND("(",$B98)-1)&amp;RIGHT(L$1,1),女子エントリー!$AF$7:$AF$406,0),1),競技会設定!$T$2:$W$22,4,0),"000")&amp;"00 "&amp;IF(VLOOKUP(INDEX(女子エントリー!$J$7:$AF$406,MATCH(LEFT($B98,FIND("(",$B98)-1)&amp;RIGHT(L$1,1),女子エントリー!$AF$7:$AF$406,0),1),競技会設定!$T$2:$W$22,4,0)&gt;70,TEXT(INDEX(女子エントリー!$J$7:$AF$406,MATCH(LEFT($B98,FIND("(",$B98)-1)&amp;RIGHT(L$1,1),女子エントリー!$AF$7:$AF$406,0),3),"00000"),TEXT(INDEX(女子エントリー!$J$7:$AF$406,MATCH(LEFT($B98,FIND("(",$B98)-1)&amp;RIGHT(L$1,1),女子エントリー!$AF$7:$AF$406,0),3),"0000000")),"")</f>
        <v/>
      </c>
      <c r="M98" s="1" t="str">
        <f>_xlfn.IFNA(TEXT(VLOOKUP(INDEX(女子エントリー!$J$7:$AF$406,MATCH(LEFT($B98,FIND("(",$B98)-1)&amp;RIGHT(M$1,1),女子エントリー!$AF$7:$AF$406,0),1),競技会設定!$T$2:$W$22,4,0),"000")&amp;"00 "&amp;IF(VLOOKUP(INDEX(女子エントリー!$J$7:$AF$406,MATCH(LEFT($B98,FIND("(",$B98)-1)&amp;RIGHT(M$1,1),女子エントリー!$AF$7:$AF$406,0),1),競技会設定!$T$2:$W$22,4,0)&gt;70,TEXT(INDEX(女子エントリー!$J$7:$AF$406,MATCH(LEFT($B98,FIND("(",$B98)-1)&amp;RIGHT(M$1,1),女子エントリー!$AF$7:$AF$406,0),3),"00000"),TEXT(INDEX(女子エントリー!$J$7:$AF$406,MATCH(LEFT($B98,FIND("(",$B98)-1)&amp;RIGHT(M$1,1),女子エントリー!$AF$7:$AF$406,0),3),"0000000")),"")</f>
        <v/>
      </c>
      <c r="N98" s="1" t="str">
        <f>_xlfn.IFNA(TEXT(VLOOKUP(INDEX(女子エントリー!$J$7:$AF$406,MATCH(LEFT($B98,FIND("(",$B98)-1)&amp;RIGHT(N$1,1),女子エントリー!$AF$7:$AF$406,0),1),競技会設定!$T$2:$W$22,4,0),"000")&amp;"00 "&amp;IF(VLOOKUP(INDEX(女子エントリー!$J$7:$AF$406,MATCH(LEFT($B98,FIND("(",$B98)-1)&amp;RIGHT(N$1,1),女子エントリー!$AF$7:$AF$406,0),1),競技会設定!$T$2:$W$22,4,0)&gt;70,TEXT(INDEX(女子エントリー!$J$7:$AF$406,MATCH(LEFT($B98,FIND("(",$B98)-1)&amp;RIGHT(N$1,1),女子エントリー!$AF$7:$AF$406,0),3),"00000"),TEXT(INDEX(女子エントリー!$J$7:$AF$406,MATCH(LEFT($B98,FIND("(",$B98)-1)&amp;RIGHT(N$1,1),女子エントリー!$AF$7:$AF$406,0),3),"0000000")),"")</f>
        <v/>
      </c>
      <c r="O98" s="1" t="str">
        <f>_xlfn.IFNA(TEXT(VLOOKUP(INDEX(女子エントリー!$J$7:$AF$406,MATCH(LEFT($B98,FIND("(",$B98)-1)&amp;RIGHT(O$1,1),女子エントリー!$AF$7:$AF$406,0),1),競技会設定!$T$2:$W$22,4,0),"000")&amp;"00 "&amp;IF(VLOOKUP(INDEX(女子エントリー!$J$7:$AF$406,MATCH(LEFT($B98,FIND("(",$B98)-1)&amp;RIGHT(O$1,1),女子エントリー!$AF$7:$AF$406,0),1),競技会設定!$T$2:$W$22,4,0)&gt;70,TEXT(INDEX(女子エントリー!$J$7:$AF$406,MATCH(LEFT($B98,FIND("(",$B98)-1)&amp;RIGHT(O$1,1),女子エントリー!$AF$7:$AF$406,0),3),"00000"),TEXT(INDEX(女子エントリー!$J$7:$AF$406,MATCH(LEFT($B98,FIND("(",$B98)-1)&amp;RIGHT(O$1,1),女子エントリー!$AF$7:$AF$406,0),3),"0000000")),"")</f>
        <v/>
      </c>
    </row>
    <row r="99" spans="1:15">
      <c r="A99" s="92" t="str">
        <f>女子エントリー!D395</f>
        <v/>
      </c>
      <c r="B99" s="1" t="str">
        <f>女子エントリー!E395&amp;"("&amp;女子エントリー!G395&amp;")"</f>
        <v>()</v>
      </c>
      <c r="C99" s="92" t="str">
        <f>女子エントリー!F395</f>
        <v/>
      </c>
      <c r="D99" s="92" t="str">
        <f>女子エントリー!E397</f>
        <v/>
      </c>
      <c r="E99" s="92" t="str">
        <f>女子エントリー!G397</f>
        <v/>
      </c>
      <c r="F99" s="1" t="str">
        <f t="shared" si="1"/>
        <v/>
      </c>
      <c r="G99" s="92" t="str">
        <f>_xlfn.IFNA(VLOOKUP(女子エントリー!G396,競技会設定!$D$3:$E$49,2,0),"")</f>
        <v/>
      </c>
      <c r="H99" s="92" t="str">
        <f>_xlfn.IFNA(INDEX(競技会設定!$J$3:$O$47,MATCH(女子エントリー!H395,競技会設定!$N$3:$N$47,0),2),"")</f>
        <v/>
      </c>
      <c r="K99" s="92">
        <f>女子エントリー!C395</f>
        <v>0</v>
      </c>
      <c r="L99" s="1" t="str">
        <f>_xlfn.IFNA(TEXT(VLOOKUP(INDEX(女子エントリー!$J$7:$AF$406,MATCH(LEFT($B99,FIND("(",$B99)-1)&amp;RIGHT(L$1,1),女子エントリー!$AF$7:$AF$406,0),1),競技会設定!$T$2:$W$22,4,0),"000")&amp;"00 "&amp;IF(VLOOKUP(INDEX(女子エントリー!$J$7:$AF$406,MATCH(LEFT($B99,FIND("(",$B99)-1)&amp;RIGHT(L$1,1),女子エントリー!$AF$7:$AF$406,0),1),競技会設定!$T$2:$W$22,4,0)&gt;70,TEXT(INDEX(女子エントリー!$J$7:$AF$406,MATCH(LEFT($B99,FIND("(",$B99)-1)&amp;RIGHT(L$1,1),女子エントリー!$AF$7:$AF$406,0),3),"00000"),TEXT(INDEX(女子エントリー!$J$7:$AF$406,MATCH(LEFT($B99,FIND("(",$B99)-1)&amp;RIGHT(L$1,1),女子エントリー!$AF$7:$AF$406,0),3),"0000000")),"")</f>
        <v/>
      </c>
      <c r="M99" s="1" t="str">
        <f>_xlfn.IFNA(TEXT(VLOOKUP(INDEX(女子エントリー!$J$7:$AF$406,MATCH(LEFT($B99,FIND("(",$B99)-1)&amp;RIGHT(M$1,1),女子エントリー!$AF$7:$AF$406,0),1),競技会設定!$T$2:$W$22,4,0),"000")&amp;"00 "&amp;IF(VLOOKUP(INDEX(女子エントリー!$J$7:$AF$406,MATCH(LEFT($B99,FIND("(",$B99)-1)&amp;RIGHT(M$1,1),女子エントリー!$AF$7:$AF$406,0),1),競技会設定!$T$2:$W$22,4,0)&gt;70,TEXT(INDEX(女子エントリー!$J$7:$AF$406,MATCH(LEFT($B99,FIND("(",$B99)-1)&amp;RIGHT(M$1,1),女子エントリー!$AF$7:$AF$406,0),3),"00000"),TEXT(INDEX(女子エントリー!$J$7:$AF$406,MATCH(LEFT($B99,FIND("(",$B99)-1)&amp;RIGHT(M$1,1),女子エントリー!$AF$7:$AF$406,0),3),"0000000")),"")</f>
        <v/>
      </c>
      <c r="N99" s="1" t="str">
        <f>_xlfn.IFNA(TEXT(VLOOKUP(INDEX(女子エントリー!$J$7:$AF$406,MATCH(LEFT($B99,FIND("(",$B99)-1)&amp;RIGHT(N$1,1),女子エントリー!$AF$7:$AF$406,0),1),競技会設定!$T$2:$W$22,4,0),"000")&amp;"00 "&amp;IF(VLOOKUP(INDEX(女子エントリー!$J$7:$AF$406,MATCH(LEFT($B99,FIND("(",$B99)-1)&amp;RIGHT(N$1,1),女子エントリー!$AF$7:$AF$406,0),1),競技会設定!$T$2:$W$22,4,0)&gt;70,TEXT(INDEX(女子エントリー!$J$7:$AF$406,MATCH(LEFT($B99,FIND("(",$B99)-1)&amp;RIGHT(N$1,1),女子エントリー!$AF$7:$AF$406,0),3),"00000"),TEXT(INDEX(女子エントリー!$J$7:$AF$406,MATCH(LEFT($B99,FIND("(",$B99)-1)&amp;RIGHT(N$1,1),女子エントリー!$AF$7:$AF$406,0),3),"0000000")),"")</f>
        <v/>
      </c>
      <c r="O99" s="1" t="str">
        <f>_xlfn.IFNA(TEXT(VLOOKUP(INDEX(女子エントリー!$J$7:$AF$406,MATCH(LEFT($B99,FIND("(",$B99)-1)&amp;RIGHT(O$1,1),女子エントリー!$AF$7:$AF$406,0),1),競技会設定!$T$2:$W$22,4,0),"000")&amp;"00 "&amp;IF(VLOOKUP(INDEX(女子エントリー!$J$7:$AF$406,MATCH(LEFT($B99,FIND("(",$B99)-1)&amp;RIGHT(O$1,1),女子エントリー!$AF$7:$AF$406,0),1),競技会設定!$T$2:$W$22,4,0)&gt;70,TEXT(INDEX(女子エントリー!$J$7:$AF$406,MATCH(LEFT($B99,FIND("(",$B99)-1)&amp;RIGHT(O$1,1),女子エントリー!$AF$7:$AF$406,0),3),"00000"),TEXT(INDEX(女子エントリー!$J$7:$AF$406,MATCH(LEFT($B99,FIND("(",$B99)-1)&amp;RIGHT(O$1,1),女子エントリー!$AF$7:$AF$406,0),3),"0000000")),"")</f>
        <v/>
      </c>
    </row>
    <row r="100" spans="1:15">
      <c r="A100" s="92" t="str">
        <f>女子エントリー!D399</f>
        <v/>
      </c>
      <c r="B100" s="1" t="str">
        <f>女子エントリー!E399&amp;"("&amp;女子エントリー!G399&amp;")"</f>
        <v>()</v>
      </c>
      <c r="C100" s="92" t="str">
        <f>女子エントリー!F399</f>
        <v/>
      </c>
      <c r="D100" s="92" t="str">
        <f>女子エントリー!E401</f>
        <v/>
      </c>
      <c r="E100" s="92" t="str">
        <f>女子エントリー!G401</f>
        <v/>
      </c>
      <c r="F100" s="1" t="str">
        <f t="shared" si="1"/>
        <v/>
      </c>
      <c r="G100" s="92" t="str">
        <f>_xlfn.IFNA(VLOOKUP(女子エントリー!G400,競技会設定!$D$3:$E$49,2,0),"")</f>
        <v/>
      </c>
      <c r="H100" s="92" t="str">
        <f>_xlfn.IFNA(INDEX(競技会設定!$J$3:$O$47,MATCH(女子エントリー!H399,競技会設定!$N$3:$N$47,0),2),"")</f>
        <v/>
      </c>
      <c r="K100" s="92">
        <f>女子エントリー!C399</f>
        <v>0</v>
      </c>
      <c r="L100" s="1" t="str">
        <f>_xlfn.IFNA(TEXT(VLOOKUP(INDEX(女子エントリー!$J$7:$AF$406,MATCH(LEFT($B100,FIND("(",$B100)-1)&amp;RIGHT(L$1,1),女子エントリー!$AF$7:$AF$406,0),1),競技会設定!$T$2:$W$22,4,0),"000")&amp;"00 "&amp;IF(VLOOKUP(INDEX(女子エントリー!$J$7:$AF$406,MATCH(LEFT($B100,FIND("(",$B100)-1)&amp;RIGHT(L$1,1),女子エントリー!$AF$7:$AF$406,0),1),競技会設定!$T$2:$W$22,4,0)&gt;70,TEXT(INDEX(女子エントリー!$J$7:$AF$406,MATCH(LEFT($B100,FIND("(",$B100)-1)&amp;RIGHT(L$1,1),女子エントリー!$AF$7:$AF$406,0),3),"00000"),TEXT(INDEX(女子エントリー!$J$7:$AF$406,MATCH(LEFT($B100,FIND("(",$B100)-1)&amp;RIGHT(L$1,1),女子エントリー!$AF$7:$AF$406,0),3),"0000000")),"")</f>
        <v/>
      </c>
      <c r="M100" s="1" t="str">
        <f>_xlfn.IFNA(TEXT(VLOOKUP(INDEX(女子エントリー!$J$7:$AF$406,MATCH(LEFT($B100,FIND("(",$B100)-1)&amp;RIGHT(M$1,1),女子エントリー!$AF$7:$AF$406,0),1),競技会設定!$T$2:$W$22,4,0),"000")&amp;"00 "&amp;IF(VLOOKUP(INDEX(女子エントリー!$J$7:$AF$406,MATCH(LEFT($B100,FIND("(",$B100)-1)&amp;RIGHT(M$1,1),女子エントリー!$AF$7:$AF$406,0),1),競技会設定!$T$2:$W$22,4,0)&gt;70,TEXT(INDEX(女子エントリー!$J$7:$AF$406,MATCH(LEFT($B100,FIND("(",$B100)-1)&amp;RIGHT(M$1,1),女子エントリー!$AF$7:$AF$406,0),3),"00000"),TEXT(INDEX(女子エントリー!$J$7:$AF$406,MATCH(LEFT($B100,FIND("(",$B100)-1)&amp;RIGHT(M$1,1),女子エントリー!$AF$7:$AF$406,0),3),"0000000")),"")</f>
        <v/>
      </c>
      <c r="N100" s="1" t="str">
        <f>_xlfn.IFNA(TEXT(VLOOKUP(INDEX(女子エントリー!$J$7:$AF$406,MATCH(LEFT($B100,FIND("(",$B100)-1)&amp;RIGHT(N$1,1),女子エントリー!$AF$7:$AF$406,0),1),競技会設定!$T$2:$W$22,4,0),"000")&amp;"00 "&amp;IF(VLOOKUP(INDEX(女子エントリー!$J$7:$AF$406,MATCH(LEFT($B100,FIND("(",$B100)-1)&amp;RIGHT(N$1,1),女子エントリー!$AF$7:$AF$406,0),1),競技会設定!$T$2:$W$22,4,0)&gt;70,TEXT(INDEX(女子エントリー!$J$7:$AF$406,MATCH(LEFT($B100,FIND("(",$B100)-1)&amp;RIGHT(N$1,1),女子エントリー!$AF$7:$AF$406,0),3),"00000"),TEXT(INDEX(女子エントリー!$J$7:$AF$406,MATCH(LEFT($B100,FIND("(",$B100)-1)&amp;RIGHT(N$1,1),女子エントリー!$AF$7:$AF$406,0),3),"0000000")),"")</f>
        <v/>
      </c>
      <c r="O100" s="1" t="str">
        <f>_xlfn.IFNA(TEXT(VLOOKUP(INDEX(女子エントリー!$J$7:$AF$406,MATCH(LEFT($B100,FIND("(",$B100)-1)&amp;RIGHT(O$1,1),女子エントリー!$AF$7:$AF$406,0),1),競技会設定!$T$2:$W$22,4,0),"000")&amp;"00 "&amp;IF(VLOOKUP(INDEX(女子エントリー!$J$7:$AF$406,MATCH(LEFT($B100,FIND("(",$B100)-1)&amp;RIGHT(O$1,1),女子エントリー!$AF$7:$AF$406,0),1),競技会設定!$T$2:$W$22,4,0)&gt;70,TEXT(INDEX(女子エントリー!$J$7:$AF$406,MATCH(LEFT($B100,FIND("(",$B100)-1)&amp;RIGHT(O$1,1),女子エントリー!$AF$7:$AF$406,0),3),"00000"),TEXT(INDEX(女子エントリー!$J$7:$AF$406,MATCH(LEFT($B100,FIND("(",$B100)-1)&amp;RIGHT(O$1,1),女子エントリー!$AF$7:$AF$406,0),3),"0000000")),"")</f>
        <v/>
      </c>
    </row>
    <row r="101" spans="1:15">
      <c r="A101" s="92" t="str">
        <f>女子エントリー!D403</f>
        <v/>
      </c>
      <c r="B101" s="1" t="str">
        <f>女子エントリー!E403&amp;"("&amp;女子エントリー!G403&amp;")"</f>
        <v>()</v>
      </c>
      <c r="C101" s="92" t="str">
        <f>女子エントリー!F403</f>
        <v/>
      </c>
      <c r="D101" s="92" t="str">
        <f>女子エントリー!E405</f>
        <v/>
      </c>
      <c r="E101" s="92" t="str">
        <f>女子エントリー!G405</f>
        <v/>
      </c>
      <c r="F101" s="1" t="str">
        <f t="shared" si="1"/>
        <v/>
      </c>
      <c r="G101" s="92" t="str">
        <f>_xlfn.IFNA(VLOOKUP(女子エントリー!G404,競技会設定!$D$3:$E$49,2,0),"")</f>
        <v/>
      </c>
      <c r="H101" s="92" t="str">
        <f>_xlfn.IFNA(INDEX(競技会設定!$J$3:$O$47,MATCH(女子エントリー!H403,競技会設定!$N$3:$N$47,0),2),"")</f>
        <v/>
      </c>
      <c r="K101" s="92">
        <f>女子エントリー!C403</f>
        <v>0</v>
      </c>
      <c r="L101" s="1" t="str">
        <f>_xlfn.IFNA(TEXT(VLOOKUP(INDEX(女子エントリー!$J$7:$AF$406,MATCH(LEFT($B101,FIND("(",$B101)-1)&amp;RIGHT(L$1,1),女子エントリー!$AF$7:$AF$406,0),1),競技会設定!$T$2:$W$22,4,0),"000")&amp;"00 "&amp;IF(VLOOKUP(INDEX(女子エントリー!$J$7:$AF$406,MATCH(LEFT($B101,FIND("(",$B101)-1)&amp;RIGHT(L$1,1),女子エントリー!$AF$7:$AF$406,0),1),競技会設定!$T$2:$W$22,4,0)&gt;70,TEXT(INDEX(女子エントリー!$J$7:$AF$406,MATCH(LEFT($B101,FIND("(",$B101)-1)&amp;RIGHT(L$1,1),女子エントリー!$AF$7:$AF$406,0),3),"00000"),TEXT(INDEX(女子エントリー!$J$7:$AF$406,MATCH(LEFT($B101,FIND("(",$B101)-1)&amp;RIGHT(L$1,1),女子エントリー!$AF$7:$AF$406,0),3),"0000000")),"")</f>
        <v/>
      </c>
      <c r="M101" s="1" t="str">
        <f>_xlfn.IFNA(TEXT(VLOOKUP(INDEX(女子エントリー!$J$7:$AF$406,MATCH(LEFT($B101,FIND("(",$B101)-1)&amp;RIGHT(M$1,1),女子エントリー!$AF$7:$AF$406,0),1),競技会設定!$T$2:$W$22,4,0),"000")&amp;"00 "&amp;IF(VLOOKUP(INDEX(女子エントリー!$J$7:$AF$406,MATCH(LEFT($B101,FIND("(",$B101)-1)&amp;RIGHT(M$1,1),女子エントリー!$AF$7:$AF$406,0),1),競技会設定!$T$2:$W$22,4,0)&gt;70,TEXT(INDEX(女子エントリー!$J$7:$AF$406,MATCH(LEFT($B101,FIND("(",$B101)-1)&amp;RIGHT(M$1,1),女子エントリー!$AF$7:$AF$406,0),3),"00000"),TEXT(INDEX(女子エントリー!$J$7:$AF$406,MATCH(LEFT($B101,FIND("(",$B101)-1)&amp;RIGHT(M$1,1),女子エントリー!$AF$7:$AF$406,0),3),"0000000")),"")</f>
        <v/>
      </c>
      <c r="N101" s="1" t="str">
        <f>_xlfn.IFNA(TEXT(VLOOKUP(INDEX(女子エントリー!$J$7:$AF$406,MATCH(LEFT($B101,FIND("(",$B101)-1)&amp;RIGHT(N$1,1),女子エントリー!$AF$7:$AF$406,0),1),競技会設定!$T$2:$W$22,4,0),"000")&amp;"00 "&amp;IF(VLOOKUP(INDEX(女子エントリー!$J$7:$AF$406,MATCH(LEFT($B101,FIND("(",$B101)-1)&amp;RIGHT(N$1,1),女子エントリー!$AF$7:$AF$406,0),1),競技会設定!$T$2:$W$22,4,0)&gt;70,TEXT(INDEX(女子エントリー!$J$7:$AF$406,MATCH(LEFT($B101,FIND("(",$B101)-1)&amp;RIGHT(N$1,1),女子エントリー!$AF$7:$AF$406,0),3),"00000"),TEXT(INDEX(女子エントリー!$J$7:$AF$406,MATCH(LEFT($B101,FIND("(",$B101)-1)&amp;RIGHT(N$1,1),女子エントリー!$AF$7:$AF$406,0),3),"0000000")),"")</f>
        <v/>
      </c>
      <c r="O101" s="1" t="str">
        <f>_xlfn.IFNA(TEXT(VLOOKUP(INDEX(女子エントリー!$J$7:$AF$406,MATCH(LEFT($B101,FIND("(",$B101)-1)&amp;RIGHT(O$1,1),女子エントリー!$AF$7:$AF$406,0),1),競技会設定!$T$2:$W$22,4,0),"000")&amp;"00 "&amp;IF(VLOOKUP(INDEX(女子エントリー!$J$7:$AF$406,MATCH(LEFT($B101,FIND("(",$B101)-1)&amp;RIGHT(O$1,1),女子エントリー!$AF$7:$AF$406,0),1),競技会設定!$T$2:$W$22,4,0)&gt;70,TEXT(INDEX(女子エントリー!$J$7:$AF$406,MATCH(LEFT($B101,FIND("(",$B101)-1)&amp;RIGHT(O$1,1),女子エントリー!$AF$7:$AF$406,0),3),"00000"),TEXT(INDEX(女子エントリー!$J$7:$AF$406,MATCH(LEFT($B101,FIND("(",$B101)-1)&amp;RIGHT(O$1,1),女子エントリー!$AF$7:$AF$406,0),3),"0000000")),"")</f>
        <v/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9</vt:i4>
      </vt:variant>
    </vt:vector>
  </HeadingPairs>
  <TitlesOfParts>
    <vt:vector size="25" baseType="lpstr">
      <vt:lpstr>基本情報</vt:lpstr>
      <vt:lpstr>男子エントリー</vt:lpstr>
      <vt:lpstr>女子エントリー</vt:lpstr>
      <vt:lpstr>リレーエントリー</vt:lpstr>
      <vt:lpstr>混成競技エントリー</vt:lpstr>
      <vt:lpstr>トレーナー誓約書</vt:lpstr>
      <vt:lpstr>(資料) IOCコード一覧</vt:lpstr>
      <vt:lpstr>Athle32(男子)</vt:lpstr>
      <vt:lpstr>Athle32(女子)</vt:lpstr>
      <vt:lpstr>Athle32(リレー・混成)</vt:lpstr>
      <vt:lpstr>NANS21v(男子)</vt:lpstr>
      <vt:lpstr>NANS21v(女子)</vt:lpstr>
      <vt:lpstr>NANS21v(リレー・混成)</vt:lpstr>
      <vt:lpstr>男子登録</vt:lpstr>
      <vt:lpstr>女子登録</vt:lpstr>
      <vt:lpstr>競技会設定</vt:lpstr>
      <vt:lpstr>競技会設定!_FilterDatabase</vt:lpstr>
      <vt:lpstr>four</vt:lpstr>
      <vt:lpstr>one</vt:lpstr>
      <vt:lpstr>トレーナー誓約書!Print_Area</vt:lpstr>
      <vt:lpstr>リレーエントリー!Print_Area</vt:lpstr>
      <vt:lpstr>基本情報!Print_Area</vt:lpstr>
      <vt:lpstr>混成競技エントリー!Print_Area</vt:lpstr>
      <vt:lpstr>three</vt:lpstr>
      <vt:lpstr>two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2020-09-04T05:25:32Z</dcterms:created>
  <dcterms:modified xsi:type="dcterms:W3CDTF">2020-09-14T06:41:18Z</dcterms:modified>
</cp:coreProperties>
</file>